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1" activeTab="1"/>
  </bookViews>
  <sheets>
    <sheet name="final" sheetId="3" state="hidden" r:id="rId1"/>
    <sheet name="quotation" sheetId="4" r:id="rId2"/>
  </sheets>
  <externalReferences>
    <externalReference r:id="rId3"/>
    <externalReference r:id="rId4"/>
  </externalReferences>
  <definedNames>
    <definedName name="description_103">[1]Abstract!$B$16</definedName>
    <definedName name="description_124" localSheetId="0">#REF!</definedName>
    <definedName name="description_124" localSheetId="1">#REF!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final!$A$1:$K$272</definedName>
    <definedName name="_xlnm.Print_Area" localSheetId="1">quotation!$A$1:$K$244</definedName>
    <definedName name="_xlnm.Print_Titles" localSheetId="0">final!$1:$8</definedName>
    <definedName name="_xlnm.Print_Titles" localSheetId="1">quotation!$1:$8</definedName>
  </definedNames>
  <calcPr calcId="162913"/>
</workbook>
</file>

<file path=xl/calcChain.xml><?xml version="1.0" encoding="utf-8"?>
<calcChain xmlns="http://schemas.openxmlformats.org/spreadsheetml/2006/main">
  <c r="I231" i="4" l="1"/>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C241" i="4" s="1"/>
  <c r="G235" i="4"/>
  <c r="J235" i="4" s="1"/>
  <c r="G233" i="4"/>
  <c r="J233" i="4" s="1"/>
  <c r="C230" i="4"/>
  <c r="G230" i="4" s="1"/>
  <c r="G227" i="4"/>
  <c r="G228" i="4" s="1"/>
  <c r="G223" i="4"/>
  <c r="G224" i="4" s="1"/>
  <c r="D219" i="4"/>
  <c r="G219" i="4" s="1"/>
  <c r="G220" i="4" s="1"/>
  <c r="J220" i="4" s="1"/>
  <c r="E215" i="4"/>
  <c r="D215" i="4"/>
  <c r="G210" i="4"/>
  <c r="G211" i="4" s="1"/>
  <c r="J211" i="4" s="1"/>
  <c r="J212" i="4" s="1"/>
  <c r="D205" i="4"/>
  <c r="C205" i="4"/>
  <c r="I201" i="4"/>
  <c r="E200" i="4"/>
  <c r="D200" i="4"/>
  <c r="G200" i="4" s="1"/>
  <c r="G201" i="4" s="1"/>
  <c r="F196" i="4"/>
  <c r="E196" i="4"/>
  <c r="G196" i="4" s="1"/>
  <c r="G197" i="4" s="1"/>
  <c r="F192" i="4"/>
  <c r="E192" i="4"/>
  <c r="F188" i="4"/>
  <c r="E188" i="4"/>
  <c r="C188" i="4"/>
  <c r="E187" i="4"/>
  <c r="D187" i="4"/>
  <c r="E183" i="4"/>
  <c r="D183" i="4"/>
  <c r="C183" i="4"/>
  <c r="G183" i="4" s="1"/>
  <c r="D182" i="4"/>
  <c r="G182" i="4" s="1"/>
  <c r="D181" i="4"/>
  <c r="B181" i="4"/>
  <c r="D180" i="4"/>
  <c r="G180" i="4" s="1"/>
  <c r="D176" i="4"/>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G125" i="4" s="1"/>
  <c r="C125" i="4"/>
  <c r="C124" i="4"/>
  <c r="D120" i="4"/>
  <c r="C120" i="4"/>
  <c r="G120" i="4" s="1"/>
  <c r="C119" i="4"/>
  <c r="D115" i="4"/>
  <c r="C115" i="4"/>
  <c r="G115" i="4" s="1"/>
  <c r="C114" i="4"/>
  <c r="D110" i="4"/>
  <c r="C110" i="4"/>
  <c r="G110" i="4" s="1"/>
  <c r="C109" i="4"/>
  <c r="D105" i="4"/>
  <c r="C105" i="4"/>
  <c r="G105" i="4" s="1"/>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3" i="4" s="1"/>
  <c r="G72" i="4"/>
  <c r="C70" i="4"/>
  <c r="D69" i="4"/>
  <c r="C69" i="4"/>
  <c r="F68" i="4"/>
  <c r="D68" i="4"/>
  <c r="F67" i="4"/>
  <c r="F66" i="4"/>
  <c r="D66" i="4"/>
  <c r="D67" i="4" s="1"/>
  <c r="E65" i="4"/>
  <c r="D65" i="4"/>
  <c r="C65" i="4"/>
  <c r="F64" i="4"/>
  <c r="D64" i="4"/>
  <c r="F63" i="4"/>
  <c r="D63" i="4"/>
  <c r="F62" i="4"/>
  <c r="F61" i="4"/>
  <c r="F60" i="4"/>
  <c r="G60" i="4" s="1"/>
  <c r="E60" i="4"/>
  <c r="F59" i="4"/>
  <c r="D59" i="4"/>
  <c r="F58" i="4"/>
  <c r="D58" i="4"/>
  <c r="G58" i="4" s="1"/>
  <c r="F57" i="4"/>
  <c r="E57" i="4"/>
  <c r="G57" i="4" s="1"/>
  <c r="F53" i="4"/>
  <c r="E53" i="4"/>
  <c r="D53" i="4"/>
  <c r="F52" i="4"/>
  <c r="E52" i="4"/>
  <c r="D52" i="4"/>
  <c r="D48" i="4"/>
  <c r="G48" i="4" s="1"/>
  <c r="E47" i="4"/>
  <c r="D47" i="4"/>
  <c r="N46" i="4"/>
  <c r="E43" i="4"/>
  <c r="E162" i="4" s="1"/>
  <c r="D43" i="4"/>
  <c r="D162" i="4" s="1"/>
  <c r="C43" i="4"/>
  <c r="F42" i="4"/>
  <c r="G42" i="4" s="1"/>
  <c r="E38" i="4"/>
  <c r="D38" i="4"/>
  <c r="C37" i="4" s="1"/>
  <c r="C38" i="4"/>
  <c r="E37" i="4"/>
  <c r="D37" i="4"/>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J212" i="3"/>
  <c r="I211" i="3"/>
  <c r="I206" i="3"/>
  <c r="J179" i="3"/>
  <c r="I178" i="3"/>
  <c r="J160" i="3"/>
  <c r="I159" i="3"/>
  <c r="J154" i="3"/>
  <c r="I153" i="3"/>
  <c r="J148" i="3"/>
  <c r="I147" i="3"/>
  <c r="J142" i="3"/>
  <c r="I141" i="3"/>
  <c r="I129" i="3"/>
  <c r="J130" i="3"/>
  <c r="J136" i="3"/>
  <c r="I135" i="3"/>
  <c r="J124" i="3"/>
  <c r="I123" i="3"/>
  <c r="J118" i="3"/>
  <c r="I117" i="3"/>
  <c r="J112" i="3"/>
  <c r="I111" i="3"/>
  <c r="I103" i="3"/>
  <c r="J96" i="3"/>
  <c r="I95" i="3"/>
  <c r="J90" i="3"/>
  <c r="I89" i="3"/>
  <c r="J84" i="3"/>
  <c r="I83" i="3"/>
  <c r="G130" i="4" l="1"/>
  <c r="G144" i="4"/>
  <c r="G146" i="4"/>
  <c r="G148" i="4"/>
  <c r="G188" i="4"/>
  <c r="G64" i="4"/>
  <c r="G68" i="4"/>
  <c r="G134" i="4"/>
  <c r="G176" i="4"/>
  <c r="G150" i="4"/>
  <c r="G18" i="4"/>
  <c r="G149" i="4"/>
  <c r="G156" i="4"/>
  <c r="G187" i="4"/>
  <c r="G189" i="4" s="1"/>
  <c r="J189" i="4" s="1"/>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39" i="4" s="1"/>
  <c r="G53" i="4"/>
  <c r="D61" i="4"/>
  <c r="D62" i="4" s="1"/>
  <c r="G62" i="4" s="1"/>
  <c r="G74" i="4"/>
  <c r="G93" i="4"/>
  <c r="J197" i="4"/>
  <c r="G59" i="4"/>
  <c r="G12" i="4"/>
  <c r="G14" i="4" s="1"/>
  <c r="J14" i="4" s="1"/>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G177" i="4" s="1"/>
  <c r="G26" i="4"/>
  <c r="G27" i="4" s="1"/>
  <c r="E70" i="4"/>
  <c r="G70" i="4" s="1"/>
  <c r="G77" i="4" l="1"/>
  <c r="G54" i="4"/>
  <c r="J54" i="4" s="1"/>
  <c r="J44" i="4"/>
  <c r="D85" i="4"/>
  <c r="D90" i="4" s="1"/>
  <c r="J77" i="4"/>
  <c r="J177" i="4"/>
  <c r="J31" i="4"/>
  <c r="J82" i="4"/>
  <c r="J27" i="4"/>
  <c r="J136" i="4"/>
  <c r="J39" i="4"/>
  <c r="J164" i="4"/>
  <c r="J163" i="4"/>
  <c r="J152" i="4"/>
  <c r="J151" i="4"/>
  <c r="G85" i="4"/>
  <c r="G87" i="4" s="1"/>
  <c r="J87" i="4" l="1"/>
  <c r="D97" i="4"/>
  <c r="G90" i="4"/>
  <c r="G94" i="4" s="1"/>
  <c r="J94" i="4" l="1"/>
  <c r="G97" i="4"/>
  <c r="G101" i="4" s="1"/>
  <c r="D129" i="4"/>
  <c r="D104" i="4"/>
  <c r="G104" i="4" s="1"/>
  <c r="G106" i="4" s="1"/>
  <c r="J106" i="4" l="1"/>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s="1"/>
  <c r="C242" i="4"/>
  <c r="E241" i="4"/>
  <c r="E242" i="4" s="1"/>
  <c r="J255" i="3" l="1"/>
  <c r="I254" i="3"/>
  <c r="G253" i="3"/>
  <c r="G254" i="3" s="1"/>
  <c r="I249" i="3"/>
  <c r="G248" i="3"/>
  <c r="G249" i="3" s="1"/>
  <c r="J249" i="3" s="1"/>
  <c r="D239" i="3"/>
  <c r="D244" i="3"/>
  <c r="G244" i="3" s="1"/>
  <c r="G245" i="3" s="1"/>
  <c r="I258" i="3"/>
  <c r="I240" i="3"/>
  <c r="E239" i="3"/>
  <c r="G239" i="3"/>
  <c r="G240" i="3" s="1"/>
  <c r="J241" i="3" s="1"/>
  <c r="J250" i="3" l="1"/>
  <c r="J254" i="3"/>
  <c r="J245" i="3"/>
  <c r="J240" i="3"/>
  <c r="D177" i="3"/>
  <c r="G177" i="3" s="1"/>
  <c r="G178"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G159" i="3" s="1"/>
  <c r="E152" i="3"/>
  <c r="C152" i="3"/>
  <c r="D151" i="3"/>
  <c r="C151" i="3"/>
  <c r="G151" i="3" s="1"/>
  <c r="D146" i="3"/>
  <c r="C146" i="3"/>
  <c r="G146" i="3" s="1"/>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3" i="3" l="1"/>
  <c r="G51" i="3"/>
  <c r="G53" i="3" s="1"/>
  <c r="J54" i="3" s="1"/>
  <c r="G122" i="3"/>
  <c r="G209" i="3"/>
  <c r="G235" i="3"/>
  <c r="J235" i="3" s="1"/>
  <c r="J236" i="3" s="1"/>
  <c r="G128" i="3"/>
  <c r="G152" i="3"/>
  <c r="G153" i="3" s="1"/>
  <c r="G22" i="3"/>
  <c r="G23" i="3" s="1"/>
  <c r="J23" i="3" s="1"/>
  <c r="G76" i="3"/>
  <c r="G205" i="3"/>
  <c r="G210" i="3"/>
  <c r="G211" i="3" s="1"/>
  <c r="J211" i="3" s="1"/>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06" i="3" l="1"/>
  <c r="J206" i="3" s="1"/>
  <c r="G225" i="3"/>
  <c r="J225" i="3" s="1"/>
  <c r="G19" i="3"/>
  <c r="J19" i="3" s="1"/>
  <c r="G198" i="3"/>
  <c r="J199" i="3" s="1"/>
  <c r="G230" i="3"/>
  <c r="J230" i="3" s="1"/>
  <c r="G170" i="3"/>
  <c r="G59" i="3"/>
  <c r="J60" i="3" s="1"/>
  <c r="G87" i="3"/>
  <c r="G89" i="3" s="1"/>
  <c r="G14" i="3"/>
  <c r="J14" i="3" s="1"/>
  <c r="G41" i="3"/>
  <c r="J42" i="3" s="1"/>
  <c r="J178" i="3"/>
  <c r="G67" i="3"/>
  <c r="D68" i="3"/>
  <c r="G68" i="3" s="1"/>
  <c r="J153" i="3"/>
  <c r="J27" i="3"/>
  <c r="J32" i="3"/>
  <c r="J47" i="3"/>
  <c r="J184" i="3"/>
  <c r="J183" i="3"/>
  <c r="D99" i="3"/>
  <c r="G93" i="3"/>
  <c r="G95" i="3" s="1"/>
  <c r="J231" i="3" l="1"/>
  <c r="J226" i="3"/>
  <c r="J89" i="3"/>
  <c r="J41" i="3"/>
  <c r="J198" i="3"/>
  <c r="J59" i="3"/>
  <c r="J171" i="3"/>
  <c r="J170" i="3"/>
  <c r="J95" i="3"/>
  <c r="D107" i="3"/>
  <c r="G99" i="3"/>
  <c r="G103" i="3" s="1"/>
  <c r="J104" i="3" s="1"/>
  <c r="G83" i="3"/>
  <c r="D145" i="3" l="1"/>
  <c r="D115" i="3"/>
  <c r="G115" i="3" s="1"/>
  <c r="G117" i="3" s="1"/>
  <c r="G107" i="3"/>
  <c r="G111" i="3" s="1"/>
  <c r="J83" i="3"/>
  <c r="J103" i="3"/>
  <c r="J111" i="3" l="1"/>
  <c r="J117" i="3"/>
  <c r="G145" i="3"/>
  <c r="G147" i="3" s="1"/>
  <c r="D121" i="3"/>
  <c r="D127" i="3" l="1"/>
  <c r="G121" i="3"/>
  <c r="G123" i="3" s="1"/>
  <c r="J147" i="3"/>
  <c r="J123" i="3" l="1"/>
  <c r="D133" i="3"/>
  <c r="G127" i="3"/>
  <c r="G129" i="3" s="1"/>
  <c r="G133" i="3" l="1"/>
  <c r="G135" i="3" s="1"/>
  <c r="D139" i="3"/>
  <c r="G139" i="3" s="1"/>
  <c r="G141" i="3" s="1"/>
  <c r="J129" i="3"/>
  <c r="J135" i="3" l="1"/>
  <c r="J141" i="3"/>
  <c r="J265" i="3" l="1"/>
  <c r="C267" i="3" s="1"/>
  <c r="C270" i="3" s="1"/>
  <c r="E269" i="3" l="1"/>
  <c r="E270" i="3" s="1"/>
</calcChain>
</file>

<file path=xl/sharedStrings.xml><?xml version="1.0" encoding="utf-8"?>
<sst xmlns="http://schemas.openxmlformats.org/spreadsheetml/2006/main" count="506" uniqueCount="129">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</sst>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9">
    <xf numFmtId="0" fontId="0" fillId="0" borderId="0" xfId="0"/>
    <xf numFmtId="0" fontId="0" fillId="0" borderId="0" xfId="0" applyAlignment="1">
      <alignment vertical="center"/>
    </xf>
    <xf numFmtId="0" fontId="8" fillId="0" borderId="0" xfId="0" applyFont="1" applyAlignment="1">
      <alignment horizontal="center"/>
    </xf>
    <xf numFmtId="164"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164"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5"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5"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6"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5"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164"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0" fontId="7"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7" fillId="0" borderId="0" xfId="0" applyFont="1" applyAlignment="1">
      <alignment horizontal="lef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0" fontId="2" fillId="0" borderId="1" xfId="0" applyFont="1" applyBorder="1" applyAlignment="1">
      <alignment wrapText="1"/>
    </xf>
    <xf numFmtId="2" fontId="0" fillId="0" borderId="0" xfId="0" applyNumberFormat="1" applyAlignment="1">
      <alignment vertical="center"/>
    </xf>
    <xf numFmtId="2" fontId="0" fillId="0" borderId="1" xfId="1" applyNumberFormat="1" applyFont="1" applyBorder="1" applyAlignment="1">
      <alignment horizontal="center" vertical="center"/>
    </xf>
    <xf numFmtId="0" fontId="0" fillId="0" borderId="1" xfId="0" applyFill="1" applyBorder="1" applyAlignment="1">
      <alignment vertical="center"/>
    </xf>
    <xf numFmtId="2" fontId="0" fillId="0" borderId="1" xfId="0" applyNumberForma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0" zoomScaleNormal="100" zoomScaleSheetLayoutView="80" workbookViewId="0">
      <selection activeCell="C268" sqref="C268:D268"/>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80" t="s">
        <v>0</v>
      </c>
      <c r="B1" s="80"/>
      <c r="C1" s="80"/>
      <c r="D1" s="80"/>
      <c r="E1" s="80"/>
      <c r="F1" s="80"/>
      <c r="G1" s="80"/>
      <c r="H1" s="80"/>
      <c r="I1" s="80"/>
      <c r="J1" s="80"/>
      <c r="K1" s="80"/>
    </row>
    <row r="2" spans="1:14" s="1" customFormat="1" ht="22.8" x14ac:dyDescent="0.3">
      <c r="A2" s="81" t="s">
        <v>1</v>
      </c>
      <c r="B2" s="81"/>
      <c r="C2" s="81"/>
      <c r="D2" s="81"/>
      <c r="E2" s="81"/>
      <c r="F2" s="81"/>
      <c r="G2" s="81"/>
      <c r="H2" s="81"/>
      <c r="I2" s="81"/>
      <c r="J2" s="81"/>
      <c r="K2" s="81"/>
    </row>
    <row r="3" spans="1:14" s="1" customFormat="1" x14ac:dyDescent="0.3">
      <c r="A3" s="82" t="s">
        <v>2</v>
      </c>
      <c r="B3" s="82"/>
      <c r="C3" s="82"/>
      <c r="D3" s="82"/>
      <c r="E3" s="82"/>
      <c r="F3" s="82"/>
      <c r="G3" s="82"/>
      <c r="H3" s="82"/>
      <c r="I3" s="82"/>
      <c r="J3" s="82"/>
      <c r="K3" s="82"/>
    </row>
    <row r="4" spans="1:14" s="1" customFormat="1" x14ac:dyDescent="0.3">
      <c r="A4" s="82" t="s">
        <v>3</v>
      </c>
      <c r="B4" s="82"/>
      <c r="C4" s="82"/>
      <c r="D4" s="82"/>
      <c r="E4" s="82"/>
      <c r="F4" s="82"/>
      <c r="G4" s="82"/>
      <c r="H4" s="82"/>
      <c r="I4" s="82"/>
      <c r="J4" s="82"/>
      <c r="K4" s="82"/>
    </row>
    <row r="5" spans="1:14" ht="17.399999999999999" x14ac:dyDescent="0.3">
      <c r="A5" s="83" t="s">
        <v>4</v>
      </c>
      <c r="B5" s="83"/>
      <c r="C5" s="83"/>
      <c r="D5" s="83"/>
      <c r="E5" s="83"/>
      <c r="F5" s="83"/>
      <c r="G5" s="83"/>
      <c r="H5" s="83"/>
      <c r="I5" s="83"/>
      <c r="J5" s="83"/>
      <c r="K5" s="83"/>
    </row>
    <row r="6" spans="1:14" ht="15.6" x14ac:dyDescent="0.3">
      <c r="A6" s="79" t="s">
        <v>5</v>
      </c>
      <c r="B6" s="79"/>
      <c r="C6" s="79"/>
      <c r="D6" s="79"/>
      <c r="E6" s="79"/>
      <c r="F6" s="79"/>
      <c r="G6" s="2"/>
      <c r="H6" s="75" t="s">
        <v>6</v>
      </c>
      <c r="I6" s="75"/>
      <c r="J6" s="75"/>
      <c r="K6" s="75"/>
    </row>
    <row r="7" spans="1:14" ht="15.6" x14ac:dyDescent="0.3">
      <c r="A7" s="74" t="s">
        <v>7</v>
      </c>
      <c r="B7" s="74"/>
      <c r="C7" s="74"/>
      <c r="D7" s="74"/>
      <c r="E7" s="74"/>
      <c r="F7" s="74"/>
      <c r="G7" s="3"/>
      <c r="H7" s="75" t="s">
        <v>8</v>
      </c>
      <c r="I7" s="75"/>
      <c r="J7" s="75"/>
      <c r="K7" s="75"/>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v>663.31</v>
      </c>
      <c r="J23" s="29">
        <f>G23*I23</f>
        <v>429.82487999999995</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v>1014.97</v>
      </c>
      <c r="J27" s="39">
        <f>G27*I27</f>
        <v>730.77840000000003</v>
      </c>
      <c r="K27" s="34"/>
    </row>
    <row r="28" spans="1:14" x14ac:dyDescent="0.3">
      <c r="A28" s="25"/>
      <c r="B28" s="36" t="s">
        <v>33</v>
      </c>
      <c r="C28" s="32"/>
      <c r="D28" s="33"/>
      <c r="E28" s="33"/>
      <c r="F28" s="33"/>
      <c r="G28" s="33"/>
      <c r="H28" s="18"/>
      <c r="I28" s="40"/>
      <c r="J28" s="39">
        <f>0.13*G27*(8617.2)/10</f>
        <v>80.656992000000017</v>
      </c>
      <c r="K28" s="34"/>
    </row>
    <row r="29" spans="1:14" x14ac:dyDescent="0.3">
      <c r="A29" s="25"/>
      <c r="B29" s="34"/>
      <c r="C29" s="32"/>
      <c r="D29" s="33"/>
      <c r="E29" s="33"/>
      <c r="F29" s="33"/>
      <c r="G29" s="33"/>
      <c r="H29" s="34"/>
      <c r="I29" s="33"/>
      <c r="J29" s="33"/>
      <c r="K29" s="34"/>
    </row>
    <row r="30" spans="1:14" s="1" customFormat="1" ht="30" x14ac:dyDescent="0.3">
      <c r="A30" s="25">
        <v>5</v>
      </c>
      <c r="B30" s="41" t="s">
        <v>34</v>
      </c>
      <c r="C30" s="32"/>
      <c r="D30" s="33"/>
      <c r="E30" s="33"/>
      <c r="F30" s="33"/>
      <c r="G30" s="33"/>
      <c r="H30" s="34"/>
      <c r="I30" s="33"/>
      <c r="J30" s="33"/>
      <c r="K30" s="34"/>
    </row>
    <row r="31" spans="1:14" x14ac:dyDescent="0.3">
      <c r="A31" s="25"/>
      <c r="B31" s="35" t="s">
        <v>32</v>
      </c>
      <c r="C31" s="32">
        <f>C26</f>
        <v>2</v>
      </c>
      <c r="D31" s="33">
        <f>D26</f>
        <v>0.6</v>
      </c>
      <c r="E31" s="33">
        <f>E26</f>
        <v>0.6</v>
      </c>
      <c r="F31" s="33">
        <v>0.05</v>
      </c>
      <c r="G31" s="33">
        <f>PRODUCT(C31:F31)</f>
        <v>3.5999999999999997E-2</v>
      </c>
      <c r="H31" s="34"/>
      <c r="I31" s="34"/>
      <c r="J31" s="33"/>
      <c r="K31" s="34"/>
    </row>
    <row r="32" spans="1:14" x14ac:dyDescent="0.3">
      <c r="A32" s="25"/>
      <c r="B32" s="36" t="s">
        <v>25</v>
      </c>
      <c r="C32" s="32"/>
      <c r="D32" s="33"/>
      <c r="E32" s="33"/>
      <c r="F32" s="33"/>
      <c r="G32" s="37">
        <f>SUM(G31:G31)</f>
        <v>3.5999999999999997E-2</v>
      </c>
      <c r="H32" s="25" t="s">
        <v>29</v>
      </c>
      <c r="I32" s="38">
        <v>12983.1</v>
      </c>
      <c r="J32" s="39">
        <f>G32*I32</f>
        <v>467.39159999999998</v>
      </c>
      <c r="K32" s="34"/>
    </row>
    <row r="33" spans="1:11" x14ac:dyDescent="0.3">
      <c r="A33" s="25"/>
      <c r="B33" s="36" t="s">
        <v>33</v>
      </c>
      <c r="C33" s="32"/>
      <c r="D33" s="33"/>
      <c r="E33" s="33"/>
      <c r="F33" s="33"/>
      <c r="G33" s="33"/>
      <c r="H33" s="34"/>
      <c r="I33" s="40"/>
      <c r="J33" s="39">
        <f>0.13*G32*(8078.11)</f>
        <v>37.805554800000003</v>
      </c>
      <c r="K33" s="34"/>
    </row>
    <row r="34" spans="1:11" x14ac:dyDescent="0.3">
      <c r="A34" s="25"/>
      <c r="B34" s="36"/>
      <c r="C34" s="32"/>
      <c r="D34" s="33"/>
      <c r="E34" s="33"/>
      <c r="F34" s="33"/>
      <c r="G34" s="33"/>
      <c r="H34" s="34"/>
      <c r="I34" s="40"/>
      <c r="J34" s="39"/>
      <c r="K34" s="34"/>
    </row>
    <row r="35" spans="1:11" ht="43.2" x14ac:dyDescent="0.3">
      <c r="A35" s="12">
        <v>6</v>
      </c>
      <c r="B35" s="41" t="s">
        <v>35</v>
      </c>
      <c r="C35" s="32" t="s">
        <v>11</v>
      </c>
      <c r="D35" s="42" t="s">
        <v>36</v>
      </c>
      <c r="E35" s="42" t="s">
        <v>37</v>
      </c>
      <c r="F35" s="42" t="s">
        <v>38</v>
      </c>
      <c r="G35" s="42" t="s">
        <v>39</v>
      </c>
      <c r="H35" s="25"/>
      <c r="I35" s="37"/>
      <c r="J35" s="37"/>
      <c r="K35" s="16"/>
    </row>
    <row r="36" spans="1:11" ht="15" customHeight="1" x14ac:dyDescent="0.3">
      <c r="A36" s="12"/>
      <c r="B36" s="43" t="s">
        <v>32</v>
      </c>
      <c r="C36" s="14">
        <f>2*2*(TRUNC(22/6,0)+1)</f>
        <v>16</v>
      </c>
      <c r="D36" s="33">
        <f>24/12/3.281</f>
        <v>0.6095702529716549</v>
      </c>
      <c r="E36" s="33">
        <f>12*12/162</f>
        <v>0.88888888888888884</v>
      </c>
      <c r="F36" s="33">
        <f t="shared" ref="F36:F40" si="1">PRODUCT(C36:E36)</f>
        <v>8.6694435978190914</v>
      </c>
      <c r="G36" s="44">
        <f t="shared" ref="G36:G40" si="2">F36/1000</f>
        <v>8.6694435978190917E-3</v>
      </c>
      <c r="H36" s="18"/>
      <c r="I36" s="19"/>
      <c r="J36" s="37"/>
      <c r="K36" s="16"/>
    </row>
    <row r="37" spans="1:11" ht="15" customHeight="1" x14ac:dyDescent="0.3">
      <c r="A37" s="12"/>
      <c r="B37" s="43" t="s">
        <v>40</v>
      </c>
      <c r="C37" s="14">
        <f>4*2</f>
        <v>8</v>
      </c>
      <c r="D37" s="33">
        <f>(6.5+0.583)/3.281</f>
        <v>2.1587930508991162</v>
      </c>
      <c r="E37" s="33">
        <f>12*12/162</f>
        <v>0.88888888888888884</v>
      </c>
      <c r="F37" s="33">
        <f t="shared" si="1"/>
        <v>15.351417250838159</v>
      </c>
      <c r="G37" s="44">
        <f t="shared" si="2"/>
        <v>1.5351417250838158E-2</v>
      </c>
      <c r="H37" s="18"/>
      <c r="I37" s="19"/>
      <c r="J37" s="37"/>
      <c r="K37" s="16"/>
    </row>
    <row r="38" spans="1:11" ht="15" customHeight="1" x14ac:dyDescent="0.3">
      <c r="A38" s="12"/>
      <c r="B38" s="43" t="s">
        <v>41</v>
      </c>
      <c r="C38" s="14">
        <f>TRUNC((6.12/0.5),0)</f>
        <v>12</v>
      </c>
      <c r="D38" s="33">
        <f>(0.33+0.33+0.33+0.33+0.083*2)/3.281</f>
        <v>0.45291069795793965</v>
      </c>
      <c r="E38" s="33">
        <f>8*8/162</f>
        <v>0.39506172839506171</v>
      </c>
      <c r="F38" s="33">
        <f t="shared" si="1"/>
        <v>2.1471321977265285</v>
      </c>
      <c r="G38" s="44">
        <f t="shared" si="2"/>
        <v>2.1471321977265287E-3</v>
      </c>
      <c r="H38" s="18"/>
      <c r="I38" s="19"/>
      <c r="J38" s="37"/>
      <c r="K38" s="16"/>
    </row>
    <row r="39" spans="1:11" ht="15" customHeight="1" x14ac:dyDescent="0.3">
      <c r="A39" s="12"/>
      <c r="B39" s="43" t="s">
        <v>42</v>
      </c>
      <c r="C39" s="14">
        <f>(TRUNC(D40/0.15,0)+1)</f>
        <v>22</v>
      </c>
      <c r="D39" s="33">
        <f>(16.25-0.333+15.667-0.333)/3.281</f>
        <v>9.5248399878085941</v>
      </c>
      <c r="E39" s="33">
        <f>8*8/162</f>
        <v>0.39506172839506171</v>
      </c>
      <c r="F39" s="33">
        <f t="shared" si="1"/>
        <v>82.783794461941355</v>
      </c>
      <c r="G39" s="44">
        <f t="shared" si="2"/>
        <v>8.2783794461941354E-2</v>
      </c>
      <c r="H39" s="18"/>
      <c r="I39" s="19"/>
      <c r="J39" s="37"/>
      <c r="K39" s="16"/>
    </row>
    <row r="40" spans="1:11" ht="15" customHeight="1" x14ac:dyDescent="0.3">
      <c r="A40" s="12"/>
      <c r="B40" s="43"/>
      <c r="C40" s="14">
        <f>(TRUNC((D39)/0.15,0)+1)</f>
        <v>64</v>
      </c>
      <c r="D40" s="33">
        <f>10.583/3.281</f>
        <v>3.2255409935995121</v>
      </c>
      <c r="E40" s="33">
        <f>8*8/162</f>
        <v>0.39506172839506171</v>
      </c>
      <c r="F40" s="33">
        <f t="shared" si="1"/>
        <v>81.55441919619507</v>
      </c>
      <c r="G40" s="44">
        <f t="shared" si="2"/>
        <v>8.1554419196195077E-2</v>
      </c>
      <c r="H40" s="18"/>
      <c r="I40" s="19"/>
      <c r="J40" s="37"/>
      <c r="K40" s="16"/>
    </row>
    <row r="41" spans="1:11" ht="15" customHeight="1" x14ac:dyDescent="0.3">
      <c r="A41" s="25"/>
      <c r="B41" s="43" t="s">
        <v>25</v>
      </c>
      <c r="C41" s="32"/>
      <c r="D41" s="33"/>
      <c r="E41" s="33"/>
      <c r="F41" s="33"/>
      <c r="G41" s="37">
        <f>SUM(G36:G40)</f>
        <v>0.1905062067045202</v>
      </c>
      <c r="H41" s="37" t="s">
        <v>43</v>
      </c>
      <c r="I41" s="38">
        <v>131940</v>
      </c>
      <c r="J41" s="39">
        <f>G41*I41</f>
        <v>25135.388912594397</v>
      </c>
      <c r="K41" s="34"/>
    </row>
    <row r="42" spans="1:11" ht="15" customHeight="1" x14ac:dyDescent="0.3">
      <c r="A42" s="12"/>
      <c r="B42" s="43" t="s">
        <v>44</v>
      </c>
      <c r="C42" s="14"/>
      <c r="D42" s="15"/>
      <c r="E42" s="16"/>
      <c r="F42" s="16"/>
      <c r="G42" s="19"/>
      <c r="H42" s="18"/>
      <c r="I42" s="19"/>
      <c r="J42" s="37">
        <f>0.13*G41*106200</f>
        <v>2630.128689762606</v>
      </c>
      <c r="K42" s="16"/>
    </row>
    <row r="43" spans="1:11" ht="15" customHeight="1" x14ac:dyDescent="0.3">
      <c r="A43" s="12"/>
      <c r="B43" s="43"/>
      <c r="C43" s="14"/>
      <c r="D43" s="15"/>
      <c r="E43" s="16"/>
      <c r="F43" s="16"/>
      <c r="G43" s="19"/>
      <c r="H43" s="18"/>
      <c r="I43" s="19"/>
      <c r="J43" s="37"/>
      <c r="K43" s="16"/>
    </row>
    <row r="44" spans="1:11" s="1" customFormat="1" ht="30" x14ac:dyDescent="0.3">
      <c r="A44" s="12">
        <v>7</v>
      </c>
      <c r="B44" s="41" t="s">
        <v>45</v>
      </c>
      <c r="C44" s="14"/>
      <c r="D44" s="15"/>
      <c r="E44" s="16"/>
      <c r="F44" s="16"/>
      <c r="G44" s="19"/>
      <c r="H44" s="18"/>
      <c r="I44" s="19"/>
      <c r="J44" s="37"/>
      <c r="K44" s="16"/>
    </row>
    <row r="45" spans="1:11" x14ac:dyDescent="0.3">
      <c r="A45" s="25"/>
      <c r="B45" s="35" t="s">
        <v>40</v>
      </c>
      <c r="C45" s="32">
        <v>2</v>
      </c>
      <c r="D45" s="33">
        <v>0.15</v>
      </c>
      <c r="E45" s="33">
        <v>0.15</v>
      </c>
      <c r="F45" s="33">
        <f>6.5/3.281</f>
        <v>1.9811033221578787</v>
      </c>
      <c r="G45" s="33">
        <f>PRODUCT(C45:F45)</f>
        <v>8.9149649497104536E-2</v>
      </c>
      <c r="H45" s="34"/>
      <c r="I45" s="34"/>
      <c r="J45" s="33"/>
      <c r="K45" s="34"/>
    </row>
    <row r="46" spans="1:11" x14ac:dyDescent="0.3">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3">
      <c r="A47" s="25"/>
      <c r="B47" s="43" t="s">
        <v>25</v>
      </c>
      <c r="C47" s="32"/>
      <c r="D47" s="33"/>
      <c r="E47" s="33"/>
      <c r="F47" s="33"/>
      <c r="G47" s="37">
        <f>SUM(G45:G46)</f>
        <v>2.479597812755661</v>
      </c>
      <c r="H47" s="37" t="s">
        <v>29</v>
      </c>
      <c r="I47" s="38">
        <v>13568.9</v>
      </c>
      <c r="J47" s="39">
        <f>G47*I47</f>
        <v>33645.414761500288</v>
      </c>
      <c r="K47" s="34"/>
    </row>
    <row r="48" spans="1:11" ht="15" customHeight="1" x14ac:dyDescent="0.3">
      <c r="A48" s="12"/>
      <c r="B48" s="43" t="s">
        <v>47</v>
      </c>
      <c r="C48" s="14"/>
      <c r="D48" s="15"/>
      <c r="E48" s="16"/>
      <c r="F48" s="16"/>
      <c r="G48" s="19"/>
      <c r="H48" s="18"/>
      <c r="I48" s="19"/>
      <c r="J48" s="37">
        <f>0.13*G47*9524.2</f>
        <v>3070.1041134721709</v>
      </c>
      <c r="K48" s="16"/>
    </row>
    <row r="49" spans="1:14" ht="15" customHeight="1" x14ac:dyDescent="0.3">
      <c r="A49" s="12"/>
      <c r="B49" s="43"/>
      <c r="C49" s="14"/>
      <c r="D49" s="15"/>
      <c r="E49" s="16"/>
      <c r="F49" s="16"/>
      <c r="G49" s="19"/>
      <c r="H49" s="18"/>
      <c r="I49" s="19"/>
      <c r="J49" s="37"/>
      <c r="K49" s="16"/>
    </row>
    <row r="50" spans="1:14" ht="30.6" x14ac:dyDescent="0.3">
      <c r="A50" s="25">
        <v>8</v>
      </c>
      <c r="B50" s="11" t="s">
        <v>48</v>
      </c>
      <c r="C50" s="26"/>
      <c r="D50" s="17"/>
      <c r="E50" s="17"/>
      <c r="F50" s="17"/>
      <c r="G50" s="27"/>
      <c r="H50" s="27"/>
      <c r="I50" s="28"/>
      <c r="J50" s="29"/>
      <c r="K50" s="30"/>
      <c r="N50">
        <f>6.2*3.281+0.23*2</f>
        <v>20.802200000000003</v>
      </c>
    </row>
    <row r="51" spans="1:14" ht="15" customHeight="1" x14ac:dyDescent="0.3">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3">
      <c r="A52" s="25"/>
      <c r="B52" s="22"/>
      <c r="C52" s="26">
        <v>2</v>
      </c>
      <c r="D52" s="17">
        <f>(6.2)</f>
        <v>6.2</v>
      </c>
      <c r="E52" s="17">
        <v>0.23</v>
      </c>
      <c r="F52" s="17">
        <v>0.9</v>
      </c>
      <c r="G52" s="17">
        <f>PRODUCT(C52:F52)</f>
        <v>2.5668000000000002</v>
      </c>
      <c r="H52" s="45"/>
      <c r="I52" s="45"/>
      <c r="J52" s="39"/>
      <c r="K52" s="30"/>
    </row>
    <row r="53" spans="1:14" ht="15" customHeight="1" x14ac:dyDescent="0.3">
      <c r="A53" s="25"/>
      <c r="B53" s="22" t="s">
        <v>25</v>
      </c>
      <c r="C53" s="26"/>
      <c r="D53" s="17"/>
      <c r="E53" s="17"/>
      <c r="F53" s="17"/>
      <c r="G53" s="27">
        <f>0*SUM(G51:G52)</f>
        <v>0</v>
      </c>
      <c r="H53" s="27" t="s">
        <v>29</v>
      </c>
      <c r="I53" s="28">
        <v>15145.32</v>
      </c>
      <c r="J53" s="29">
        <f>G53*I53</f>
        <v>0</v>
      </c>
      <c r="K53" s="30"/>
    </row>
    <row r="54" spans="1:14" ht="15" customHeight="1" x14ac:dyDescent="0.3">
      <c r="A54" s="12"/>
      <c r="B54" s="22" t="s">
        <v>44</v>
      </c>
      <c r="C54" s="14"/>
      <c r="D54" s="15"/>
      <c r="E54" s="16"/>
      <c r="F54" s="16"/>
      <c r="G54" s="19"/>
      <c r="H54" s="18"/>
      <c r="I54" s="19"/>
      <c r="J54" s="20">
        <f>0.13*G53*10620.51</f>
        <v>0</v>
      </c>
      <c r="K54" s="16"/>
      <c r="M54" s="21"/>
      <c r="N54" s="21"/>
    </row>
    <row r="55" spans="1:14" ht="15" customHeight="1" x14ac:dyDescent="0.3">
      <c r="A55" s="25"/>
      <c r="B55" s="22"/>
      <c r="C55" s="26"/>
      <c r="D55" s="17"/>
      <c r="E55" s="17"/>
      <c r="F55" s="17"/>
      <c r="G55" s="27"/>
      <c r="H55" s="27"/>
      <c r="I55" s="28"/>
      <c r="J55" s="29"/>
      <c r="K55" s="30"/>
    </row>
    <row r="56" spans="1:14" ht="30.6" x14ac:dyDescent="0.3">
      <c r="A56" s="25">
        <v>9</v>
      </c>
      <c r="B56" s="11" t="s">
        <v>50</v>
      </c>
      <c r="C56" s="26"/>
      <c r="D56" s="17"/>
      <c r="E56" s="17"/>
      <c r="F56" s="17"/>
      <c r="G56" s="27"/>
      <c r="H56" s="27"/>
      <c r="I56" s="28"/>
      <c r="J56" s="29"/>
      <c r="K56" s="30"/>
    </row>
    <row r="57" spans="1:14" ht="15" customHeight="1" x14ac:dyDescent="0.3">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3">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3">
      <c r="A59" s="25"/>
      <c r="B59" s="22" t="s">
        <v>25</v>
      </c>
      <c r="C59" s="26"/>
      <c r="D59" s="17"/>
      <c r="E59" s="17"/>
      <c r="F59" s="17"/>
      <c r="G59" s="27">
        <f>SUM(G57:G58)</f>
        <v>0.42557256118003939</v>
      </c>
      <c r="H59" s="27" t="s">
        <v>29</v>
      </c>
      <c r="I59" s="28">
        <v>14362.76</v>
      </c>
      <c r="J59" s="29">
        <f>G59*I59</f>
        <v>6112.3965588142228</v>
      </c>
      <c r="K59" s="30"/>
    </row>
    <row r="60" spans="1:14" ht="15" customHeight="1" x14ac:dyDescent="0.3">
      <c r="A60" s="12"/>
      <c r="B60" s="22" t="s">
        <v>44</v>
      </c>
      <c r="C60" s="14"/>
      <c r="D60" s="15"/>
      <c r="E60" s="16"/>
      <c r="F60" s="16"/>
      <c r="G60" s="19"/>
      <c r="H60" s="18"/>
      <c r="I60" s="19"/>
      <c r="J60" s="20">
        <f>0.13*G59*10311.74</f>
        <v>570.49116826294573</v>
      </c>
      <c r="K60" s="16"/>
      <c r="M60" s="21"/>
      <c r="N60" s="21"/>
    </row>
    <row r="61" spans="1:14" ht="15" customHeight="1" x14ac:dyDescent="0.3">
      <c r="A61" s="25"/>
      <c r="B61" s="22"/>
      <c r="C61" s="26"/>
      <c r="D61" s="17"/>
      <c r="E61" s="17"/>
      <c r="F61" s="17"/>
      <c r="G61" s="27"/>
      <c r="H61" s="27"/>
      <c r="I61" s="28"/>
      <c r="J61" s="29"/>
      <c r="K61" s="30"/>
    </row>
    <row r="62" spans="1:14" ht="46.8" x14ac:dyDescent="0.3">
      <c r="A62" s="12">
        <v>10</v>
      </c>
      <c r="B62" s="23" t="s">
        <v>53</v>
      </c>
      <c r="C62" s="30"/>
      <c r="D62" s="30"/>
      <c r="E62" s="30"/>
      <c r="F62" s="30"/>
      <c r="G62" s="46"/>
      <c r="H62" s="18"/>
      <c r="I62" s="19"/>
      <c r="J62" s="19"/>
      <c r="K62" s="16"/>
      <c r="M62" s="21"/>
    </row>
    <row r="63" spans="1:14" ht="15" customHeight="1" x14ac:dyDescent="0.3">
      <c r="A63" s="12"/>
      <c r="B63" s="13" t="s">
        <v>54</v>
      </c>
      <c r="C63" s="14">
        <v>1</v>
      </c>
      <c r="D63" s="15"/>
      <c r="E63" s="16">
        <f>10.75/3.281</f>
        <v>3.2764401097226452</v>
      </c>
      <c r="F63" s="16">
        <f>(9.42+7.75)/3.281</f>
        <v>5.233160621761658</v>
      </c>
      <c r="G63" s="17">
        <f t="shared" ref="G63:G68" si="3">PRODUCT(C63:F63)</f>
        <v>17.146137361760992</v>
      </c>
      <c r="H63" s="18"/>
      <c r="I63" s="19"/>
      <c r="J63" s="20"/>
      <c r="K63" s="16"/>
      <c r="M63" s="21"/>
      <c r="N63" s="21"/>
    </row>
    <row r="64" spans="1:14" ht="15" customHeight="1" x14ac:dyDescent="0.3">
      <c r="A64" s="12"/>
      <c r="B64" s="13" t="s">
        <v>22</v>
      </c>
      <c r="C64" s="14">
        <v>-1</v>
      </c>
      <c r="D64" s="15">
        <f>3.5/3.281</f>
        <v>1.0667479427003961</v>
      </c>
      <c r="E64" s="16"/>
      <c r="F64" s="16">
        <f>4.5/3.281</f>
        <v>1.3715330691862238</v>
      </c>
      <c r="G64" s="17">
        <f t="shared" si="3"/>
        <v>-1.4630800798999641</v>
      </c>
      <c r="H64" s="18"/>
      <c r="I64" s="19"/>
      <c r="J64" s="20"/>
      <c r="K64" s="16"/>
      <c r="M64" s="21"/>
      <c r="N64" s="21"/>
    </row>
    <row r="65" spans="1:14" ht="15" customHeight="1" x14ac:dyDescent="0.3">
      <c r="A65" s="12"/>
      <c r="B65" s="13" t="s">
        <v>23</v>
      </c>
      <c r="C65" s="14">
        <v>-1</v>
      </c>
      <c r="D65" s="15">
        <f>3.833/3.281</f>
        <v>1.1682413898201769</v>
      </c>
      <c r="E65" s="16"/>
      <c r="F65" s="16">
        <f>6.5/3.281</f>
        <v>1.9811033221578787</v>
      </c>
      <c r="G65" s="17">
        <f t="shared" si="3"/>
        <v>-2.3144068984550898</v>
      </c>
      <c r="H65" s="18"/>
      <c r="I65" s="19"/>
      <c r="J65" s="20"/>
      <c r="K65" s="16"/>
      <c r="M65" s="21"/>
      <c r="N65" s="21"/>
    </row>
    <row r="66" spans="1:14" ht="15" customHeight="1" x14ac:dyDescent="0.3">
      <c r="A66" s="12"/>
      <c r="B66" s="13" t="s">
        <v>55</v>
      </c>
      <c r="C66" s="14">
        <v>1</v>
      </c>
      <c r="D66" s="15"/>
      <c r="E66" s="16">
        <f>(5.75)/3.281</f>
        <v>1.752514477293508</v>
      </c>
      <c r="F66" s="16">
        <f>(9.42+7.75)/3.281</f>
        <v>5.233160621761658</v>
      </c>
      <c r="G66" s="17">
        <f t="shared" si="3"/>
        <v>9.1711897516396004</v>
      </c>
      <c r="H66" s="18"/>
      <c r="I66" s="19"/>
      <c r="J66" s="20"/>
      <c r="K66" s="16"/>
      <c r="M66" s="21"/>
      <c r="N66" s="21"/>
    </row>
    <row r="67" spans="1:14" ht="15" customHeight="1" x14ac:dyDescent="0.3">
      <c r="A67" s="12"/>
      <c r="B67" s="13" t="s">
        <v>56</v>
      </c>
      <c r="C67" s="14">
        <v>-1</v>
      </c>
      <c r="D67" s="15">
        <f>E63+E66</f>
        <v>5.0289545870161536</v>
      </c>
      <c r="E67" s="16"/>
      <c r="F67" s="16">
        <f>13*0.15</f>
        <v>1.95</v>
      </c>
      <c r="G67" s="17">
        <f t="shared" si="3"/>
        <v>-9.8064614446814993</v>
      </c>
      <c r="H67" s="18"/>
      <c r="I67" s="19"/>
      <c r="J67" s="20"/>
      <c r="K67" s="16"/>
      <c r="M67" s="21"/>
      <c r="N67" s="21"/>
    </row>
    <row r="68" spans="1:14" ht="15" customHeight="1" x14ac:dyDescent="0.3">
      <c r="A68" s="12"/>
      <c r="B68" s="13"/>
      <c r="C68" s="14">
        <v>-1</v>
      </c>
      <c r="D68" s="15">
        <f>D67</f>
        <v>5.0289545870161536</v>
      </c>
      <c r="E68" s="16"/>
      <c r="F68" s="16">
        <f>8/12/3.281</f>
        <v>0.20319008432388497</v>
      </c>
      <c r="G68" s="17">
        <f t="shared" si="3"/>
        <v>-1.0218337065968004</v>
      </c>
      <c r="H68" s="18"/>
      <c r="I68" s="19"/>
      <c r="J68" s="20"/>
      <c r="K68" s="16"/>
      <c r="M68" s="21"/>
      <c r="N68" s="21"/>
    </row>
    <row r="69" spans="1:14" s="53" customFormat="1" ht="15" customHeight="1" x14ac:dyDescent="0.3">
      <c r="A69" s="47"/>
      <c r="B69" s="48" t="s">
        <v>57</v>
      </c>
      <c r="C69" s="49">
        <v>1</v>
      </c>
      <c r="D69" s="50">
        <f>2.75+6.2+6.2+2.6</f>
        <v>17.75</v>
      </c>
      <c r="E69" s="50"/>
      <c r="F69" s="50">
        <f>2.6</f>
        <v>2.6</v>
      </c>
      <c r="G69" s="50">
        <f>PRODUCT(C69:F69)</f>
        <v>46.15</v>
      </c>
      <c r="H69" s="50"/>
      <c r="I69" s="50"/>
      <c r="J69" s="51"/>
      <c r="K69" s="52"/>
    </row>
    <row r="70" spans="1:14" s="53" customFormat="1" ht="15" customHeight="1" x14ac:dyDescent="0.3">
      <c r="A70" s="47"/>
      <c r="B70" s="48" t="s">
        <v>58</v>
      </c>
      <c r="C70" s="49">
        <v>-1</v>
      </c>
      <c r="D70" s="50">
        <f>4/3.281</f>
        <v>1.2191405059433098</v>
      </c>
      <c r="E70" s="50"/>
      <c r="F70" s="50">
        <f>6.5/3.281</f>
        <v>1.9811033221578787</v>
      </c>
      <c r="G70" s="50">
        <f t="shared" ref="G70:G82" si="4">PRODUCT(C70:F70)</f>
        <v>-2.415243306501528</v>
      </c>
      <c r="H70" s="50"/>
      <c r="I70" s="50"/>
      <c r="J70" s="51"/>
      <c r="K70" s="52"/>
    </row>
    <row r="71" spans="1:14" s="53" customFormat="1" ht="15" customHeight="1" x14ac:dyDescent="0.3">
      <c r="A71" s="47"/>
      <c r="B71" s="48" t="s">
        <v>59</v>
      </c>
      <c r="C71" s="49">
        <f>-0.5*8</f>
        <v>-4</v>
      </c>
      <c r="D71" s="50">
        <f>0.667/3.281</f>
        <v>0.20329167936604695</v>
      </c>
      <c r="E71" s="50">
        <f>0.667/3.281</f>
        <v>0.20329167936604695</v>
      </c>
      <c r="F71" s="50"/>
      <c r="G71" s="50">
        <f t="shared" si="4"/>
        <v>-0.16531002759787056</v>
      </c>
      <c r="H71" s="50"/>
      <c r="I71" s="50"/>
      <c r="J71" s="51"/>
      <c r="K71" s="52"/>
    </row>
    <row r="72" spans="1:14" s="53" customFormat="1" ht="15" customHeight="1" x14ac:dyDescent="0.3">
      <c r="A72" s="47"/>
      <c r="B72" s="48" t="s">
        <v>60</v>
      </c>
      <c r="C72" s="49">
        <v>2</v>
      </c>
      <c r="D72" s="50">
        <f>2.6</f>
        <v>2.6</v>
      </c>
      <c r="E72" s="50"/>
      <c r="F72" s="50">
        <f>2.6</f>
        <v>2.6</v>
      </c>
      <c r="G72" s="50">
        <f t="shared" si="4"/>
        <v>13.520000000000001</v>
      </c>
      <c r="H72" s="50"/>
      <c r="I72" s="50"/>
      <c r="J72" s="51"/>
      <c r="K72" s="52"/>
    </row>
    <row r="73" spans="1:14" s="53" customFormat="1" ht="15" customHeight="1" x14ac:dyDescent="0.3">
      <c r="A73" s="47"/>
      <c r="B73" s="48"/>
      <c r="C73" s="49">
        <v>2</v>
      </c>
      <c r="D73" s="50">
        <f>6.2-D72</f>
        <v>3.6</v>
      </c>
      <c r="E73" s="50"/>
      <c r="F73" s="50">
        <f>2.6</f>
        <v>2.6</v>
      </c>
      <c r="G73" s="50">
        <f t="shared" si="4"/>
        <v>18.720000000000002</v>
      </c>
      <c r="H73" s="50"/>
      <c r="I73" s="50"/>
      <c r="J73" s="51"/>
      <c r="K73" s="52"/>
    </row>
    <row r="74" spans="1:14" s="53" customFormat="1" ht="15" customHeight="1" x14ac:dyDescent="0.3">
      <c r="A74" s="47"/>
      <c r="B74" s="48" t="s">
        <v>22</v>
      </c>
      <c r="C74" s="49">
        <v>-1</v>
      </c>
      <c r="D74" s="50">
        <f>3.5/3.281</f>
        <v>1.0667479427003961</v>
      </c>
      <c r="E74" s="50"/>
      <c r="F74" s="50">
        <f>4.5/3.281</f>
        <v>1.3715330691862238</v>
      </c>
      <c r="G74" s="50">
        <f t="shared" si="4"/>
        <v>-1.4630800798999641</v>
      </c>
      <c r="H74" s="50"/>
      <c r="I74" s="50"/>
      <c r="J74" s="51"/>
      <c r="K74" s="52"/>
    </row>
    <row r="75" spans="1:14" s="53" customFormat="1" ht="15" customHeight="1" x14ac:dyDescent="0.3">
      <c r="A75" s="47"/>
      <c r="B75" s="48" t="s">
        <v>61</v>
      </c>
      <c r="C75" s="49">
        <f>1</f>
        <v>1</v>
      </c>
      <c r="D75" s="50">
        <f>10.75/3.281</f>
        <v>3.2764401097226452</v>
      </c>
      <c r="E75" s="50"/>
      <c r="F75" s="50">
        <v>0.9</v>
      </c>
      <c r="G75" s="50">
        <f t="shared" si="4"/>
        <v>2.948796098750381</v>
      </c>
      <c r="H75" s="50"/>
      <c r="I75" s="50"/>
      <c r="J75" s="51"/>
      <c r="K75" s="52"/>
    </row>
    <row r="76" spans="1:14" s="53" customFormat="1" ht="15" customHeight="1" x14ac:dyDescent="0.3">
      <c r="A76" s="47"/>
      <c r="B76" s="48"/>
      <c r="C76" s="49">
        <f>1</f>
        <v>1</v>
      </c>
      <c r="D76" s="50"/>
      <c r="E76" s="50">
        <f>E66</f>
        <v>1.752514477293508</v>
      </c>
      <c r="F76" s="50">
        <v>0.9</v>
      </c>
      <c r="G76" s="50">
        <f t="shared" si="4"/>
        <v>1.5772630295641572</v>
      </c>
      <c r="H76" s="50"/>
      <c r="I76" s="50"/>
      <c r="J76" s="51"/>
      <c r="K76" s="52"/>
    </row>
    <row r="77" spans="1:14" s="53" customFormat="1" ht="15" customHeight="1" x14ac:dyDescent="0.3">
      <c r="A77" s="47"/>
      <c r="B77" s="48" t="s">
        <v>62</v>
      </c>
      <c r="C77" s="49">
        <v>2</v>
      </c>
      <c r="D77" s="50">
        <f>D72</f>
        <v>2.6</v>
      </c>
      <c r="E77" s="50"/>
      <c r="F77" s="50">
        <v>0.9</v>
      </c>
      <c r="G77" s="50">
        <f t="shared" si="4"/>
        <v>4.6800000000000006</v>
      </c>
      <c r="H77" s="50"/>
      <c r="I77" s="50"/>
      <c r="J77" s="51"/>
      <c r="K77" s="52"/>
    </row>
    <row r="78" spans="1:14" s="53" customFormat="1" ht="15" customHeight="1" x14ac:dyDescent="0.3">
      <c r="A78" s="47"/>
      <c r="B78" s="48"/>
      <c r="C78" s="49">
        <v>2</v>
      </c>
      <c r="D78" s="50"/>
      <c r="E78" s="50">
        <v>6.2</v>
      </c>
      <c r="F78" s="50">
        <v>0.9</v>
      </c>
      <c r="G78" s="50">
        <f t="shared" si="4"/>
        <v>11.16</v>
      </c>
      <c r="H78" s="50"/>
      <c r="I78" s="50"/>
      <c r="J78" s="51"/>
      <c r="K78" s="52"/>
    </row>
    <row r="79" spans="1:14" s="53" customFormat="1" ht="15" customHeight="1" x14ac:dyDescent="0.3">
      <c r="A79" s="47"/>
      <c r="B79" s="48" t="s">
        <v>63</v>
      </c>
      <c r="C79" s="49">
        <v>-2</v>
      </c>
      <c r="D79" s="50"/>
      <c r="E79" s="50">
        <f>3/3.281</f>
        <v>0.91435537945748246</v>
      </c>
      <c r="F79" s="50">
        <f>2/3.281</f>
        <v>0.6095702529716549</v>
      </c>
      <c r="G79" s="50">
        <f t="shared" si="4"/>
        <v>-1.1147276799237822</v>
      </c>
      <c r="H79" s="50"/>
      <c r="I79" s="50"/>
      <c r="J79" s="51"/>
      <c r="K79" s="52"/>
    </row>
    <row r="80" spans="1:14" s="53" customFormat="1" ht="15" customHeight="1" x14ac:dyDescent="0.3">
      <c r="A80" s="47"/>
      <c r="B80" s="48" t="s">
        <v>64</v>
      </c>
      <c r="C80" s="49">
        <f>2*4</f>
        <v>8</v>
      </c>
      <c r="D80" s="50">
        <f>24/12/3.281</f>
        <v>0.6095702529716549</v>
      </c>
      <c r="E80" s="50"/>
      <c r="F80" s="50">
        <f>5/3.281</f>
        <v>1.5239256324291375</v>
      </c>
      <c r="G80" s="50">
        <f t="shared" si="4"/>
        <v>7.4315178661585479</v>
      </c>
      <c r="H80" s="50"/>
      <c r="I80" s="50"/>
      <c r="J80" s="51"/>
      <c r="K80" s="52"/>
    </row>
    <row r="81" spans="1:14" s="53" customFormat="1" ht="15" customHeight="1" x14ac:dyDescent="0.3">
      <c r="A81" s="47"/>
      <c r="B81" s="48" t="s">
        <v>65</v>
      </c>
      <c r="C81" s="49">
        <f>-2*4</f>
        <v>-8</v>
      </c>
      <c r="D81" s="50">
        <f>24/12/3.281</f>
        <v>0.6095702529716549</v>
      </c>
      <c r="E81" s="50"/>
      <c r="F81" s="50">
        <f>8/12/3.281</f>
        <v>0.20319008432388497</v>
      </c>
      <c r="G81" s="50">
        <f t="shared" si="4"/>
        <v>-0.99086904882113958</v>
      </c>
      <c r="H81" s="50"/>
      <c r="I81" s="50"/>
      <c r="J81" s="51"/>
      <c r="K81" s="52"/>
    </row>
    <row r="82" spans="1:14" s="53" customFormat="1" ht="15" customHeight="1" x14ac:dyDescent="0.3">
      <c r="A82" s="47"/>
      <c r="B82" s="48" t="s">
        <v>66</v>
      </c>
      <c r="C82" s="49">
        <v>1</v>
      </c>
      <c r="D82" s="50">
        <f>10.75/3.281</f>
        <v>3.2764401097226452</v>
      </c>
      <c r="E82" s="50"/>
      <c r="F82" s="50">
        <f>F63+F75</f>
        <v>6.1331606217616583</v>
      </c>
      <c r="G82" s="50">
        <f t="shared" si="4"/>
        <v>20.094933460511374</v>
      </c>
      <c r="H82" s="50"/>
      <c r="I82" s="50"/>
      <c r="J82" s="51"/>
      <c r="K82" s="52"/>
    </row>
    <row r="83" spans="1:14" ht="15" customHeight="1" x14ac:dyDescent="0.3">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3">
      <c r="A84" s="12"/>
      <c r="B84" s="22" t="s">
        <v>44</v>
      </c>
      <c r="C84" s="14"/>
      <c r="D84" s="15"/>
      <c r="E84" s="16"/>
      <c r="F84" s="16"/>
      <c r="G84" s="19"/>
      <c r="H84" s="18"/>
      <c r="I84" s="19"/>
      <c r="J84" s="20">
        <f>G83*0.13*(309557.25/100)</f>
        <v>53057.578008971235</v>
      </c>
      <c r="K84" s="16"/>
      <c r="M84" s="21"/>
      <c r="N84" s="21"/>
    </row>
    <row r="85" spans="1:14" ht="15" customHeight="1" x14ac:dyDescent="0.3">
      <c r="A85" s="12"/>
      <c r="B85" s="22"/>
      <c r="C85" s="14"/>
      <c r="D85" s="15"/>
      <c r="E85" s="16"/>
      <c r="F85" s="16"/>
      <c r="G85" s="19"/>
      <c r="H85" s="18"/>
      <c r="I85" s="19"/>
      <c r="J85" s="20"/>
      <c r="K85" s="16"/>
      <c r="M85" s="21"/>
      <c r="N85" s="21"/>
    </row>
    <row r="86" spans="1:14" ht="46.8" x14ac:dyDescent="0.3">
      <c r="A86" s="12">
        <v>11</v>
      </c>
      <c r="B86" s="23" t="s">
        <v>67</v>
      </c>
      <c r="C86" s="14"/>
      <c r="D86" s="15"/>
      <c r="E86" s="16"/>
      <c r="F86" s="16"/>
      <c r="G86" s="19"/>
      <c r="H86" s="18"/>
      <c r="I86" s="19"/>
      <c r="J86" s="20"/>
      <c r="K86" s="16"/>
      <c r="M86" s="21"/>
      <c r="N86" s="21"/>
    </row>
    <row r="87" spans="1:14" ht="15" customHeight="1" x14ac:dyDescent="0.3">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3">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3">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3">
      <c r="A90" s="12"/>
      <c r="B90" s="22" t="s">
        <v>44</v>
      </c>
      <c r="C90" s="14"/>
      <c r="D90" s="15"/>
      <c r="E90" s="16"/>
      <c r="F90" s="16"/>
      <c r="G90" s="19"/>
      <c r="H90" s="18"/>
      <c r="I90" s="19"/>
      <c r="J90" s="20">
        <f>G89*0.13*(2182.61/10)</f>
        <v>566.44084577872616</v>
      </c>
      <c r="K90" s="16"/>
      <c r="M90" s="21"/>
      <c r="N90" s="21"/>
    </row>
    <row r="91" spans="1:14" ht="15" customHeight="1" x14ac:dyDescent="0.3">
      <c r="A91" s="12"/>
      <c r="B91" s="22"/>
      <c r="C91" s="14"/>
      <c r="D91" s="15"/>
      <c r="E91" s="16"/>
      <c r="F91" s="16"/>
      <c r="G91" s="19"/>
      <c r="H91" s="18"/>
      <c r="I91" s="19"/>
      <c r="J91" s="20"/>
      <c r="K91" s="16"/>
      <c r="M91" s="21"/>
      <c r="N91" s="21"/>
    </row>
    <row r="92" spans="1:14" ht="31.2" x14ac:dyDescent="0.3">
      <c r="A92" s="12">
        <v>12</v>
      </c>
      <c r="B92" s="23" t="s">
        <v>69</v>
      </c>
      <c r="C92" s="14"/>
      <c r="D92" s="15"/>
      <c r="E92" s="16"/>
      <c r="F92" s="16"/>
      <c r="G92" s="19"/>
      <c r="H92" s="18"/>
      <c r="I92" s="19"/>
      <c r="J92" s="20"/>
      <c r="K92" s="16"/>
      <c r="M92" s="21"/>
      <c r="N92" s="21"/>
    </row>
    <row r="93" spans="1:14" ht="15" customHeight="1" x14ac:dyDescent="0.3">
      <c r="A93" s="12"/>
      <c r="B93" s="22" t="s">
        <v>49</v>
      </c>
      <c r="C93" s="14">
        <f>1</f>
        <v>1</v>
      </c>
      <c r="D93" s="15">
        <f>D87</f>
        <v>5.0289545870161536</v>
      </c>
      <c r="E93" s="16"/>
      <c r="F93" s="16"/>
      <c r="G93" s="17">
        <f t="shared" ref="G93" si="5">PRODUCT(C93:F93)</f>
        <v>5.0289545870161536</v>
      </c>
      <c r="H93" s="18"/>
      <c r="I93" s="19"/>
      <c r="J93" s="20"/>
      <c r="K93" s="16"/>
      <c r="M93" s="21"/>
      <c r="N93" s="21"/>
    </row>
    <row r="94" spans="1:14" ht="15" customHeight="1" x14ac:dyDescent="0.3">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3">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3">
      <c r="A96" s="12"/>
      <c r="B96" s="22" t="s">
        <v>44</v>
      </c>
      <c r="C96" s="14"/>
      <c r="D96" s="15"/>
      <c r="E96" s="16"/>
      <c r="F96" s="16"/>
      <c r="G96" s="19"/>
      <c r="H96" s="18"/>
      <c r="I96" s="19"/>
      <c r="J96" s="20">
        <f>G95*0.13*(2780.61/10)</f>
        <v>358.06392106065226</v>
      </c>
      <c r="K96" s="16"/>
      <c r="M96" s="21"/>
      <c r="N96" s="21"/>
    </row>
    <row r="97" spans="1:14" ht="15" customHeight="1" x14ac:dyDescent="0.3">
      <c r="A97" s="12"/>
      <c r="B97" s="22"/>
      <c r="C97" s="14"/>
      <c r="D97" s="15"/>
      <c r="E97" s="16"/>
      <c r="F97" s="16"/>
      <c r="G97" s="19"/>
      <c r="H97" s="18"/>
      <c r="I97" s="19"/>
      <c r="J97" s="20"/>
      <c r="K97" s="16"/>
      <c r="M97" s="21"/>
      <c r="N97" s="21"/>
    </row>
    <row r="98" spans="1:14" ht="46.8" x14ac:dyDescent="0.3">
      <c r="A98" s="12">
        <v>13</v>
      </c>
      <c r="B98" s="23" t="s">
        <v>70</v>
      </c>
      <c r="C98" s="14"/>
      <c r="D98" s="15"/>
      <c r="E98" s="16"/>
      <c r="F98" s="16"/>
      <c r="G98" s="19"/>
      <c r="H98" s="18"/>
      <c r="I98" s="19"/>
      <c r="J98" s="20"/>
      <c r="K98" s="16"/>
      <c r="M98" s="21"/>
      <c r="N98" s="21"/>
    </row>
    <row r="99" spans="1:14" ht="15" customHeight="1" x14ac:dyDescent="0.3">
      <c r="A99" s="12"/>
      <c r="B99" s="22" t="s">
        <v>49</v>
      </c>
      <c r="C99" s="14">
        <f>2*2</f>
        <v>4</v>
      </c>
      <c r="D99" s="15">
        <f>D93</f>
        <v>5.0289545870161536</v>
      </c>
      <c r="E99" s="16"/>
      <c r="F99" s="16"/>
      <c r="G99" s="17">
        <f t="shared" ref="G99:G101" si="6">PRODUCT(C99:F99)</f>
        <v>20.115818348064614</v>
      </c>
      <c r="H99" s="18"/>
      <c r="I99" s="19"/>
      <c r="J99" s="20"/>
      <c r="K99" s="16"/>
      <c r="M99" s="21"/>
      <c r="N99" s="21"/>
    </row>
    <row r="100" spans="1:14" ht="15" customHeight="1" x14ac:dyDescent="0.3">
      <c r="A100" s="12"/>
      <c r="B100" s="13" t="s">
        <v>22</v>
      </c>
      <c r="C100" s="14">
        <v>-1</v>
      </c>
      <c r="D100" s="15">
        <f>3.5/3.281</f>
        <v>1.0667479427003961</v>
      </c>
      <c r="E100" s="16"/>
      <c r="F100" s="16"/>
      <c r="G100" s="17">
        <f t="shared" si="6"/>
        <v>-1.0667479427003961</v>
      </c>
      <c r="H100" s="18"/>
      <c r="I100" s="19"/>
      <c r="J100" s="20"/>
      <c r="K100" s="16"/>
      <c r="M100" s="21"/>
      <c r="N100" s="21"/>
    </row>
    <row r="101" spans="1:14" ht="15" customHeight="1" x14ac:dyDescent="0.3">
      <c r="A101" s="12"/>
      <c r="B101" s="13" t="s">
        <v>23</v>
      </c>
      <c r="C101" s="14">
        <v>-1</v>
      </c>
      <c r="D101" s="15">
        <f>3.833/3.281</f>
        <v>1.1682413898201769</v>
      </c>
      <c r="E101" s="16"/>
      <c r="F101" s="16"/>
      <c r="G101" s="17">
        <f t="shared" si="6"/>
        <v>-1.1682413898201769</v>
      </c>
      <c r="H101" s="18"/>
      <c r="I101" s="19"/>
      <c r="J101" s="20"/>
      <c r="K101" s="16"/>
      <c r="M101" s="21"/>
      <c r="N101" s="21"/>
    </row>
    <row r="102" spans="1:14" ht="15" customHeight="1" x14ac:dyDescent="0.3">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3">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3">
      <c r="A104" s="12"/>
      <c r="B104" s="22" t="s">
        <v>44</v>
      </c>
      <c r="C104" s="14"/>
      <c r="D104" s="15"/>
      <c r="E104" s="16"/>
      <c r="F104" s="16"/>
      <c r="G104" s="19"/>
      <c r="H104" s="18"/>
      <c r="I104" s="19"/>
      <c r="J104" s="20">
        <f>G103*0.13*(2268.61/10)</f>
        <v>814.97860935995129</v>
      </c>
      <c r="K104" s="16"/>
      <c r="M104" s="21"/>
      <c r="N104" s="21"/>
    </row>
    <row r="105" spans="1:14" ht="15" customHeight="1" x14ac:dyDescent="0.3">
      <c r="A105" s="12"/>
      <c r="B105" s="22"/>
      <c r="C105" s="14"/>
      <c r="D105" s="15"/>
      <c r="E105" s="16"/>
      <c r="F105" s="16"/>
      <c r="G105" s="19"/>
      <c r="H105" s="18"/>
      <c r="I105" s="19"/>
      <c r="J105" s="20"/>
      <c r="K105" s="16"/>
      <c r="M105" s="21"/>
      <c r="N105" s="21"/>
    </row>
    <row r="106" spans="1:14" ht="46.8" x14ac:dyDescent="0.3">
      <c r="A106" s="12">
        <v>14</v>
      </c>
      <c r="B106" s="23" t="s">
        <v>71</v>
      </c>
      <c r="C106" s="14"/>
      <c r="D106" s="15"/>
      <c r="E106" s="16"/>
      <c r="F106" s="16"/>
      <c r="G106" s="19"/>
      <c r="H106" s="18"/>
      <c r="I106" s="19"/>
      <c r="J106" s="20"/>
      <c r="K106" s="16"/>
      <c r="M106" s="21"/>
      <c r="N106" s="21"/>
    </row>
    <row r="107" spans="1:14" ht="15" customHeight="1" x14ac:dyDescent="0.3">
      <c r="A107" s="12"/>
      <c r="B107" s="22" t="s">
        <v>49</v>
      </c>
      <c r="C107" s="14">
        <v>2</v>
      </c>
      <c r="D107" s="15">
        <f>D99</f>
        <v>5.0289545870161536</v>
      </c>
      <c r="E107" s="16"/>
      <c r="F107" s="16"/>
      <c r="G107" s="17">
        <f t="shared" ref="G107:G109" si="7">PRODUCT(C107:F107)</f>
        <v>10.057909174032307</v>
      </c>
      <c r="H107" s="18"/>
      <c r="I107" s="19"/>
      <c r="J107" s="20"/>
      <c r="K107" s="16"/>
      <c r="M107" s="21"/>
      <c r="N107" s="21"/>
    </row>
    <row r="108" spans="1:14" ht="15" customHeight="1" x14ac:dyDescent="0.3">
      <c r="A108" s="12"/>
      <c r="B108" s="13" t="s">
        <v>22</v>
      </c>
      <c r="C108" s="14">
        <v>-1</v>
      </c>
      <c r="D108" s="15">
        <f>3.5/3.281</f>
        <v>1.0667479427003961</v>
      </c>
      <c r="E108" s="16"/>
      <c r="F108" s="16"/>
      <c r="G108" s="17">
        <f t="shared" si="7"/>
        <v>-1.0667479427003961</v>
      </c>
      <c r="H108" s="18"/>
      <c r="I108" s="19"/>
      <c r="J108" s="20"/>
      <c r="K108" s="16"/>
      <c r="M108" s="21"/>
      <c r="N108" s="21"/>
    </row>
    <row r="109" spans="1:14" ht="15" customHeight="1" x14ac:dyDescent="0.3">
      <c r="A109" s="12"/>
      <c r="B109" s="13" t="s">
        <v>23</v>
      </c>
      <c r="C109" s="14">
        <v>-1</v>
      </c>
      <c r="D109" s="15">
        <f>3.833/3.281</f>
        <v>1.1682413898201769</v>
      </c>
      <c r="E109" s="16"/>
      <c r="F109" s="16"/>
      <c r="G109" s="17">
        <f t="shared" si="7"/>
        <v>-1.1682413898201769</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3">
      <c r="A112" s="12"/>
      <c r="B112" s="22" t="s">
        <v>44</v>
      </c>
      <c r="C112" s="14"/>
      <c r="D112" s="15"/>
      <c r="E112" s="16"/>
      <c r="F112" s="16"/>
      <c r="G112" s="19"/>
      <c r="H112" s="18"/>
      <c r="I112" s="19"/>
      <c r="J112" s="20">
        <f>G111*0.13*(2620.61/10)</f>
        <v>432.64505922279795</v>
      </c>
      <c r="K112" s="16"/>
      <c r="M112" s="21"/>
      <c r="N112" s="21"/>
    </row>
    <row r="113" spans="1:14" ht="15" customHeight="1" x14ac:dyDescent="0.3">
      <c r="A113" s="12"/>
      <c r="B113" s="22"/>
      <c r="C113" s="14"/>
      <c r="D113" s="15"/>
      <c r="E113" s="16"/>
      <c r="F113" s="16"/>
      <c r="G113" s="19"/>
      <c r="H113" s="18"/>
      <c r="I113" s="19"/>
      <c r="J113" s="20"/>
      <c r="K113" s="16"/>
      <c r="M113" s="21"/>
      <c r="N113" s="21"/>
    </row>
    <row r="114" spans="1:14" ht="31.2" x14ac:dyDescent="0.3">
      <c r="A114" s="12">
        <v>15</v>
      </c>
      <c r="B114" s="23" t="s">
        <v>72</v>
      </c>
      <c r="C114" s="14"/>
      <c r="D114" s="15"/>
      <c r="E114" s="16"/>
      <c r="F114" s="16"/>
      <c r="G114" s="19"/>
      <c r="H114" s="18"/>
      <c r="I114" s="19"/>
      <c r="J114" s="20"/>
      <c r="K114" s="16"/>
      <c r="M114" s="21"/>
      <c r="N114" s="21"/>
    </row>
    <row r="115" spans="1:14" ht="15" customHeight="1" x14ac:dyDescent="0.3">
      <c r="A115" s="12"/>
      <c r="B115" s="22" t="s">
        <v>49</v>
      </c>
      <c r="C115" s="14">
        <f>1*2</f>
        <v>2</v>
      </c>
      <c r="D115" s="15">
        <f>D107</f>
        <v>5.0289545870161536</v>
      </c>
      <c r="E115" s="16"/>
      <c r="F115" s="16"/>
      <c r="G115" s="17">
        <f t="shared" ref="G115" si="8">PRODUCT(C115:F115)</f>
        <v>10.057909174032307</v>
      </c>
      <c r="H115" s="18"/>
      <c r="I115" s="19"/>
      <c r="J115" s="20"/>
      <c r="K115" s="16"/>
      <c r="M115" s="21"/>
      <c r="N115" s="21"/>
    </row>
    <row r="116" spans="1:14" ht="15" customHeight="1" x14ac:dyDescent="0.3">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3">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3">
      <c r="A118" s="12"/>
      <c r="B118" s="22" t="s">
        <v>44</v>
      </c>
      <c r="C118" s="14"/>
      <c r="D118" s="15"/>
      <c r="E118" s="16"/>
      <c r="F118" s="16"/>
      <c r="G118" s="19"/>
      <c r="H118" s="18"/>
      <c r="I118" s="19"/>
      <c r="J118" s="20">
        <f>G117*0.13*(2140.61/10)</f>
        <v>415.59541907954895</v>
      </c>
      <c r="K118" s="16"/>
      <c r="M118" s="21"/>
      <c r="N118" s="21"/>
    </row>
    <row r="119" spans="1:14" ht="15" customHeight="1" x14ac:dyDescent="0.3">
      <c r="A119" s="12"/>
      <c r="B119" s="30"/>
      <c r="C119" s="14"/>
      <c r="D119" s="15"/>
      <c r="E119" s="16"/>
      <c r="F119" s="16"/>
      <c r="G119" s="19"/>
      <c r="H119" s="18"/>
      <c r="I119" s="19"/>
      <c r="J119" s="20"/>
      <c r="K119" s="16"/>
      <c r="M119" s="21"/>
      <c r="N119" s="21"/>
    </row>
    <row r="120" spans="1:14" ht="46.8" x14ac:dyDescent="0.3">
      <c r="A120" s="12">
        <v>16</v>
      </c>
      <c r="B120" s="23" t="s">
        <v>73</v>
      </c>
      <c r="C120" s="14"/>
      <c r="D120" s="15"/>
      <c r="E120" s="16"/>
      <c r="F120" s="16"/>
      <c r="G120" s="19"/>
      <c r="H120" s="18"/>
      <c r="I120" s="19"/>
      <c r="J120" s="20"/>
      <c r="K120" s="16"/>
      <c r="M120" s="21"/>
      <c r="N120" s="21"/>
    </row>
    <row r="121" spans="1:14" ht="15" customHeight="1" x14ac:dyDescent="0.3">
      <c r="A121" s="12"/>
      <c r="B121" s="22" t="s">
        <v>49</v>
      </c>
      <c r="C121" s="14">
        <f>1*2</f>
        <v>2</v>
      </c>
      <c r="D121" s="15">
        <f>D145</f>
        <v>5.0289545870161536</v>
      </c>
      <c r="E121" s="16"/>
      <c r="F121" s="16"/>
      <c r="G121" s="17">
        <f t="shared" ref="G121" si="9">PRODUCT(C121:F121)</f>
        <v>10.057909174032307</v>
      </c>
      <c r="H121" s="18"/>
      <c r="I121" s="19"/>
      <c r="J121" s="20"/>
      <c r="K121" s="16"/>
      <c r="M121" s="21"/>
      <c r="N121" s="21"/>
    </row>
    <row r="122" spans="1:14" ht="15" customHeight="1" x14ac:dyDescent="0.3">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3">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3">
      <c r="A124" s="12"/>
      <c r="B124" s="22" t="s">
        <v>44</v>
      </c>
      <c r="C124" s="14"/>
      <c r="D124" s="15"/>
      <c r="E124" s="16"/>
      <c r="F124" s="16"/>
      <c r="G124" s="19"/>
      <c r="H124" s="18"/>
      <c r="I124" s="19"/>
      <c r="J124" s="20">
        <f>G123*0.13*(2876.61/10)</f>
        <v>558.48843950015237</v>
      </c>
      <c r="K124" s="16"/>
      <c r="M124" s="21"/>
      <c r="N124" s="21"/>
    </row>
    <row r="125" spans="1:14" ht="15" customHeight="1" x14ac:dyDescent="0.3">
      <c r="A125" s="12"/>
      <c r="B125" s="22"/>
      <c r="C125" s="14"/>
      <c r="D125" s="15"/>
      <c r="E125" s="16"/>
      <c r="F125" s="16"/>
      <c r="G125" s="19"/>
      <c r="H125" s="18"/>
      <c r="I125" s="19"/>
      <c r="J125" s="20"/>
      <c r="K125" s="16"/>
      <c r="M125" s="21"/>
      <c r="N125" s="21"/>
    </row>
    <row r="126" spans="1:14" ht="46.8" x14ac:dyDescent="0.3">
      <c r="A126" s="12">
        <v>17</v>
      </c>
      <c r="B126" s="23" t="s">
        <v>74</v>
      </c>
      <c r="C126" s="14"/>
      <c r="D126" s="15"/>
      <c r="E126" s="16"/>
      <c r="F126" s="16"/>
      <c r="G126" s="19"/>
      <c r="H126" s="18"/>
      <c r="I126" s="19"/>
      <c r="J126" s="20"/>
      <c r="K126" s="16"/>
      <c r="M126" s="21"/>
      <c r="N126" s="21"/>
    </row>
    <row r="127" spans="1:14" ht="15" customHeight="1" x14ac:dyDescent="0.3">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3">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3">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3">
      <c r="A130" s="12"/>
      <c r="B130" s="22" t="s">
        <v>44</v>
      </c>
      <c r="C130" s="14"/>
      <c r="D130" s="15"/>
      <c r="E130" s="16"/>
      <c r="F130" s="16"/>
      <c r="G130" s="19"/>
      <c r="H130" s="18"/>
      <c r="I130" s="19"/>
      <c r="J130" s="20">
        <f>G129*0.13*(3895.61/10)</f>
        <v>756.32537945748254</v>
      </c>
      <c r="K130" s="16"/>
      <c r="M130" s="21"/>
      <c r="N130" s="21"/>
    </row>
    <row r="131" spans="1:14" ht="15" customHeight="1" x14ac:dyDescent="0.3">
      <c r="A131" s="12"/>
      <c r="B131" s="22"/>
      <c r="C131" s="14"/>
      <c r="D131" s="15"/>
      <c r="E131" s="16"/>
      <c r="F131" s="16"/>
      <c r="G131" s="19"/>
      <c r="H131" s="18"/>
      <c r="I131" s="19"/>
      <c r="J131" s="20"/>
      <c r="K131" s="16"/>
      <c r="M131" s="21"/>
      <c r="N131" s="21"/>
    </row>
    <row r="132" spans="1:14" ht="46.8" x14ac:dyDescent="0.3">
      <c r="A132" s="12">
        <v>18</v>
      </c>
      <c r="B132" s="23" t="s">
        <v>75</v>
      </c>
      <c r="C132" s="14"/>
      <c r="D132" s="15"/>
      <c r="E132" s="16"/>
      <c r="F132" s="16"/>
      <c r="G132" s="19"/>
      <c r="H132" s="18"/>
      <c r="I132" s="19"/>
      <c r="J132" s="20"/>
      <c r="K132" s="16"/>
      <c r="M132" s="21"/>
      <c r="N132" s="21"/>
    </row>
    <row r="133" spans="1:14" ht="15" customHeight="1" x14ac:dyDescent="0.3">
      <c r="A133" s="12"/>
      <c r="B133" s="22" t="s">
        <v>49</v>
      </c>
      <c r="C133" s="14">
        <f>1*2</f>
        <v>2</v>
      </c>
      <c r="D133" s="15">
        <f>D127</f>
        <v>5.0289545870161536</v>
      </c>
      <c r="E133" s="16"/>
      <c r="F133" s="16"/>
      <c r="G133" s="17">
        <f t="shared" ref="G133" si="10">PRODUCT(C133:F133)</f>
        <v>10.057909174032307</v>
      </c>
      <c r="H133" s="18"/>
      <c r="I133" s="19"/>
      <c r="J133" s="20"/>
      <c r="K133" s="16"/>
      <c r="M133" s="21"/>
      <c r="N133" s="21"/>
    </row>
    <row r="134" spans="1:14" ht="15" customHeight="1" x14ac:dyDescent="0.3">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3">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3">
      <c r="A136" s="12"/>
      <c r="B136" s="22" t="s">
        <v>44</v>
      </c>
      <c r="C136" s="14"/>
      <c r="D136" s="15"/>
      <c r="E136" s="16"/>
      <c r="F136" s="16"/>
      <c r="G136" s="19"/>
      <c r="H136" s="18"/>
      <c r="I136" s="19"/>
      <c r="J136" s="20">
        <f>G135*0.13*(2972.61/10)</f>
        <v>577.12665955501382</v>
      </c>
      <c r="K136" s="16"/>
      <c r="M136" s="21"/>
      <c r="N136" s="21"/>
    </row>
    <row r="137" spans="1:14" ht="15" customHeight="1" x14ac:dyDescent="0.3">
      <c r="A137" s="12"/>
      <c r="B137" s="22"/>
      <c r="C137" s="14"/>
      <c r="D137" s="15"/>
      <c r="E137" s="16"/>
      <c r="F137" s="16"/>
      <c r="G137" s="19"/>
      <c r="H137" s="18"/>
      <c r="I137" s="19"/>
      <c r="J137" s="20"/>
      <c r="K137" s="16"/>
      <c r="M137" s="21"/>
      <c r="N137" s="21"/>
    </row>
    <row r="138" spans="1:14" ht="46.8" x14ac:dyDescent="0.3">
      <c r="A138" s="12">
        <v>19</v>
      </c>
      <c r="B138" s="23" t="s">
        <v>76</v>
      </c>
      <c r="C138" s="14"/>
      <c r="D138" s="15"/>
      <c r="E138" s="16"/>
      <c r="F138" s="16"/>
      <c r="G138" s="19"/>
      <c r="H138" s="18"/>
      <c r="I138" s="19"/>
      <c r="J138" s="20"/>
      <c r="K138" s="16"/>
      <c r="M138" s="21"/>
      <c r="N138" s="21"/>
    </row>
    <row r="139" spans="1:14" ht="15" customHeight="1" x14ac:dyDescent="0.3">
      <c r="A139" s="12"/>
      <c r="B139" s="22" t="s">
        <v>49</v>
      </c>
      <c r="C139" s="14">
        <f>1*2</f>
        <v>2</v>
      </c>
      <c r="D139" s="15">
        <f>D133</f>
        <v>5.0289545870161536</v>
      </c>
      <c r="E139" s="16"/>
      <c r="F139" s="16"/>
      <c r="G139" s="17">
        <f t="shared" ref="G139" si="11">PRODUCT(C139:F139)</f>
        <v>10.057909174032307</v>
      </c>
      <c r="H139" s="18"/>
      <c r="I139" s="19"/>
      <c r="J139" s="20"/>
      <c r="K139" s="16"/>
      <c r="M139" s="21"/>
      <c r="N139" s="21"/>
    </row>
    <row r="140" spans="1:14" ht="15" customHeight="1" x14ac:dyDescent="0.3">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3">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3">
      <c r="A142" s="12"/>
      <c r="B142" s="22" t="s">
        <v>44</v>
      </c>
      <c r="C142" s="14"/>
      <c r="D142" s="15"/>
      <c r="E142" s="16"/>
      <c r="F142" s="16"/>
      <c r="G142" s="19"/>
      <c r="H142" s="18"/>
      <c r="I142" s="19"/>
      <c r="J142" s="20">
        <f>G141*0.13*(5480.61/10)</f>
        <v>1064.0501584882657</v>
      </c>
      <c r="K142" s="16"/>
      <c r="M142" s="21"/>
      <c r="N142" s="21"/>
    </row>
    <row r="143" spans="1:14" ht="15" customHeight="1" x14ac:dyDescent="0.3">
      <c r="A143" s="12"/>
      <c r="B143" s="22"/>
      <c r="C143" s="14"/>
      <c r="D143" s="15"/>
      <c r="E143" s="16"/>
      <c r="F143" s="16"/>
      <c r="G143" s="19"/>
      <c r="H143" s="18"/>
      <c r="I143" s="19"/>
      <c r="J143" s="20"/>
      <c r="K143" s="16"/>
      <c r="M143" s="21"/>
      <c r="N143" s="21"/>
    </row>
    <row r="144" spans="1:14" ht="31.2" x14ac:dyDescent="0.3">
      <c r="A144" s="12">
        <v>20</v>
      </c>
      <c r="B144" s="23" t="s">
        <v>77</v>
      </c>
      <c r="C144" s="14"/>
      <c r="D144" s="15"/>
      <c r="E144" s="16"/>
      <c r="F144" s="16"/>
      <c r="G144" s="19"/>
      <c r="H144" s="18"/>
      <c r="I144" s="19"/>
      <c r="J144" s="20"/>
      <c r="K144" s="16"/>
      <c r="M144" s="21"/>
      <c r="N144" s="21"/>
    </row>
    <row r="145" spans="1:14" ht="15" customHeight="1" x14ac:dyDescent="0.3">
      <c r="A145" s="12"/>
      <c r="B145" s="22" t="s">
        <v>49</v>
      </c>
      <c r="C145" s="14">
        <f>2*2</f>
        <v>4</v>
      </c>
      <c r="D145" s="15">
        <f>D107</f>
        <v>5.0289545870161536</v>
      </c>
      <c r="E145" s="16"/>
      <c r="F145" s="16"/>
      <c r="G145" s="17">
        <f t="shared" ref="G145" si="12">PRODUCT(C145:F145)</f>
        <v>20.115818348064614</v>
      </c>
      <c r="H145" s="18"/>
      <c r="I145" s="19"/>
      <c r="J145" s="20"/>
      <c r="K145" s="16"/>
      <c r="M145" s="21"/>
      <c r="N145" s="21"/>
    </row>
    <row r="146" spans="1:14" ht="15" customHeight="1" x14ac:dyDescent="0.3">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3">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3">
      <c r="A148" s="12"/>
      <c r="B148" s="22" t="s">
        <v>44</v>
      </c>
      <c r="C148" s="14"/>
      <c r="D148" s="15"/>
      <c r="E148" s="16"/>
      <c r="F148" s="16"/>
      <c r="G148" s="19"/>
      <c r="H148" s="18"/>
      <c r="I148" s="19"/>
      <c r="J148" s="20">
        <f>G147*0.13*(2780.61/10)</f>
        <v>903.42281621456891</v>
      </c>
      <c r="K148" s="16"/>
      <c r="M148" s="21"/>
      <c r="N148" s="21"/>
    </row>
    <row r="149" spans="1:14" ht="15" customHeight="1" x14ac:dyDescent="0.3">
      <c r="A149" s="12"/>
      <c r="B149" s="22"/>
      <c r="C149" s="14"/>
      <c r="D149" s="15"/>
      <c r="E149" s="16"/>
      <c r="F149" s="16"/>
      <c r="G149" s="19"/>
      <c r="H149" s="18"/>
      <c r="I149" s="19"/>
      <c r="J149" s="20"/>
      <c r="K149" s="16"/>
      <c r="M149" s="21"/>
      <c r="N149" s="21"/>
    </row>
    <row r="150" spans="1:14" ht="45" customHeight="1" x14ac:dyDescent="0.3">
      <c r="A150" s="25">
        <v>21</v>
      </c>
      <c r="B150" s="54" t="s">
        <v>78</v>
      </c>
      <c r="C150" s="26"/>
      <c r="D150" s="17"/>
      <c r="E150" s="17"/>
      <c r="F150" s="17"/>
      <c r="G150" s="45"/>
      <c r="H150" s="45"/>
      <c r="I150" s="45"/>
      <c r="J150" s="39"/>
      <c r="K150" s="30"/>
    </row>
    <row r="151" spans="1:14" ht="15" customHeight="1" x14ac:dyDescent="0.3">
      <c r="A151" s="25"/>
      <c r="B151" s="22" t="s">
        <v>79</v>
      </c>
      <c r="C151" s="26">
        <f>1*2</f>
        <v>2</v>
      </c>
      <c r="D151" s="17">
        <f>(2.75+2.6)/2</f>
        <v>2.6749999999999998</v>
      </c>
      <c r="E151" s="17">
        <v>6.2</v>
      </c>
      <c r="F151" s="17"/>
      <c r="G151" s="17">
        <f>PRODUCT(C151:F151)</f>
        <v>33.17</v>
      </c>
      <c r="H151" s="45"/>
      <c r="I151" s="45"/>
      <c r="J151" s="39"/>
      <c r="K151" s="30"/>
    </row>
    <row r="152" spans="1:14" ht="15" customHeight="1" x14ac:dyDescent="0.3">
      <c r="A152" s="25"/>
      <c r="B152" s="22"/>
      <c r="C152" s="26">
        <f>1*0</f>
        <v>0</v>
      </c>
      <c r="D152" s="17">
        <v>2.5</v>
      </c>
      <c r="E152" s="17">
        <f>3+0.675</f>
        <v>3.6749999999999998</v>
      </c>
      <c r="F152" s="17"/>
      <c r="G152" s="17">
        <f>PRODUCT(C152:F152)</f>
        <v>0</v>
      </c>
      <c r="H152" s="45"/>
      <c r="I152" s="45"/>
      <c r="J152" s="39"/>
      <c r="K152" s="30"/>
    </row>
    <row r="153" spans="1:14" ht="15" customHeight="1" x14ac:dyDescent="0.3">
      <c r="A153" s="25"/>
      <c r="B153" s="22" t="s">
        <v>25</v>
      </c>
      <c r="C153" s="26"/>
      <c r="D153" s="17"/>
      <c r="E153" s="17"/>
      <c r="F153" s="17"/>
      <c r="G153" s="27">
        <f>SUM(G151:G152)</f>
        <v>33.17</v>
      </c>
      <c r="H153" s="27" t="s">
        <v>26</v>
      </c>
      <c r="I153" s="28">
        <f>3626.64/1.15</f>
        <v>3153.6</v>
      </c>
      <c r="J153" s="29">
        <f>G153*I153</f>
        <v>104604.912</v>
      </c>
      <c r="K153" s="30"/>
    </row>
    <row r="154" spans="1:14" ht="15" customHeight="1" x14ac:dyDescent="0.3">
      <c r="A154" s="12"/>
      <c r="B154" s="22" t="s">
        <v>44</v>
      </c>
      <c r="C154" s="14"/>
      <c r="D154" s="15"/>
      <c r="E154" s="16"/>
      <c r="F154" s="16"/>
      <c r="G154" s="19"/>
      <c r="H154" s="18"/>
      <c r="I154" s="19"/>
      <c r="J154" s="20">
        <f>G153*0.13*(21343.49/10)</f>
        <v>9203.5263229000011</v>
      </c>
      <c r="K154" s="16"/>
      <c r="M154" s="21"/>
      <c r="N154" s="21"/>
    </row>
    <row r="155" spans="1:14" ht="15" customHeight="1" x14ac:dyDescent="0.3">
      <c r="A155" s="25"/>
      <c r="B155" s="22"/>
      <c r="C155" s="26"/>
      <c r="D155" s="17"/>
      <c r="E155" s="17"/>
      <c r="F155" s="17"/>
      <c r="G155" s="27"/>
      <c r="H155" s="27"/>
      <c r="I155" s="28"/>
      <c r="J155" s="29"/>
      <c r="K155" s="30"/>
    </row>
    <row r="156" spans="1:14" ht="31.2" x14ac:dyDescent="0.3">
      <c r="A156" s="47">
        <v>22</v>
      </c>
      <c r="B156" s="23" t="s">
        <v>80</v>
      </c>
      <c r="C156" s="49"/>
      <c r="D156" s="50"/>
      <c r="E156" s="50"/>
      <c r="F156" s="50"/>
      <c r="G156" s="50"/>
      <c r="H156" s="50"/>
      <c r="I156" s="50"/>
      <c r="J156" s="51"/>
      <c r="K156" s="52"/>
    </row>
    <row r="157" spans="1:14" ht="15" customHeight="1" x14ac:dyDescent="0.3">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3">
      <c r="A158" s="47"/>
      <c r="B158" s="48" t="s">
        <v>82</v>
      </c>
      <c r="C158" s="49">
        <v>1</v>
      </c>
      <c r="D158" s="50">
        <v>5</v>
      </c>
      <c r="E158" s="50">
        <v>5</v>
      </c>
      <c r="F158" s="50"/>
      <c r="G158" s="50">
        <f>PRODUCT(C158:F158)</f>
        <v>25</v>
      </c>
      <c r="H158" s="50"/>
      <c r="I158" s="50"/>
      <c r="J158" s="51"/>
      <c r="K158" s="52"/>
    </row>
    <row r="159" spans="1:14" ht="15" customHeight="1" x14ac:dyDescent="0.3">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3">
      <c r="A160" s="12"/>
      <c r="B160" s="22" t="s">
        <v>44</v>
      </c>
      <c r="C160" s="14"/>
      <c r="D160" s="15"/>
      <c r="E160" s="16"/>
      <c r="F160" s="16"/>
      <c r="G160" s="19"/>
      <c r="H160" s="18"/>
      <c r="I160" s="19"/>
      <c r="J160" s="20">
        <f>G159*0.13*(24003.58/100)</f>
        <v>1297.6455365900003</v>
      </c>
      <c r="K160" s="16"/>
      <c r="M160" s="21"/>
      <c r="N160" s="21"/>
    </row>
    <row r="161" spans="1:14" ht="15" customHeight="1" x14ac:dyDescent="0.3">
      <c r="A161" s="12"/>
      <c r="B161" s="22"/>
      <c r="C161" s="14"/>
      <c r="D161" s="15"/>
      <c r="E161" s="16"/>
      <c r="F161" s="16"/>
      <c r="G161" s="19"/>
      <c r="H161" s="18"/>
      <c r="I161" s="19"/>
      <c r="J161" s="20"/>
      <c r="K161" s="16"/>
      <c r="M161" s="21"/>
      <c r="N161" s="21"/>
    </row>
    <row r="162" spans="1:14" ht="43.2" hidden="1" x14ac:dyDescent="0.3">
      <c r="A162" s="25">
        <v>23</v>
      </c>
      <c r="B162" s="54" t="s">
        <v>83</v>
      </c>
      <c r="C162" s="26"/>
      <c r="D162" s="17"/>
      <c r="E162" s="17"/>
      <c r="F162" s="17"/>
      <c r="G162" s="45"/>
      <c r="H162" s="45"/>
      <c r="I162" s="45"/>
      <c r="J162" s="39"/>
      <c r="K162" s="30"/>
    </row>
    <row r="163" spans="1:14" ht="15" hidden="1" customHeight="1" x14ac:dyDescent="0.3">
      <c r="A163" s="25"/>
      <c r="B163" s="22" t="s">
        <v>84</v>
      </c>
      <c r="C163" s="26">
        <f>1</f>
        <v>1</v>
      </c>
      <c r="D163" s="17">
        <f>11/3.281</f>
        <v>3.3526363913441024</v>
      </c>
      <c r="E163" s="17">
        <f>5/12/3.281</f>
        <v>0.12699380270242813</v>
      </c>
      <c r="F163" s="17">
        <f>8/12/3.281</f>
        <v>0.20319008432388497</v>
      </c>
      <c r="G163" s="17">
        <f t="shared" ref="G163:G169" si="13">PRODUCT(C163:F163)</f>
        <v>8.6511032086829934E-2</v>
      </c>
      <c r="H163" s="45"/>
      <c r="I163" s="45"/>
      <c r="J163" s="39"/>
      <c r="K163" s="30"/>
    </row>
    <row r="164" spans="1:14" ht="15" hidden="1" customHeight="1" x14ac:dyDescent="0.3">
      <c r="A164" s="25"/>
      <c r="B164" s="30"/>
      <c r="C164" s="26">
        <f>(8)</f>
        <v>8</v>
      </c>
      <c r="D164" s="17">
        <f>12/3.281</f>
        <v>3.6574215178299299</v>
      </c>
      <c r="E164" s="17">
        <f>3/12/3.281</f>
        <v>7.6196281621456863E-2</v>
      </c>
      <c r="F164" s="17">
        <f>4/12/3.281</f>
        <v>0.10159504216194248</v>
      </c>
      <c r="G164" s="17">
        <f t="shared" si="13"/>
        <v>0.22650161128188195</v>
      </c>
      <c r="H164" s="45"/>
      <c r="I164" s="45"/>
      <c r="J164" s="39"/>
      <c r="K164" s="30"/>
    </row>
    <row r="165" spans="1:14" ht="15" hidden="1" customHeight="1" x14ac:dyDescent="0.3">
      <c r="A165" s="25"/>
      <c r="B165" s="22"/>
      <c r="C165" s="26">
        <f>(3)</f>
        <v>3</v>
      </c>
      <c r="D165" s="17">
        <f>8/3.281</f>
        <v>2.4382810118866196</v>
      </c>
      <c r="E165" s="17">
        <f>7/12/3.281</f>
        <v>0.17779132378339937</v>
      </c>
      <c r="F165" s="17">
        <f>7/12/3.281</f>
        <v>0.17779132378339937</v>
      </c>
      <c r="G165" s="17">
        <f t="shared" si="13"/>
        <v>0.23122039485025456</v>
      </c>
      <c r="H165" s="45"/>
      <c r="I165" s="45"/>
      <c r="J165" s="39"/>
      <c r="K165" s="30"/>
    </row>
    <row r="166" spans="1:14" ht="15" hidden="1" customHeight="1" x14ac:dyDescent="0.3">
      <c r="A166" s="25"/>
      <c r="B166" s="22"/>
      <c r="C166" s="26">
        <f>22</f>
        <v>22</v>
      </c>
      <c r="D166" s="17">
        <f>12/3.281</f>
        <v>3.6574215178299299</v>
      </c>
      <c r="E166" s="17">
        <f>3/12/3.281</f>
        <v>7.6196281621456863E-2</v>
      </c>
      <c r="F166" s="17">
        <f>4/12/3.281</f>
        <v>0.10159504216194248</v>
      </c>
      <c r="G166" s="17">
        <f t="shared" si="13"/>
        <v>0.6228794310251754</v>
      </c>
      <c r="H166" s="45"/>
      <c r="I166" s="45"/>
      <c r="J166" s="39"/>
      <c r="K166" s="30"/>
    </row>
    <row r="167" spans="1:14" ht="15" hidden="1" customHeight="1" x14ac:dyDescent="0.3">
      <c r="A167" s="25"/>
      <c r="B167" s="22"/>
      <c r="C167" s="26">
        <f>(2)</f>
        <v>2</v>
      </c>
      <c r="D167" s="17">
        <f>12/3.281</f>
        <v>3.6574215178299299</v>
      </c>
      <c r="E167" s="17">
        <f>3/12/3.281</f>
        <v>7.6196281621456863E-2</v>
      </c>
      <c r="F167" s="17">
        <f>4/12/3.281</f>
        <v>0.10159504216194248</v>
      </c>
      <c r="G167" s="17">
        <f t="shared" si="13"/>
        <v>5.6625402820470488E-2</v>
      </c>
      <c r="H167" s="45"/>
      <c r="I167" s="45"/>
      <c r="J167" s="39"/>
      <c r="K167" s="30"/>
    </row>
    <row r="168" spans="1:14" ht="15" hidden="1" customHeight="1" x14ac:dyDescent="0.3">
      <c r="A168" s="25"/>
      <c r="B168" s="22"/>
      <c r="C168" s="26">
        <f>(1)</f>
        <v>1</v>
      </c>
      <c r="D168" s="17">
        <f>12/3.281</f>
        <v>3.6574215178299299</v>
      </c>
      <c r="E168" s="17">
        <f>6/12/3.281</f>
        <v>0.15239256324291373</v>
      </c>
      <c r="F168" s="17">
        <f>4/12/3.281</f>
        <v>0.10159504216194248</v>
      </c>
      <c r="G168" s="17">
        <f t="shared" si="13"/>
        <v>5.6625402820470488E-2</v>
      </c>
      <c r="H168" s="45"/>
      <c r="I168" s="45"/>
      <c r="J168" s="39"/>
      <c r="K168" s="30"/>
    </row>
    <row r="169" spans="1:14" ht="15" hidden="1" customHeight="1" x14ac:dyDescent="0.3">
      <c r="A169" s="25"/>
      <c r="B169" s="22"/>
      <c r="C169" s="26">
        <f>36</f>
        <v>36</v>
      </c>
      <c r="D169" s="17">
        <f>12/3.281</f>
        <v>3.6574215178299299</v>
      </c>
      <c r="E169" s="17">
        <f>3/12/3.281</f>
        <v>7.6196281621456863E-2</v>
      </c>
      <c r="F169" s="17">
        <f>4/12/3.281</f>
        <v>0.10159504216194248</v>
      </c>
      <c r="G169" s="17">
        <f t="shared" si="13"/>
        <v>1.0192572507684687</v>
      </c>
      <c r="H169" s="45"/>
      <c r="I169" s="45"/>
      <c r="J169" s="39"/>
      <c r="K169" s="30"/>
    </row>
    <row r="170" spans="1:14" ht="15" hidden="1" customHeight="1" x14ac:dyDescent="0.3">
      <c r="A170" s="25"/>
      <c r="B170" s="22" t="s">
        <v>25</v>
      </c>
      <c r="C170" s="26"/>
      <c r="D170" s="17"/>
      <c r="E170" s="17"/>
      <c r="F170" s="17"/>
      <c r="G170" s="27">
        <f>0*SUM(G163:G169)</f>
        <v>0</v>
      </c>
      <c r="H170" s="27" t="s">
        <v>29</v>
      </c>
      <c r="I170" s="28">
        <f>369833.1/1.15</f>
        <v>321594</v>
      </c>
      <c r="J170" s="29">
        <f>G170*I170</f>
        <v>0</v>
      </c>
      <c r="K170" s="30"/>
    </row>
    <row r="171" spans="1:14" ht="15" hidden="1" customHeight="1" x14ac:dyDescent="0.3">
      <c r="A171" s="25"/>
      <c r="B171" s="22" t="s">
        <v>85</v>
      </c>
      <c r="C171" s="26"/>
      <c r="D171" s="17"/>
      <c r="E171" s="17"/>
      <c r="F171" s="17"/>
      <c r="G171" s="45"/>
      <c r="H171" s="45"/>
      <c r="I171" s="45"/>
      <c r="J171" s="39">
        <f>0.13*G170*(296712)</f>
        <v>0</v>
      </c>
      <c r="K171" s="30"/>
      <c r="M171" s="58"/>
    </row>
    <row r="172" spans="1:14" ht="15" hidden="1" customHeight="1" x14ac:dyDescent="0.3">
      <c r="A172" s="25"/>
      <c r="B172" s="22"/>
      <c r="C172" s="26"/>
      <c r="D172" s="17"/>
      <c r="E172" s="17"/>
      <c r="F172" s="17"/>
      <c r="G172" s="45"/>
      <c r="H172" s="45"/>
      <c r="I172" s="45"/>
      <c r="J172" s="39"/>
      <c r="K172" s="30"/>
      <c r="M172" s="58"/>
    </row>
    <row r="173" spans="1:14" ht="28.8" x14ac:dyDescent="0.3">
      <c r="A173" s="47">
        <v>23</v>
      </c>
      <c r="B173" s="54" t="s">
        <v>86</v>
      </c>
      <c r="C173" s="49"/>
      <c r="D173" s="50"/>
      <c r="E173" s="50"/>
      <c r="F173" s="50"/>
      <c r="G173" s="55"/>
      <c r="H173" s="55"/>
      <c r="I173" s="56"/>
      <c r="J173" s="57"/>
      <c r="K173" s="52"/>
    </row>
    <row r="174" spans="1:14" ht="15" hidden="1" customHeight="1" x14ac:dyDescent="0.3">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3">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3">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3">
      <c r="A177" s="25"/>
      <c r="B177" s="22" t="s">
        <v>30</v>
      </c>
      <c r="C177" s="26">
        <v>2</v>
      </c>
      <c r="D177" s="17">
        <f>8/3.281</f>
        <v>2.4382810118866196</v>
      </c>
      <c r="E177" s="17">
        <v>0.15</v>
      </c>
      <c r="F177" s="17">
        <v>0.15</v>
      </c>
      <c r="G177" s="17">
        <f t="shared" ref="G177" si="14">PRODUCT(C177:F177)</f>
        <v>0.10972264553489787</v>
      </c>
      <c r="H177" s="45"/>
      <c r="I177" s="45"/>
      <c r="J177" s="39"/>
      <c r="K177" s="30"/>
    </row>
    <row r="178" spans="1:19" ht="15" customHeight="1" x14ac:dyDescent="0.3">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3">
      <c r="A179" s="25"/>
      <c r="B179" s="22" t="s">
        <v>85</v>
      </c>
      <c r="C179" s="26"/>
      <c r="D179" s="17"/>
      <c r="E179" s="17"/>
      <c r="F179" s="17"/>
      <c r="G179" s="45"/>
      <c r="H179" s="45"/>
      <c r="I179" s="45"/>
      <c r="J179" s="39">
        <f>0.13*G178*(225887.77)</f>
        <v>3222.0504833892101</v>
      </c>
      <c r="K179" s="30"/>
      <c r="M179" s="58"/>
    </row>
    <row r="180" spans="1:19" ht="15" customHeight="1" x14ac:dyDescent="0.3">
      <c r="A180" s="25"/>
      <c r="B180" s="22"/>
      <c r="C180" s="26"/>
      <c r="D180" s="17"/>
      <c r="E180" s="17"/>
      <c r="F180" s="17"/>
      <c r="G180" s="45"/>
      <c r="H180" s="45"/>
      <c r="I180" s="45"/>
      <c r="J180" s="39"/>
      <c r="K180" s="30"/>
      <c r="M180" s="58"/>
    </row>
    <row r="181" spans="1:19" ht="28.8" hidden="1" x14ac:dyDescent="0.3">
      <c r="A181" s="12">
        <v>25</v>
      </c>
      <c r="B181" s="84" t="s">
        <v>87</v>
      </c>
      <c r="C181" s="14"/>
      <c r="D181" s="15"/>
      <c r="E181" s="16"/>
      <c r="F181" s="16"/>
      <c r="G181" s="19"/>
      <c r="H181" s="18"/>
      <c r="I181" s="19"/>
      <c r="J181" s="20"/>
      <c r="K181" s="16"/>
      <c r="M181" s="21"/>
      <c r="N181" s="1"/>
      <c r="O181" s="1"/>
      <c r="P181" s="1"/>
      <c r="Q181" s="1"/>
      <c r="R181" s="21"/>
      <c r="S181" s="21"/>
    </row>
    <row r="182" spans="1:19" ht="15" hidden="1" customHeight="1" x14ac:dyDescent="0.3">
      <c r="A182" s="12"/>
      <c r="B182" s="13" t="str">
        <f>B46</f>
        <v>-at new roof</v>
      </c>
      <c r="C182" s="26">
        <f>C46</f>
        <v>2</v>
      </c>
      <c r="D182" s="17">
        <f>D46</f>
        <v>4.8639134410240779</v>
      </c>
      <c r="E182" s="17">
        <f>E46</f>
        <v>3.2764401097226452</v>
      </c>
      <c r="F182" s="17"/>
      <c r="G182" s="17">
        <f t="shared" ref="G182" si="15">PRODUCT(C182:F182)</f>
        <v>31.872642176780758</v>
      </c>
      <c r="H182" s="18"/>
      <c r="I182" s="19"/>
      <c r="J182" s="20"/>
      <c r="K182" s="16"/>
      <c r="M182" s="21"/>
      <c r="N182" s="85"/>
      <c r="O182" s="1">
        <v>173798.37571991887</v>
      </c>
      <c r="P182" s="1"/>
      <c r="Q182" s="1"/>
      <c r="R182" s="21"/>
      <c r="S182" s="21"/>
    </row>
    <row r="183" spans="1:19" ht="15" hidden="1" customHeight="1" x14ac:dyDescent="0.3">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3">
      <c r="A184" s="25"/>
      <c r="B184" s="22" t="s">
        <v>85</v>
      </c>
      <c r="C184" s="26"/>
      <c r="D184" s="17"/>
      <c r="E184" s="17"/>
      <c r="F184" s="17"/>
      <c r="G184" s="45"/>
      <c r="H184" s="45"/>
      <c r="I184" s="45"/>
      <c r="J184" s="39">
        <f>0.13*G183*((1397.55)/10)</f>
        <v>0</v>
      </c>
      <c r="K184" s="30"/>
    </row>
    <row r="185" spans="1:19" ht="15" hidden="1" customHeight="1" x14ac:dyDescent="0.3">
      <c r="A185" s="12"/>
      <c r="B185" s="59"/>
      <c r="C185" s="14"/>
      <c r="D185" s="15"/>
      <c r="E185" s="16"/>
      <c r="F185" s="16"/>
      <c r="G185" s="19"/>
      <c r="H185" s="18"/>
      <c r="I185" s="19"/>
      <c r="J185" s="20"/>
      <c r="K185" s="16"/>
      <c r="M185" s="21"/>
      <c r="N185" s="1"/>
      <c r="O185" s="1"/>
      <c r="P185" s="1"/>
      <c r="Q185" s="1"/>
      <c r="R185" s="21"/>
      <c r="S185" s="21"/>
    </row>
    <row r="186" spans="1:19" x14ac:dyDescent="0.3">
      <c r="A186" s="12">
        <v>24</v>
      </c>
      <c r="B186" s="24" t="s">
        <v>88</v>
      </c>
      <c r="C186" s="26"/>
      <c r="D186" s="17"/>
      <c r="E186" s="17"/>
      <c r="F186" s="17"/>
      <c r="G186" s="45"/>
      <c r="H186" s="45"/>
      <c r="I186" s="45"/>
      <c r="J186" s="39"/>
      <c r="K186" s="30"/>
    </row>
    <row r="187" spans="1:19" ht="15" customHeight="1" x14ac:dyDescent="0.3">
      <c r="A187" s="25"/>
      <c r="B187" s="22" t="s">
        <v>89</v>
      </c>
      <c r="C187" s="26">
        <v>2</v>
      </c>
      <c r="D187" s="17"/>
      <c r="E187" s="17"/>
      <c r="F187" s="17"/>
      <c r="G187" s="17">
        <f>PRODUCT(C187:F187)</f>
        <v>2</v>
      </c>
      <c r="H187" s="45"/>
      <c r="I187" s="45"/>
      <c r="J187" s="39"/>
      <c r="K187" s="30"/>
    </row>
    <row r="188" spans="1:19" ht="15" customHeight="1" x14ac:dyDescent="0.3">
      <c r="A188" s="25"/>
      <c r="B188" s="22" t="s">
        <v>25</v>
      </c>
      <c r="C188" s="26"/>
      <c r="D188" s="17"/>
      <c r="E188" s="17"/>
      <c r="F188" s="17"/>
      <c r="G188" s="27">
        <f>SUM(G187:G187)</f>
        <v>2</v>
      </c>
      <c r="H188" s="27" t="s">
        <v>90</v>
      </c>
      <c r="I188" s="28">
        <f>2365*1.15</f>
        <v>2719.75</v>
      </c>
      <c r="J188" s="29">
        <f>G188*I188</f>
        <v>5439.5</v>
      </c>
      <c r="K188" s="30"/>
    </row>
    <row r="189" spans="1:19" ht="15" customHeight="1" x14ac:dyDescent="0.3">
      <c r="A189" s="12"/>
      <c r="B189" s="22" t="s">
        <v>44</v>
      </c>
      <c r="C189" s="14"/>
      <c r="D189" s="15"/>
      <c r="E189" s="16"/>
      <c r="F189" s="16"/>
      <c r="G189" s="19"/>
      <c r="H189" s="18"/>
      <c r="I189" s="19"/>
      <c r="J189" s="20">
        <f>J188*0.13</f>
        <v>707.13499999999999</v>
      </c>
      <c r="K189" s="16"/>
      <c r="M189" s="21"/>
      <c r="N189" s="21"/>
    </row>
    <row r="190" spans="1:19" ht="15" customHeight="1" x14ac:dyDescent="0.3">
      <c r="A190" s="25"/>
      <c r="B190" s="22"/>
      <c r="C190" s="26"/>
      <c r="D190" s="17"/>
      <c r="E190" s="17"/>
      <c r="F190" s="17"/>
      <c r="G190" s="27"/>
      <c r="H190" s="27"/>
      <c r="I190" s="28"/>
      <c r="J190" s="29"/>
      <c r="K190" s="30"/>
    </row>
    <row r="191" spans="1:19" ht="15.6" x14ac:dyDescent="0.3">
      <c r="A191" s="25">
        <v>25</v>
      </c>
      <c r="B191" s="11" t="s">
        <v>91</v>
      </c>
      <c r="C191" s="26"/>
      <c r="D191" s="17"/>
      <c r="E191" s="17"/>
      <c r="F191" s="17"/>
      <c r="G191" s="45"/>
      <c r="H191" s="45"/>
      <c r="I191" s="45"/>
      <c r="J191" s="39"/>
      <c r="K191" s="30"/>
    </row>
    <row r="192" spans="1:19" x14ac:dyDescent="0.3">
      <c r="A192" s="25"/>
      <c r="B192" s="22" t="s">
        <v>92</v>
      </c>
      <c r="C192" s="26">
        <v>2</v>
      </c>
      <c r="D192" s="17">
        <f>3.833/3.281</f>
        <v>1.1682413898201769</v>
      </c>
      <c r="E192" s="17">
        <v>7.4999999999999997E-2</v>
      </c>
      <c r="F192" s="17">
        <v>0.125</v>
      </c>
      <c r="G192" s="17">
        <f t="shared" ref="G192:G197" si="16">PRODUCT(C192:F192)</f>
        <v>2.1904526059128317E-2</v>
      </c>
      <c r="H192" s="45"/>
      <c r="I192" s="45"/>
      <c r="J192" s="39"/>
      <c r="K192" s="30"/>
    </row>
    <row r="193" spans="1:14" x14ac:dyDescent="0.3">
      <c r="A193" s="25"/>
      <c r="B193" s="22"/>
      <c r="C193" s="26">
        <v>2</v>
      </c>
      <c r="D193" s="17">
        <f>6/3.281</f>
        <v>1.8287107589149649</v>
      </c>
      <c r="E193" s="17">
        <v>7.4999999999999997E-2</v>
      </c>
      <c r="F193" s="17">
        <v>0.125</v>
      </c>
      <c r="G193" s="17">
        <f t="shared" si="16"/>
        <v>3.4288326729655594E-2</v>
      </c>
      <c r="H193" s="45"/>
      <c r="I193" s="45"/>
      <c r="J193" s="39"/>
      <c r="K193" s="30"/>
    </row>
    <row r="194" spans="1:14" x14ac:dyDescent="0.3">
      <c r="A194" s="25"/>
      <c r="B194" s="22"/>
      <c r="C194" s="26">
        <v>2</v>
      </c>
      <c r="D194" s="17">
        <f>6/3.281</f>
        <v>1.8287107589149649</v>
      </c>
      <c r="E194" s="17">
        <v>7.4999999999999997E-2</v>
      </c>
      <c r="F194" s="17">
        <v>7.4999999999999997E-2</v>
      </c>
      <c r="G194" s="17">
        <f t="shared" si="16"/>
        <v>2.0572996037793355E-2</v>
      </c>
      <c r="H194" s="45"/>
      <c r="I194" s="45"/>
      <c r="J194" s="39"/>
      <c r="K194" s="30"/>
    </row>
    <row r="195" spans="1:14" x14ac:dyDescent="0.3">
      <c r="A195" s="25"/>
      <c r="B195" s="22" t="s">
        <v>93</v>
      </c>
      <c r="C195" s="26">
        <v>2</v>
      </c>
      <c r="D195" s="17">
        <f>3.5/3.281</f>
        <v>1.0667479427003961</v>
      </c>
      <c r="E195" s="17">
        <v>7.4999999999999997E-2</v>
      </c>
      <c r="F195" s="17">
        <v>0.125</v>
      </c>
      <c r="G195" s="17">
        <f t="shared" si="16"/>
        <v>2.0001523925632425E-2</v>
      </c>
      <c r="H195" s="45"/>
      <c r="I195" s="45"/>
      <c r="J195" s="39"/>
      <c r="K195" s="30"/>
    </row>
    <row r="196" spans="1:14" x14ac:dyDescent="0.3">
      <c r="A196" s="25"/>
      <c r="B196" s="22"/>
      <c r="C196" s="26">
        <v>2</v>
      </c>
      <c r="D196" s="17">
        <f>4.5/3.281</f>
        <v>1.3715330691862238</v>
      </c>
      <c r="E196" s="17">
        <v>7.4999999999999997E-2</v>
      </c>
      <c r="F196" s="17">
        <v>0.125</v>
      </c>
      <c r="G196" s="17">
        <f t="shared" si="16"/>
        <v>2.5716245047241695E-2</v>
      </c>
      <c r="H196" s="45"/>
      <c r="I196" s="45"/>
      <c r="J196" s="39"/>
      <c r="K196" s="30"/>
    </row>
    <row r="197" spans="1:14" hidden="1" x14ac:dyDescent="0.3">
      <c r="A197" s="25"/>
      <c r="B197" s="22" t="s">
        <v>94</v>
      </c>
      <c r="C197" s="26">
        <f>0*2</f>
        <v>0</v>
      </c>
      <c r="D197" s="17">
        <f>(2*2+2.5*2)/3.281</f>
        <v>2.7430661383724475</v>
      </c>
      <c r="E197" s="17">
        <v>7.4999999999999997E-2</v>
      </c>
      <c r="F197" s="17">
        <v>0.125</v>
      </c>
      <c r="G197" s="17">
        <f t="shared" si="16"/>
        <v>0</v>
      </c>
      <c r="H197" s="45"/>
      <c r="I197" s="45"/>
      <c r="J197" s="39"/>
      <c r="K197" s="30"/>
    </row>
    <row r="198" spans="1:14" ht="15" customHeight="1" x14ac:dyDescent="0.3">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3">
      <c r="A199" s="12"/>
      <c r="B199" s="22" t="s">
        <v>44</v>
      </c>
      <c r="C199" s="14"/>
      <c r="D199" s="15"/>
      <c r="E199" s="16"/>
      <c r="F199" s="16"/>
      <c r="G199" s="19"/>
      <c r="H199" s="18"/>
      <c r="I199" s="19"/>
      <c r="J199" s="20">
        <f>0.13*G198*239222.83</f>
        <v>3809.1140982210081</v>
      </c>
      <c r="K199" s="16"/>
      <c r="M199" s="21"/>
      <c r="N199" s="21"/>
    </row>
    <row r="200" spans="1:14" ht="15" customHeight="1" x14ac:dyDescent="0.3">
      <c r="A200" s="25"/>
      <c r="B200" s="22"/>
      <c r="C200" s="26"/>
      <c r="D200" s="17"/>
      <c r="E200" s="17"/>
      <c r="F200" s="17"/>
      <c r="G200" s="45"/>
      <c r="H200" s="45"/>
      <c r="I200" s="45"/>
      <c r="J200" s="39"/>
      <c r="K200" s="30"/>
    </row>
    <row r="201" spans="1:14" ht="28.8" x14ac:dyDescent="0.3">
      <c r="A201" s="12">
        <v>26</v>
      </c>
      <c r="B201" s="54" t="s">
        <v>124</v>
      </c>
      <c r="C201" s="14"/>
      <c r="D201" s="15"/>
      <c r="E201" s="16"/>
      <c r="F201" s="16"/>
      <c r="G201" s="19"/>
      <c r="H201" s="18"/>
      <c r="I201" s="19"/>
      <c r="J201" s="37"/>
      <c r="K201" s="16"/>
    </row>
    <row r="202" spans="1:14" x14ac:dyDescent="0.3">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3">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3">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3">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3">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3">
      <c r="A207" s="12"/>
      <c r="B207" s="54"/>
      <c r="C207" s="14"/>
      <c r="D207" s="15"/>
      <c r="E207" s="16"/>
      <c r="F207" s="16"/>
      <c r="G207" s="19"/>
      <c r="H207" s="18"/>
      <c r="I207" s="19"/>
      <c r="J207" s="37"/>
      <c r="K207" s="16"/>
    </row>
    <row r="208" spans="1:14" ht="43.2" x14ac:dyDescent="0.3">
      <c r="A208" s="25">
        <v>27</v>
      </c>
      <c r="B208" s="24" t="s">
        <v>125</v>
      </c>
      <c r="C208" s="26"/>
      <c r="D208" s="17"/>
      <c r="E208" s="17"/>
      <c r="F208" s="17"/>
      <c r="G208" s="45"/>
      <c r="H208" s="45"/>
      <c r="I208" s="45"/>
      <c r="J208" s="39"/>
      <c r="K208" s="30"/>
    </row>
    <row r="209" spans="1:19" ht="15" customHeight="1" x14ac:dyDescent="0.3">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3">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3">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3">
      <c r="A212" s="25"/>
      <c r="B212" s="22" t="s">
        <v>85</v>
      </c>
      <c r="C212" s="26"/>
      <c r="D212" s="17"/>
      <c r="E212" s="17"/>
      <c r="F212" s="17"/>
      <c r="G212" s="45"/>
      <c r="H212" s="45"/>
      <c r="I212" s="45"/>
      <c r="J212" s="39">
        <f>0.13*G211*((9888.94)/0.92)</f>
        <v>1557.6649658736014</v>
      </c>
      <c r="K212" s="30"/>
      <c r="M212" s="58"/>
    </row>
    <row r="213" spans="1:19" ht="15" customHeight="1" x14ac:dyDescent="0.3">
      <c r="A213" s="25"/>
      <c r="B213" s="22"/>
      <c r="C213" s="26"/>
      <c r="D213" s="17"/>
      <c r="E213" s="17"/>
      <c r="F213" s="17"/>
      <c r="G213" s="45"/>
      <c r="H213" s="45"/>
      <c r="I213" s="45"/>
      <c r="J213" s="39"/>
      <c r="K213" s="30"/>
      <c r="M213" s="58"/>
    </row>
    <row r="214" spans="1:19" ht="30.6" x14ac:dyDescent="0.3">
      <c r="A214" s="25">
        <v>28</v>
      </c>
      <c r="B214" s="11" t="s">
        <v>97</v>
      </c>
      <c r="C214" s="26"/>
      <c r="D214" s="17"/>
      <c r="E214" s="17"/>
      <c r="F214" s="17"/>
      <c r="G214" s="45"/>
      <c r="H214" s="45"/>
      <c r="I214" s="45"/>
      <c r="J214" s="39"/>
      <c r="K214" s="30"/>
      <c r="M214" s="58"/>
    </row>
    <row r="215" spans="1:19" ht="15" customHeight="1" x14ac:dyDescent="0.3">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3">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3">
      <c r="A217" s="25"/>
      <c r="B217" s="22" t="s">
        <v>85</v>
      </c>
      <c r="C217" s="26"/>
      <c r="D217" s="17"/>
      <c r="E217" s="17"/>
      <c r="F217" s="17"/>
      <c r="G217" s="45"/>
      <c r="H217" s="45"/>
      <c r="I217" s="45"/>
      <c r="J217" s="39">
        <f>0.13*G216*((20356.18)/2.114)</f>
        <v>2441.9765310069674</v>
      </c>
      <c r="K217" s="30"/>
      <c r="M217" s="58"/>
    </row>
    <row r="218" spans="1:19" ht="15.6" x14ac:dyDescent="0.3">
      <c r="A218" s="25"/>
      <c r="B218" s="11"/>
      <c r="C218" s="26"/>
      <c r="D218" s="17"/>
      <c r="E218" s="17"/>
      <c r="F218" s="17"/>
      <c r="G218" s="45"/>
      <c r="H218" s="45"/>
      <c r="I218" s="45"/>
      <c r="J218" s="39"/>
      <c r="K218" s="30"/>
      <c r="M218" s="58"/>
    </row>
    <row r="219" spans="1:19" ht="28.8" x14ac:dyDescent="0.3">
      <c r="A219" s="25">
        <v>29</v>
      </c>
      <c r="B219" s="24" t="s">
        <v>99</v>
      </c>
      <c r="C219" s="26"/>
      <c r="D219" s="17"/>
      <c r="E219" s="17"/>
      <c r="F219" s="17"/>
      <c r="G219" s="45"/>
      <c r="H219" s="45"/>
      <c r="I219" s="45"/>
      <c r="J219" s="39"/>
      <c r="K219" s="30"/>
    </row>
    <row r="220" spans="1:19" ht="15" customHeight="1" x14ac:dyDescent="0.3">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3">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3">
      <c r="A222" s="25"/>
      <c r="B222" s="24"/>
      <c r="C222" s="26"/>
      <c r="D222" s="17"/>
      <c r="E222" s="17"/>
      <c r="F222" s="17"/>
      <c r="G222" s="45"/>
      <c r="H222" s="45"/>
      <c r="I222" s="45"/>
      <c r="J222" s="39"/>
      <c r="K222" s="30"/>
    </row>
    <row r="223" spans="1:19" ht="28.8" hidden="1" x14ac:dyDescent="0.3">
      <c r="A223" s="12">
        <v>32</v>
      </c>
      <c r="B223" s="84" t="s">
        <v>100</v>
      </c>
      <c r="C223" s="14"/>
      <c r="D223" s="15"/>
      <c r="E223" s="16"/>
      <c r="F223" s="16"/>
      <c r="G223" s="19"/>
      <c r="H223" s="18"/>
      <c r="I223" s="19"/>
      <c r="J223" s="20"/>
      <c r="K223" s="16"/>
      <c r="M223" s="21"/>
      <c r="N223" s="1"/>
      <c r="O223" s="1"/>
      <c r="P223" s="1"/>
      <c r="Q223" s="1"/>
      <c r="R223" s="21"/>
      <c r="S223" s="21"/>
    </row>
    <row r="224" spans="1:19" ht="15" hidden="1" customHeight="1" x14ac:dyDescent="0.3">
      <c r="A224" s="12"/>
      <c r="B224" s="13" t="s">
        <v>101</v>
      </c>
      <c r="C224" s="14">
        <v>2</v>
      </c>
      <c r="D224" s="15">
        <f>((15.667+16.25)/2)/3.281</f>
        <v>4.8639134410240779</v>
      </c>
      <c r="E224" s="16">
        <f>((10.75)/3.281)</f>
        <v>3.2764401097226452</v>
      </c>
      <c r="F224" s="16"/>
      <c r="G224" s="17">
        <f t="shared" ref="G224" si="17">PRODUCT(C224:F224)</f>
        <v>31.872642176780758</v>
      </c>
      <c r="H224" s="18"/>
      <c r="I224" s="19"/>
      <c r="J224" s="20"/>
      <c r="K224" s="16"/>
      <c r="M224" s="21"/>
      <c r="N224" s="1"/>
      <c r="O224" s="1"/>
      <c r="P224" s="1"/>
      <c r="Q224" s="1"/>
      <c r="R224" s="21"/>
      <c r="S224" s="21"/>
    </row>
    <row r="225" spans="1:19" ht="15" hidden="1" customHeight="1" x14ac:dyDescent="0.3">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3">
      <c r="A226" s="25"/>
      <c r="B226" s="22" t="s">
        <v>85</v>
      </c>
      <c r="C226" s="26"/>
      <c r="D226" s="17"/>
      <c r="E226" s="17"/>
      <c r="F226" s="17"/>
      <c r="G226" s="45"/>
      <c r="H226" s="45"/>
      <c r="I226" s="45"/>
      <c r="J226" s="39">
        <f>0.13*G225*((221748.75)/100)</f>
        <v>0</v>
      </c>
      <c r="K226" s="30"/>
    </row>
    <row r="227" spans="1:19" ht="15" hidden="1" customHeight="1" x14ac:dyDescent="0.3">
      <c r="A227" s="25"/>
      <c r="B227" s="22"/>
      <c r="C227" s="26"/>
      <c r="D227" s="17"/>
      <c r="E227" s="17"/>
      <c r="F227" s="17"/>
      <c r="G227" s="45"/>
      <c r="H227" s="45"/>
      <c r="I227" s="45"/>
      <c r="J227" s="39"/>
      <c r="K227" s="30"/>
    </row>
    <row r="228" spans="1:19" ht="28.8" hidden="1" x14ac:dyDescent="0.3">
      <c r="A228" s="12">
        <v>33</v>
      </c>
      <c r="B228" s="84" t="s">
        <v>102</v>
      </c>
      <c r="C228" s="26"/>
      <c r="D228" s="17"/>
      <c r="E228" s="17"/>
      <c r="F228" s="17"/>
      <c r="G228" s="45"/>
      <c r="H228" s="45"/>
      <c r="I228" s="45"/>
      <c r="J228" s="39"/>
      <c r="K228" s="30"/>
    </row>
    <row r="229" spans="1:19" ht="15" hidden="1" customHeight="1" x14ac:dyDescent="0.3">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3">
      <c r="A230" s="25"/>
      <c r="B230" s="22" t="s">
        <v>25</v>
      </c>
      <c r="C230" s="26"/>
      <c r="D230" s="17"/>
      <c r="E230" s="17"/>
      <c r="F230" s="17"/>
      <c r="G230" s="27">
        <f>0*SUM(G229:G229)</f>
        <v>0</v>
      </c>
      <c r="H230" s="27" t="s">
        <v>68</v>
      </c>
      <c r="I230" s="28">
        <v>1842.85</v>
      </c>
      <c r="J230" s="29">
        <f>G230*I230</f>
        <v>0</v>
      </c>
      <c r="K230" s="30"/>
    </row>
    <row r="231" spans="1:19" ht="15" hidden="1" customHeight="1" x14ac:dyDescent="0.3">
      <c r="A231" s="25"/>
      <c r="B231" s="22" t="s">
        <v>85</v>
      </c>
      <c r="C231" s="26"/>
      <c r="D231" s="17"/>
      <c r="E231" s="17"/>
      <c r="F231" s="17"/>
      <c r="G231" s="45"/>
      <c r="H231" s="45"/>
      <c r="I231" s="45"/>
      <c r="J231" s="39">
        <f>0.13*G230*((164000)/100)</f>
        <v>0</v>
      </c>
      <c r="K231" s="30"/>
    </row>
    <row r="232" spans="1:19" ht="15" hidden="1" customHeight="1" x14ac:dyDescent="0.3">
      <c r="A232" s="25"/>
      <c r="B232" s="22"/>
      <c r="C232" s="26"/>
      <c r="D232" s="17"/>
      <c r="E232" s="17"/>
      <c r="F232" s="17"/>
      <c r="G232" s="45"/>
      <c r="H232" s="45"/>
      <c r="I232" s="45"/>
      <c r="J232" s="39"/>
      <c r="K232" s="30"/>
    </row>
    <row r="233" spans="1:19" ht="28.8" hidden="1" x14ac:dyDescent="0.3">
      <c r="A233" s="25">
        <v>34</v>
      </c>
      <c r="B233" s="84" t="s">
        <v>103</v>
      </c>
      <c r="C233" s="26"/>
      <c r="D233" s="17"/>
      <c r="E233" s="17"/>
      <c r="F233" s="17"/>
      <c r="G233" s="45"/>
      <c r="H233" s="45"/>
      <c r="I233" s="45"/>
      <c r="J233" s="39"/>
      <c r="K233" s="30"/>
    </row>
    <row r="234" spans="1:19" hidden="1" x14ac:dyDescent="0.3">
      <c r="A234" s="25"/>
      <c r="B234" s="22" t="s">
        <v>104</v>
      </c>
      <c r="C234" s="26">
        <v>4</v>
      </c>
      <c r="D234" s="17"/>
      <c r="E234" s="17"/>
      <c r="F234" s="17"/>
      <c r="G234" s="17">
        <f t="shared" ref="G234" si="18">PRODUCT(C234:F234)</f>
        <v>4</v>
      </c>
      <c r="H234" s="45"/>
      <c r="I234" s="45"/>
      <c r="J234" s="39"/>
      <c r="K234" s="30"/>
    </row>
    <row r="235" spans="1:19" ht="15" hidden="1" customHeight="1" x14ac:dyDescent="0.3">
      <c r="A235" s="25"/>
      <c r="B235" s="22" t="s">
        <v>25</v>
      </c>
      <c r="C235" s="26"/>
      <c r="D235" s="17"/>
      <c r="E235" s="17"/>
      <c r="F235" s="17"/>
      <c r="G235" s="27">
        <f>0*SUM(G234)</f>
        <v>0</v>
      </c>
      <c r="H235" s="27" t="s">
        <v>90</v>
      </c>
      <c r="I235" s="28">
        <v>279</v>
      </c>
      <c r="J235" s="29">
        <f>G235*I235</f>
        <v>0</v>
      </c>
      <c r="K235" s="30"/>
    </row>
    <row r="236" spans="1:19" ht="15" hidden="1" customHeight="1" x14ac:dyDescent="0.3">
      <c r="A236" s="25"/>
      <c r="B236" s="22" t="s">
        <v>85</v>
      </c>
      <c r="C236" s="26"/>
      <c r="D236" s="17"/>
      <c r="E236" s="17"/>
      <c r="F236" s="17"/>
      <c r="G236" s="45"/>
      <c r="H236" s="45"/>
      <c r="I236" s="45"/>
      <c r="J236" s="39">
        <f>0.13*J235</f>
        <v>0</v>
      </c>
      <c r="K236" s="30"/>
    </row>
    <row r="237" spans="1:19" hidden="1" x14ac:dyDescent="0.3">
      <c r="A237" s="25"/>
      <c r="B237" s="24"/>
      <c r="C237" s="26"/>
      <c r="D237" s="17"/>
      <c r="E237" s="17"/>
      <c r="F237" s="17"/>
      <c r="G237" s="45"/>
      <c r="H237" s="45"/>
      <c r="I237" s="45"/>
      <c r="J237" s="39"/>
      <c r="K237" s="30"/>
    </row>
    <row r="238" spans="1:19" ht="28.8" x14ac:dyDescent="0.3">
      <c r="A238" s="12">
        <v>30</v>
      </c>
      <c r="B238" s="84" t="s">
        <v>118</v>
      </c>
      <c r="C238" s="14"/>
      <c r="D238" s="15"/>
      <c r="E238" s="16"/>
      <c r="F238" s="16"/>
      <c r="G238" s="19"/>
      <c r="H238" s="18"/>
      <c r="I238" s="19"/>
      <c r="J238" s="20"/>
      <c r="K238" s="16"/>
      <c r="M238" s="21"/>
      <c r="N238" s="1"/>
      <c r="O238" s="1"/>
      <c r="P238" s="1"/>
      <c r="Q238" s="1"/>
      <c r="R238" s="21"/>
      <c r="S238" s="21"/>
    </row>
    <row r="239" spans="1:19" ht="15" customHeight="1" x14ac:dyDescent="0.3">
      <c r="A239" s="12"/>
      <c r="B239" s="13" t="s">
        <v>101</v>
      </c>
      <c r="C239" s="14">
        <v>2</v>
      </c>
      <c r="D239" s="15">
        <f>(((15.667+16.25)/2)/3.281)+0.2</f>
        <v>5.063913441024078</v>
      </c>
      <c r="E239" s="16">
        <f>((10.75)/3.281)</f>
        <v>3.2764401097226452</v>
      </c>
      <c r="F239" s="16"/>
      <c r="G239" s="17">
        <f t="shared" ref="G239" si="19">PRODUCT(C239:F239)</f>
        <v>33.183218220669815</v>
      </c>
      <c r="H239" s="18"/>
      <c r="I239" s="19"/>
      <c r="J239" s="20"/>
      <c r="K239" s="16"/>
      <c r="M239" s="21"/>
      <c r="N239" s="1"/>
      <c r="O239" s="1"/>
      <c r="P239" s="1"/>
      <c r="Q239" s="1"/>
      <c r="R239" s="21"/>
      <c r="S239" s="21"/>
    </row>
    <row r="240" spans="1:19" ht="15" customHeight="1" x14ac:dyDescent="0.3">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3">
      <c r="A241" s="25"/>
      <c r="B241" s="22" t="s">
        <v>85</v>
      </c>
      <c r="C241" s="26"/>
      <c r="D241" s="17"/>
      <c r="E241" s="17"/>
      <c r="F241" s="17"/>
      <c r="G241" s="45"/>
      <c r="H241" s="45"/>
      <c r="I241" s="45"/>
      <c r="J241" s="39">
        <f>0.13*G240*(95368.8/10)</f>
        <v>41140.368123964407</v>
      </c>
      <c r="K241" s="30"/>
    </row>
    <row r="242" spans="1:19" ht="15" customHeight="1" x14ac:dyDescent="0.3">
      <c r="A242" s="25"/>
      <c r="B242" s="22"/>
      <c r="C242" s="26"/>
      <c r="D242" s="17"/>
      <c r="E242" s="17"/>
      <c r="F242" s="17"/>
      <c r="G242" s="45"/>
      <c r="H242" s="45"/>
      <c r="I242" s="45"/>
      <c r="J242" s="39"/>
      <c r="K242" s="30"/>
    </row>
    <row r="243" spans="1:19" ht="43.2" x14ac:dyDescent="0.3">
      <c r="A243" s="25">
        <v>31</v>
      </c>
      <c r="B243" s="24" t="s">
        <v>120</v>
      </c>
      <c r="C243" s="26"/>
      <c r="D243" s="17"/>
      <c r="E243" s="17"/>
      <c r="F243" s="17"/>
      <c r="G243" s="45"/>
      <c r="H243" s="45"/>
      <c r="I243" s="45"/>
      <c r="J243" s="39"/>
      <c r="K243" s="30"/>
    </row>
    <row r="244" spans="1:19" ht="15" customHeight="1" x14ac:dyDescent="0.3">
      <c r="A244" s="12"/>
      <c r="B244" s="13" t="s">
        <v>101</v>
      </c>
      <c r="C244" s="14">
        <v>2</v>
      </c>
      <c r="D244" s="16">
        <f>((10.75)/3.281)</f>
        <v>3.2764401097226452</v>
      </c>
      <c r="E244" s="16"/>
      <c r="F244" s="16"/>
      <c r="G244" s="17">
        <f t="shared" ref="G244" si="20">PRODUCT(C244:F244)</f>
        <v>6.5528802194452904</v>
      </c>
      <c r="H244" s="18"/>
      <c r="I244" s="19"/>
      <c r="J244" s="20"/>
      <c r="K244" s="16"/>
      <c r="M244" s="21"/>
      <c r="N244" s="1"/>
      <c r="O244" s="1"/>
      <c r="P244" s="1"/>
      <c r="Q244" s="1"/>
      <c r="R244" s="21"/>
      <c r="S244" s="21"/>
    </row>
    <row r="245" spans="1:19" ht="15" customHeight="1" x14ac:dyDescent="0.3">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3">
      <c r="A246" s="25"/>
      <c r="B246" s="22"/>
      <c r="C246" s="26"/>
      <c r="D246" s="17"/>
      <c r="E246" s="17"/>
      <c r="F246" s="17"/>
      <c r="G246" s="45"/>
      <c r="H246" s="45"/>
      <c r="I246" s="45"/>
      <c r="J246" s="39"/>
      <c r="K246" s="30"/>
    </row>
    <row r="247" spans="1:19" ht="43.2" x14ac:dyDescent="0.3">
      <c r="A247" s="25">
        <v>32</v>
      </c>
      <c r="B247" s="24" t="s">
        <v>121</v>
      </c>
      <c r="C247" s="26"/>
      <c r="D247" s="17"/>
      <c r="E247" s="17"/>
      <c r="F247" s="17"/>
      <c r="G247" s="45"/>
      <c r="H247" s="45"/>
      <c r="I247" s="45"/>
      <c r="J247" s="39"/>
      <c r="K247" s="30"/>
    </row>
    <row r="248" spans="1:19" ht="15" customHeight="1" x14ac:dyDescent="0.3">
      <c r="A248" s="12"/>
      <c r="B248" s="13" t="s">
        <v>101</v>
      </c>
      <c r="C248" s="14">
        <v>4</v>
      </c>
      <c r="D248" s="16"/>
      <c r="E248" s="16"/>
      <c r="F248" s="16"/>
      <c r="G248" s="17">
        <f t="shared" ref="G248" si="21">PRODUCT(C248:F248)</f>
        <v>4</v>
      </c>
      <c r="H248" s="18"/>
      <c r="I248" s="19"/>
      <c r="J248" s="20"/>
      <c r="K248" s="16"/>
      <c r="M248" s="21"/>
      <c r="N248" s="1"/>
      <c r="O248" s="1"/>
      <c r="P248" s="1"/>
      <c r="Q248" s="1"/>
      <c r="R248" s="21"/>
      <c r="S248" s="21"/>
    </row>
    <row r="249" spans="1:19" ht="15" customHeight="1" x14ac:dyDescent="0.3">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3">
      <c r="A250" s="25"/>
      <c r="B250" s="22" t="s">
        <v>85</v>
      </c>
      <c r="C250" s="26"/>
      <c r="D250" s="17"/>
      <c r="E250" s="17"/>
      <c r="F250" s="17"/>
      <c r="G250" s="45"/>
      <c r="H250" s="45"/>
      <c r="I250" s="45"/>
      <c r="J250" s="39">
        <f>0.13*G249*2664</f>
        <v>1385.28</v>
      </c>
      <c r="K250" s="30"/>
    </row>
    <row r="251" spans="1:19" ht="15" customHeight="1" x14ac:dyDescent="0.3">
      <c r="A251" s="25"/>
      <c r="B251" s="22"/>
      <c r="C251" s="26"/>
      <c r="D251" s="17"/>
      <c r="E251" s="17"/>
      <c r="F251" s="17"/>
      <c r="G251" s="45"/>
      <c r="H251" s="45"/>
      <c r="I251" s="45"/>
      <c r="J251" s="39"/>
      <c r="K251" s="30"/>
    </row>
    <row r="252" spans="1:19" ht="15" customHeight="1" x14ac:dyDescent="0.3">
      <c r="A252" s="25">
        <v>33</v>
      </c>
      <c r="B252" s="24" t="s">
        <v>122</v>
      </c>
      <c r="C252" s="26"/>
      <c r="D252" s="17"/>
      <c r="E252" s="17"/>
      <c r="F252" s="17"/>
      <c r="G252" s="45"/>
      <c r="H252" s="45"/>
      <c r="I252" s="45"/>
      <c r="J252" s="39"/>
      <c r="K252" s="30"/>
    </row>
    <row r="253" spans="1:19" ht="15" customHeight="1" x14ac:dyDescent="0.3">
      <c r="A253" s="12"/>
      <c r="B253" s="13" t="s">
        <v>123</v>
      </c>
      <c r="C253" s="14">
        <v>1</v>
      </c>
      <c r="D253" s="16"/>
      <c r="E253" s="16"/>
      <c r="F253" s="16"/>
      <c r="G253" s="17">
        <f t="shared" ref="G253" si="22">PRODUCT(C253:F253)</f>
        <v>1</v>
      </c>
      <c r="H253" s="18"/>
      <c r="I253" s="19"/>
      <c r="J253" s="20"/>
      <c r="K253" s="16"/>
      <c r="M253" s="21"/>
      <c r="N253" s="1"/>
      <c r="O253" s="1"/>
      <c r="P253" s="1"/>
      <c r="Q253" s="1"/>
      <c r="R253" s="21"/>
      <c r="S253" s="21"/>
    </row>
    <row r="254" spans="1:19" ht="15" customHeight="1" x14ac:dyDescent="0.3">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3">
      <c r="A255" s="25"/>
      <c r="B255" s="22" t="s">
        <v>85</v>
      </c>
      <c r="C255" s="26"/>
      <c r="D255" s="17"/>
      <c r="E255" s="17"/>
      <c r="F255" s="17"/>
      <c r="G255" s="45"/>
      <c r="H255" s="45"/>
      <c r="I255" s="45"/>
      <c r="J255" s="39">
        <f>0.13*G254*6900/100</f>
        <v>8.9700000000000006</v>
      </c>
      <c r="K255" s="30"/>
    </row>
    <row r="256" spans="1:19" ht="15" customHeight="1" x14ac:dyDescent="0.3">
      <c r="A256" s="25"/>
      <c r="B256" s="22"/>
      <c r="C256" s="26"/>
      <c r="D256" s="17"/>
      <c r="E256" s="17"/>
      <c r="F256" s="17"/>
      <c r="G256" s="45"/>
      <c r="H256" s="45"/>
      <c r="I256" s="45"/>
      <c r="J256" s="39"/>
      <c r="K256" s="30"/>
    </row>
    <row r="257" spans="1:14" s="1" customFormat="1" ht="43.2" x14ac:dyDescent="0.3">
      <c r="A257" s="25">
        <v>34</v>
      </c>
      <c r="B257" s="60" t="s">
        <v>119</v>
      </c>
      <c r="C257" s="32">
        <f>3</f>
        <v>3</v>
      </c>
      <c r="D257" s="33">
        <v>3.5</v>
      </c>
      <c r="E257" s="33"/>
      <c r="F257" s="33"/>
      <c r="G257" s="33">
        <f>PRODUCT(C257:F257)</f>
        <v>10.5</v>
      </c>
      <c r="H257" s="25"/>
      <c r="I257" s="25"/>
      <c r="J257" s="25"/>
      <c r="K257" s="34"/>
    </row>
    <row r="258" spans="1:14" ht="15" customHeight="1" x14ac:dyDescent="0.3">
      <c r="A258" s="25"/>
      <c r="B258" s="22" t="s">
        <v>25</v>
      </c>
      <c r="C258" s="26"/>
      <c r="D258" s="17"/>
      <c r="E258" s="17"/>
      <c r="F258" s="17"/>
      <c r="G258" s="27">
        <f>SUM(G257:G257)</f>
        <v>10.5</v>
      </c>
      <c r="H258" s="27" t="s">
        <v>105</v>
      </c>
      <c r="I258" s="27">
        <f>4289.73/1.15</f>
        <v>3730.2</v>
      </c>
      <c r="J258" s="29">
        <f>G257*I258</f>
        <v>39167.1</v>
      </c>
      <c r="K258" s="30"/>
    </row>
    <row r="259" spans="1:14" ht="15" customHeight="1" x14ac:dyDescent="0.3">
      <c r="A259" s="25"/>
      <c r="B259" s="22" t="s">
        <v>85</v>
      </c>
      <c r="C259" s="26"/>
      <c r="D259" s="17"/>
      <c r="E259" s="17"/>
      <c r="F259" s="17"/>
      <c r="G259" s="45"/>
      <c r="H259" s="45"/>
      <c r="I259" s="45"/>
      <c r="J259" s="39">
        <f>0.13*G258*7326/5</f>
        <v>1999.998</v>
      </c>
      <c r="K259" s="30"/>
      <c r="M259" s="58"/>
    </row>
    <row r="260" spans="1:14" ht="15" customHeight="1" x14ac:dyDescent="0.3">
      <c r="A260" s="25"/>
      <c r="B260" s="22"/>
      <c r="C260" s="26"/>
      <c r="D260" s="17"/>
      <c r="E260" s="17"/>
      <c r="F260" s="17"/>
      <c r="G260" s="45"/>
      <c r="H260" s="45"/>
      <c r="I260" s="45"/>
      <c r="J260" s="39"/>
      <c r="K260" s="30"/>
    </row>
    <row r="261" spans="1:14" s="1" customFormat="1" x14ac:dyDescent="0.3">
      <c r="A261" s="12">
        <v>35</v>
      </c>
      <c r="B261" s="54" t="s">
        <v>106</v>
      </c>
      <c r="C261" s="32">
        <v>1</v>
      </c>
      <c r="D261" s="33"/>
      <c r="E261" s="33"/>
      <c r="F261" s="33"/>
      <c r="G261" s="37">
        <f>PRODUCT(C261:F261)</f>
        <v>1</v>
      </c>
      <c r="H261" s="37" t="s">
        <v>107</v>
      </c>
      <c r="I261" s="37">
        <v>50000</v>
      </c>
      <c r="J261" s="39">
        <f>G261*I261</f>
        <v>50000</v>
      </c>
      <c r="K261" s="34"/>
    </row>
    <row r="262" spans="1:14" ht="15" customHeight="1" x14ac:dyDescent="0.3">
      <c r="A262" s="25"/>
      <c r="B262" s="41"/>
      <c r="C262" s="26"/>
      <c r="D262" s="17"/>
      <c r="E262" s="17"/>
      <c r="F262" s="17"/>
      <c r="G262" s="45"/>
      <c r="H262" s="45"/>
      <c r="I262" s="45"/>
      <c r="J262" s="39"/>
      <c r="K262" s="30"/>
    </row>
    <row r="263" spans="1:14" ht="15" customHeight="1" x14ac:dyDescent="0.3">
      <c r="A263" s="12">
        <v>36</v>
      </c>
      <c r="B263" s="61" t="s">
        <v>108</v>
      </c>
      <c r="C263" s="14">
        <v>1</v>
      </c>
      <c r="D263" s="15"/>
      <c r="E263" s="16"/>
      <c r="F263" s="16"/>
      <c r="G263" s="37">
        <f t="shared" ref="G263" si="23">PRODUCT(C263:F263)</f>
        <v>1</v>
      </c>
      <c r="H263" s="18" t="s">
        <v>90</v>
      </c>
      <c r="I263" s="19">
        <v>1000</v>
      </c>
      <c r="J263" s="37">
        <f>G263*I263</f>
        <v>1000</v>
      </c>
      <c r="K263" s="16"/>
      <c r="M263" s="21"/>
      <c r="N263" s="21"/>
    </row>
    <row r="264" spans="1:14" ht="15" customHeight="1" x14ac:dyDescent="0.3">
      <c r="A264" s="12"/>
      <c r="B264" s="59"/>
      <c r="C264" s="14"/>
      <c r="D264" s="15"/>
      <c r="E264" s="16"/>
      <c r="F264" s="16"/>
      <c r="G264" s="19"/>
      <c r="H264" s="18"/>
      <c r="I264" s="19"/>
      <c r="J264" s="20"/>
      <c r="K264" s="16"/>
      <c r="M264" s="21"/>
      <c r="N264" s="21"/>
    </row>
    <row r="265" spans="1:14" x14ac:dyDescent="0.3">
      <c r="A265" s="25"/>
      <c r="B265" s="62" t="s">
        <v>109</v>
      </c>
      <c r="C265" s="63"/>
      <c r="D265" s="64"/>
      <c r="E265" s="64"/>
      <c r="F265" s="64"/>
      <c r="G265" s="20"/>
      <c r="H265" s="20"/>
      <c r="I265" s="20"/>
      <c r="J265" s="20">
        <f>SUM(J14:J263)</f>
        <v>1886794.504041455</v>
      </c>
      <c r="K265" s="30"/>
    </row>
    <row r="267" spans="1:14" s="1" customFormat="1" x14ac:dyDescent="0.3">
      <c r="B267" s="34" t="s">
        <v>110</v>
      </c>
      <c r="C267" s="72">
        <f>J265</f>
        <v>1886794.504041455</v>
      </c>
      <c r="D267" s="73"/>
      <c r="E267" s="33">
        <v>100</v>
      </c>
      <c r="F267" s="65"/>
      <c r="G267" s="66"/>
      <c r="H267" s="65"/>
      <c r="I267" s="67"/>
      <c r="J267" s="68"/>
      <c r="K267" s="69"/>
    </row>
    <row r="268" spans="1:14" x14ac:dyDescent="0.3">
      <c r="B268" s="34" t="s">
        <v>111</v>
      </c>
      <c r="C268" s="76">
        <v>2250000</v>
      </c>
      <c r="D268" s="77"/>
      <c r="E268" s="33"/>
    </row>
    <row r="269" spans="1:14" x14ac:dyDescent="0.3">
      <c r="B269" s="34" t="s">
        <v>112</v>
      </c>
      <c r="C269" s="76">
        <f>C268-C271-C272</f>
        <v>2137500</v>
      </c>
      <c r="D269" s="77"/>
      <c r="E269" s="33">
        <f>C269/C267*100</f>
        <v>113.28737684053785</v>
      </c>
    </row>
    <row r="270" spans="1:14" x14ac:dyDescent="0.3">
      <c r="B270" s="34" t="s">
        <v>113</v>
      </c>
      <c r="C270" s="78">
        <f>C267-C269</f>
        <v>-250705.49595854501</v>
      </c>
      <c r="D270" s="78"/>
      <c r="E270" s="33">
        <f>100-E269</f>
        <v>-13.287376840537846</v>
      </c>
    </row>
    <row r="271" spans="1:14" x14ac:dyDescent="0.3">
      <c r="B271" s="34" t="s">
        <v>114</v>
      </c>
      <c r="C271" s="72">
        <f>C268*0.03</f>
        <v>67500</v>
      </c>
      <c r="D271" s="73"/>
      <c r="E271" s="33">
        <v>3</v>
      </c>
    </row>
    <row r="272" spans="1:14" x14ac:dyDescent="0.3">
      <c r="B272" s="34" t="s">
        <v>115</v>
      </c>
      <c r="C272" s="72">
        <f>C268*0.02</f>
        <v>45000</v>
      </c>
      <c r="D272" s="73"/>
      <c r="E272" s="33">
        <v>2</v>
      </c>
    </row>
  </sheetData>
  <mergeCells count="15">
    <mergeCell ref="A6:F6"/>
    <mergeCell ref="H6:K6"/>
    <mergeCell ref="A1:K1"/>
    <mergeCell ref="A2:K2"/>
    <mergeCell ref="A3:K3"/>
    <mergeCell ref="A4:K4"/>
    <mergeCell ref="A5:K5"/>
    <mergeCell ref="C271:D271"/>
    <mergeCell ref="C272:D272"/>
    <mergeCell ref="A7:F7"/>
    <mergeCell ref="H7:K7"/>
    <mergeCell ref="C267:D267"/>
    <mergeCell ref="C268:D268"/>
    <mergeCell ref="C269:D269"/>
    <mergeCell ref="C270:D27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abSelected="1" topLeftCell="A223" zoomScaleNormal="100" zoomScaleSheetLayoutView="80" workbookViewId="0">
      <selection activeCell="O239" sqref="O239"/>
    </sheetView>
  </sheetViews>
  <sheetFormatPr defaultRowHeight="14.4" x14ac:dyDescent="0.3"/>
  <cols>
    <col min="1" max="1" width="4.44140625" style="70" customWidth="1"/>
    <col min="2" max="2" width="31.33203125" customWidth="1"/>
    <col min="3" max="3" width="4.5546875" bestFit="1" customWidth="1"/>
    <col min="4" max="4" width="9.33203125" customWidth="1"/>
    <col min="5" max="5" width="7.88671875" customWidth="1"/>
    <col min="6" max="6" width="8.33203125" customWidth="1"/>
    <col min="7" max="7" width="8.5546875" style="71" customWidth="1"/>
    <col min="8" max="8" width="5.33203125" style="71" bestFit="1" customWidth="1"/>
    <col min="9" max="9" width="10.44140625" style="71" customWidth="1"/>
    <col min="10" max="10" width="10.5546875" style="71" bestFit="1" customWidth="1"/>
    <col min="11" max="11" width="8.88671875" customWidth="1"/>
    <col min="14" max="14" width="9.5546875" bestFit="1" customWidth="1"/>
  </cols>
  <sheetData>
    <row r="1" spans="1:14" s="1" customFormat="1" x14ac:dyDescent="0.3">
      <c r="A1" s="80" t="s">
        <v>0</v>
      </c>
      <c r="B1" s="80"/>
      <c r="C1" s="80"/>
      <c r="D1" s="80"/>
      <c r="E1" s="80"/>
      <c r="F1" s="80"/>
      <c r="G1" s="80"/>
      <c r="H1" s="80"/>
      <c r="I1" s="80"/>
      <c r="J1" s="80"/>
      <c r="K1" s="80"/>
    </row>
    <row r="2" spans="1:14" s="1" customFormat="1" ht="22.8" x14ac:dyDescent="0.3">
      <c r="A2" s="81" t="s">
        <v>1</v>
      </c>
      <c r="B2" s="81"/>
      <c r="C2" s="81"/>
      <c r="D2" s="81"/>
      <c r="E2" s="81"/>
      <c r="F2" s="81"/>
      <c r="G2" s="81"/>
      <c r="H2" s="81"/>
      <c r="I2" s="81"/>
      <c r="J2" s="81"/>
      <c r="K2" s="81"/>
    </row>
    <row r="3" spans="1:14" s="1" customFormat="1" x14ac:dyDescent="0.3">
      <c r="A3" s="82" t="s">
        <v>2</v>
      </c>
      <c r="B3" s="82"/>
      <c r="C3" s="82"/>
      <c r="D3" s="82"/>
      <c r="E3" s="82"/>
      <c r="F3" s="82"/>
      <c r="G3" s="82"/>
      <c r="H3" s="82"/>
      <c r="I3" s="82"/>
      <c r="J3" s="82"/>
      <c r="K3" s="82"/>
    </row>
    <row r="4" spans="1:14" s="1" customFormat="1" x14ac:dyDescent="0.3">
      <c r="A4" s="82" t="s">
        <v>3</v>
      </c>
      <c r="B4" s="82"/>
      <c r="C4" s="82"/>
      <c r="D4" s="82"/>
      <c r="E4" s="82"/>
      <c r="F4" s="82"/>
      <c r="G4" s="82"/>
      <c r="H4" s="82"/>
      <c r="I4" s="82"/>
      <c r="J4" s="82"/>
      <c r="K4" s="82"/>
    </row>
    <row r="5" spans="1:14" ht="17.399999999999999" x14ac:dyDescent="0.3">
      <c r="A5" s="83" t="s">
        <v>4</v>
      </c>
      <c r="B5" s="83"/>
      <c r="C5" s="83"/>
      <c r="D5" s="83"/>
      <c r="E5" s="83"/>
      <c r="F5" s="83"/>
      <c r="G5" s="83"/>
      <c r="H5" s="83"/>
      <c r="I5" s="83"/>
      <c r="J5" s="83"/>
      <c r="K5" s="83"/>
    </row>
    <row r="6" spans="1:14" ht="15.6" x14ac:dyDescent="0.3">
      <c r="A6" s="79" t="s">
        <v>5</v>
      </c>
      <c r="B6" s="79"/>
      <c r="C6" s="79"/>
      <c r="D6" s="79"/>
      <c r="E6" s="79"/>
      <c r="F6" s="79"/>
      <c r="G6" s="2"/>
      <c r="H6" s="75" t="s">
        <v>6</v>
      </c>
      <c r="I6" s="75"/>
      <c r="J6" s="75"/>
      <c r="K6" s="75"/>
    </row>
    <row r="7" spans="1:14" ht="15.6" x14ac:dyDescent="0.3">
      <c r="A7" s="74" t="s">
        <v>7</v>
      </c>
      <c r="B7" s="74"/>
      <c r="C7" s="74"/>
      <c r="D7" s="74"/>
      <c r="E7" s="74"/>
      <c r="F7" s="74"/>
      <c r="G7" s="3"/>
      <c r="H7" s="75" t="s">
        <v>8</v>
      </c>
      <c r="I7" s="75"/>
      <c r="J7" s="75"/>
      <c r="K7" s="75"/>
    </row>
    <row r="8" spans="1:14" s="9" customFormat="1" ht="15" customHeight="1" x14ac:dyDescent="0.3">
      <c r="A8" s="4" t="s">
        <v>9</v>
      </c>
      <c r="B8" s="5" t="s">
        <v>10</v>
      </c>
      <c r="C8" s="6" t="s">
        <v>11</v>
      </c>
      <c r="D8" s="7" t="s">
        <v>12</v>
      </c>
      <c r="E8" s="7" t="s">
        <v>13</v>
      </c>
      <c r="F8" s="7" t="s">
        <v>14</v>
      </c>
      <c r="G8" s="7" t="s">
        <v>15</v>
      </c>
      <c r="H8" s="6" t="s">
        <v>16</v>
      </c>
      <c r="I8" s="7" t="s">
        <v>17</v>
      </c>
      <c r="J8" s="7" t="s">
        <v>18</v>
      </c>
      <c r="K8" s="8" t="s">
        <v>19</v>
      </c>
    </row>
    <row r="9" spans="1:14" ht="30.6" x14ac:dyDescent="0.3">
      <c r="A9" s="10">
        <v>1</v>
      </c>
      <c r="B9" s="11" t="s">
        <v>20</v>
      </c>
      <c r="C9" s="6"/>
      <c r="D9" s="7"/>
      <c r="E9" s="7"/>
      <c r="F9" s="7"/>
      <c r="G9" s="7"/>
      <c r="H9" s="6"/>
      <c r="I9" s="7"/>
      <c r="J9" s="7"/>
      <c r="K9" s="8"/>
    </row>
    <row r="10" spans="1:14" ht="15" customHeight="1" x14ac:dyDescent="0.3">
      <c r="A10" s="12"/>
      <c r="B10" s="13" t="s">
        <v>21</v>
      </c>
      <c r="C10" s="14">
        <v>1</v>
      </c>
      <c r="D10" s="15"/>
      <c r="E10" s="16">
        <f>10.75/3.281</f>
        <v>3.2764401097226452</v>
      </c>
      <c r="F10" s="16">
        <f>(9.42+7.75)/3.281</f>
        <v>5.233160621761658</v>
      </c>
      <c r="G10" s="17">
        <f t="shared" ref="G10:G13" si="0">PRODUCT(C10:F10)</f>
        <v>17.146137361760992</v>
      </c>
      <c r="H10" s="18"/>
      <c r="I10" s="19"/>
      <c r="J10" s="20"/>
      <c r="K10" s="16"/>
      <c r="M10" s="21"/>
      <c r="N10" s="21"/>
    </row>
    <row r="11" spans="1:14" ht="15" customHeight="1" x14ac:dyDescent="0.3">
      <c r="A11" s="12"/>
      <c r="B11" s="13" t="s">
        <v>22</v>
      </c>
      <c r="C11" s="14">
        <v>-1</v>
      </c>
      <c r="D11" s="15">
        <f>3.5/3.281</f>
        <v>1.0667479427003961</v>
      </c>
      <c r="E11" s="16"/>
      <c r="F11" s="16">
        <v>1.5</v>
      </c>
      <c r="G11" s="17">
        <f t="shared" si="0"/>
        <v>-1.600121914050594</v>
      </c>
      <c r="H11" s="18"/>
      <c r="I11" s="19"/>
      <c r="J11" s="20"/>
      <c r="K11" s="16"/>
      <c r="M11" s="21"/>
      <c r="N11" s="21"/>
    </row>
    <row r="12" spans="1:14" ht="15" customHeight="1" x14ac:dyDescent="0.3">
      <c r="A12" s="12"/>
      <c r="B12" s="13" t="s">
        <v>23</v>
      </c>
      <c r="C12" s="14">
        <v>-1</v>
      </c>
      <c r="D12" s="15">
        <f>3.833/3.281</f>
        <v>1.1682413898201769</v>
      </c>
      <c r="E12" s="16"/>
      <c r="F12" s="16">
        <f>7.75/3.281</f>
        <v>2.3620847302651629</v>
      </c>
      <c r="G12" s="17">
        <f t="shared" si="0"/>
        <v>-2.7594851481579914</v>
      </c>
      <c r="H12" s="18"/>
      <c r="I12" s="19"/>
      <c r="J12" s="20"/>
      <c r="K12" s="16"/>
      <c r="M12" s="21"/>
      <c r="N12" s="21"/>
    </row>
    <row r="13" spans="1:14" ht="15" customHeight="1" x14ac:dyDescent="0.3">
      <c r="A13" s="12"/>
      <c r="B13" s="13" t="s">
        <v>24</v>
      </c>
      <c r="C13" s="14">
        <v>1</v>
      </c>
      <c r="D13" s="15"/>
      <c r="E13" s="16">
        <f>(5.75)/3.281</f>
        <v>1.752514477293508</v>
      </c>
      <c r="F13" s="16">
        <f>(9.42+7.75)/3.281</f>
        <v>5.233160621761658</v>
      </c>
      <c r="G13" s="17">
        <f t="shared" si="0"/>
        <v>9.1711897516396004</v>
      </c>
      <c r="H13" s="18"/>
      <c r="I13" s="19"/>
      <c r="J13" s="20"/>
      <c r="K13" s="16"/>
      <c r="M13" s="21"/>
      <c r="N13" s="21"/>
    </row>
    <row r="14" spans="1:14" ht="15" customHeight="1" x14ac:dyDescent="0.3">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3">
      <c r="A15" s="12"/>
      <c r="B15" s="22"/>
      <c r="C15" s="14"/>
      <c r="D15" s="15"/>
      <c r="E15" s="16"/>
      <c r="F15" s="16"/>
      <c r="G15" s="19"/>
      <c r="H15" s="18"/>
      <c r="I15" s="19"/>
      <c r="J15" s="20"/>
      <c r="K15" s="16"/>
      <c r="M15" s="21"/>
      <c r="N15" s="21"/>
    </row>
    <row r="16" spans="1:14" ht="32.25" customHeight="1" x14ac:dyDescent="0.3">
      <c r="A16" s="12">
        <v>2</v>
      </c>
      <c r="B16" s="11" t="s">
        <v>27</v>
      </c>
      <c r="C16" s="14"/>
      <c r="D16" s="15"/>
      <c r="E16" s="16"/>
      <c r="F16" s="16"/>
      <c r="G16" s="19"/>
      <c r="H16" s="18"/>
      <c r="I16" s="19"/>
      <c r="J16" s="20"/>
      <c r="K16" s="16"/>
      <c r="M16" s="21"/>
      <c r="N16" s="21"/>
    </row>
    <row r="17" spans="1:14" ht="15" customHeight="1" x14ac:dyDescent="0.3">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3">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3">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3">
      <c r="A20" s="12"/>
      <c r="B20" s="22"/>
      <c r="C20" s="14"/>
      <c r="D20" s="15"/>
      <c r="E20" s="16"/>
      <c r="F20" s="16"/>
      <c r="G20" s="19"/>
      <c r="H20" s="18"/>
      <c r="I20" s="19"/>
      <c r="J20" s="20"/>
      <c r="K20" s="16"/>
      <c r="M20" s="21"/>
      <c r="N20" s="21"/>
    </row>
    <row r="21" spans="1:14" ht="32.4" x14ac:dyDescent="0.3">
      <c r="A21" s="12">
        <v>3</v>
      </c>
      <c r="B21" s="31" t="s">
        <v>116</v>
      </c>
      <c r="C21" s="14"/>
      <c r="D21" s="15"/>
      <c r="E21" s="16"/>
      <c r="F21" s="16"/>
      <c r="G21" s="19"/>
      <c r="H21" s="18"/>
      <c r="I21" s="19"/>
      <c r="J21" s="20"/>
      <c r="K21" s="16"/>
      <c r="M21" s="21"/>
      <c r="N21" s="21"/>
    </row>
    <row r="22" spans="1:14" ht="15" customHeight="1" x14ac:dyDescent="0.3">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3">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3">
      <c r="A24" s="25"/>
      <c r="B24" s="22"/>
      <c r="C24" s="26"/>
      <c r="D24" s="17"/>
      <c r="E24" s="17"/>
      <c r="F24" s="17"/>
      <c r="G24" s="27"/>
      <c r="H24" s="27"/>
      <c r="I24" s="28"/>
      <c r="J24" s="29"/>
      <c r="K24" s="30"/>
    </row>
    <row r="25" spans="1:14" ht="16.2" x14ac:dyDescent="0.3">
      <c r="A25" s="25">
        <v>4</v>
      </c>
      <c r="B25" s="31" t="s">
        <v>31</v>
      </c>
      <c r="C25" s="32"/>
      <c r="D25" s="33"/>
      <c r="E25" s="33"/>
      <c r="F25" s="33"/>
      <c r="G25" s="33"/>
      <c r="H25" s="34"/>
      <c r="I25" s="33"/>
      <c r="J25" s="33"/>
      <c r="K25" s="34"/>
    </row>
    <row r="26" spans="1:14" x14ac:dyDescent="0.3">
      <c r="A26" s="25"/>
      <c r="B26" s="35" t="s">
        <v>32</v>
      </c>
      <c r="C26" s="32">
        <f>C22</f>
        <v>2</v>
      </c>
      <c r="D26" s="33">
        <f>D22</f>
        <v>0.6</v>
      </c>
      <c r="E26" s="33">
        <f>E22</f>
        <v>0.6</v>
      </c>
      <c r="F26" s="33"/>
      <c r="G26" s="33">
        <f>PRODUCT(C26:F26)</f>
        <v>0.72</v>
      </c>
      <c r="H26" s="34"/>
      <c r="I26" s="34"/>
      <c r="J26" s="33"/>
      <c r="K26" s="34"/>
    </row>
    <row r="27" spans="1:14" x14ac:dyDescent="0.3">
      <c r="A27" s="25"/>
      <c r="B27" s="36" t="s">
        <v>25</v>
      </c>
      <c r="C27" s="32"/>
      <c r="D27" s="33"/>
      <c r="E27" s="33"/>
      <c r="F27" s="33"/>
      <c r="G27" s="37">
        <f>SUM(G26)</f>
        <v>0.72</v>
      </c>
      <c r="H27" s="18" t="s">
        <v>26</v>
      </c>
      <c r="I27" s="38">
        <f>1014.97*1.15</f>
        <v>1167.2155</v>
      </c>
      <c r="J27" s="39">
        <f>G27*I27</f>
        <v>840.39516000000003</v>
      </c>
      <c r="K27" s="34"/>
    </row>
    <row r="28" spans="1:14" x14ac:dyDescent="0.3">
      <c r="A28" s="25"/>
      <c r="B28" s="34"/>
      <c r="C28" s="32"/>
      <c r="D28" s="33"/>
      <c r="E28" s="33"/>
      <c r="F28" s="33"/>
      <c r="G28" s="33"/>
      <c r="H28" s="34"/>
      <c r="I28" s="33"/>
      <c r="J28" s="33"/>
      <c r="K28" s="34"/>
    </row>
    <row r="29" spans="1:14" s="1" customFormat="1" ht="30" x14ac:dyDescent="0.3">
      <c r="A29" s="25">
        <v>5</v>
      </c>
      <c r="B29" s="41" t="s">
        <v>34</v>
      </c>
      <c r="C29" s="32"/>
      <c r="D29" s="33"/>
      <c r="E29" s="33"/>
      <c r="F29" s="33"/>
      <c r="G29" s="33"/>
      <c r="H29" s="34"/>
      <c r="I29" s="33"/>
      <c r="J29" s="33"/>
      <c r="K29" s="34"/>
    </row>
    <row r="30" spans="1:14" x14ac:dyDescent="0.3">
      <c r="A30" s="25"/>
      <c r="B30" s="35" t="s">
        <v>32</v>
      </c>
      <c r="C30" s="32">
        <f>C26</f>
        <v>2</v>
      </c>
      <c r="D30" s="33">
        <f>D26</f>
        <v>0.6</v>
      </c>
      <c r="E30" s="33">
        <f>E26</f>
        <v>0.6</v>
      </c>
      <c r="F30" s="33">
        <v>0.05</v>
      </c>
      <c r="G30" s="33">
        <f>PRODUCT(C30:F30)</f>
        <v>3.5999999999999997E-2</v>
      </c>
      <c r="H30" s="34"/>
      <c r="I30" s="34"/>
      <c r="J30" s="33"/>
      <c r="K30" s="34"/>
    </row>
    <row r="31" spans="1:14" x14ac:dyDescent="0.3">
      <c r="A31" s="25"/>
      <c r="B31" s="36" t="s">
        <v>25</v>
      </c>
      <c r="C31" s="32"/>
      <c r="D31" s="33"/>
      <c r="E31" s="33"/>
      <c r="F31" s="33"/>
      <c r="G31" s="37">
        <f>SUM(G30:G30)</f>
        <v>3.5999999999999997E-2</v>
      </c>
      <c r="H31" s="25" t="s">
        <v>29</v>
      </c>
      <c r="I31" s="38">
        <f>1.15*12983.1</f>
        <v>14930.564999999999</v>
      </c>
      <c r="J31" s="39">
        <f>G31*I31</f>
        <v>537.50033999999994</v>
      </c>
      <c r="K31" s="34"/>
    </row>
    <row r="32" spans="1:14" x14ac:dyDescent="0.3">
      <c r="A32" s="25"/>
      <c r="B32" s="36"/>
      <c r="C32" s="32"/>
      <c r="D32" s="33"/>
      <c r="E32" s="33"/>
      <c r="F32" s="33"/>
      <c r="G32" s="33"/>
      <c r="H32" s="34"/>
      <c r="I32" s="40"/>
      <c r="J32" s="39"/>
      <c r="K32" s="34"/>
    </row>
    <row r="33" spans="1:14" ht="43.2" x14ac:dyDescent="0.3">
      <c r="A33" s="12">
        <v>6</v>
      </c>
      <c r="B33" s="41" t="s">
        <v>35</v>
      </c>
      <c r="C33" s="32" t="s">
        <v>11</v>
      </c>
      <c r="D33" s="42" t="s">
        <v>36</v>
      </c>
      <c r="E33" s="42" t="s">
        <v>37</v>
      </c>
      <c r="F33" s="42" t="s">
        <v>38</v>
      </c>
      <c r="G33" s="42" t="s">
        <v>39</v>
      </c>
      <c r="H33" s="25"/>
      <c r="I33" s="37"/>
      <c r="J33" s="37"/>
      <c r="K33" s="16"/>
    </row>
    <row r="34" spans="1:14" ht="15" customHeight="1" x14ac:dyDescent="0.3">
      <c r="A34" s="12"/>
      <c r="B34" s="43" t="s">
        <v>32</v>
      </c>
      <c r="C34" s="14">
        <f>2*2*(TRUNC(22/6,0)+1)</f>
        <v>16</v>
      </c>
      <c r="D34" s="33">
        <f>24/12/3.281</f>
        <v>0.6095702529716549</v>
      </c>
      <c r="E34" s="33">
        <f>12*12/162</f>
        <v>0.88888888888888884</v>
      </c>
      <c r="F34" s="33">
        <f t="shared" ref="F34:F38" si="1">PRODUCT(C34:E34)</f>
        <v>8.6694435978190914</v>
      </c>
      <c r="G34" s="44">
        <f t="shared" ref="G34:G38" si="2">F34/1000</f>
        <v>8.6694435978190917E-3</v>
      </c>
      <c r="H34" s="18"/>
      <c r="I34" s="19"/>
      <c r="J34" s="37"/>
      <c r="K34" s="16"/>
    </row>
    <row r="35" spans="1:14" ht="15" customHeight="1" x14ac:dyDescent="0.3">
      <c r="A35" s="12"/>
      <c r="B35" s="43" t="s">
        <v>40</v>
      </c>
      <c r="C35" s="14">
        <f>4*2</f>
        <v>8</v>
      </c>
      <c r="D35" s="33">
        <f>(6.5+0.583)/3.281</f>
        <v>2.1587930508991162</v>
      </c>
      <c r="E35" s="33">
        <f>12*12/162</f>
        <v>0.88888888888888884</v>
      </c>
      <c r="F35" s="33">
        <f t="shared" si="1"/>
        <v>15.351417250838159</v>
      </c>
      <c r="G35" s="44">
        <f t="shared" si="2"/>
        <v>1.5351417250838158E-2</v>
      </c>
      <c r="H35" s="18"/>
      <c r="I35" s="19"/>
      <c r="J35" s="37"/>
      <c r="K35" s="16"/>
    </row>
    <row r="36" spans="1:14" ht="15" customHeight="1" x14ac:dyDescent="0.3">
      <c r="A36" s="12"/>
      <c r="B36" s="43" t="s">
        <v>41</v>
      </c>
      <c r="C36" s="14">
        <f>TRUNC((6.12/0.5),0)</f>
        <v>12</v>
      </c>
      <c r="D36" s="33">
        <f>(0.33+0.33+0.33+0.33+0.083*2)/3.281</f>
        <v>0.45291069795793965</v>
      </c>
      <c r="E36" s="33">
        <f>8*8/162</f>
        <v>0.39506172839506171</v>
      </c>
      <c r="F36" s="33">
        <f t="shared" si="1"/>
        <v>2.1471321977265285</v>
      </c>
      <c r="G36" s="44">
        <f t="shared" si="2"/>
        <v>2.1471321977265287E-3</v>
      </c>
      <c r="H36" s="18"/>
      <c r="I36" s="19"/>
      <c r="J36" s="37"/>
      <c r="K36" s="16"/>
    </row>
    <row r="37" spans="1:14" ht="15" customHeight="1" x14ac:dyDescent="0.3">
      <c r="A37" s="12"/>
      <c r="B37" s="43" t="s">
        <v>42</v>
      </c>
      <c r="C37" s="14">
        <f>(TRUNC(D38/0.15,0)+1)</f>
        <v>22</v>
      </c>
      <c r="D37" s="33">
        <f>(16.25-0.333+15.667-0.333)/3.281</f>
        <v>9.5248399878085941</v>
      </c>
      <c r="E37" s="33">
        <f>8*8/162</f>
        <v>0.39506172839506171</v>
      </c>
      <c r="F37" s="33">
        <f t="shared" si="1"/>
        <v>82.783794461941355</v>
      </c>
      <c r="G37" s="44">
        <f t="shared" si="2"/>
        <v>8.2783794461941354E-2</v>
      </c>
      <c r="H37" s="18"/>
      <c r="I37" s="19"/>
      <c r="J37" s="37"/>
      <c r="K37" s="16"/>
    </row>
    <row r="38" spans="1:14" ht="15" customHeight="1" x14ac:dyDescent="0.3">
      <c r="A38" s="12"/>
      <c r="B38" s="43"/>
      <c r="C38" s="14">
        <f>(TRUNC((D37)/0.15,0)+1)</f>
        <v>64</v>
      </c>
      <c r="D38" s="33">
        <f>10.583/3.281</f>
        <v>3.2255409935995121</v>
      </c>
      <c r="E38" s="33">
        <f>8*8/162</f>
        <v>0.39506172839506171</v>
      </c>
      <c r="F38" s="33">
        <f t="shared" si="1"/>
        <v>81.55441919619507</v>
      </c>
      <c r="G38" s="44">
        <f t="shared" si="2"/>
        <v>8.1554419196195077E-2</v>
      </c>
      <c r="H38" s="18"/>
      <c r="I38" s="19"/>
      <c r="J38" s="37"/>
      <c r="K38" s="16"/>
    </row>
    <row r="39" spans="1:14" ht="15" customHeight="1" x14ac:dyDescent="0.3">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3">
      <c r="A40" s="12"/>
      <c r="B40" s="43"/>
      <c r="C40" s="14"/>
      <c r="D40" s="15"/>
      <c r="E40" s="16"/>
      <c r="F40" s="16"/>
      <c r="G40" s="19"/>
      <c r="H40" s="18"/>
      <c r="I40" s="19"/>
      <c r="J40" s="37"/>
      <c r="K40" s="16"/>
    </row>
    <row r="41" spans="1:14" s="1" customFormat="1" ht="30" x14ac:dyDescent="0.3">
      <c r="A41" s="12">
        <v>7</v>
      </c>
      <c r="B41" s="41" t="s">
        <v>45</v>
      </c>
      <c r="C41" s="14"/>
      <c r="D41" s="15"/>
      <c r="E41" s="16"/>
      <c r="F41" s="16"/>
      <c r="G41" s="19"/>
      <c r="H41" s="18"/>
      <c r="I41" s="19"/>
      <c r="J41" s="37"/>
      <c r="K41" s="16"/>
    </row>
    <row r="42" spans="1:14" x14ac:dyDescent="0.3">
      <c r="A42" s="25"/>
      <c r="B42" s="35" t="s">
        <v>40</v>
      </c>
      <c r="C42" s="32">
        <v>2</v>
      </c>
      <c r="D42" s="33">
        <v>0.15</v>
      </c>
      <c r="E42" s="33">
        <v>0.15</v>
      </c>
      <c r="F42" s="33">
        <f>6.5/3.281</f>
        <v>1.9811033221578787</v>
      </c>
      <c r="G42" s="33">
        <f>PRODUCT(C42:F42)</f>
        <v>8.9149649497104536E-2</v>
      </c>
      <c r="H42" s="34"/>
      <c r="I42" s="34"/>
      <c r="J42" s="33"/>
      <c r="K42" s="34"/>
    </row>
    <row r="43" spans="1:14" x14ac:dyDescent="0.3">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3">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3">
      <c r="A45" s="12"/>
      <c r="B45" s="43"/>
      <c r="C45" s="14"/>
      <c r="D45" s="15"/>
      <c r="E45" s="16"/>
      <c r="F45" s="16"/>
      <c r="G45" s="19"/>
      <c r="H45" s="18"/>
      <c r="I45" s="19"/>
      <c r="J45" s="37"/>
      <c r="K45" s="16"/>
    </row>
    <row r="46" spans="1:14" ht="30.6" x14ac:dyDescent="0.3">
      <c r="A46" s="25">
        <v>8</v>
      </c>
      <c r="B46" s="11" t="s">
        <v>48</v>
      </c>
      <c r="C46" s="26"/>
      <c r="D46" s="17"/>
      <c r="E46" s="17"/>
      <c r="F46" s="17"/>
      <c r="G46" s="27"/>
      <c r="H46" s="27"/>
      <c r="I46" s="28"/>
      <c r="J46" s="29"/>
      <c r="K46" s="30"/>
      <c r="N46">
        <f>6.2*3.281+0.23*2</f>
        <v>20.802200000000003</v>
      </c>
    </row>
    <row r="47" spans="1:14" ht="15" customHeight="1" x14ac:dyDescent="0.3">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3">
      <c r="A48" s="25"/>
      <c r="B48" s="22"/>
      <c r="C48" s="26">
        <v>2</v>
      </c>
      <c r="D48" s="17">
        <f>(6.2)</f>
        <v>6.2</v>
      </c>
      <c r="E48" s="17">
        <v>0.23</v>
      </c>
      <c r="F48" s="17">
        <v>0.9</v>
      </c>
      <c r="G48" s="17">
        <f>PRODUCT(C48:F48)</f>
        <v>2.5668000000000002</v>
      </c>
      <c r="H48" s="45"/>
      <c r="I48" s="45"/>
      <c r="J48" s="39"/>
      <c r="K48" s="30"/>
    </row>
    <row r="49" spans="1:14" ht="15" customHeight="1" x14ac:dyDescent="0.3">
      <c r="A49" s="25"/>
      <c r="B49" s="22" t="s">
        <v>25</v>
      </c>
      <c r="C49" s="26"/>
      <c r="D49" s="17"/>
      <c r="E49" s="17"/>
      <c r="F49" s="17"/>
      <c r="G49" s="27">
        <f>0*SUM(G47:G48)</f>
        <v>0</v>
      </c>
      <c r="H49" s="27" t="s">
        <v>29</v>
      </c>
      <c r="I49" s="28">
        <f>1.15*15145.32</f>
        <v>17417.117999999999</v>
      </c>
      <c r="J49" s="29">
        <f>G49*I49</f>
        <v>0</v>
      </c>
      <c r="K49" s="30"/>
    </row>
    <row r="50" spans="1:14" ht="15" customHeight="1" x14ac:dyDescent="0.3">
      <c r="A50" s="25"/>
      <c r="B50" s="22"/>
      <c r="C50" s="26"/>
      <c r="D50" s="17"/>
      <c r="E50" s="17"/>
      <c r="F50" s="17"/>
      <c r="G50" s="27"/>
      <c r="H50" s="27"/>
      <c r="I50" s="28"/>
      <c r="J50" s="29"/>
      <c r="K50" s="30"/>
    </row>
    <row r="51" spans="1:14" ht="30.6" x14ac:dyDescent="0.3">
      <c r="A51" s="25">
        <v>9</v>
      </c>
      <c r="B51" s="11" t="s">
        <v>50</v>
      </c>
      <c r="C51" s="26"/>
      <c r="D51" s="17"/>
      <c r="E51" s="17"/>
      <c r="F51" s="17"/>
      <c r="G51" s="27"/>
      <c r="H51" s="27"/>
      <c r="I51" s="28"/>
      <c r="J51" s="29"/>
      <c r="K51" s="30"/>
    </row>
    <row r="52" spans="1:14" ht="15" customHeight="1" x14ac:dyDescent="0.3">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3">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3">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3">
      <c r="A55" s="25"/>
      <c r="B55" s="22"/>
      <c r="C55" s="26"/>
      <c r="D55" s="17"/>
      <c r="E55" s="17"/>
      <c r="F55" s="17"/>
      <c r="G55" s="27"/>
      <c r="H55" s="27"/>
      <c r="I55" s="28"/>
      <c r="J55" s="29"/>
      <c r="K55" s="30"/>
    </row>
    <row r="56" spans="1:14" ht="46.8" x14ac:dyDescent="0.3">
      <c r="A56" s="12">
        <v>10</v>
      </c>
      <c r="B56" s="23" t="s">
        <v>53</v>
      </c>
      <c r="C56" s="30"/>
      <c r="D56" s="30"/>
      <c r="E56" s="30"/>
      <c r="F56" s="30"/>
      <c r="G56" s="46"/>
      <c r="H56" s="18"/>
      <c r="I56" s="19"/>
      <c r="J56" s="19"/>
      <c r="K56" s="16"/>
      <c r="M56" s="21"/>
    </row>
    <row r="57" spans="1:14" ht="15" customHeight="1" x14ac:dyDescent="0.3">
      <c r="A57" s="12"/>
      <c r="B57" s="13" t="s">
        <v>54</v>
      </c>
      <c r="C57" s="14">
        <v>1</v>
      </c>
      <c r="D57" s="15"/>
      <c r="E57" s="16">
        <f>10.75/3.281</f>
        <v>3.2764401097226452</v>
      </c>
      <c r="F57" s="16">
        <f>(9.42+7.75)/3.281</f>
        <v>5.233160621761658</v>
      </c>
      <c r="G57" s="17">
        <f t="shared" ref="G57:G62" si="3">PRODUCT(C57:F57)</f>
        <v>17.146137361760992</v>
      </c>
      <c r="H57" s="18"/>
      <c r="I57" s="19"/>
      <c r="J57" s="20"/>
      <c r="K57" s="16"/>
      <c r="M57" s="21"/>
      <c r="N57" s="21"/>
    </row>
    <row r="58" spans="1:14" ht="15" customHeight="1" x14ac:dyDescent="0.3">
      <c r="A58" s="12"/>
      <c r="B58" s="13" t="s">
        <v>22</v>
      </c>
      <c r="C58" s="14">
        <v>-1</v>
      </c>
      <c r="D58" s="15">
        <f>3.5/3.281</f>
        <v>1.0667479427003961</v>
      </c>
      <c r="E58" s="16"/>
      <c r="F58" s="16">
        <f>4.5/3.281</f>
        <v>1.3715330691862238</v>
      </c>
      <c r="G58" s="17">
        <f t="shared" si="3"/>
        <v>-1.4630800798999641</v>
      </c>
      <c r="H58" s="18"/>
      <c r="I58" s="19"/>
      <c r="J58" s="20"/>
      <c r="K58" s="16"/>
      <c r="M58" s="21"/>
      <c r="N58" s="21"/>
    </row>
    <row r="59" spans="1:14" ht="15" customHeight="1" x14ac:dyDescent="0.3">
      <c r="A59" s="12"/>
      <c r="B59" s="13" t="s">
        <v>23</v>
      </c>
      <c r="C59" s="14">
        <v>-1</v>
      </c>
      <c r="D59" s="15">
        <f>3.833/3.281</f>
        <v>1.1682413898201769</v>
      </c>
      <c r="E59" s="16"/>
      <c r="F59" s="16">
        <f>6.5/3.281</f>
        <v>1.9811033221578787</v>
      </c>
      <c r="G59" s="17">
        <f t="shared" si="3"/>
        <v>-2.3144068984550898</v>
      </c>
      <c r="H59" s="18"/>
      <c r="I59" s="19"/>
      <c r="J59" s="20"/>
      <c r="K59" s="16"/>
      <c r="M59" s="21"/>
      <c r="N59" s="21"/>
    </row>
    <row r="60" spans="1:14" ht="15" customHeight="1" x14ac:dyDescent="0.3">
      <c r="A60" s="12"/>
      <c r="B60" s="13" t="s">
        <v>55</v>
      </c>
      <c r="C60" s="14">
        <v>1</v>
      </c>
      <c r="D60" s="15"/>
      <c r="E60" s="16">
        <f>(5.75)/3.281</f>
        <v>1.752514477293508</v>
      </c>
      <c r="F60" s="16">
        <f>(9.42+7.75)/3.281</f>
        <v>5.233160621761658</v>
      </c>
      <c r="G60" s="17">
        <f t="shared" si="3"/>
        <v>9.1711897516396004</v>
      </c>
      <c r="H60" s="18"/>
      <c r="I60" s="19"/>
      <c r="J60" s="20"/>
      <c r="K60" s="16"/>
      <c r="M60" s="21"/>
      <c r="N60" s="21"/>
    </row>
    <row r="61" spans="1:14" ht="15" customHeight="1" x14ac:dyDescent="0.3">
      <c r="A61" s="12"/>
      <c r="B61" s="13" t="s">
        <v>56</v>
      </c>
      <c r="C61" s="14">
        <v>-1</v>
      </c>
      <c r="D61" s="15">
        <f>E57+E60</f>
        <v>5.0289545870161536</v>
      </c>
      <c r="E61" s="16"/>
      <c r="F61" s="16">
        <f>13*0.15</f>
        <v>1.95</v>
      </c>
      <c r="G61" s="17">
        <f t="shared" si="3"/>
        <v>-9.8064614446814993</v>
      </c>
      <c r="H61" s="18"/>
      <c r="I61" s="19"/>
      <c r="J61" s="20"/>
      <c r="K61" s="16"/>
      <c r="M61" s="21"/>
      <c r="N61" s="21"/>
    </row>
    <row r="62" spans="1:14" ht="15" customHeight="1" x14ac:dyDescent="0.3">
      <c r="A62" s="12"/>
      <c r="B62" s="13"/>
      <c r="C62" s="14">
        <v>-1</v>
      </c>
      <c r="D62" s="15">
        <f>D61</f>
        <v>5.0289545870161536</v>
      </c>
      <c r="E62" s="16"/>
      <c r="F62" s="16">
        <f>8/12/3.281</f>
        <v>0.20319008432388497</v>
      </c>
      <c r="G62" s="17">
        <f t="shared" si="3"/>
        <v>-1.0218337065968004</v>
      </c>
      <c r="H62" s="18"/>
      <c r="I62" s="19"/>
      <c r="J62" s="20"/>
      <c r="K62" s="16"/>
      <c r="M62" s="21"/>
      <c r="N62" s="21"/>
    </row>
    <row r="63" spans="1:14" s="53" customFormat="1" ht="15" customHeight="1" x14ac:dyDescent="0.3">
      <c r="A63" s="47"/>
      <c r="B63" s="48" t="s">
        <v>57</v>
      </c>
      <c r="C63" s="49">
        <v>1</v>
      </c>
      <c r="D63" s="50">
        <f>2.75+6.2+6.2+2.6</f>
        <v>17.75</v>
      </c>
      <c r="E63" s="50"/>
      <c r="F63" s="50">
        <f>2.6</f>
        <v>2.6</v>
      </c>
      <c r="G63" s="50">
        <f>PRODUCT(C63:F63)</f>
        <v>46.15</v>
      </c>
      <c r="H63" s="50"/>
      <c r="I63" s="50"/>
      <c r="J63" s="51"/>
      <c r="K63" s="52"/>
    </row>
    <row r="64" spans="1:14" s="53" customFormat="1" ht="15" customHeight="1" x14ac:dyDescent="0.3">
      <c r="A64" s="47"/>
      <c r="B64" s="48" t="s">
        <v>58</v>
      </c>
      <c r="C64" s="49">
        <v>-1</v>
      </c>
      <c r="D64" s="50">
        <f>4/3.281</f>
        <v>1.2191405059433098</v>
      </c>
      <c r="E64" s="50"/>
      <c r="F64" s="50">
        <f>6.5/3.281</f>
        <v>1.9811033221578787</v>
      </c>
      <c r="G64" s="50">
        <f t="shared" ref="G64:G76" si="4">PRODUCT(C64:F64)</f>
        <v>-2.415243306501528</v>
      </c>
      <c r="H64" s="50"/>
      <c r="I64" s="50"/>
      <c r="J64" s="51"/>
      <c r="K64" s="52"/>
    </row>
    <row r="65" spans="1:14" s="53" customFormat="1" ht="15" customHeight="1" x14ac:dyDescent="0.3">
      <c r="A65" s="47"/>
      <c r="B65" s="48" t="s">
        <v>59</v>
      </c>
      <c r="C65" s="49">
        <f>-0.5*8</f>
        <v>-4</v>
      </c>
      <c r="D65" s="50">
        <f>0.667/3.281</f>
        <v>0.20329167936604695</v>
      </c>
      <c r="E65" s="50">
        <f>0.667/3.281</f>
        <v>0.20329167936604695</v>
      </c>
      <c r="F65" s="50"/>
      <c r="G65" s="50">
        <f t="shared" si="4"/>
        <v>-0.16531002759787056</v>
      </c>
      <c r="H65" s="50"/>
      <c r="I65" s="50"/>
      <c r="J65" s="51"/>
      <c r="K65" s="52"/>
    </row>
    <row r="66" spans="1:14" s="53" customFormat="1" ht="15" customHeight="1" x14ac:dyDescent="0.3">
      <c r="A66" s="47"/>
      <c r="B66" s="48" t="s">
        <v>60</v>
      </c>
      <c r="C66" s="49">
        <v>2</v>
      </c>
      <c r="D66" s="50">
        <f>2.6</f>
        <v>2.6</v>
      </c>
      <c r="E66" s="50"/>
      <c r="F66" s="50">
        <f>2.6</f>
        <v>2.6</v>
      </c>
      <c r="G66" s="50">
        <f t="shared" si="4"/>
        <v>13.520000000000001</v>
      </c>
      <c r="H66" s="50"/>
      <c r="I66" s="50"/>
      <c r="J66" s="51"/>
      <c r="K66" s="52"/>
    </row>
    <row r="67" spans="1:14" s="53" customFormat="1" ht="15" customHeight="1" x14ac:dyDescent="0.3">
      <c r="A67" s="47"/>
      <c r="B67" s="48"/>
      <c r="C67" s="49">
        <v>2</v>
      </c>
      <c r="D67" s="50">
        <f>6.2-D66</f>
        <v>3.6</v>
      </c>
      <c r="E67" s="50"/>
      <c r="F67" s="50">
        <f>2.6</f>
        <v>2.6</v>
      </c>
      <c r="G67" s="50">
        <f t="shared" si="4"/>
        <v>18.720000000000002</v>
      </c>
      <c r="H67" s="50"/>
      <c r="I67" s="50"/>
      <c r="J67" s="51"/>
      <c r="K67" s="52"/>
    </row>
    <row r="68" spans="1:14" s="53" customFormat="1" ht="15" customHeight="1" x14ac:dyDescent="0.3">
      <c r="A68" s="47"/>
      <c r="B68" s="48" t="s">
        <v>22</v>
      </c>
      <c r="C68" s="49">
        <v>-1</v>
      </c>
      <c r="D68" s="50">
        <f>3.5/3.281</f>
        <v>1.0667479427003961</v>
      </c>
      <c r="E68" s="50"/>
      <c r="F68" s="50">
        <f>4.5/3.281</f>
        <v>1.3715330691862238</v>
      </c>
      <c r="G68" s="50">
        <f t="shared" si="4"/>
        <v>-1.4630800798999641</v>
      </c>
      <c r="H68" s="50"/>
      <c r="I68" s="50"/>
      <c r="J68" s="51"/>
      <c r="K68" s="52"/>
    </row>
    <row r="69" spans="1:14" s="53" customFormat="1" ht="15" customHeight="1" x14ac:dyDescent="0.3">
      <c r="A69" s="47"/>
      <c r="B69" s="48" t="s">
        <v>61</v>
      </c>
      <c r="C69" s="49">
        <f>1</f>
        <v>1</v>
      </c>
      <c r="D69" s="50">
        <f>10.75/3.281</f>
        <v>3.2764401097226452</v>
      </c>
      <c r="E69" s="50"/>
      <c r="F69" s="50">
        <v>0.9</v>
      </c>
      <c r="G69" s="50">
        <f t="shared" si="4"/>
        <v>2.948796098750381</v>
      </c>
      <c r="H69" s="50"/>
      <c r="I69" s="50"/>
      <c r="J69" s="51"/>
      <c r="K69" s="52"/>
    </row>
    <row r="70" spans="1:14" s="53" customFormat="1" ht="15" customHeight="1" x14ac:dyDescent="0.3">
      <c r="A70" s="47"/>
      <c r="B70" s="48"/>
      <c r="C70" s="49">
        <f>1</f>
        <v>1</v>
      </c>
      <c r="D70" s="50"/>
      <c r="E70" s="50">
        <f>E60</f>
        <v>1.752514477293508</v>
      </c>
      <c r="F70" s="50">
        <v>0.9</v>
      </c>
      <c r="G70" s="50">
        <f t="shared" si="4"/>
        <v>1.5772630295641572</v>
      </c>
      <c r="H70" s="50"/>
      <c r="I70" s="50"/>
      <c r="J70" s="51"/>
      <c r="K70" s="52"/>
    </row>
    <row r="71" spans="1:14" s="53" customFormat="1" ht="15" customHeight="1" x14ac:dyDescent="0.3">
      <c r="A71" s="47"/>
      <c r="B71" s="48" t="s">
        <v>62</v>
      </c>
      <c r="C71" s="49">
        <v>2</v>
      </c>
      <c r="D71" s="50">
        <f>D66</f>
        <v>2.6</v>
      </c>
      <c r="E71" s="50"/>
      <c r="F71" s="50">
        <v>0.9</v>
      </c>
      <c r="G71" s="50">
        <f t="shared" si="4"/>
        <v>4.6800000000000006</v>
      </c>
      <c r="H71" s="50"/>
      <c r="I71" s="50"/>
      <c r="J71" s="51"/>
      <c r="K71" s="52"/>
    </row>
    <row r="72" spans="1:14" s="53" customFormat="1" ht="15" customHeight="1" x14ac:dyDescent="0.3">
      <c r="A72" s="47"/>
      <c r="B72" s="48"/>
      <c r="C72" s="49">
        <v>2</v>
      </c>
      <c r="D72" s="50"/>
      <c r="E72" s="50">
        <v>6.2</v>
      </c>
      <c r="F72" s="50">
        <v>0.9</v>
      </c>
      <c r="G72" s="50">
        <f t="shared" si="4"/>
        <v>11.16</v>
      </c>
      <c r="H72" s="50"/>
      <c r="I72" s="50"/>
      <c r="J72" s="51"/>
      <c r="K72" s="52"/>
    </row>
    <row r="73" spans="1:14" s="53" customFormat="1" ht="15" customHeight="1" x14ac:dyDescent="0.3">
      <c r="A73" s="47"/>
      <c r="B73" s="48" t="s">
        <v>63</v>
      </c>
      <c r="C73" s="49">
        <v>-2</v>
      </c>
      <c r="D73" s="50"/>
      <c r="E73" s="50">
        <f>3/3.281</f>
        <v>0.91435537945748246</v>
      </c>
      <c r="F73" s="50">
        <f>2/3.281</f>
        <v>0.6095702529716549</v>
      </c>
      <c r="G73" s="50">
        <f t="shared" si="4"/>
        <v>-1.1147276799237822</v>
      </c>
      <c r="H73" s="50"/>
      <c r="I73" s="50"/>
      <c r="J73" s="51"/>
      <c r="K73" s="52"/>
    </row>
    <row r="74" spans="1:14" s="53" customFormat="1" ht="15" customHeight="1" x14ac:dyDescent="0.3">
      <c r="A74" s="47"/>
      <c r="B74" s="48" t="s">
        <v>64</v>
      </c>
      <c r="C74" s="49">
        <f>2*4</f>
        <v>8</v>
      </c>
      <c r="D74" s="50">
        <f>24/12/3.281</f>
        <v>0.6095702529716549</v>
      </c>
      <c r="E74" s="50"/>
      <c r="F74" s="50">
        <f>5/3.281</f>
        <v>1.5239256324291375</v>
      </c>
      <c r="G74" s="50">
        <f t="shared" si="4"/>
        <v>7.4315178661585479</v>
      </c>
      <c r="H74" s="50"/>
      <c r="I74" s="50"/>
      <c r="J74" s="51"/>
      <c r="K74" s="52"/>
    </row>
    <row r="75" spans="1:14" s="53" customFormat="1" ht="15" customHeight="1" x14ac:dyDescent="0.3">
      <c r="A75" s="47"/>
      <c r="B75" s="48" t="s">
        <v>65</v>
      </c>
      <c r="C75" s="49">
        <f>-2*4</f>
        <v>-8</v>
      </c>
      <c r="D75" s="50">
        <f>24/12/3.281</f>
        <v>0.6095702529716549</v>
      </c>
      <c r="E75" s="50"/>
      <c r="F75" s="50">
        <f>8/12/3.281</f>
        <v>0.20319008432388497</v>
      </c>
      <c r="G75" s="50">
        <f t="shared" si="4"/>
        <v>-0.99086904882113958</v>
      </c>
      <c r="H75" s="50"/>
      <c r="I75" s="50"/>
      <c r="J75" s="51"/>
      <c r="K75" s="52"/>
    </row>
    <row r="76" spans="1:14" s="53" customFormat="1" ht="15" customHeight="1" x14ac:dyDescent="0.3">
      <c r="A76" s="47"/>
      <c r="B76" s="48" t="s">
        <v>66</v>
      </c>
      <c r="C76" s="49">
        <v>1</v>
      </c>
      <c r="D76" s="50">
        <f>10.75/3.281</f>
        <v>3.2764401097226452</v>
      </c>
      <c r="E76" s="50"/>
      <c r="F76" s="50">
        <f>F57+F69</f>
        <v>6.1331606217616583</v>
      </c>
      <c r="G76" s="50">
        <f t="shared" si="4"/>
        <v>20.094933460511374</v>
      </c>
      <c r="H76" s="50"/>
      <c r="I76" s="50"/>
      <c r="J76" s="51"/>
      <c r="K76" s="52"/>
    </row>
    <row r="77" spans="1:14" ht="15" customHeight="1" x14ac:dyDescent="0.3">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3">
      <c r="A78" s="12"/>
      <c r="B78" s="22"/>
      <c r="C78" s="14"/>
      <c r="D78" s="15"/>
      <c r="E78" s="16"/>
      <c r="F78" s="16"/>
      <c r="G78" s="19"/>
      <c r="H78" s="18"/>
      <c r="I78" s="19"/>
      <c r="J78" s="20"/>
      <c r="K78" s="16"/>
      <c r="M78" s="21"/>
      <c r="N78" s="21"/>
    </row>
    <row r="79" spans="1:14" ht="46.8" x14ac:dyDescent="0.3">
      <c r="A79" s="12">
        <v>11</v>
      </c>
      <c r="B79" s="23" t="s">
        <v>67</v>
      </c>
      <c r="C79" s="14"/>
      <c r="D79" s="15"/>
      <c r="E79" s="16"/>
      <c r="F79" s="16"/>
      <c r="G79" s="19"/>
      <c r="H79" s="18"/>
      <c r="I79" s="19"/>
      <c r="J79" s="20"/>
      <c r="K79" s="16"/>
      <c r="M79" s="21"/>
      <c r="N79" s="21"/>
    </row>
    <row r="80" spans="1:14" ht="15" customHeight="1" x14ac:dyDescent="0.3">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3">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3">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3">
      <c r="A83" s="12"/>
      <c r="B83" s="22"/>
      <c r="C83" s="14"/>
      <c r="D83" s="15"/>
      <c r="E83" s="16"/>
      <c r="F83" s="16"/>
      <c r="G83" s="19"/>
      <c r="H83" s="18"/>
      <c r="I83" s="19"/>
      <c r="J83" s="20"/>
      <c r="K83" s="16"/>
      <c r="M83" s="21"/>
      <c r="N83" s="21"/>
    </row>
    <row r="84" spans="1:14" ht="31.2" x14ac:dyDescent="0.3">
      <c r="A84" s="12">
        <v>12</v>
      </c>
      <c r="B84" s="23" t="s">
        <v>69</v>
      </c>
      <c r="C84" s="14"/>
      <c r="D84" s="15"/>
      <c r="E84" s="16"/>
      <c r="F84" s="16"/>
      <c r="G84" s="19"/>
      <c r="H84" s="18"/>
      <c r="I84" s="19"/>
      <c r="J84" s="20"/>
      <c r="K84" s="16"/>
      <c r="M84" s="21"/>
      <c r="N84" s="21"/>
    </row>
    <row r="85" spans="1:14" ht="15" customHeight="1" x14ac:dyDescent="0.3">
      <c r="A85" s="12"/>
      <c r="B85" s="22" t="s">
        <v>49</v>
      </c>
      <c r="C85" s="14">
        <f>1</f>
        <v>1</v>
      </c>
      <c r="D85" s="15">
        <f>D80</f>
        <v>5.0289545870161536</v>
      </c>
      <c r="E85" s="16"/>
      <c r="F85" s="16"/>
      <c r="G85" s="17">
        <f t="shared" ref="G85" si="5">PRODUCT(C85:F85)</f>
        <v>5.0289545870161536</v>
      </c>
      <c r="H85" s="18"/>
      <c r="I85" s="19"/>
      <c r="J85" s="20"/>
      <c r="K85" s="16"/>
      <c r="M85" s="21"/>
      <c r="N85" s="21"/>
    </row>
    <row r="86" spans="1:14" ht="15" customHeight="1" x14ac:dyDescent="0.3">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3">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3">
      <c r="A88" s="12"/>
      <c r="B88" s="22"/>
      <c r="C88" s="14"/>
      <c r="D88" s="15"/>
      <c r="E88" s="16"/>
      <c r="F88" s="16"/>
      <c r="G88" s="19"/>
      <c r="H88" s="18"/>
      <c r="I88" s="19"/>
      <c r="J88" s="20"/>
      <c r="K88" s="16"/>
      <c r="M88" s="21"/>
      <c r="N88" s="21"/>
    </row>
    <row r="89" spans="1:14" ht="46.8" x14ac:dyDescent="0.3">
      <c r="A89" s="12">
        <v>13</v>
      </c>
      <c r="B89" s="23" t="s">
        <v>70</v>
      </c>
      <c r="C89" s="14"/>
      <c r="D89" s="15"/>
      <c r="E89" s="16"/>
      <c r="F89" s="16"/>
      <c r="G89" s="19"/>
      <c r="H89" s="18"/>
      <c r="I89" s="19"/>
      <c r="J89" s="20"/>
      <c r="K89" s="16"/>
      <c r="M89" s="21"/>
      <c r="N89" s="21"/>
    </row>
    <row r="90" spans="1:14" ht="15" customHeight="1" x14ac:dyDescent="0.3">
      <c r="A90" s="12"/>
      <c r="B90" s="22" t="s">
        <v>49</v>
      </c>
      <c r="C90" s="14">
        <f>2*2</f>
        <v>4</v>
      </c>
      <c r="D90" s="15">
        <f>D85</f>
        <v>5.0289545870161536</v>
      </c>
      <c r="E90" s="16"/>
      <c r="F90" s="16"/>
      <c r="G90" s="17">
        <f t="shared" ref="G90:G92" si="6">PRODUCT(C90:F90)</f>
        <v>20.115818348064614</v>
      </c>
      <c r="H90" s="18"/>
      <c r="I90" s="19"/>
      <c r="J90" s="20"/>
      <c r="K90" s="16"/>
      <c r="M90" s="21"/>
      <c r="N90" s="21"/>
    </row>
    <row r="91" spans="1:14" ht="15" customHeight="1" x14ac:dyDescent="0.3">
      <c r="A91" s="12"/>
      <c r="B91" s="13" t="s">
        <v>22</v>
      </c>
      <c r="C91" s="14">
        <v>-1</v>
      </c>
      <c r="D91" s="15">
        <f>3.5/3.281</f>
        <v>1.0667479427003961</v>
      </c>
      <c r="E91" s="16"/>
      <c r="F91" s="16"/>
      <c r="G91" s="17">
        <f t="shared" si="6"/>
        <v>-1.0667479427003961</v>
      </c>
      <c r="H91" s="18"/>
      <c r="I91" s="19"/>
      <c r="J91" s="20"/>
      <c r="K91" s="16"/>
      <c r="M91" s="21"/>
      <c r="N91" s="21"/>
    </row>
    <row r="92" spans="1:14" ht="15" customHeight="1" x14ac:dyDescent="0.3">
      <c r="A92" s="12"/>
      <c r="B92" s="13" t="s">
        <v>23</v>
      </c>
      <c r="C92" s="14">
        <v>-1</v>
      </c>
      <c r="D92" s="15">
        <f>3.833/3.281</f>
        <v>1.1682413898201769</v>
      </c>
      <c r="E92" s="16"/>
      <c r="F92" s="16"/>
      <c r="G92" s="17">
        <f t="shared" si="6"/>
        <v>-1.1682413898201769</v>
      </c>
      <c r="H92" s="18"/>
      <c r="I92" s="19"/>
      <c r="J92" s="20"/>
      <c r="K92" s="16"/>
      <c r="M92" s="21"/>
      <c r="N92" s="21"/>
    </row>
    <row r="93" spans="1:14" ht="15" customHeight="1" x14ac:dyDescent="0.3">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3">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3">
      <c r="A95" s="12"/>
      <c r="B95" s="22"/>
      <c r="C95" s="14"/>
      <c r="D95" s="15"/>
      <c r="E95" s="16"/>
      <c r="F95" s="16"/>
      <c r="G95" s="19"/>
      <c r="H95" s="18"/>
      <c r="I95" s="19"/>
      <c r="J95" s="20"/>
      <c r="K95" s="16"/>
      <c r="M95" s="21"/>
      <c r="N95" s="21"/>
    </row>
    <row r="96" spans="1:14" ht="46.8" x14ac:dyDescent="0.3">
      <c r="A96" s="12">
        <v>14</v>
      </c>
      <c r="B96" s="23" t="s">
        <v>71</v>
      </c>
      <c r="C96" s="14"/>
      <c r="D96" s="15"/>
      <c r="E96" s="16"/>
      <c r="F96" s="16"/>
      <c r="G96" s="19"/>
      <c r="H96" s="18"/>
      <c r="I96" s="19"/>
      <c r="J96" s="20"/>
      <c r="K96" s="16"/>
      <c r="M96" s="21"/>
      <c r="N96" s="21"/>
    </row>
    <row r="97" spans="1:14" ht="15" customHeight="1" x14ac:dyDescent="0.3">
      <c r="A97" s="12"/>
      <c r="B97" s="22" t="s">
        <v>49</v>
      </c>
      <c r="C97" s="14">
        <v>2</v>
      </c>
      <c r="D97" s="15">
        <f>D90</f>
        <v>5.0289545870161536</v>
      </c>
      <c r="E97" s="16"/>
      <c r="F97" s="16"/>
      <c r="G97" s="17">
        <f t="shared" ref="G97:G99" si="7">PRODUCT(C97:F97)</f>
        <v>10.057909174032307</v>
      </c>
      <c r="H97" s="18"/>
      <c r="I97" s="19"/>
      <c r="J97" s="20"/>
      <c r="K97" s="16"/>
      <c r="M97" s="21"/>
      <c r="N97" s="21"/>
    </row>
    <row r="98" spans="1:14" ht="15" customHeight="1" x14ac:dyDescent="0.3">
      <c r="A98" s="12"/>
      <c r="B98" s="13" t="s">
        <v>22</v>
      </c>
      <c r="C98" s="14">
        <v>-1</v>
      </c>
      <c r="D98" s="15">
        <f>3.5/3.281</f>
        <v>1.0667479427003961</v>
      </c>
      <c r="E98" s="16"/>
      <c r="F98" s="16"/>
      <c r="G98" s="17">
        <f t="shared" si="7"/>
        <v>-1.0667479427003961</v>
      </c>
      <c r="H98" s="18"/>
      <c r="I98" s="19"/>
      <c r="J98" s="20"/>
      <c r="K98" s="16"/>
      <c r="M98" s="21"/>
      <c r="N98" s="21"/>
    </row>
    <row r="99" spans="1:14" ht="15" customHeight="1" x14ac:dyDescent="0.3">
      <c r="A99" s="12"/>
      <c r="B99" s="13" t="s">
        <v>23</v>
      </c>
      <c r="C99" s="14">
        <v>-1</v>
      </c>
      <c r="D99" s="15">
        <f>3.833/3.281</f>
        <v>1.1682413898201769</v>
      </c>
      <c r="E99" s="16"/>
      <c r="F99" s="16"/>
      <c r="G99" s="17">
        <f t="shared" si="7"/>
        <v>-1.1682413898201769</v>
      </c>
      <c r="H99" s="18"/>
      <c r="I99" s="19"/>
      <c r="J99" s="20"/>
      <c r="K99" s="16"/>
      <c r="M99" s="21"/>
      <c r="N99" s="21"/>
    </row>
    <row r="100" spans="1:14" ht="15" customHeight="1" x14ac:dyDescent="0.3">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3">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3">
      <c r="A102" s="12"/>
      <c r="B102" s="22"/>
      <c r="C102" s="14"/>
      <c r="D102" s="15"/>
      <c r="E102" s="16"/>
      <c r="F102" s="16"/>
      <c r="G102" s="19"/>
      <c r="H102" s="18"/>
      <c r="I102" s="19"/>
      <c r="J102" s="20"/>
      <c r="K102" s="16"/>
      <c r="M102" s="21"/>
      <c r="N102" s="21"/>
    </row>
    <row r="103" spans="1:14" ht="31.2" x14ac:dyDescent="0.3">
      <c r="A103" s="12">
        <v>15</v>
      </c>
      <c r="B103" s="23" t="s">
        <v>72</v>
      </c>
      <c r="C103" s="14"/>
      <c r="D103" s="15"/>
      <c r="E103" s="16"/>
      <c r="F103" s="16"/>
      <c r="G103" s="19"/>
      <c r="H103" s="18"/>
      <c r="I103" s="19"/>
      <c r="J103" s="20"/>
      <c r="K103" s="16"/>
      <c r="M103" s="21"/>
      <c r="N103" s="21"/>
    </row>
    <row r="104" spans="1:14" ht="15" customHeight="1" x14ac:dyDescent="0.3">
      <c r="A104" s="12"/>
      <c r="B104" s="22" t="s">
        <v>49</v>
      </c>
      <c r="C104" s="14">
        <f>1*2</f>
        <v>2</v>
      </c>
      <c r="D104" s="15">
        <f>D97</f>
        <v>5.0289545870161536</v>
      </c>
      <c r="E104" s="16"/>
      <c r="F104" s="16"/>
      <c r="G104" s="17">
        <f t="shared" ref="G104" si="8">PRODUCT(C104:F104)</f>
        <v>10.057909174032307</v>
      </c>
      <c r="H104" s="18"/>
      <c r="I104" s="19"/>
      <c r="J104" s="20"/>
      <c r="K104" s="16"/>
      <c r="M104" s="21"/>
      <c r="N104" s="21"/>
    </row>
    <row r="105" spans="1:14" ht="15" customHeight="1" x14ac:dyDescent="0.3">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3">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3">
      <c r="A107" s="12"/>
      <c r="B107" s="30"/>
      <c r="C107" s="14"/>
      <c r="D107" s="15"/>
      <c r="E107" s="16"/>
      <c r="F107" s="16"/>
      <c r="G107" s="19"/>
      <c r="H107" s="18"/>
      <c r="I107" s="19"/>
      <c r="J107" s="20"/>
      <c r="K107" s="16"/>
      <c r="M107" s="21"/>
      <c r="N107" s="21"/>
    </row>
    <row r="108" spans="1:14" ht="46.8" x14ac:dyDescent="0.3">
      <c r="A108" s="12">
        <v>16</v>
      </c>
      <c r="B108" s="23" t="s">
        <v>73</v>
      </c>
      <c r="C108" s="14"/>
      <c r="D108" s="15"/>
      <c r="E108" s="16"/>
      <c r="F108" s="16"/>
      <c r="G108" s="19"/>
      <c r="H108" s="18"/>
      <c r="I108" s="19"/>
      <c r="J108" s="20"/>
      <c r="K108" s="16"/>
      <c r="M108" s="21"/>
      <c r="N108" s="21"/>
    </row>
    <row r="109" spans="1:14" ht="15" customHeight="1" x14ac:dyDescent="0.3">
      <c r="A109" s="12"/>
      <c r="B109" s="22" t="s">
        <v>49</v>
      </c>
      <c r="C109" s="14">
        <f>1*2</f>
        <v>2</v>
      </c>
      <c r="D109" s="15">
        <f>D129</f>
        <v>5.0289545870161536</v>
      </c>
      <c r="E109" s="16"/>
      <c r="F109" s="16"/>
      <c r="G109" s="17">
        <f t="shared" ref="G109" si="9">PRODUCT(C109:F109)</f>
        <v>10.057909174032307</v>
      </c>
      <c r="H109" s="18"/>
      <c r="I109" s="19"/>
      <c r="J109" s="20"/>
      <c r="K109" s="16"/>
      <c r="M109" s="21"/>
      <c r="N109" s="21"/>
    </row>
    <row r="110" spans="1:14" ht="15" customHeight="1" x14ac:dyDescent="0.3">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3">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3">
      <c r="A112" s="12"/>
      <c r="B112" s="22"/>
      <c r="C112" s="14"/>
      <c r="D112" s="15"/>
      <c r="E112" s="16"/>
      <c r="F112" s="16"/>
      <c r="G112" s="19"/>
      <c r="H112" s="18"/>
      <c r="I112" s="19"/>
      <c r="J112" s="20"/>
      <c r="K112" s="16"/>
      <c r="M112" s="21"/>
      <c r="N112" s="21"/>
    </row>
    <row r="113" spans="1:14" ht="46.8" x14ac:dyDescent="0.3">
      <c r="A113" s="12">
        <v>17</v>
      </c>
      <c r="B113" s="23" t="s">
        <v>74</v>
      </c>
      <c r="C113" s="14"/>
      <c r="D113" s="15"/>
      <c r="E113" s="16"/>
      <c r="F113" s="16"/>
      <c r="G113" s="19"/>
      <c r="H113" s="18"/>
      <c r="I113" s="19"/>
      <c r="J113" s="20"/>
      <c r="K113" s="16"/>
      <c r="M113" s="21"/>
      <c r="N113" s="21"/>
    </row>
    <row r="114" spans="1:14" ht="15" customHeight="1" x14ac:dyDescent="0.3">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3">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3">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3">
      <c r="A117" s="12"/>
      <c r="B117" s="22"/>
      <c r="C117" s="14"/>
      <c r="D117" s="15"/>
      <c r="E117" s="16"/>
      <c r="F117" s="16"/>
      <c r="G117" s="19"/>
      <c r="H117" s="18"/>
      <c r="I117" s="19"/>
      <c r="J117" s="20"/>
      <c r="K117" s="16"/>
      <c r="M117" s="21"/>
      <c r="N117" s="21"/>
    </row>
    <row r="118" spans="1:14" ht="46.8" x14ac:dyDescent="0.3">
      <c r="A118" s="12">
        <v>18</v>
      </c>
      <c r="B118" s="23" t="s">
        <v>75</v>
      </c>
      <c r="C118" s="14"/>
      <c r="D118" s="15"/>
      <c r="E118" s="16"/>
      <c r="F118" s="16"/>
      <c r="G118" s="19"/>
      <c r="H118" s="18"/>
      <c r="I118" s="19"/>
      <c r="J118" s="20"/>
      <c r="K118" s="16"/>
      <c r="M118" s="21"/>
      <c r="N118" s="21"/>
    </row>
    <row r="119" spans="1:14" ht="15" customHeight="1" x14ac:dyDescent="0.3">
      <c r="A119" s="12"/>
      <c r="B119" s="22" t="s">
        <v>49</v>
      </c>
      <c r="C119" s="14">
        <f>1*2</f>
        <v>2</v>
      </c>
      <c r="D119" s="15">
        <f>D114</f>
        <v>5.0289545870161536</v>
      </c>
      <c r="E119" s="16"/>
      <c r="F119" s="16"/>
      <c r="G119" s="17">
        <f t="shared" ref="G119" si="10">PRODUCT(C119:F119)</f>
        <v>10.057909174032307</v>
      </c>
      <c r="H119" s="18"/>
      <c r="I119" s="19"/>
      <c r="J119" s="20"/>
      <c r="K119" s="16"/>
      <c r="M119" s="21"/>
      <c r="N119" s="21"/>
    </row>
    <row r="120" spans="1:14" ht="15" customHeight="1" x14ac:dyDescent="0.3">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3">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3">
      <c r="A122" s="12"/>
      <c r="B122" s="22"/>
      <c r="C122" s="14"/>
      <c r="D122" s="15"/>
      <c r="E122" s="16"/>
      <c r="F122" s="16"/>
      <c r="G122" s="19"/>
      <c r="H122" s="18"/>
      <c r="I122" s="19"/>
      <c r="J122" s="20"/>
      <c r="K122" s="16"/>
      <c r="M122" s="21"/>
      <c r="N122" s="21"/>
    </row>
    <row r="123" spans="1:14" ht="46.8" x14ac:dyDescent="0.3">
      <c r="A123" s="12">
        <v>19</v>
      </c>
      <c r="B123" s="23" t="s">
        <v>76</v>
      </c>
      <c r="C123" s="14"/>
      <c r="D123" s="15"/>
      <c r="E123" s="16"/>
      <c r="F123" s="16"/>
      <c r="G123" s="19"/>
      <c r="H123" s="18"/>
      <c r="I123" s="19"/>
      <c r="J123" s="20"/>
      <c r="K123" s="16"/>
      <c r="M123" s="21"/>
      <c r="N123" s="21"/>
    </row>
    <row r="124" spans="1:14" ht="15" customHeight="1" x14ac:dyDescent="0.3">
      <c r="A124" s="12"/>
      <c r="B124" s="22" t="s">
        <v>49</v>
      </c>
      <c r="C124" s="14">
        <f>1*2</f>
        <v>2</v>
      </c>
      <c r="D124" s="15">
        <f>D119</f>
        <v>5.0289545870161536</v>
      </c>
      <c r="E124" s="16"/>
      <c r="F124" s="16"/>
      <c r="G124" s="17">
        <f t="shared" ref="G124" si="11">PRODUCT(C124:F124)</f>
        <v>10.057909174032307</v>
      </c>
      <c r="H124" s="18"/>
      <c r="I124" s="19"/>
      <c r="J124" s="20"/>
      <c r="K124" s="16"/>
      <c r="M124" s="21"/>
      <c r="N124" s="21"/>
    </row>
    <row r="125" spans="1:14" ht="15" customHeight="1" x14ac:dyDescent="0.3">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3">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3">
      <c r="A127" s="12"/>
      <c r="B127" s="22"/>
      <c r="C127" s="14"/>
      <c r="D127" s="15"/>
      <c r="E127" s="16"/>
      <c r="F127" s="16"/>
      <c r="G127" s="19"/>
      <c r="H127" s="18"/>
      <c r="I127" s="19"/>
      <c r="J127" s="20"/>
      <c r="K127" s="16"/>
      <c r="M127" s="21"/>
      <c r="N127" s="21"/>
    </row>
    <row r="128" spans="1:14" ht="31.2" x14ac:dyDescent="0.3">
      <c r="A128" s="12">
        <v>20</v>
      </c>
      <c r="B128" s="23" t="s">
        <v>77</v>
      </c>
      <c r="C128" s="14"/>
      <c r="D128" s="15"/>
      <c r="E128" s="16"/>
      <c r="F128" s="16"/>
      <c r="G128" s="19"/>
      <c r="H128" s="18"/>
      <c r="I128" s="19"/>
      <c r="J128" s="20"/>
      <c r="K128" s="16"/>
      <c r="M128" s="21"/>
      <c r="N128" s="21"/>
    </row>
    <row r="129" spans="1:14" ht="15" customHeight="1" x14ac:dyDescent="0.3">
      <c r="A129" s="12"/>
      <c r="B129" s="22" t="s">
        <v>49</v>
      </c>
      <c r="C129" s="14">
        <f>2*2</f>
        <v>4</v>
      </c>
      <c r="D129" s="15">
        <f>D97</f>
        <v>5.0289545870161536</v>
      </c>
      <c r="E129" s="16"/>
      <c r="F129" s="16"/>
      <c r="G129" s="17">
        <f t="shared" ref="G129" si="12">PRODUCT(C129:F129)</f>
        <v>20.115818348064614</v>
      </c>
      <c r="H129" s="18"/>
      <c r="I129" s="19"/>
      <c r="J129" s="20"/>
      <c r="K129" s="16"/>
      <c r="M129" s="21"/>
      <c r="N129" s="21"/>
    </row>
    <row r="130" spans="1:14" ht="15" customHeight="1" x14ac:dyDescent="0.3">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3">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3">
      <c r="A132" s="12"/>
      <c r="B132" s="22"/>
      <c r="C132" s="14"/>
      <c r="D132" s="15"/>
      <c r="E132" s="16"/>
      <c r="F132" s="16"/>
      <c r="G132" s="19"/>
      <c r="H132" s="18"/>
      <c r="I132" s="19"/>
      <c r="J132" s="20"/>
      <c r="K132" s="16"/>
      <c r="M132" s="21"/>
      <c r="N132" s="21"/>
    </row>
    <row r="133" spans="1:14" ht="45" customHeight="1" x14ac:dyDescent="0.3">
      <c r="A133" s="25">
        <v>21</v>
      </c>
      <c r="B133" s="54" t="s">
        <v>78</v>
      </c>
      <c r="C133" s="26"/>
      <c r="D133" s="17"/>
      <c r="E133" s="17"/>
      <c r="F133" s="17"/>
      <c r="G133" s="45"/>
      <c r="H133" s="45"/>
      <c r="I133" s="45"/>
      <c r="J133" s="39"/>
      <c r="K133" s="30"/>
    </row>
    <row r="134" spans="1:14" ht="15" customHeight="1" x14ac:dyDescent="0.3">
      <c r="A134" s="25"/>
      <c r="B134" s="22" t="s">
        <v>79</v>
      </c>
      <c r="C134" s="26">
        <f>1*2</f>
        <v>2</v>
      </c>
      <c r="D134" s="17">
        <f>(2.75+2.6)/2</f>
        <v>2.6749999999999998</v>
      </c>
      <c r="E134" s="17">
        <v>6.2</v>
      </c>
      <c r="F134" s="17"/>
      <c r="G134" s="17">
        <f>PRODUCT(C134:F134)</f>
        <v>33.17</v>
      </c>
      <c r="H134" s="45"/>
      <c r="I134" s="45"/>
      <c r="J134" s="39"/>
      <c r="K134" s="30"/>
    </row>
    <row r="135" spans="1:14" ht="15" customHeight="1" x14ac:dyDescent="0.3">
      <c r="A135" s="25"/>
      <c r="B135" s="22"/>
      <c r="C135" s="26">
        <f>1*0</f>
        <v>0</v>
      </c>
      <c r="D135" s="17">
        <v>2.5</v>
      </c>
      <c r="E135" s="17">
        <f>3+0.675</f>
        <v>3.6749999999999998</v>
      </c>
      <c r="F135" s="17"/>
      <c r="G135" s="17">
        <f>PRODUCT(C135:F135)</f>
        <v>0</v>
      </c>
      <c r="H135" s="45"/>
      <c r="I135" s="45"/>
      <c r="J135" s="39"/>
      <c r="K135" s="30"/>
    </row>
    <row r="136" spans="1:14" ht="15" customHeight="1" x14ac:dyDescent="0.3">
      <c r="A136" s="25"/>
      <c r="B136" s="22" t="s">
        <v>25</v>
      </c>
      <c r="C136" s="26"/>
      <c r="D136" s="17"/>
      <c r="E136" s="17"/>
      <c r="F136" s="17"/>
      <c r="G136" s="27">
        <f>SUM(G134:G135)</f>
        <v>33.17</v>
      </c>
      <c r="H136" s="27" t="s">
        <v>26</v>
      </c>
      <c r="I136" s="28">
        <f>3626.64</f>
        <v>3626.64</v>
      </c>
      <c r="J136" s="29">
        <f>G136*I136</f>
        <v>120295.6488</v>
      </c>
      <c r="K136" s="30"/>
    </row>
    <row r="137" spans="1:14" ht="15" customHeight="1" x14ac:dyDescent="0.3">
      <c r="A137" s="25"/>
      <c r="B137" s="22"/>
      <c r="C137" s="26"/>
      <c r="D137" s="17"/>
      <c r="E137" s="17"/>
      <c r="F137" s="17"/>
      <c r="G137" s="27"/>
      <c r="H137" s="27"/>
      <c r="I137" s="28"/>
      <c r="J137" s="29"/>
      <c r="K137" s="30"/>
    </row>
    <row r="138" spans="1:14" ht="31.2" x14ac:dyDescent="0.3">
      <c r="A138" s="47">
        <v>22</v>
      </c>
      <c r="B138" s="23" t="s">
        <v>80</v>
      </c>
      <c r="C138" s="49"/>
      <c r="D138" s="50"/>
      <c r="E138" s="50"/>
      <c r="F138" s="50"/>
      <c r="G138" s="50"/>
      <c r="H138" s="50"/>
      <c r="I138" s="50"/>
      <c r="J138" s="51"/>
      <c r="K138" s="52"/>
    </row>
    <row r="139" spans="1:14" ht="15" customHeight="1" x14ac:dyDescent="0.3">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3">
      <c r="A140" s="47"/>
      <c r="B140" s="48" t="s">
        <v>82</v>
      </c>
      <c r="C140" s="49">
        <v>1</v>
      </c>
      <c r="D140" s="50">
        <v>5</v>
      </c>
      <c r="E140" s="50">
        <v>5</v>
      </c>
      <c r="F140" s="50"/>
      <c r="G140" s="50">
        <f>PRODUCT(C140:F140)</f>
        <v>25</v>
      </c>
      <c r="H140" s="50"/>
      <c r="I140" s="50"/>
      <c r="J140" s="51"/>
      <c r="K140" s="52"/>
    </row>
    <row r="141" spans="1:14" ht="15" customHeight="1" x14ac:dyDescent="0.3">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3">
      <c r="A142" s="12"/>
      <c r="B142" s="22"/>
      <c r="C142" s="14"/>
      <c r="D142" s="15"/>
      <c r="E142" s="16"/>
      <c r="F142" s="16"/>
      <c r="G142" s="19"/>
      <c r="H142" s="18"/>
      <c r="I142" s="19"/>
      <c r="J142" s="20"/>
      <c r="K142" s="16"/>
      <c r="M142" s="21"/>
      <c r="N142" s="21"/>
    </row>
    <row r="143" spans="1:14" ht="43.2" hidden="1" x14ac:dyDescent="0.3">
      <c r="A143" s="25">
        <v>23</v>
      </c>
      <c r="B143" s="54" t="s">
        <v>83</v>
      </c>
      <c r="C143" s="26"/>
      <c r="D143" s="17"/>
      <c r="E143" s="17"/>
      <c r="F143" s="17"/>
      <c r="G143" s="45"/>
      <c r="H143" s="45"/>
      <c r="I143" s="45"/>
      <c r="J143" s="39"/>
      <c r="K143" s="30"/>
    </row>
    <row r="144" spans="1:14" ht="15" hidden="1" customHeight="1" x14ac:dyDescent="0.3">
      <c r="A144" s="25"/>
      <c r="B144" s="22" t="s">
        <v>84</v>
      </c>
      <c r="C144" s="26">
        <f>1</f>
        <v>1</v>
      </c>
      <c r="D144" s="17">
        <f>11/3.281</f>
        <v>3.3526363913441024</v>
      </c>
      <c r="E144" s="17">
        <f>5/12/3.281</f>
        <v>0.12699380270242813</v>
      </c>
      <c r="F144" s="17">
        <f>8/12/3.281</f>
        <v>0.20319008432388497</v>
      </c>
      <c r="G144" s="17">
        <f t="shared" ref="G144:G150" si="13">PRODUCT(C144:F144)</f>
        <v>8.6511032086829934E-2</v>
      </c>
      <c r="H144" s="45"/>
      <c r="I144" s="45"/>
      <c r="J144" s="39"/>
      <c r="K144" s="30"/>
    </row>
    <row r="145" spans="1:13" ht="15" hidden="1" customHeight="1" x14ac:dyDescent="0.3">
      <c r="A145" s="25"/>
      <c r="B145" s="30"/>
      <c r="C145" s="26">
        <f>(8)</f>
        <v>8</v>
      </c>
      <c r="D145" s="17">
        <f>12/3.281</f>
        <v>3.6574215178299299</v>
      </c>
      <c r="E145" s="17">
        <f>3/12/3.281</f>
        <v>7.6196281621456863E-2</v>
      </c>
      <c r="F145" s="17">
        <f>4/12/3.281</f>
        <v>0.10159504216194248</v>
      </c>
      <c r="G145" s="17">
        <f t="shared" si="13"/>
        <v>0.22650161128188195</v>
      </c>
      <c r="H145" s="45"/>
      <c r="I145" s="45"/>
      <c r="J145" s="39"/>
      <c r="K145" s="30"/>
    </row>
    <row r="146" spans="1:13" ht="15" hidden="1" customHeight="1" x14ac:dyDescent="0.3">
      <c r="A146" s="25"/>
      <c r="B146" s="22"/>
      <c r="C146" s="26">
        <f>(3)</f>
        <v>3</v>
      </c>
      <c r="D146" s="17">
        <f>8/3.281</f>
        <v>2.4382810118866196</v>
      </c>
      <c r="E146" s="17">
        <f>7/12/3.281</f>
        <v>0.17779132378339937</v>
      </c>
      <c r="F146" s="17">
        <f>7/12/3.281</f>
        <v>0.17779132378339937</v>
      </c>
      <c r="G146" s="17">
        <f t="shared" si="13"/>
        <v>0.23122039485025456</v>
      </c>
      <c r="H146" s="45"/>
      <c r="I146" s="45"/>
      <c r="J146" s="39"/>
      <c r="K146" s="30"/>
    </row>
    <row r="147" spans="1:13" ht="15" hidden="1" customHeight="1" x14ac:dyDescent="0.3">
      <c r="A147" s="25"/>
      <c r="B147" s="22"/>
      <c r="C147" s="26">
        <f>22</f>
        <v>22</v>
      </c>
      <c r="D147" s="17">
        <f>12/3.281</f>
        <v>3.6574215178299299</v>
      </c>
      <c r="E147" s="17">
        <f>3/12/3.281</f>
        <v>7.6196281621456863E-2</v>
      </c>
      <c r="F147" s="17">
        <f>4/12/3.281</f>
        <v>0.10159504216194248</v>
      </c>
      <c r="G147" s="17">
        <f t="shared" si="13"/>
        <v>0.6228794310251754</v>
      </c>
      <c r="H147" s="45"/>
      <c r="I147" s="45"/>
      <c r="J147" s="39"/>
      <c r="K147" s="30"/>
    </row>
    <row r="148" spans="1:13" ht="15" hidden="1" customHeight="1" x14ac:dyDescent="0.3">
      <c r="A148" s="25"/>
      <c r="B148" s="22"/>
      <c r="C148" s="26">
        <f>(2)</f>
        <v>2</v>
      </c>
      <c r="D148" s="17">
        <f>12/3.281</f>
        <v>3.6574215178299299</v>
      </c>
      <c r="E148" s="17">
        <f>3/12/3.281</f>
        <v>7.6196281621456863E-2</v>
      </c>
      <c r="F148" s="17">
        <f>4/12/3.281</f>
        <v>0.10159504216194248</v>
      </c>
      <c r="G148" s="17">
        <f t="shared" si="13"/>
        <v>5.6625402820470488E-2</v>
      </c>
      <c r="H148" s="45"/>
      <c r="I148" s="45"/>
      <c r="J148" s="39"/>
      <c r="K148" s="30"/>
    </row>
    <row r="149" spans="1:13" ht="15" hidden="1" customHeight="1" x14ac:dyDescent="0.3">
      <c r="A149" s="25"/>
      <c r="B149" s="22"/>
      <c r="C149" s="26">
        <f>(1)</f>
        <v>1</v>
      </c>
      <c r="D149" s="17">
        <f>12/3.281</f>
        <v>3.6574215178299299</v>
      </c>
      <c r="E149" s="17">
        <f>6/12/3.281</f>
        <v>0.15239256324291373</v>
      </c>
      <c r="F149" s="17">
        <f>4/12/3.281</f>
        <v>0.10159504216194248</v>
      </c>
      <c r="G149" s="17">
        <f t="shared" si="13"/>
        <v>5.6625402820470488E-2</v>
      </c>
      <c r="H149" s="45"/>
      <c r="I149" s="45"/>
      <c r="J149" s="39"/>
      <c r="K149" s="30"/>
    </row>
    <row r="150" spans="1:13" ht="15" hidden="1" customHeight="1" x14ac:dyDescent="0.3">
      <c r="A150" s="25"/>
      <c r="B150" s="22"/>
      <c r="C150" s="26">
        <f>36</f>
        <v>36</v>
      </c>
      <c r="D150" s="17">
        <f>12/3.281</f>
        <v>3.6574215178299299</v>
      </c>
      <c r="E150" s="17">
        <f>3/12/3.281</f>
        <v>7.6196281621456863E-2</v>
      </c>
      <c r="F150" s="17">
        <f>4/12/3.281</f>
        <v>0.10159504216194248</v>
      </c>
      <c r="G150" s="17">
        <f t="shared" si="13"/>
        <v>1.0192572507684687</v>
      </c>
      <c r="H150" s="45"/>
      <c r="I150" s="45"/>
      <c r="J150" s="39"/>
      <c r="K150" s="30"/>
    </row>
    <row r="151" spans="1:13" ht="15" hidden="1" customHeight="1" x14ac:dyDescent="0.3">
      <c r="A151" s="25"/>
      <c r="B151" s="22" t="s">
        <v>25</v>
      </c>
      <c r="C151" s="26"/>
      <c r="D151" s="17"/>
      <c r="E151" s="17"/>
      <c r="F151" s="17"/>
      <c r="G151" s="27">
        <f>0*SUM(G144:G150)</f>
        <v>0</v>
      </c>
      <c r="H151" s="27" t="s">
        <v>29</v>
      </c>
      <c r="I151" s="28">
        <f>369833.1/1.15</f>
        <v>321594</v>
      </c>
      <c r="J151" s="29">
        <f>G151*I151</f>
        <v>0</v>
      </c>
      <c r="K151" s="30"/>
    </row>
    <row r="152" spans="1:13" ht="15" hidden="1" customHeight="1" x14ac:dyDescent="0.3">
      <c r="A152" s="25"/>
      <c r="B152" s="22" t="s">
        <v>85</v>
      </c>
      <c r="C152" s="26"/>
      <c r="D152" s="17"/>
      <c r="E152" s="17"/>
      <c r="F152" s="17"/>
      <c r="G152" s="45"/>
      <c r="H152" s="45"/>
      <c r="I152" s="45"/>
      <c r="J152" s="39">
        <f>0.13*G151*(296712)</f>
        <v>0</v>
      </c>
      <c r="K152" s="30"/>
      <c r="M152" s="58"/>
    </row>
    <row r="153" spans="1:13" ht="15" hidden="1" customHeight="1" x14ac:dyDescent="0.3">
      <c r="A153" s="25"/>
      <c r="B153" s="22"/>
      <c r="C153" s="26"/>
      <c r="D153" s="17"/>
      <c r="E153" s="17"/>
      <c r="F153" s="17"/>
      <c r="G153" s="45"/>
      <c r="H153" s="45"/>
      <c r="I153" s="45"/>
      <c r="J153" s="39"/>
      <c r="K153" s="30"/>
      <c r="M153" s="58"/>
    </row>
    <row r="154" spans="1:13" ht="28.8" x14ac:dyDescent="0.3">
      <c r="A154" s="47">
        <v>23</v>
      </c>
      <c r="B154" s="54" t="s">
        <v>86</v>
      </c>
      <c r="C154" s="49"/>
      <c r="D154" s="50"/>
      <c r="E154" s="50"/>
      <c r="F154" s="50"/>
      <c r="G154" s="55"/>
      <c r="H154" s="55"/>
      <c r="I154" s="56"/>
      <c r="J154" s="57"/>
      <c r="K154" s="52"/>
    </row>
    <row r="155" spans="1:13" ht="15" hidden="1" customHeight="1" x14ac:dyDescent="0.3">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3">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3">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3">
      <c r="A158" s="25"/>
      <c r="B158" s="22" t="s">
        <v>30</v>
      </c>
      <c r="C158" s="26">
        <v>2</v>
      </c>
      <c r="D158" s="17">
        <f>8/3.281</f>
        <v>2.4382810118866196</v>
      </c>
      <c r="E158" s="17">
        <v>0.15</v>
      </c>
      <c r="F158" s="17">
        <v>0.15</v>
      </c>
      <c r="G158" s="17">
        <f t="shared" ref="G158" si="14">PRODUCT(C158:F158)</f>
        <v>0.10972264553489787</v>
      </c>
      <c r="H158" s="45"/>
      <c r="I158" s="45"/>
      <c r="J158" s="39"/>
      <c r="K158" s="30"/>
    </row>
    <row r="159" spans="1:13" ht="15" customHeight="1" x14ac:dyDescent="0.3">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3">
      <c r="A160" s="25"/>
      <c r="B160" s="22"/>
      <c r="C160" s="26"/>
      <c r="D160" s="17"/>
      <c r="E160" s="17"/>
      <c r="F160" s="17"/>
      <c r="G160" s="45"/>
      <c r="H160" s="45"/>
      <c r="I160" s="45"/>
      <c r="J160" s="39"/>
      <c r="K160" s="30"/>
      <c r="M160" s="58"/>
    </row>
    <row r="161" spans="1:19" ht="28.8" hidden="1" x14ac:dyDescent="0.3">
      <c r="A161" s="12">
        <v>25</v>
      </c>
      <c r="B161" s="84" t="s">
        <v>87</v>
      </c>
      <c r="C161" s="14"/>
      <c r="D161" s="15"/>
      <c r="E161" s="16"/>
      <c r="F161" s="16"/>
      <c r="G161" s="19"/>
      <c r="H161" s="18"/>
      <c r="I161" s="19"/>
      <c r="J161" s="20"/>
      <c r="K161" s="16"/>
      <c r="M161" s="21"/>
      <c r="N161" s="1"/>
      <c r="O161" s="1"/>
      <c r="P161" s="1"/>
      <c r="Q161" s="1"/>
      <c r="R161" s="21"/>
      <c r="S161" s="21"/>
    </row>
    <row r="162" spans="1:19" ht="15" hidden="1" customHeight="1" x14ac:dyDescent="0.3">
      <c r="A162" s="12"/>
      <c r="B162" s="13" t="str">
        <f>B43</f>
        <v>-at new roof</v>
      </c>
      <c r="C162" s="26">
        <f>C43</f>
        <v>2</v>
      </c>
      <c r="D162" s="17">
        <f>D43</f>
        <v>4.8639134410240779</v>
      </c>
      <c r="E162" s="17">
        <f>E43</f>
        <v>3.2764401097226452</v>
      </c>
      <c r="F162" s="17"/>
      <c r="G162" s="17">
        <f t="shared" ref="G162" si="15">PRODUCT(C162:F162)</f>
        <v>31.872642176780758</v>
      </c>
      <c r="H162" s="18"/>
      <c r="I162" s="19"/>
      <c r="J162" s="20"/>
      <c r="K162" s="16"/>
      <c r="M162" s="21"/>
      <c r="N162" s="85"/>
      <c r="O162" s="1">
        <v>173798.37571991887</v>
      </c>
      <c r="P162" s="1"/>
      <c r="Q162" s="1"/>
      <c r="R162" s="21"/>
      <c r="S162" s="21"/>
    </row>
    <row r="163" spans="1:19" ht="15" hidden="1" customHeight="1" x14ac:dyDescent="0.3">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3">
      <c r="A164" s="25"/>
      <c r="B164" s="22" t="s">
        <v>85</v>
      </c>
      <c r="C164" s="26"/>
      <c r="D164" s="17"/>
      <c r="E164" s="17"/>
      <c r="F164" s="17"/>
      <c r="G164" s="45"/>
      <c r="H164" s="45"/>
      <c r="I164" s="45"/>
      <c r="J164" s="39">
        <f>0.13*G163*((1397.55)/10)</f>
        <v>0</v>
      </c>
      <c r="K164" s="30"/>
    </row>
    <row r="165" spans="1:19" ht="15" hidden="1" customHeight="1" x14ac:dyDescent="0.3">
      <c r="A165" s="12"/>
      <c r="B165" s="59"/>
      <c r="C165" s="14"/>
      <c r="D165" s="15"/>
      <c r="E165" s="16"/>
      <c r="F165" s="16"/>
      <c r="G165" s="19"/>
      <c r="H165" s="18"/>
      <c r="I165" s="19"/>
      <c r="J165" s="20"/>
      <c r="K165" s="16"/>
      <c r="M165" s="21"/>
      <c r="N165" s="1"/>
      <c r="O165" s="1"/>
      <c r="P165" s="1"/>
      <c r="Q165" s="1"/>
      <c r="R165" s="21"/>
      <c r="S165" s="21"/>
    </row>
    <row r="166" spans="1:19" x14ac:dyDescent="0.3">
      <c r="A166" s="12">
        <v>24</v>
      </c>
      <c r="B166" s="24" t="s">
        <v>88</v>
      </c>
      <c r="C166" s="26"/>
      <c r="D166" s="17"/>
      <c r="E166" s="17"/>
      <c r="F166" s="17"/>
      <c r="G166" s="45"/>
      <c r="H166" s="45"/>
      <c r="I166" s="45"/>
      <c r="J166" s="39"/>
      <c r="K166" s="30"/>
    </row>
    <row r="167" spans="1:19" ht="15" customHeight="1" x14ac:dyDescent="0.3">
      <c r="A167" s="25"/>
      <c r="B167" s="22" t="s">
        <v>89</v>
      </c>
      <c r="C167" s="26">
        <v>2</v>
      </c>
      <c r="D167" s="17"/>
      <c r="E167" s="17"/>
      <c r="F167" s="17"/>
      <c r="G167" s="17">
        <f>PRODUCT(C167:F167)</f>
        <v>2</v>
      </c>
      <c r="H167" s="45"/>
      <c r="I167" s="45"/>
      <c r="J167" s="39"/>
      <c r="K167" s="30"/>
    </row>
    <row r="168" spans="1:19" ht="15" customHeight="1" x14ac:dyDescent="0.3">
      <c r="A168" s="25"/>
      <c r="B168" s="22" t="s">
        <v>25</v>
      </c>
      <c r="C168" s="26"/>
      <c r="D168" s="17"/>
      <c r="E168" s="17"/>
      <c r="F168" s="17"/>
      <c r="G168" s="27">
        <f>SUM(G167:G167)</f>
        <v>2</v>
      </c>
      <c r="H168" s="27" t="s">
        <v>90</v>
      </c>
      <c r="I168" s="28">
        <f>2365</f>
        <v>2365</v>
      </c>
      <c r="J168" s="29">
        <f>G168*I168</f>
        <v>4730</v>
      </c>
      <c r="K168" s="30"/>
    </row>
    <row r="169" spans="1:19" ht="15" customHeight="1" x14ac:dyDescent="0.3">
      <c r="A169" s="25"/>
      <c r="B169" s="22"/>
      <c r="C169" s="26"/>
      <c r="D169" s="17"/>
      <c r="E169" s="17"/>
      <c r="F169" s="17"/>
      <c r="G169" s="27"/>
      <c r="H169" s="27"/>
      <c r="I169" s="28"/>
      <c r="J169" s="29"/>
      <c r="K169" s="30"/>
    </row>
    <row r="170" spans="1:19" ht="15.6" x14ac:dyDescent="0.3">
      <c r="A170" s="25">
        <v>25</v>
      </c>
      <c r="B170" s="11" t="s">
        <v>91</v>
      </c>
      <c r="C170" s="26"/>
      <c r="D170" s="17"/>
      <c r="E170" s="17"/>
      <c r="F170" s="17"/>
      <c r="G170" s="45"/>
      <c r="H170" s="45"/>
      <c r="I170" s="45"/>
      <c r="J170" s="39"/>
      <c r="K170" s="30"/>
    </row>
    <row r="171" spans="1:19" x14ac:dyDescent="0.3">
      <c r="A171" s="25"/>
      <c r="B171" s="22" t="s">
        <v>92</v>
      </c>
      <c r="C171" s="26">
        <v>2</v>
      </c>
      <c r="D171" s="17">
        <f>3.833/3.281</f>
        <v>1.1682413898201769</v>
      </c>
      <c r="E171" s="17">
        <v>7.4999999999999997E-2</v>
      </c>
      <c r="F171" s="17">
        <v>0.125</v>
      </c>
      <c r="G171" s="17">
        <f t="shared" ref="G171:G176" si="16">PRODUCT(C171:F171)</f>
        <v>2.1904526059128317E-2</v>
      </c>
      <c r="H171" s="45"/>
      <c r="I171" s="45"/>
      <c r="J171" s="39"/>
      <c r="K171" s="30"/>
    </row>
    <row r="172" spans="1:19" x14ac:dyDescent="0.3">
      <c r="A172" s="25"/>
      <c r="B172" s="22"/>
      <c r="C172" s="26">
        <v>2</v>
      </c>
      <c r="D172" s="17">
        <f>6/3.281</f>
        <v>1.8287107589149649</v>
      </c>
      <c r="E172" s="17">
        <v>7.4999999999999997E-2</v>
      </c>
      <c r="F172" s="17">
        <v>0.125</v>
      </c>
      <c r="G172" s="17">
        <f t="shared" si="16"/>
        <v>3.4288326729655594E-2</v>
      </c>
      <c r="H172" s="45"/>
      <c r="I172" s="45"/>
      <c r="J172" s="39"/>
      <c r="K172" s="30"/>
    </row>
    <row r="173" spans="1:19" x14ac:dyDescent="0.3">
      <c r="A173" s="25"/>
      <c r="B173" s="22"/>
      <c r="C173" s="26">
        <v>2</v>
      </c>
      <c r="D173" s="17">
        <f>6/3.281</f>
        <v>1.8287107589149649</v>
      </c>
      <c r="E173" s="17">
        <v>7.4999999999999997E-2</v>
      </c>
      <c r="F173" s="17">
        <v>7.4999999999999997E-2</v>
      </c>
      <c r="G173" s="17">
        <f t="shared" si="16"/>
        <v>2.0572996037793355E-2</v>
      </c>
      <c r="H173" s="45"/>
      <c r="I173" s="45"/>
      <c r="J173" s="39"/>
      <c r="K173" s="30"/>
    </row>
    <row r="174" spans="1:19" x14ac:dyDescent="0.3">
      <c r="A174" s="25"/>
      <c r="B174" s="22" t="s">
        <v>93</v>
      </c>
      <c r="C174" s="26">
        <v>2</v>
      </c>
      <c r="D174" s="17">
        <f>3.5/3.281</f>
        <v>1.0667479427003961</v>
      </c>
      <c r="E174" s="17">
        <v>7.4999999999999997E-2</v>
      </c>
      <c r="F174" s="17">
        <v>0.125</v>
      </c>
      <c r="G174" s="17">
        <f t="shared" si="16"/>
        <v>2.0001523925632425E-2</v>
      </c>
      <c r="H174" s="45"/>
      <c r="I174" s="45"/>
      <c r="J174" s="39"/>
      <c r="K174" s="30"/>
    </row>
    <row r="175" spans="1:19" x14ac:dyDescent="0.3">
      <c r="A175" s="25"/>
      <c r="B175" s="22"/>
      <c r="C175" s="26">
        <v>2</v>
      </c>
      <c r="D175" s="17">
        <f>4.5/3.281</f>
        <v>1.3715330691862238</v>
      </c>
      <c r="E175" s="17">
        <v>7.4999999999999997E-2</v>
      </c>
      <c r="F175" s="17">
        <v>0.125</v>
      </c>
      <c r="G175" s="17">
        <f t="shared" si="16"/>
        <v>2.5716245047241695E-2</v>
      </c>
      <c r="H175" s="45"/>
      <c r="I175" s="45"/>
      <c r="J175" s="39"/>
      <c r="K175" s="30"/>
    </row>
    <row r="176" spans="1:19" hidden="1" x14ac:dyDescent="0.3">
      <c r="A176" s="25"/>
      <c r="B176" s="22" t="s">
        <v>94</v>
      </c>
      <c r="C176" s="26">
        <f>0*2</f>
        <v>0</v>
      </c>
      <c r="D176" s="17">
        <f>(2*2+2.5*2)/3.281</f>
        <v>2.7430661383724475</v>
      </c>
      <c r="E176" s="17">
        <v>7.4999999999999997E-2</v>
      </c>
      <c r="F176" s="17">
        <v>0.125</v>
      </c>
      <c r="G176" s="17">
        <f t="shared" si="16"/>
        <v>0</v>
      </c>
      <c r="H176" s="45"/>
      <c r="I176" s="45"/>
      <c r="J176" s="39"/>
      <c r="K176" s="30"/>
    </row>
    <row r="177" spans="1:13" ht="15" customHeight="1" x14ac:dyDescent="0.3">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3">
      <c r="A178" s="25"/>
      <c r="B178" s="22"/>
      <c r="C178" s="26"/>
      <c r="D178" s="17"/>
      <c r="E178" s="17"/>
      <c r="F178" s="17"/>
      <c r="G178" s="45"/>
      <c r="H178" s="45"/>
      <c r="I178" s="45"/>
      <c r="J178" s="39"/>
      <c r="K178" s="30"/>
    </row>
    <row r="179" spans="1:13" ht="28.8" x14ac:dyDescent="0.3">
      <c r="A179" s="12">
        <v>26</v>
      </c>
      <c r="B179" s="54" t="s">
        <v>124</v>
      </c>
      <c r="C179" s="14"/>
      <c r="D179" s="15"/>
      <c r="E179" s="16"/>
      <c r="F179" s="16"/>
      <c r="G179" s="19"/>
      <c r="H179" s="18"/>
      <c r="I179" s="19"/>
      <c r="J179" s="37"/>
      <c r="K179" s="16"/>
    </row>
    <row r="180" spans="1:13" x14ac:dyDescent="0.3">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3">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3">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3">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3">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3">
      <c r="A185" s="12"/>
      <c r="B185" s="54"/>
      <c r="C185" s="14"/>
      <c r="D185" s="15"/>
      <c r="E185" s="16"/>
      <c r="F185" s="16"/>
      <c r="G185" s="19"/>
      <c r="H185" s="18"/>
      <c r="I185" s="19"/>
      <c r="J185" s="37"/>
      <c r="K185" s="16"/>
    </row>
    <row r="186" spans="1:13" ht="43.2" x14ac:dyDescent="0.3">
      <c r="A186" s="25">
        <v>27</v>
      </c>
      <c r="B186" s="24" t="s">
        <v>125</v>
      </c>
      <c r="C186" s="26"/>
      <c r="D186" s="17"/>
      <c r="E186" s="17"/>
      <c r="F186" s="17"/>
      <c r="G186" s="45"/>
      <c r="H186" s="45"/>
      <c r="I186" s="45"/>
      <c r="J186" s="39"/>
      <c r="K186" s="30"/>
    </row>
    <row r="187" spans="1:13" ht="15" customHeight="1" x14ac:dyDescent="0.3">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3">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3">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3">
      <c r="A190" s="25"/>
      <c r="B190" s="22"/>
      <c r="C190" s="26"/>
      <c r="D190" s="17"/>
      <c r="E190" s="17"/>
      <c r="F190" s="17"/>
      <c r="G190" s="45"/>
      <c r="H190" s="45"/>
      <c r="I190" s="45"/>
      <c r="J190" s="39"/>
      <c r="K190" s="30"/>
      <c r="M190" s="58"/>
    </row>
    <row r="191" spans="1:13" ht="30.6" x14ac:dyDescent="0.3">
      <c r="A191" s="25">
        <v>28</v>
      </c>
      <c r="B191" s="11" t="s">
        <v>97</v>
      </c>
      <c r="C191" s="26"/>
      <c r="D191" s="17"/>
      <c r="E191" s="17"/>
      <c r="F191" s="17"/>
      <c r="G191" s="45"/>
      <c r="H191" s="45"/>
      <c r="I191" s="45"/>
      <c r="J191" s="39"/>
      <c r="K191" s="30"/>
      <c r="M191" s="58"/>
    </row>
    <row r="192" spans="1:13" ht="15" customHeight="1" x14ac:dyDescent="0.3">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3">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6" x14ac:dyDescent="0.3">
      <c r="A194" s="25"/>
      <c r="B194" s="11"/>
      <c r="C194" s="26"/>
      <c r="D194" s="17"/>
      <c r="E194" s="17"/>
      <c r="F194" s="17"/>
      <c r="G194" s="45"/>
      <c r="H194" s="45"/>
      <c r="I194" s="45"/>
      <c r="J194" s="39"/>
      <c r="K194" s="30"/>
      <c r="M194" s="58"/>
    </row>
    <row r="195" spans="1:19" ht="28.8" x14ac:dyDescent="0.3">
      <c r="A195" s="25">
        <v>29</v>
      </c>
      <c r="B195" s="24" t="s">
        <v>99</v>
      </c>
      <c r="C195" s="26"/>
      <c r="D195" s="17"/>
      <c r="E195" s="17"/>
      <c r="F195" s="17"/>
      <c r="G195" s="45"/>
      <c r="H195" s="45"/>
      <c r="I195" s="45"/>
      <c r="J195" s="39"/>
      <c r="K195" s="30"/>
    </row>
    <row r="196" spans="1:19" ht="15" customHeight="1" x14ac:dyDescent="0.3">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3">
      <c r="A197" s="25"/>
      <c r="B197" s="22" t="s">
        <v>25</v>
      </c>
      <c r="C197" s="26"/>
      <c r="D197" s="17"/>
      <c r="E197" s="17"/>
      <c r="F197" s="17"/>
      <c r="G197" s="27">
        <f>SUM(G196:G196)</f>
        <v>1.9507734398666188</v>
      </c>
      <c r="H197" s="27" t="s">
        <v>26</v>
      </c>
      <c r="I197" s="28">
        <f>46573</f>
        <v>46573</v>
      </c>
      <c r="J197" s="29">
        <f>G197*I197</f>
        <v>90853.371414908033</v>
      </c>
      <c r="K197" s="30"/>
    </row>
    <row r="198" spans="1:19" x14ac:dyDescent="0.3">
      <c r="A198" s="25"/>
      <c r="B198" s="24"/>
      <c r="C198" s="26"/>
      <c r="D198" s="17"/>
      <c r="E198" s="17"/>
      <c r="F198" s="17"/>
      <c r="G198" s="45"/>
      <c r="H198" s="45"/>
      <c r="I198" s="45"/>
      <c r="J198" s="39"/>
      <c r="K198" s="30"/>
    </row>
    <row r="199" spans="1:19" ht="28.8" hidden="1" x14ac:dyDescent="0.3">
      <c r="A199" s="12">
        <v>32</v>
      </c>
      <c r="B199" s="84" t="s">
        <v>100</v>
      </c>
      <c r="C199" s="14"/>
      <c r="D199" s="15"/>
      <c r="E199" s="16"/>
      <c r="F199" s="16"/>
      <c r="G199" s="19"/>
      <c r="H199" s="18"/>
      <c r="I199" s="19"/>
      <c r="J199" s="20"/>
      <c r="K199" s="16"/>
      <c r="M199" s="21"/>
      <c r="N199" s="1"/>
      <c r="O199" s="1"/>
      <c r="P199" s="1"/>
      <c r="Q199" s="1"/>
      <c r="R199" s="21"/>
      <c r="S199" s="21"/>
    </row>
    <row r="200" spans="1:19" ht="15" hidden="1" customHeight="1" x14ac:dyDescent="0.3">
      <c r="A200" s="12"/>
      <c r="B200" s="13" t="s">
        <v>101</v>
      </c>
      <c r="C200" s="14">
        <v>2</v>
      </c>
      <c r="D200" s="15">
        <f>((15.667+16.25)/2)/3.281</f>
        <v>4.8639134410240779</v>
      </c>
      <c r="E200" s="16">
        <f>((10.75)/3.281)</f>
        <v>3.2764401097226452</v>
      </c>
      <c r="F200" s="16"/>
      <c r="G200" s="17">
        <f t="shared" ref="G200" si="17">PRODUCT(C200:F200)</f>
        <v>31.872642176780758</v>
      </c>
      <c r="H200" s="18"/>
      <c r="I200" s="19"/>
      <c r="J200" s="20"/>
      <c r="K200" s="16"/>
      <c r="M200" s="21"/>
      <c r="N200" s="1"/>
      <c r="O200" s="1"/>
      <c r="P200" s="1"/>
      <c r="Q200" s="1"/>
      <c r="R200" s="21"/>
      <c r="S200" s="21"/>
    </row>
    <row r="201" spans="1:19" ht="15" hidden="1" customHeight="1" x14ac:dyDescent="0.3">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3">
      <c r="A202" s="25"/>
      <c r="B202" s="22" t="s">
        <v>85</v>
      </c>
      <c r="C202" s="26"/>
      <c r="D202" s="17"/>
      <c r="E202" s="17"/>
      <c r="F202" s="17"/>
      <c r="G202" s="45"/>
      <c r="H202" s="45"/>
      <c r="I202" s="45"/>
      <c r="J202" s="39">
        <f>0.13*G201*((221748.75)/100)</f>
        <v>0</v>
      </c>
      <c r="K202" s="30"/>
    </row>
    <row r="203" spans="1:19" ht="15" hidden="1" customHeight="1" x14ac:dyDescent="0.3">
      <c r="A203" s="25"/>
      <c r="B203" s="22"/>
      <c r="C203" s="26"/>
      <c r="D203" s="17"/>
      <c r="E203" s="17"/>
      <c r="F203" s="17"/>
      <c r="G203" s="45"/>
      <c r="H203" s="45"/>
      <c r="I203" s="45"/>
      <c r="J203" s="39"/>
      <c r="K203" s="30"/>
    </row>
    <row r="204" spans="1:19" ht="28.8" hidden="1" x14ac:dyDescent="0.3">
      <c r="A204" s="12">
        <v>33</v>
      </c>
      <c r="B204" s="84" t="s">
        <v>102</v>
      </c>
      <c r="C204" s="26"/>
      <c r="D204" s="17"/>
      <c r="E204" s="17"/>
      <c r="F204" s="17"/>
      <c r="G204" s="45"/>
      <c r="H204" s="45"/>
      <c r="I204" s="45"/>
      <c r="J204" s="39"/>
      <c r="K204" s="30"/>
    </row>
    <row r="205" spans="1:19" ht="15" hidden="1" customHeight="1" x14ac:dyDescent="0.3">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3">
      <c r="A206" s="25"/>
      <c r="B206" s="22" t="s">
        <v>25</v>
      </c>
      <c r="C206" s="26"/>
      <c r="D206" s="17"/>
      <c r="E206" s="17"/>
      <c r="F206" s="17"/>
      <c r="G206" s="27">
        <f>0*SUM(G205:G205)</f>
        <v>0</v>
      </c>
      <c r="H206" s="27" t="s">
        <v>68</v>
      </c>
      <c r="I206" s="28">
        <v>1842.85</v>
      </c>
      <c r="J206" s="29">
        <f>G206*I206</f>
        <v>0</v>
      </c>
      <c r="K206" s="30"/>
    </row>
    <row r="207" spans="1:19" ht="15" hidden="1" customHeight="1" x14ac:dyDescent="0.3">
      <c r="A207" s="25"/>
      <c r="B207" s="22" t="s">
        <v>85</v>
      </c>
      <c r="C207" s="26"/>
      <c r="D207" s="17"/>
      <c r="E207" s="17"/>
      <c r="F207" s="17"/>
      <c r="G207" s="45"/>
      <c r="H207" s="45"/>
      <c r="I207" s="45"/>
      <c r="J207" s="39">
        <f>0.13*G206*((164000)/100)</f>
        <v>0</v>
      </c>
      <c r="K207" s="30"/>
    </row>
    <row r="208" spans="1:19" ht="15" hidden="1" customHeight="1" x14ac:dyDescent="0.3">
      <c r="A208" s="25"/>
      <c r="B208" s="22"/>
      <c r="C208" s="26"/>
      <c r="D208" s="17"/>
      <c r="E208" s="17"/>
      <c r="F208" s="17"/>
      <c r="G208" s="45"/>
      <c r="H208" s="45"/>
      <c r="I208" s="45"/>
      <c r="J208" s="39"/>
      <c r="K208" s="30"/>
    </row>
    <row r="209" spans="1:19" ht="28.8" hidden="1" x14ac:dyDescent="0.3">
      <c r="A209" s="25">
        <v>34</v>
      </c>
      <c r="B209" s="84" t="s">
        <v>103</v>
      </c>
      <c r="C209" s="26"/>
      <c r="D209" s="17"/>
      <c r="E209" s="17"/>
      <c r="F209" s="17"/>
      <c r="G209" s="45"/>
      <c r="H209" s="45"/>
      <c r="I209" s="45"/>
      <c r="J209" s="39"/>
      <c r="K209" s="30"/>
    </row>
    <row r="210" spans="1:19" hidden="1" x14ac:dyDescent="0.3">
      <c r="A210" s="25"/>
      <c r="B210" s="22" t="s">
        <v>104</v>
      </c>
      <c r="C210" s="26">
        <v>4</v>
      </c>
      <c r="D210" s="17"/>
      <c r="E210" s="17"/>
      <c r="F210" s="17"/>
      <c r="G210" s="17">
        <f t="shared" ref="G210" si="18">PRODUCT(C210:F210)</f>
        <v>4</v>
      </c>
      <c r="H210" s="45"/>
      <c r="I210" s="45"/>
      <c r="J210" s="39"/>
      <c r="K210" s="30"/>
    </row>
    <row r="211" spans="1:19" ht="15" hidden="1" customHeight="1" x14ac:dyDescent="0.3">
      <c r="A211" s="25"/>
      <c r="B211" s="22" t="s">
        <v>25</v>
      </c>
      <c r="C211" s="26"/>
      <c r="D211" s="17"/>
      <c r="E211" s="17"/>
      <c r="F211" s="17"/>
      <c r="G211" s="27">
        <f>0*SUM(G210)</f>
        <v>0</v>
      </c>
      <c r="H211" s="27" t="s">
        <v>90</v>
      </c>
      <c r="I211" s="28">
        <v>279</v>
      </c>
      <c r="J211" s="29">
        <f>G211*I211</f>
        <v>0</v>
      </c>
      <c r="K211" s="30"/>
    </row>
    <row r="212" spans="1:19" ht="15" hidden="1" customHeight="1" x14ac:dyDescent="0.3">
      <c r="A212" s="25"/>
      <c r="B212" s="22" t="s">
        <v>85</v>
      </c>
      <c r="C212" s="26"/>
      <c r="D212" s="17"/>
      <c r="E212" s="17"/>
      <c r="F212" s="17"/>
      <c r="G212" s="45"/>
      <c r="H212" s="45"/>
      <c r="I212" s="45"/>
      <c r="J212" s="39">
        <f>0.13*J211</f>
        <v>0</v>
      </c>
      <c r="K212" s="30"/>
    </row>
    <row r="213" spans="1:19" hidden="1" x14ac:dyDescent="0.3">
      <c r="A213" s="25"/>
      <c r="B213" s="24"/>
      <c r="C213" s="26"/>
      <c r="D213" s="17"/>
      <c r="E213" s="17"/>
      <c r="F213" s="17"/>
      <c r="G213" s="45"/>
      <c r="H213" s="45"/>
      <c r="I213" s="45"/>
      <c r="J213" s="39"/>
      <c r="K213" s="30"/>
    </row>
    <row r="214" spans="1:19" ht="28.8" x14ac:dyDescent="0.3">
      <c r="A214" s="12">
        <v>30</v>
      </c>
      <c r="B214" s="84" t="s">
        <v>118</v>
      </c>
      <c r="C214" s="14"/>
      <c r="D214" s="15"/>
      <c r="E214" s="16"/>
      <c r="F214" s="16"/>
      <c r="G214" s="19"/>
      <c r="H214" s="18"/>
      <c r="I214" s="19"/>
      <c r="J214" s="20"/>
      <c r="K214" s="16"/>
      <c r="M214" s="21"/>
      <c r="N214" s="1"/>
      <c r="O214" s="1"/>
      <c r="P214" s="1"/>
      <c r="Q214" s="1"/>
      <c r="R214" s="21"/>
      <c r="S214" s="21"/>
    </row>
    <row r="215" spans="1:19" ht="15" customHeight="1" x14ac:dyDescent="0.3">
      <c r="A215" s="12"/>
      <c r="B215" s="13" t="s">
        <v>101</v>
      </c>
      <c r="C215" s="14">
        <v>2</v>
      </c>
      <c r="D215" s="15">
        <f>(((15.667+16.25)/2)/3.281)+0.2</f>
        <v>5.063913441024078</v>
      </c>
      <c r="E215" s="16">
        <f>((10.75)/3.281)</f>
        <v>3.2764401097226452</v>
      </c>
      <c r="F215" s="16"/>
      <c r="G215" s="17">
        <f t="shared" ref="G215" si="19">PRODUCT(C215:F215)</f>
        <v>33.183218220669815</v>
      </c>
      <c r="H215" s="18"/>
      <c r="I215" s="19"/>
      <c r="J215" s="20"/>
      <c r="K215" s="16"/>
      <c r="M215" s="21"/>
      <c r="N215" s="1"/>
      <c r="O215" s="1"/>
      <c r="P215" s="1"/>
      <c r="Q215" s="1"/>
      <c r="R215" s="21"/>
      <c r="S215" s="21"/>
    </row>
    <row r="216" spans="1:19" ht="15" customHeight="1" x14ac:dyDescent="0.3">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3">
      <c r="A217" s="25"/>
      <c r="B217" s="22"/>
      <c r="C217" s="26"/>
      <c r="D217" s="17"/>
      <c r="E217" s="17"/>
      <c r="F217" s="17"/>
      <c r="G217" s="45"/>
      <c r="H217" s="45"/>
      <c r="I217" s="45"/>
      <c r="J217" s="39"/>
      <c r="K217" s="30"/>
    </row>
    <row r="218" spans="1:19" ht="43.2" x14ac:dyDescent="0.3">
      <c r="A218" s="25">
        <v>31</v>
      </c>
      <c r="B218" s="24" t="s">
        <v>120</v>
      </c>
      <c r="C218" s="26"/>
      <c r="D218" s="17"/>
      <c r="E218" s="17"/>
      <c r="F218" s="17"/>
      <c r="G218" s="45"/>
      <c r="H218" s="45"/>
      <c r="I218" s="45"/>
      <c r="J218" s="39"/>
      <c r="K218" s="30"/>
    </row>
    <row r="219" spans="1:19" ht="15" customHeight="1" x14ac:dyDescent="0.3">
      <c r="A219" s="12"/>
      <c r="B219" s="13" t="s">
        <v>101</v>
      </c>
      <c r="C219" s="14">
        <v>2</v>
      </c>
      <c r="D219" s="16">
        <f>((10.75)/3.281)</f>
        <v>3.2764401097226452</v>
      </c>
      <c r="E219" s="16"/>
      <c r="F219" s="16"/>
      <c r="G219" s="17">
        <f t="shared" ref="G219" si="20">PRODUCT(C219:F219)</f>
        <v>6.5528802194452904</v>
      </c>
      <c r="H219" s="18"/>
      <c r="I219" s="19"/>
      <c r="J219" s="20"/>
      <c r="K219" s="16"/>
      <c r="M219" s="21"/>
      <c r="N219" s="1"/>
      <c r="O219" s="1"/>
      <c r="P219" s="1"/>
      <c r="Q219" s="1"/>
      <c r="R219" s="21"/>
      <c r="S219" s="21"/>
    </row>
    <row r="220" spans="1:19" ht="15" customHeight="1" x14ac:dyDescent="0.3">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3">
      <c r="A221" s="25"/>
      <c r="B221" s="22"/>
      <c r="C221" s="26"/>
      <c r="D221" s="17"/>
      <c r="E221" s="17"/>
      <c r="F221" s="17"/>
      <c r="G221" s="45"/>
      <c r="H221" s="45"/>
      <c r="I221" s="45"/>
      <c r="J221" s="39"/>
      <c r="K221" s="30"/>
    </row>
    <row r="222" spans="1:19" ht="43.2" x14ac:dyDescent="0.3">
      <c r="A222" s="25">
        <v>32</v>
      </c>
      <c r="B222" s="24" t="s">
        <v>121</v>
      </c>
      <c r="C222" s="26"/>
      <c r="D222" s="17"/>
      <c r="E222" s="17"/>
      <c r="F222" s="17"/>
      <c r="G222" s="45"/>
      <c r="H222" s="45"/>
      <c r="I222" s="45"/>
      <c r="J222" s="39"/>
      <c r="K222" s="30"/>
    </row>
    <row r="223" spans="1:19" ht="15" customHeight="1" x14ac:dyDescent="0.3">
      <c r="A223" s="12"/>
      <c r="B223" s="13" t="s">
        <v>101</v>
      </c>
      <c r="C223" s="14">
        <v>4</v>
      </c>
      <c r="D223" s="16"/>
      <c r="E223" s="16"/>
      <c r="F223" s="16"/>
      <c r="G223" s="17">
        <f t="shared" ref="G223" si="21">PRODUCT(C223:F223)</f>
        <v>4</v>
      </c>
      <c r="H223" s="18"/>
      <c r="I223" s="19"/>
      <c r="J223" s="20"/>
      <c r="K223" s="16"/>
      <c r="M223" s="21"/>
      <c r="N223" s="1"/>
      <c r="O223" s="1"/>
      <c r="P223" s="1"/>
      <c r="Q223" s="1"/>
      <c r="R223" s="21"/>
      <c r="S223" s="21"/>
    </row>
    <row r="224" spans="1:19" ht="15" customHeight="1" x14ac:dyDescent="0.3">
      <c r="A224" s="25"/>
      <c r="B224" s="22" t="s">
        <v>25</v>
      </c>
      <c r="C224" s="26"/>
      <c r="D224" s="17"/>
      <c r="E224" s="17"/>
      <c r="F224" s="17"/>
      <c r="G224" s="27">
        <f>SUM(G223:G223)</f>
        <v>4</v>
      </c>
      <c r="H224" s="27" t="s">
        <v>90</v>
      </c>
      <c r="I224" s="28">
        <f>6970.73</f>
        <v>6970.73</v>
      </c>
      <c r="J224" s="29">
        <f>G224*I224</f>
        <v>27882.92</v>
      </c>
      <c r="K224" s="30"/>
    </row>
    <row r="225" spans="1:19" ht="15" customHeight="1" x14ac:dyDescent="0.3">
      <c r="A225" s="25"/>
      <c r="B225" s="22"/>
      <c r="C225" s="26"/>
      <c r="D225" s="17"/>
      <c r="E225" s="17"/>
      <c r="F225" s="17"/>
      <c r="G225" s="45"/>
      <c r="H225" s="45"/>
      <c r="I225" s="45"/>
      <c r="J225" s="39"/>
      <c r="K225" s="30"/>
    </row>
    <row r="226" spans="1:19" ht="15" customHeight="1" x14ac:dyDescent="0.3">
      <c r="A226" s="25">
        <v>33</v>
      </c>
      <c r="B226" s="24" t="s">
        <v>122</v>
      </c>
      <c r="C226" s="26"/>
      <c r="D226" s="17"/>
      <c r="E226" s="17"/>
      <c r="F226" s="17"/>
      <c r="G226" s="45"/>
      <c r="H226" s="45"/>
      <c r="I226" s="45"/>
      <c r="J226" s="39"/>
      <c r="K226" s="30"/>
    </row>
    <row r="227" spans="1:19" ht="15" customHeight="1" x14ac:dyDescent="0.3">
      <c r="A227" s="12"/>
      <c r="B227" s="13" t="s">
        <v>123</v>
      </c>
      <c r="C227" s="14">
        <v>1</v>
      </c>
      <c r="D227" s="16"/>
      <c r="E227" s="16"/>
      <c r="F227" s="16"/>
      <c r="G227" s="17">
        <f t="shared" ref="G227" si="22">PRODUCT(C227:F227)</f>
        <v>1</v>
      </c>
      <c r="H227" s="18"/>
      <c r="I227" s="19"/>
      <c r="J227" s="20"/>
      <c r="K227" s="16"/>
      <c r="M227" s="21"/>
      <c r="N227" s="1"/>
      <c r="O227" s="1"/>
      <c r="P227" s="1"/>
      <c r="Q227" s="1"/>
      <c r="R227" s="21"/>
      <c r="S227" s="21"/>
    </row>
    <row r="228" spans="1:19" ht="15" customHeight="1" x14ac:dyDescent="0.3">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3">
      <c r="A229" s="25"/>
      <c r="B229" s="22"/>
      <c r="C229" s="26"/>
      <c r="D229" s="17"/>
      <c r="E229" s="17"/>
      <c r="F229" s="17"/>
      <c r="G229" s="45"/>
      <c r="H229" s="45"/>
      <c r="I229" s="45"/>
      <c r="J229" s="39"/>
      <c r="K229" s="30"/>
    </row>
    <row r="230" spans="1:19" s="1" customFormat="1" ht="43.2" x14ac:dyDescent="0.3">
      <c r="A230" s="25">
        <v>34</v>
      </c>
      <c r="B230" s="60" t="s">
        <v>119</v>
      </c>
      <c r="C230" s="32">
        <f>3</f>
        <v>3</v>
      </c>
      <c r="D230" s="33">
        <v>3.5</v>
      </c>
      <c r="E230" s="33"/>
      <c r="F230" s="33"/>
      <c r="G230" s="33">
        <f>PRODUCT(C230:F230)</f>
        <v>10.5</v>
      </c>
      <c r="H230" s="25"/>
      <c r="I230" s="25"/>
      <c r="J230" s="25"/>
      <c r="K230" s="34"/>
    </row>
    <row r="231" spans="1:19" ht="15" customHeight="1" x14ac:dyDescent="0.3">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3">
      <c r="A232" s="25"/>
      <c r="B232" s="22"/>
      <c r="C232" s="26"/>
      <c r="D232" s="17"/>
      <c r="E232" s="17"/>
      <c r="F232" s="17"/>
      <c r="G232" s="45"/>
      <c r="H232" s="45"/>
      <c r="I232" s="45"/>
      <c r="J232" s="39"/>
      <c r="K232" s="30"/>
    </row>
    <row r="233" spans="1:19" s="1" customFormat="1" x14ac:dyDescent="0.3">
      <c r="A233" s="12">
        <v>35</v>
      </c>
      <c r="B233" s="54" t="s">
        <v>106</v>
      </c>
      <c r="C233" s="32">
        <v>1</v>
      </c>
      <c r="D233" s="33"/>
      <c r="E233" s="33"/>
      <c r="F233" s="33"/>
      <c r="G233" s="37">
        <f>PRODUCT(C233:F233)</f>
        <v>1</v>
      </c>
      <c r="H233" s="37" t="s">
        <v>107</v>
      </c>
      <c r="I233" s="37">
        <v>100000</v>
      </c>
      <c r="J233" s="39">
        <f>G233*I233</f>
        <v>100000</v>
      </c>
      <c r="K233" s="34"/>
    </row>
    <row r="234" spans="1:19" ht="15" customHeight="1" x14ac:dyDescent="0.3">
      <c r="A234" s="25"/>
      <c r="B234" s="41"/>
      <c r="C234" s="26"/>
      <c r="D234" s="17"/>
      <c r="E234" s="17"/>
      <c r="F234" s="17"/>
      <c r="G234" s="45"/>
      <c r="H234" s="45"/>
      <c r="I234" s="45"/>
      <c r="J234" s="39"/>
      <c r="K234" s="30"/>
    </row>
    <row r="235" spans="1:19" ht="15" customHeight="1" x14ac:dyDescent="0.3">
      <c r="A235" s="12">
        <v>36</v>
      </c>
      <c r="B235" s="61" t="s">
        <v>108</v>
      </c>
      <c r="C235" s="14">
        <v>1</v>
      </c>
      <c r="D235" s="15"/>
      <c r="E235" s="16"/>
      <c r="F235" s="16"/>
      <c r="G235" s="37">
        <f t="shared" ref="G235" si="23">PRODUCT(C235:F235)</f>
        <v>1</v>
      </c>
      <c r="H235" s="18" t="s">
        <v>90</v>
      </c>
      <c r="I235" s="19">
        <v>1000</v>
      </c>
      <c r="J235" s="37">
        <f>G235*I235</f>
        <v>1000</v>
      </c>
      <c r="K235" s="16"/>
      <c r="M235" s="21"/>
      <c r="N235" s="21"/>
    </row>
    <row r="236" spans="1:19" ht="15" customHeight="1" x14ac:dyDescent="0.3">
      <c r="A236" s="12"/>
      <c r="B236" s="59"/>
      <c r="C236" s="14"/>
      <c r="D236" s="15"/>
      <c r="E236" s="16"/>
      <c r="F236" s="16"/>
      <c r="G236" s="19"/>
      <c r="H236" s="18"/>
      <c r="I236" s="19"/>
      <c r="J236" s="20"/>
      <c r="K236" s="16"/>
      <c r="M236" s="21"/>
      <c r="N236" s="21"/>
    </row>
    <row r="237" spans="1:19" x14ac:dyDescent="0.3">
      <c r="A237" s="25"/>
      <c r="B237" s="62" t="s">
        <v>128</v>
      </c>
      <c r="C237" s="63"/>
      <c r="D237" s="64"/>
      <c r="E237" s="64"/>
      <c r="F237" s="64"/>
      <c r="G237" s="20"/>
      <c r="H237" s="20"/>
      <c r="I237" s="20"/>
      <c r="J237" s="20">
        <f>SUM(J14:J235)</f>
        <v>2058070.4791162037</v>
      </c>
      <c r="K237" s="30"/>
    </row>
    <row r="239" spans="1:19" s="1" customFormat="1" x14ac:dyDescent="0.3">
      <c r="B239" s="34" t="s">
        <v>110</v>
      </c>
      <c r="C239" s="78">
        <f>J237</f>
        <v>2058070.4791162037</v>
      </c>
      <c r="D239" s="78"/>
      <c r="E239" s="78"/>
      <c r="F239" s="65"/>
      <c r="G239" s="66"/>
      <c r="H239" s="65"/>
      <c r="I239" s="67"/>
      <c r="J239" s="68"/>
      <c r="K239" s="69"/>
    </row>
    <row r="240" spans="1:19" hidden="1" x14ac:dyDescent="0.3">
      <c r="B240" s="34" t="s">
        <v>111</v>
      </c>
      <c r="C240" s="86">
        <v>2250000</v>
      </c>
      <c r="D240" s="86"/>
      <c r="E240" s="33"/>
    </row>
    <row r="241" spans="2:5" hidden="1" x14ac:dyDescent="0.3">
      <c r="B241" s="34" t="s">
        <v>112</v>
      </c>
      <c r="C241" s="86">
        <f>C240-C243-C244</f>
        <v>2137500</v>
      </c>
      <c r="D241" s="86"/>
      <c r="E241" s="33">
        <f>C241/C239*100</f>
        <v>103.85941694853452</v>
      </c>
    </row>
    <row r="242" spans="2:5" hidden="1" x14ac:dyDescent="0.3">
      <c r="B242" s="34" t="s">
        <v>113</v>
      </c>
      <c r="C242" s="78">
        <f>C239-C241</f>
        <v>-79429.520883796271</v>
      </c>
      <c r="D242" s="78"/>
      <c r="E242" s="33">
        <f>100-E241</f>
        <v>-3.8594169485345162</v>
      </c>
    </row>
    <row r="243" spans="2:5" hidden="1" x14ac:dyDescent="0.3">
      <c r="B243" s="34" t="s">
        <v>114</v>
      </c>
      <c r="C243" s="78">
        <f>C240*0.03</f>
        <v>67500</v>
      </c>
      <c r="D243" s="78"/>
      <c r="E243" s="33">
        <v>3</v>
      </c>
    </row>
    <row r="244" spans="2:5" hidden="1" x14ac:dyDescent="0.3">
      <c r="B244" s="34" t="s">
        <v>115</v>
      </c>
      <c r="C244" s="78">
        <f>C240*0.02</f>
        <v>45000</v>
      </c>
      <c r="D244" s="78"/>
      <c r="E244" s="33">
        <v>2</v>
      </c>
    </row>
    <row r="245" spans="2:5" x14ac:dyDescent="0.3">
      <c r="B245" s="87" t="s">
        <v>126</v>
      </c>
      <c r="C245" s="88">
        <f>C239*0.13</f>
        <v>267549.16228510649</v>
      </c>
      <c r="D245" s="88"/>
      <c r="E245" s="88"/>
    </row>
    <row r="246" spans="2:5" x14ac:dyDescent="0.3">
      <c r="B246" s="87" t="s">
        <v>127</v>
      </c>
      <c r="C246" s="88">
        <f>C239+C245</f>
        <v>2325619.6414013105</v>
      </c>
      <c r="D246" s="88"/>
      <c r="E246" s="88"/>
    </row>
  </sheetData>
  <mergeCells count="17">
    <mergeCell ref="C243:D243"/>
    <mergeCell ref="C244:D244"/>
    <mergeCell ref="C245:E245"/>
    <mergeCell ref="C246:E246"/>
    <mergeCell ref="C239:E239"/>
    <mergeCell ref="A7:F7"/>
    <mergeCell ref="H7:K7"/>
    <mergeCell ref="C240:D240"/>
    <mergeCell ref="C241:D241"/>
    <mergeCell ref="C242:D242"/>
    <mergeCell ref="A1:K1"/>
    <mergeCell ref="A2:K2"/>
    <mergeCell ref="A3:K3"/>
    <mergeCell ref="A4:K4"/>
    <mergeCell ref="A5:K5"/>
    <mergeCell ref="A6:F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final</vt:lpstr>
      <vt:lpstr>quotation</vt:lpstr>
      <vt:lpstr>final!Print_Area</vt:lpstr>
      <vt:lpstr>quotation!Print_Area</vt:lpstr>
      <vt:lpstr>final!Print_Titles</vt:lpstr>
      <vt:lpstr>quotation!Print_Titles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2024-12-27T01:47:36Z</dcterms:modified>
</cp:coreProperties>
</file>