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activeTab="5"/>
  </bookViews>
  <sheets>
    <sheet name="WCR" sheetId="6" r:id="rId1"/>
    <sheet name="Sheet4 (2)" sheetId="17" r:id="rId2"/>
    <sheet name="rate analysis" sheetId="18" r:id="rId3"/>
    <sheet name="upvc" sheetId="20" r:id="rId4"/>
    <sheet name="upvc (2)" sheetId="21" r:id="rId5"/>
    <sheet name="backyard" sheetId="22" r:id="rId6"/>
  </sheets>
  <externalReferences>
    <externalReference r:id="rId7"/>
    <externalReference r:id="rId8"/>
    <externalReference r:id="rId9"/>
    <externalReference r:id="rId10"/>
    <externalReference r:id="rId11"/>
    <externalReference r:id="rId12"/>
    <externalReference r:id="rId13"/>
  </externalReferences>
  <definedNames>
    <definedName name="_cgi24">'[1]update Rate'!$N$95</definedName>
    <definedName name="_cgi26">'[1]update Rate'!$N$97</definedName>
    <definedName name="adopted_rate_diesel">'[2]Material rate'!$L$33</definedName>
    <definedName name="awood">'[1]update Rate'!$N$53</definedName>
    <definedName name="bmarble" localSheetId="5">'[1]update Rate'!#REF!</definedName>
    <definedName name="bmarble" localSheetId="2">'[1]update Rate'!#REF!</definedName>
    <definedName name="bmarble" localSheetId="3">'[1]update Rate'!#REF!</definedName>
    <definedName name="bmarble" localSheetId="4">'[1]update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5">#REF!</definedName>
    <definedName name="description_124" localSheetId="1">#REF!</definedName>
    <definedName name="description_124" localSheetId="3">#REF!</definedName>
    <definedName name="description_124" localSheetId="4">#REF!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5">'[1]update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 localSheetId="4">'[1]update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5">'[1]Update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4">'[1]Update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5">'[1]update Rate'!#REF!</definedName>
    <definedName name="nutbolt" localSheetId="2">'[1]update Rate'!#REF!</definedName>
    <definedName name="nutbolt" localSheetId="3">'[1]update Rate'!#REF!</definedName>
    <definedName name="nutbolt" localSheetId="4">'[1]update Rate'!#REF!</definedName>
    <definedName name="nutbolt">'[1]update Rate'!#REF!</definedName>
    <definedName name="nutbolt8" localSheetId="5">'[1]update Rate'!#REF!</definedName>
    <definedName name="nutbolt8" localSheetId="2">'[1]update Rate'!#REF!</definedName>
    <definedName name="nutbolt8" localSheetId="3">'[1]update Rate'!#REF!</definedName>
    <definedName name="nutbolt8" localSheetId="4">'[1]update Rate'!#REF!</definedName>
    <definedName name="nutbolt8">'[1]update Rate'!#REF!</definedName>
    <definedName name="pkila">'[1]update Rate'!$N$60</definedName>
    <definedName name="Planst" localSheetId="5">'[1]update Rate'!#REF!</definedName>
    <definedName name="Planst" localSheetId="2">'[1]update Rate'!#REF!</definedName>
    <definedName name="Planst" localSheetId="3">'[1]update Rate'!#REF!</definedName>
    <definedName name="Planst" localSheetId="4">'[1]update Rate'!#REF!</definedName>
    <definedName name="Planst">'[1]update Rate'!#REF!</definedName>
    <definedName name="plywood4">'[1]update Rate'!$N$69</definedName>
    <definedName name="plywood6">'[1]update Rate'!$N$71</definedName>
    <definedName name="_xlnm.Print_Area" localSheetId="5">backyard!$A$1:$K$158</definedName>
    <definedName name="_xlnm.Print_Area" localSheetId="1">'Sheet4 (2)'!$A$1:$K$114</definedName>
    <definedName name="_xlnm.Print_Area" localSheetId="3">upvc!$A$1:$K$150</definedName>
    <definedName name="_xlnm.Print_Area" localSheetId="4">'upvc (2)'!$A$1:$K$151</definedName>
    <definedName name="_xlnm.Print_Titles" localSheetId="5">backyard!$1:$8</definedName>
    <definedName name="_xlnm.Print_Titles" localSheetId="1">'Sheet4 (2)'!$1:$8</definedName>
    <definedName name="_xlnm.Print_Titles" localSheetId="3">upvc!$1:$8</definedName>
    <definedName name="_xlnm.Print_Titles" localSheetId="4">'upvc (2)'!$1:$8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5">'[1]update Rate'!#REF!</definedName>
    <definedName name="tikwood4" localSheetId="2">'[1]update Rate'!#REF!</definedName>
    <definedName name="tikwood4" localSheetId="3">'[1]update Rate'!#REF!</definedName>
    <definedName name="tikwood4" localSheetId="4">'[1]update Rate'!#REF!</definedName>
    <definedName name="tikwood4">'[1]update Rate'!#REF!</definedName>
    <definedName name="torsteel" localSheetId="5">'[1]update Rate'!#REF!</definedName>
    <definedName name="torsteel" localSheetId="2">'[1]update Rate'!#REF!</definedName>
    <definedName name="torsteel" localSheetId="3">'[1]update Rate'!#REF!</definedName>
    <definedName name="torsteel" localSheetId="4">'[1]update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4" i="22" l="1"/>
  <c r="F13" i="22"/>
  <c r="F12" i="22"/>
  <c r="F11" i="22"/>
  <c r="J147" i="22" l="1"/>
  <c r="G139" i="22"/>
  <c r="G37" i="22" l="1"/>
  <c r="G130" i="22"/>
  <c r="G129" i="22"/>
  <c r="D129" i="22"/>
  <c r="F100" i="22"/>
  <c r="G100" i="22" s="1"/>
  <c r="F99" i="22" l="1"/>
  <c r="G99" i="22" s="1"/>
  <c r="D99" i="22"/>
  <c r="B99" i="22"/>
  <c r="B129" i="22" s="1"/>
  <c r="F96" i="22"/>
  <c r="G96" i="22" s="1"/>
  <c r="D96" i="22"/>
  <c r="C158" i="22"/>
  <c r="C157" i="22"/>
  <c r="C155" i="22"/>
  <c r="G149" i="22"/>
  <c r="J149" i="22" s="1"/>
  <c r="G147" i="22"/>
  <c r="E144" i="22"/>
  <c r="G144" i="22" s="1"/>
  <c r="D144" i="22"/>
  <c r="B144" i="22"/>
  <c r="I139" i="22"/>
  <c r="G138" i="22"/>
  <c r="E138" i="22"/>
  <c r="G137" i="22"/>
  <c r="E137" i="22"/>
  <c r="E136" i="22"/>
  <c r="D136" i="22"/>
  <c r="G136" i="22" s="1"/>
  <c r="F135" i="22"/>
  <c r="G135" i="22" s="1"/>
  <c r="F134" i="22"/>
  <c r="G134" i="22" s="1"/>
  <c r="E128" i="22"/>
  <c r="D128" i="22"/>
  <c r="G128" i="22" s="1"/>
  <c r="C118" i="22"/>
  <c r="B118" i="22"/>
  <c r="B117" i="22"/>
  <c r="D116" i="22"/>
  <c r="G116" i="22" s="1"/>
  <c r="F115" i="22"/>
  <c r="G115" i="22" s="1"/>
  <c r="D115" i="22"/>
  <c r="F114" i="22"/>
  <c r="D114" i="22"/>
  <c r="G114" i="22" s="1"/>
  <c r="D113" i="22"/>
  <c r="G113" i="22" s="1"/>
  <c r="F112" i="22"/>
  <c r="G112" i="22" s="1"/>
  <c r="D111" i="22"/>
  <c r="G111" i="22" s="1"/>
  <c r="D110" i="22"/>
  <c r="G110" i="22" s="1"/>
  <c r="F109" i="22"/>
  <c r="D109" i="22"/>
  <c r="G109" i="22" s="1"/>
  <c r="G108" i="22"/>
  <c r="D108" i="22"/>
  <c r="D103" i="22"/>
  <c r="F102" i="22"/>
  <c r="G102" i="22" s="1"/>
  <c r="D102" i="22"/>
  <c r="D101" i="22"/>
  <c r="F101" i="22" s="1"/>
  <c r="G101" i="22" s="1"/>
  <c r="F98" i="22"/>
  <c r="G98" i="22" s="1"/>
  <c r="D98" i="22"/>
  <c r="D97" i="22"/>
  <c r="F97" i="22" s="1"/>
  <c r="G97" i="22" s="1"/>
  <c r="F95" i="22"/>
  <c r="G95" i="22" s="1"/>
  <c r="D95" i="22"/>
  <c r="D94" i="22"/>
  <c r="C94" i="22"/>
  <c r="C103" i="22" s="1"/>
  <c r="F103" i="22" s="1"/>
  <c r="G103" i="22" s="1"/>
  <c r="D93" i="22"/>
  <c r="F93" i="22" s="1"/>
  <c r="G93" i="22" s="1"/>
  <c r="F92" i="22"/>
  <c r="G92" i="22" s="1"/>
  <c r="D92" i="22"/>
  <c r="G87" i="22"/>
  <c r="G86" i="22"/>
  <c r="E86" i="22"/>
  <c r="E85" i="22"/>
  <c r="D85" i="22"/>
  <c r="G85" i="22" s="1"/>
  <c r="N84" i="22"/>
  <c r="I81" i="22"/>
  <c r="G80" i="22"/>
  <c r="D80" i="22"/>
  <c r="G79" i="22"/>
  <c r="C78" i="22"/>
  <c r="G78" i="22" s="1"/>
  <c r="C77" i="22"/>
  <c r="G77" i="22" s="1"/>
  <c r="E72" i="22"/>
  <c r="D72" i="22"/>
  <c r="C72" i="22"/>
  <c r="F72" i="22" s="1"/>
  <c r="G72" i="22" s="1"/>
  <c r="E71" i="22"/>
  <c r="C71" i="22"/>
  <c r="F71" i="22" s="1"/>
  <c r="G71" i="22" s="1"/>
  <c r="E70" i="22"/>
  <c r="C70" i="22"/>
  <c r="F70" i="22" s="1"/>
  <c r="G70" i="22" s="1"/>
  <c r="E69" i="22"/>
  <c r="C69" i="22"/>
  <c r="F69" i="22" s="1"/>
  <c r="G69" i="22" s="1"/>
  <c r="N67" i="22"/>
  <c r="D64" i="22"/>
  <c r="G64" i="22" s="1"/>
  <c r="G65" i="22" s="1"/>
  <c r="E59" i="22"/>
  <c r="C59" i="22"/>
  <c r="B59" i="22"/>
  <c r="D58" i="22"/>
  <c r="D117" i="22" s="1"/>
  <c r="C58" i="22"/>
  <c r="G58" i="22" s="1"/>
  <c r="B58" i="22"/>
  <c r="G52" i="22"/>
  <c r="E52" i="22"/>
  <c r="D52" i="22"/>
  <c r="C52" i="22"/>
  <c r="B52" i="22"/>
  <c r="E51" i="22"/>
  <c r="E58" i="22" s="1"/>
  <c r="D51" i="22"/>
  <c r="E50" i="22"/>
  <c r="E57" i="22" s="1"/>
  <c r="C50" i="22"/>
  <c r="C57" i="22" s="1"/>
  <c r="B50" i="22"/>
  <c r="B57" i="22" s="1"/>
  <c r="D46" i="22"/>
  <c r="G46" i="22" s="1"/>
  <c r="G47" i="22" s="1"/>
  <c r="J47" i="22" s="1"/>
  <c r="N41" i="22"/>
  <c r="D41" i="22"/>
  <c r="G41" i="22" s="1"/>
  <c r="G42" i="22" s="1"/>
  <c r="J42" i="22" s="1"/>
  <c r="J43" i="22" s="1"/>
  <c r="N36" i="22"/>
  <c r="D36" i="22"/>
  <c r="G36" i="22" s="1"/>
  <c r="N31" i="22"/>
  <c r="E31" i="22"/>
  <c r="D31" i="22"/>
  <c r="G31" i="22" s="1"/>
  <c r="G32" i="22" s="1"/>
  <c r="E26" i="22"/>
  <c r="G26" i="22" s="1"/>
  <c r="D26" i="22"/>
  <c r="N25" i="22"/>
  <c r="E25" i="22"/>
  <c r="D25" i="22"/>
  <c r="G25" i="22" s="1"/>
  <c r="N24" i="22"/>
  <c r="E24" i="22"/>
  <c r="G24" i="22" s="1"/>
  <c r="D24" i="22"/>
  <c r="G19" i="22"/>
  <c r="N18" i="22"/>
  <c r="F18" i="22"/>
  <c r="F118" i="22" s="1"/>
  <c r="N10" i="22"/>
  <c r="F10" i="22"/>
  <c r="E10" i="22"/>
  <c r="D10" i="22"/>
  <c r="D18" i="22" s="1"/>
  <c r="G88" i="22" l="1"/>
  <c r="J88" i="22" s="1"/>
  <c r="G81" i="22"/>
  <c r="J82" i="22" s="1"/>
  <c r="J65" i="22"/>
  <c r="J66" i="22"/>
  <c r="G18" i="22"/>
  <c r="G20" i="22" s="1"/>
  <c r="D118" i="22"/>
  <c r="G118" i="22" s="1"/>
  <c r="D59" i="22"/>
  <c r="G59" i="22" s="1"/>
  <c r="G27" i="22"/>
  <c r="J27" i="22" s="1"/>
  <c r="J28" i="22" s="1"/>
  <c r="J89" i="22"/>
  <c r="G143" i="22"/>
  <c r="G145" i="22" s="1"/>
  <c r="J145" i="22" s="1"/>
  <c r="J139" i="22"/>
  <c r="J140" i="22" s="1"/>
  <c r="J33" i="22"/>
  <c r="J32" i="22"/>
  <c r="G73" i="22"/>
  <c r="J38" i="22"/>
  <c r="J37" i="22"/>
  <c r="J131" i="22"/>
  <c r="J130" i="22"/>
  <c r="C117" i="22"/>
  <c r="G117" i="22" s="1"/>
  <c r="G119" i="22" s="1"/>
  <c r="F94" i="22"/>
  <c r="G94" i="22" s="1"/>
  <c r="G104" i="22" s="1"/>
  <c r="D50" i="22"/>
  <c r="G10" i="22"/>
  <c r="G15" i="22" s="1"/>
  <c r="J15" i="22" s="1"/>
  <c r="G51" i="22"/>
  <c r="E27" i="20"/>
  <c r="D27" i="20"/>
  <c r="C151" i="21"/>
  <c r="C150" i="21"/>
  <c r="C148" i="21"/>
  <c r="G142" i="21"/>
  <c r="J142" i="21" s="1"/>
  <c r="J140" i="21"/>
  <c r="G140" i="21"/>
  <c r="E137" i="21"/>
  <c r="D137" i="21"/>
  <c r="G137" i="21" s="1"/>
  <c r="B137" i="21"/>
  <c r="I132" i="21"/>
  <c r="E131" i="21"/>
  <c r="G131" i="21" s="1"/>
  <c r="G130" i="21"/>
  <c r="E130" i="21"/>
  <c r="E129" i="21"/>
  <c r="D129" i="21"/>
  <c r="G129" i="21" s="1"/>
  <c r="F128" i="21"/>
  <c r="G128" i="21" s="1"/>
  <c r="F127" i="21"/>
  <c r="G127" i="21" s="1"/>
  <c r="G122" i="21"/>
  <c r="G123" i="21" s="1"/>
  <c r="E122" i="21"/>
  <c r="D122" i="21"/>
  <c r="C112" i="21"/>
  <c r="B112" i="21"/>
  <c r="D110" i="21"/>
  <c r="G110" i="21" s="1"/>
  <c r="F109" i="21"/>
  <c r="D109" i="21"/>
  <c r="G109" i="21" s="1"/>
  <c r="G108" i="21"/>
  <c r="F108" i="21"/>
  <c r="D108" i="21"/>
  <c r="D107" i="21"/>
  <c r="G107" i="21" s="1"/>
  <c r="F106" i="21"/>
  <c r="G106" i="21" s="1"/>
  <c r="D105" i="21"/>
  <c r="G105" i="21" s="1"/>
  <c r="D104" i="21"/>
  <c r="G104" i="21" s="1"/>
  <c r="F103" i="21"/>
  <c r="G103" i="21" s="1"/>
  <c r="D103" i="21"/>
  <c r="D102" i="21"/>
  <c r="G102" i="21" s="1"/>
  <c r="F97" i="21"/>
  <c r="G97" i="21" s="1"/>
  <c r="D97" i="21"/>
  <c r="C97" i="21"/>
  <c r="F96" i="21"/>
  <c r="G96" i="21" s="1"/>
  <c r="D96" i="21"/>
  <c r="D95" i="21"/>
  <c r="F95" i="21" s="1"/>
  <c r="G95" i="21" s="1"/>
  <c r="D94" i="21"/>
  <c r="F94" i="21" s="1"/>
  <c r="G94" i="21" s="1"/>
  <c r="D93" i="21"/>
  <c r="F93" i="21" s="1"/>
  <c r="G93" i="21" s="1"/>
  <c r="F92" i="21"/>
  <c r="G92" i="21" s="1"/>
  <c r="D92" i="21"/>
  <c r="D91" i="21"/>
  <c r="F91" i="21" s="1"/>
  <c r="G91" i="21" s="1"/>
  <c r="C91" i="21"/>
  <c r="D90" i="21"/>
  <c r="F90" i="21" s="1"/>
  <c r="G90" i="21" s="1"/>
  <c r="D89" i="21"/>
  <c r="F89" i="21" s="1"/>
  <c r="G89" i="21" s="1"/>
  <c r="G84" i="21"/>
  <c r="G83" i="21"/>
  <c r="E83" i="21"/>
  <c r="E82" i="21"/>
  <c r="D82" i="21"/>
  <c r="G82" i="21" s="1"/>
  <c r="G85" i="21" s="1"/>
  <c r="N81" i="21"/>
  <c r="I78" i="21"/>
  <c r="D77" i="21"/>
  <c r="G77" i="21" s="1"/>
  <c r="G76" i="21"/>
  <c r="C75" i="21"/>
  <c r="G75" i="21" s="1"/>
  <c r="C74" i="21"/>
  <c r="G74" i="21" s="1"/>
  <c r="G78" i="21" s="1"/>
  <c r="E69" i="21"/>
  <c r="D69" i="21"/>
  <c r="C69" i="21"/>
  <c r="F69" i="21" s="1"/>
  <c r="G69" i="21" s="1"/>
  <c r="E68" i="21"/>
  <c r="C68" i="21"/>
  <c r="F68" i="21" s="1"/>
  <c r="G68" i="21" s="1"/>
  <c r="E67" i="21"/>
  <c r="C67" i="21"/>
  <c r="F67" i="21" s="1"/>
  <c r="G67" i="21" s="1"/>
  <c r="E66" i="21"/>
  <c r="C66" i="21"/>
  <c r="F66" i="21" s="1"/>
  <c r="G66" i="21" s="1"/>
  <c r="N64" i="21"/>
  <c r="D61" i="21"/>
  <c r="G61" i="21" s="1"/>
  <c r="G62" i="21" s="1"/>
  <c r="E56" i="21"/>
  <c r="D56" i="21"/>
  <c r="G56" i="21" s="1"/>
  <c r="C56" i="21"/>
  <c r="B56" i="21"/>
  <c r="E55" i="21"/>
  <c r="C55" i="21"/>
  <c r="C111" i="21" s="1"/>
  <c r="B55" i="21"/>
  <c r="B111" i="21" s="1"/>
  <c r="G49" i="21"/>
  <c r="E49" i="21"/>
  <c r="D49" i="21"/>
  <c r="C49" i="21"/>
  <c r="B49" i="21"/>
  <c r="E48" i="21"/>
  <c r="D48" i="21"/>
  <c r="D55" i="21" s="1"/>
  <c r="E47" i="21"/>
  <c r="E54" i="21" s="1"/>
  <c r="C47" i="21"/>
  <c r="C54" i="21" s="1"/>
  <c r="B47" i="21"/>
  <c r="B54" i="21" s="1"/>
  <c r="D43" i="21"/>
  <c r="G43" i="21" s="1"/>
  <c r="G44" i="21" s="1"/>
  <c r="J44" i="21" s="1"/>
  <c r="N38" i="21"/>
  <c r="D38" i="21"/>
  <c r="G38" i="21" s="1"/>
  <c r="G39" i="21" s="1"/>
  <c r="J39" i="21" s="1"/>
  <c r="J40" i="21" s="1"/>
  <c r="N33" i="21"/>
  <c r="D33" i="21"/>
  <c r="G33" i="21" s="1"/>
  <c r="G34" i="21" s="1"/>
  <c r="G28" i="21"/>
  <c r="E28" i="21"/>
  <c r="D28" i="21"/>
  <c r="N27" i="21"/>
  <c r="G27" i="21"/>
  <c r="G29" i="21" s="1"/>
  <c r="D27" i="21"/>
  <c r="E22" i="21"/>
  <c r="D22" i="21"/>
  <c r="G22" i="21" s="1"/>
  <c r="N21" i="21"/>
  <c r="E21" i="21"/>
  <c r="D21" i="21"/>
  <c r="G21" i="21" s="1"/>
  <c r="N20" i="21"/>
  <c r="E20" i="21"/>
  <c r="D20" i="21"/>
  <c r="G20" i="21" s="1"/>
  <c r="G15" i="21"/>
  <c r="N14" i="21"/>
  <c r="D14" i="21"/>
  <c r="N10" i="21"/>
  <c r="F10" i="21"/>
  <c r="F14" i="21" s="1"/>
  <c r="F112" i="21" s="1"/>
  <c r="E10" i="21"/>
  <c r="D10" i="21"/>
  <c r="D136" i="20"/>
  <c r="G136" i="20" s="1"/>
  <c r="E136" i="20"/>
  <c r="B136" i="20"/>
  <c r="C48" i="20"/>
  <c r="D48" i="20"/>
  <c r="E48" i="20"/>
  <c r="B48" i="20"/>
  <c r="G83" i="20"/>
  <c r="J34" i="20"/>
  <c r="D32" i="20"/>
  <c r="N32" i="20"/>
  <c r="G32" i="20"/>
  <c r="G33" i="20" s="1"/>
  <c r="G130" i="20"/>
  <c r="E130" i="20"/>
  <c r="D128" i="20"/>
  <c r="C54" i="20"/>
  <c r="C110" i="20" s="1"/>
  <c r="B54" i="20"/>
  <c r="B110" i="20" s="1"/>
  <c r="E47" i="20"/>
  <c r="E54" i="20" s="1"/>
  <c r="D47" i="20"/>
  <c r="G47" i="20" s="1"/>
  <c r="G15" i="20"/>
  <c r="C111" i="20"/>
  <c r="B111" i="20"/>
  <c r="E55" i="20"/>
  <c r="C55" i="20"/>
  <c r="B55" i="20"/>
  <c r="N14" i="20"/>
  <c r="E10" i="20"/>
  <c r="F10" i="20"/>
  <c r="F14" i="20" s="1"/>
  <c r="F111" i="20" s="1"/>
  <c r="D10" i="20"/>
  <c r="N10" i="20"/>
  <c r="J81" i="22" l="1"/>
  <c r="J105" i="22"/>
  <c r="J104" i="22"/>
  <c r="J74" i="22"/>
  <c r="J73" i="22"/>
  <c r="D57" i="22"/>
  <c r="G57" i="22" s="1"/>
  <c r="G60" i="22" s="1"/>
  <c r="G50" i="22"/>
  <c r="G53" i="22" s="1"/>
  <c r="J119" i="22"/>
  <c r="G123" i="22"/>
  <c r="G124" i="22" s="1"/>
  <c r="J120" i="22"/>
  <c r="J21" i="22"/>
  <c r="J20" i="22"/>
  <c r="G48" i="20"/>
  <c r="D54" i="20"/>
  <c r="D110" i="20" s="1"/>
  <c r="G110" i="20" s="1"/>
  <c r="G10" i="20"/>
  <c r="G14" i="21"/>
  <c r="G16" i="21" s="1"/>
  <c r="J35" i="21"/>
  <c r="J34" i="21"/>
  <c r="G55" i="21"/>
  <c r="D111" i="21"/>
  <c r="G111" i="21"/>
  <c r="G70" i="21"/>
  <c r="J86" i="21"/>
  <c r="J85" i="21"/>
  <c r="J79" i="21"/>
  <c r="J78" i="21"/>
  <c r="G23" i="21"/>
  <c r="J23" i="21" s="1"/>
  <c r="J24" i="21" s="1"/>
  <c r="J30" i="21"/>
  <c r="J29" i="21"/>
  <c r="J124" i="21"/>
  <c r="J123" i="21"/>
  <c r="J63" i="21"/>
  <c r="J62" i="21"/>
  <c r="G98" i="21"/>
  <c r="G132" i="21"/>
  <c r="D112" i="21"/>
  <c r="G112" i="21" s="1"/>
  <c r="G113" i="21" s="1"/>
  <c r="G10" i="21"/>
  <c r="G11" i="21" s="1"/>
  <c r="J11" i="21" s="1"/>
  <c r="G48" i="21"/>
  <c r="D47" i="21"/>
  <c r="J33" i="20"/>
  <c r="D14" i="20"/>
  <c r="G11" i="20"/>
  <c r="J11" i="20" s="1"/>
  <c r="J125" i="22" l="1"/>
  <c r="J151" i="22" s="1"/>
  <c r="C153" i="22" s="1"/>
  <c r="J124" i="22"/>
  <c r="J54" i="22"/>
  <c r="J53" i="22"/>
  <c r="J60" i="22"/>
  <c r="J61" i="22"/>
  <c r="G54" i="20"/>
  <c r="J114" i="21"/>
  <c r="J113" i="21"/>
  <c r="G117" i="21"/>
  <c r="G118" i="21" s="1"/>
  <c r="J71" i="21"/>
  <c r="J70" i="21"/>
  <c r="D54" i="21"/>
  <c r="G54" i="21" s="1"/>
  <c r="G57" i="21" s="1"/>
  <c r="G47" i="21"/>
  <c r="G50" i="21" s="1"/>
  <c r="G136" i="21"/>
  <c r="G138" i="21" s="1"/>
  <c r="J138" i="21" s="1"/>
  <c r="J132" i="21"/>
  <c r="J133" i="21" s="1"/>
  <c r="J99" i="21"/>
  <c r="J98" i="21"/>
  <c r="J16" i="21"/>
  <c r="J17" i="21"/>
  <c r="D111" i="20"/>
  <c r="G111" i="20" s="1"/>
  <c r="D55" i="20"/>
  <c r="G55" i="20" s="1"/>
  <c r="G14" i="20"/>
  <c r="C156" i="22" l="1"/>
  <c r="E155" i="22"/>
  <c r="E156" i="22" s="1"/>
  <c r="J51" i="21"/>
  <c r="J50" i="21"/>
  <c r="J144" i="21" s="1"/>
  <c r="C146" i="21" s="1"/>
  <c r="J57" i="21"/>
  <c r="J58" i="21"/>
  <c r="J118" i="21"/>
  <c r="J119" i="21"/>
  <c r="G16" i="20"/>
  <c r="J17" i="20" s="1"/>
  <c r="C149" i="21" l="1"/>
  <c r="E148" i="21"/>
  <c r="E149" i="21" s="1"/>
  <c r="J16" i="20"/>
  <c r="E129" i="20" l="1"/>
  <c r="G129" i="20" s="1"/>
  <c r="E128" i="20"/>
  <c r="G128" i="20" s="1"/>
  <c r="F127" i="20"/>
  <c r="G127" i="20" s="1"/>
  <c r="F126" i="20"/>
  <c r="G126" i="20" s="1"/>
  <c r="G131" i="20" s="1"/>
  <c r="I131" i="20"/>
  <c r="G135" i="20" l="1"/>
  <c r="G137" i="20" l="1"/>
  <c r="J137" i="20" s="1"/>
  <c r="J131" i="20"/>
  <c r="J132" i="20" s="1"/>
  <c r="C150" i="20" l="1"/>
  <c r="C149" i="20"/>
  <c r="G141" i="20"/>
  <c r="J141" i="20" s="1"/>
  <c r="G139" i="20"/>
  <c r="J139" i="20" s="1"/>
  <c r="E121" i="20"/>
  <c r="D121" i="20"/>
  <c r="D109" i="20"/>
  <c r="G109" i="20" s="1"/>
  <c r="F108" i="20"/>
  <c r="D108" i="20"/>
  <c r="F107" i="20"/>
  <c r="D107" i="20"/>
  <c r="D106" i="20"/>
  <c r="G106" i="20" s="1"/>
  <c r="F105" i="20"/>
  <c r="G105" i="20" s="1"/>
  <c r="D104" i="20"/>
  <c r="G104" i="20" s="1"/>
  <c r="D103" i="20"/>
  <c r="G103" i="20" s="1"/>
  <c r="F102" i="20"/>
  <c r="D102" i="20"/>
  <c r="D101" i="20"/>
  <c r="G101" i="20" s="1"/>
  <c r="D96" i="20"/>
  <c r="D95" i="20"/>
  <c r="F95" i="20" s="1"/>
  <c r="G95" i="20" s="1"/>
  <c r="D94" i="20"/>
  <c r="F94" i="20" s="1"/>
  <c r="G94" i="20" s="1"/>
  <c r="D93" i="20"/>
  <c r="F93" i="20" s="1"/>
  <c r="G93" i="20" s="1"/>
  <c r="D92" i="20"/>
  <c r="F92" i="20" s="1"/>
  <c r="G92" i="20" s="1"/>
  <c r="D91" i="20"/>
  <c r="F91" i="20" s="1"/>
  <c r="G91" i="20" s="1"/>
  <c r="D90" i="20"/>
  <c r="D89" i="20"/>
  <c r="F89" i="20" s="1"/>
  <c r="G89" i="20" s="1"/>
  <c r="D88" i="20"/>
  <c r="F88" i="20" s="1"/>
  <c r="G88" i="20" s="1"/>
  <c r="E82" i="20"/>
  <c r="G82" i="20" s="1"/>
  <c r="E81" i="20"/>
  <c r="N80" i="20"/>
  <c r="I77" i="20"/>
  <c r="D76" i="20"/>
  <c r="G76" i="20" s="1"/>
  <c r="G75" i="20"/>
  <c r="C74" i="20"/>
  <c r="G74" i="20" s="1"/>
  <c r="C73" i="20"/>
  <c r="G73" i="20" s="1"/>
  <c r="E68" i="20"/>
  <c r="D68" i="20"/>
  <c r="C67" i="20" s="1"/>
  <c r="C68" i="20"/>
  <c r="E67" i="20"/>
  <c r="E66" i="20"/>
  <c r="C66" i="20"/>
  <c r="E65" i="20"/>
  <c r="C65" i="20"/>
  <c r="N63" i="20"/>
  <c r="D60" i="20"/>
  <c r="D42" i="20" s="1"/>
  <c r="E46" i="20"/>
  <c r="E53" i="20" s="1"/>
  <c r="C46" i="20"/>
  <c r="B46" i="20"/>
  <c r="B53" i="20" s="1"/>
  <c r="N37" i="20"/>
  <c r="D37" i="20"/>
  <c r="G37" i="20" s="1"/>
  <c r="G38" i="20" s="1"/>
  <c r="J38" i="20" s="1"/>
  <c r="J39" i="20" s="1"/>
  <c r="N27" i="20"/>
  <c r="E22" i="20"/>
  <c r="D22" i="20"/>
  <c r="N21" i="20"/>
  <c r="E21" i="20"/>
  <c r="D21" i="20"/>
  <c r="N20" i="20"/>
  <c r="E20" i="20"/>
  <c r="D20" i="20"/>
  <c r="F67" i="20" l="1"/>
  <c r="G67" i="20" s="1"/>
  <c r="G77" i="20"/>
  <c r="J78" i="20" s="1"/>
  <c r="F66" i="20"/>
  <c r="G66" i="20" s="1"/>
  <c r="G121" i="20"/>
  <c r="G122" i="20" s="1"/>
  <c r="J123" i="20" s="1"/>
  <c r="G108" i="20"/>
  <c r="G20" i="20"/>
  <c r="G102" i="20"/>
  <c r="G112" i="20" s="1"/>
  <c r="G27" i="20"/>
  <c r="G28" i="20" s="1"/>
  <c r="C147" i="20"/>
  <c r="J77" i="20"/>
  <c r="C90" i="20"/>
  <c r="C96" i="20" s="1"/>
  <c r="F96" i="20" s="1"/>
  <c r="G96" i="20" s="1"/>
  <c r="G21" i="20"/>
  <c r="G60" i="20"/>
  <c r="G61" i="20" s="1"/>
  <c r="G107" i="20"/>
  <c r="G22" i="20"/>
  <c r="F65" i="20"/>
  <c r="G65" i="20" s="1"/>
  <c r="D46" i="20"/>
  <c r="D53" i="20" s="1"/>
  <c r="G42" i="20"/>
  <c r="G43" i="20" s="1"/>
  <c r="J43" i="20" s="1"/>
  <c r="F68" i="20"/>
  <c r="G68" i="20" s="1"/>
  <c r="D81" i="20"/>
  <c r="G81" i="20" s="1"/>
  <c r="G84" i="20" s="1"/>
  <c r="C53" i="20"/>
  <c r="J107" i="17"/>
  <c r="G116" i="20" l="1"/>
  <c r="J113" i="20"/>
  <c r="J61" i="20"/>
  <c r="J62" i="20"/>
  <c r="J85" i="20"/>
  <c r="J122" i="20"/>
  <c r="J28" i="20"/>
  <c r="J29" i="20"/>
  <c r="G117" i="20"/>
  <c r="J118" i="20" s="1"/>
  <c r="G69" i="20"/>
  <c r="G23" i="20"/>
  <c r="J23" i="20" s="1"/>
  <c r="J24" i="20" s="1"/>
  <c r="J112" i="20"/>
  <c r="G53" i="20"/>
  <c r="G56" i="20" s="1"/>
  <c r="J57" i="20" s="1"/>
  <c r="G46" i="20"/>
  <c r="F90" i="20"/>
  <c r="G90" i="20" s="1"/>
  <c r="G97" i="20" s="1"/>
  <c r="J98" i="20" s="1"/>
  <c r="J103" i="17"/>
  <c r="G103" i="17"/>
  <c r="E17" i="17"/>
  <c r="E31" i="17"/>
  <c r="G49" i="20" l="1"/>
  <c r="J50" i="20" s="1"/>
  <c r="J69" i="20"/>
  <c r="J70" i="20"/>
  <c r="J84" i="20"/>
  <c r="J117" i="20"/>
  <c r="J97" i="20"/>
  <c r="J49" i="20"/>
  <c r="J56" i="20"/>
  <c r="G99" i="17"/>
  <c r="E99" i="17"/>
  <c r="D99" i="17"/>
  <c r="J143" i="20" l="1"/>
  <c r="C145" i="20" s="1"/>
  <c r="C148" i="20" s="1"/>
  <c r="D76" i="17"/>
  <c r="C70" i="17"/>
  <c r="F70" i="17" s="1"/>
  <c r="G70" i="17" s="1"/>
  <c r="D70" i="17"/>
  <c r="D75" i="17"/>
  <c r="F75" i="17" s="1"/>
  <c r="G75" i="17" s="1"/>
  <c r="E147" i="20" l="1"/>
  <c r="E148" i="20" s="1"/>
  <c r="C76" i="17"/>
  <c r="F76" i="17" s="1"/>
  <c r="G76" i="17" s="1"/>
  <c r="D89" i="17"/>
  <c r="G89" i="17" s="1"/>
  <c r="F88" i="17"/>
  <c r="D88" i="17"/>
  <c r="F87" i="17"/>
  <c r="D87" i="17"/>
  <c r="G87" i="17" s="1"/>
  <c r="D86" i="17"/>
  <c r="G86" i="17" s="1"/>
  <c r="F85" i="17"/>
  <c r="G85" i="17" s="1"/>
  <c r="D84" i="17"/>
  <c r="G84" i="17" s="1"/>
  <c r="D83" i="17"/>
  <c r="G83" i="17" s="1"/>
  <c r="F82" i="17"/>
  <c r="D82" i="17"/>
  <c r="D81" i="17"/>
  <c r="G81" i="17"/>
  <c r="D69" i="17"/>
  <c r="F69" i="17"/>
  <c r="G69" i="17" s="1"/>
  <c r="D74" i="17"/>
  <c r="F74" i="17" s="1"/>
  <c r="G74" i="17" s="1"/>
  <c r="G88" i="17" l="1"/>
  <c r="G90" i="17" s="1"/>
  <c r="G82" i="17"/>
  <c r="D73" i="17"/>
  <c r="F73" i="17" s="1"/>
  <c r="G73" i="17" s="1"/>
  <c r="D72" i="17"/>
  <c r="F72" i="17" s="1"/>
  <c r="G72" i="17" s="1"/>
  <c r="D71" i="17"/>
  <c r="F71" i="17" s="1"/>
  <c r="G71" i="17" s="1"/>
  <c r="G94" i="17" l="1"/>
  <c r="G95" i="17" s="1"/>
  <c r="G100" i="17" s="1"/>
  <c r="J101" i="17" s="1"/>
  <c r="J100" i="17"/>
  <c r="J96" i="17"/>
  <c r="J91" i="17"/>
  <c r="J90" i="17"/>
  <c r="J95" i="17" l="1"/>
  <c r="D68" i="17"/>
  <c r="F68" i="17" s="1"/>
  <c r="G68" i="17" s="1"/>
  <c r="G77" i="17" s="1"/>
  <c r="J78" i="17" l="1"/>
  <c r="J77" i="17"/>
  <c r="E63" i="17" l="1"/>
  <c r="G63" i="17" s="1"/>
  <c r="E62" i="17"/>
  <c r="J65" i="17"/>
  <c r="I64" i="17"/>
  <c r="G56" i="17"/>
  <c r="D57" i="17"/>
  <c r="G57" i="17" s="1"/>
  <c r="C55" i="17"/>
  <c r="G55" i="17" s="1"/>
  <c r="C54" i="17"/>
  <c r="G54" i="17" s="1"/>
  <c r="J59" i="17"/>
  <c r="I58" i="17"/>
  <c r="G28" i="18"/>
  <c r="F31" i="18"/>
  <c r="G31" i="18" s="1"/>
  <c r="F30" i="18"/>
  <c r="G30" i="18" s="1"/>
  <c r="F29" i="18"/>
  <c r="G29" i="18" s="1"/>
  <c r="G27" i="18"/>
  <c r="G26" i="18"/>
  <c r="A22" i="18"/>
  <c r="C49" i="17"/>
  <c r="E48" i="17"/>
  <c r="E46" i="17"/>
  <c r="D49" i="17"/>
  <c r="C48" i="17" s="1"/>
  <c r="E49" i="17"/>
  <c r="N61" i="17"/>
  <c r="C47" i="17"/>
  <c r="N44" i="17"/>
  <c r="C46" i="17"/>
  <c r="E47" i="17"/>
  <c r="E36" i="17"/>
  <c r="C31" i="17"/>
  <c r="C36" i="17" s="1"/>
  <c r="B31" i="17"/>
  <c r="B36" i="17" s="1"/>
  <c r="H31" i="18" l="1"/>
  <c r="F47" i="17"/>
  <c r="G47" i="17" s="1"/>
  <c r="G58" i="17"/>
  <c r="J58" i="17"/>
  <c r="F48" i="17"/>
  <c r="G48" i="17" s="1"/>
  <c r="H27" i="18"/>
  <c r="F49" i="17"/>
  <c r="G49" i="17" s="1"/>
  <c r="F46" i="17"/>
  <c r="G46" i="17" s="1"/>
  <c r="H32" i="18" l="1"/>
  <c r="H33" i="18" s="1"/>
  <c r="G50" i="17"/>
  <c r="J50" i="17"/>
  <c r="H34" i="18" l="1"/>
  <c r="B34" i="18" s="1"/>
  <c r="D34" i="18" s="1"/>
  <c r="J51" i="17"/>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H13" i="18"/>
  <c r="H14" i="18" s="1"/>
  <c r="J33" i="17" l="1"/>
  <c r="J37" i="17"/>
  <c r="J38" i="17"/>
  <c r="H15" i="18"/>
  <c r="H16" i="18" s="1"/>
  <c r="B16" i="18" l="1"/>
  <c r="H17" i="18"/>
  <c r="H18" i="18" s="1"/>
  <c r="J19" i="17" l="1"/>
  <c r="D17" i="17"/>
  <c r="N17" i="17"/>
  <c r="E12" i="17"/>
  <c r="D12" i="17"/>
  <c r="G12" i="17" s="1"/>
  <c r="N11" i="17"/>
  <c r="E11" i="17"/>
  <c r="D11" i="17"/>
  <c r="E10" i="17"/>
  <c r="N10" i="17"/>
  <c r="D10" i="17"/>
  <c r="G11" i="17" l="1"/>
  <c r="G17" i="17"/>
  <c r="G18" i="17" s="1"/>
  <c r="J18" i="17" s="1"/>
  <c r="G10" i="17"/>
  <c r="G13" i="17" s="1"/>
  <c r="J13" i="17" l="1"/>
  <c r="C114" i="17"/>
  <c r="C113" i="17"/>
  <c r="G105" i="17"/>
  <c r="J105" i="17" s="1"/>
  <c r="J14" i="17" l="1"/>
  <c r="C111" i="17"/>
  <c r="C109" i="17" l="1"/>
  <c r="C112" i="17" s="1"/>
  <c r="E111" i="17" l="1"/>
  <c r="E11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<sst xmlns="http://schemas.openxmlformats.org/spreadsheetml/2006/main" count="664" uniqueCount="167">
  <si>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</si>
  <si>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</si>
  <si>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</si>
  <si>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</si>
  <si>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</si>
  <si>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</si>
  <si>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</si>
  <si>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</si>
  <si>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</si>
  <si>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</si>
  <si>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</si>
  <si>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</si>
  <si>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</si>
  <si>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</si>
  <si>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</si>
  <si>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</si>
  <si>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</si>
  <si>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</si>
  <si>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</si>
  <si>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</si>
  <si>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</si>
  <si>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</si>
  <si>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</si>
  <si>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</si>
  <si>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</si>
  <si>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</si>
  <si>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</si>
  <si>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</si>
  <si>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</si>
  <si>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</si>
  <si>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</si>
  <si>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</si>
  <si>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</si>
  <si>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</si>
  <si>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</si>
  <si>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</si>
  <si>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</si>
  <si>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</si>
  <si>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</si>
  <si>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</si>
  <si>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</si>
  <si>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</si>
  <si>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</si>
  <si>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</si>
  <si>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</si>
  <si>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</si>
  <si>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</si>
  <si>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</si>
  <si>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</si>
  <si>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</si>
  <si>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</si>
  <si>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</si>
  <si>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</si>
  <si>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</si>
  <si>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</si>
  <si>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</si>
  <si>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</si>
  <si>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</si>
  <si>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</si>
  <si>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</si>
  <si>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</si>
  <si>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</si>
  <si>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</si>
  <si>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</si>
  <si>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</si>
  <si>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</si>
  <si>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</si>
  <si>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</si>
  <si>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</si>
  <si>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</si>
  <si>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</si>
  <si>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</si>
  <si>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</si>
  <si>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</si>
  <si>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</si>
  <si>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</si>
  <si>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</si>
  <si>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</si>
  <si>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</si>
  <si>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</si>
  <si>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</si>
  <si>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</si>
  <si>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</si>
  <si>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</si>
  <si>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</si>
  <si>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</si>
  <si>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</si>
  <si>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</si>
  <si>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</si>
  <si>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</si>
  <si>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</si>
  <si>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</si>
  <si>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</si>
  <si>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</si>
  <si>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</si>
  <si>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</si>
  <si>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</si>
  <si>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</si>
  <si>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</si>
  <si>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</si>
  <si>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</si>
  <si>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</si>
  <si>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</si>
  <si>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</si>
  <si>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</si>
  <si>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</si>
  <si>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</si>
  <si>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</si>
  <si>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</si>
  <si>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</si>
  <si>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</si>
  <si>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</si>
  <si>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</si>
  <si>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</si>
  <si>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</si>
  <si>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</si>
  <si>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</si>
  <si>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</si>
  <si>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</si>
  <si>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</si>
  <si>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</si>
  <si>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</si>
  <si>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</si>
  <si>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</si>
  <si>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</si>
  <si>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</si>
  <si>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</si>
  <si>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</si>
  <si>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</si>
  <si>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</si>
  <si>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</si>
  <si>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</si>
  <si>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</si>
  <si>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</si>
  <si>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</si>
  <si>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</si>
  <si>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</si>
  <si>
    <t>!=@ ld=ld= Kn]g kmfO{j/ Unf; kftfn] 5fgf 5fpg] sfd</t>
  </si>
  <si>
    <t>-roof</t>
  </si>
  <si>
    <t>Provisional sum for unforeseen works</t>
  </si>
  <si>
    <t>PS</t>
  </si>
  <si>
    <t>Date:2081/09/29</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</si>
  <si>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</si>
  <si>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</si>
  <si>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</si>
  <si>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</si>
  <si>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</si>
  <si>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</si>
  <si>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</si>
  <si>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</si>
  <si>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</si>
  <si>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</si>
  <si>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</si>
  <si>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</si>
  <si>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</si>
  <si>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</si>
  <si>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</si>
  <si>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</si>
  <si>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</si>
  <si>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</si>
  <si>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-deduction</t>
  </si>
  <si>
    <t>-at compound</t>
  </si>
  <si>
    <t>Date:2081/09/28</t>
  </si>
  <si>
    <t>-left</t>
  </si>
  <si>
    <t>-right</t>
  </si>
  <si>
    <t>Wing part 1 upto mid length</t>
  </si>
  <si>
    <t>Wing part 1 upto end length from mid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</si>
</sst>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186">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27" fillId="0" borderId="0" xfId="0" applyFont="1" applyBorder="1" applyAlignment="1">
      <alignment horizontal="center"/>
    </xf>
    <xf numFmtId="0" fontId="27" fillId="0" borderId="0" xfId="0" applyFont="1" applyBorder="1" applyAlignment="1">
      <alignment horizontal="center"/>
    </xf>
    <xf numFmtId="0" fontId="35" fillId="0" borderId="1" xfId="0" quotePrefix="1" applyFont="1" applyBorder="1" applyAlignment="1">
      <alignment wrapText="1"/>
    </xf>
    <xf numFmtId="164"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5" fillId="0" borderId="1" xfId="0" quotePrefix="1" applyFont="1" applyBorder="1" applyAlignment="1">
      <alignment vertical="center" wrapText="1"/>
    </xf>
    <xf numFmtId="164" fontId="14" fillId="0" borderId="1" xfId="0" applyNumberFormat="1" applyFont="1" applyBorder="1" applyAlignment="1">
      <alignment vertical="center"/>
    </xf>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14" fillId="0" borderId="1" xfId="0" quotePrefix="1" applyFont="1" applyBorder="1" applyAlignment="1">
      <alignment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2" fontId="14" fillId="0" borderId="1" xfId="1" applyNumberFormat="1" applyFont="1" applyBorder="1" applyAlignment="1">
      <alignment horizontal="center" vertical="center"/>
    </xf>
    <xf numFmtId="0" fontId="27" fillId="0" borderId="0" xfId="0" applyFont="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38"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c r="A1" s="151" t="s">
        <v>0</v>
      </c>
      <c r="B1" s="151"/>
      <c r="C1" s="151"/>
      <c r="D1" s="151"/>
      <c r="E1" s="151"/>
      <c r="F1" s="151"/>
      <c r="G1" s="151"/>
      <c r="H1" s="151"/>
      <c r="I1" s="151"/>
      <c r="J1" s="151"/>
      <c r="K1" s="151"/>
    </row>
    <row r="2" spans="1:11" ht="25.5">
      <c r="A2" s="152" t="s">
        <v>1</v>
      </c>
      <c r="B2" s="152"/>
      <c r="C2" s="152"/>
      <c r="D2" s="152"/>
      <c r="E2" s="152"/>
      <c r="F2" s="152"/>
      <c r="G2" s="152"/>
      <c r="H2" s="152"/>
      <c r="I2" s="152"/>
      <c r="J2" s="152"/>
      <c r="K2" s="152"/>
    </row>
    <row r="3" spans="1:11" s="1" customFormat="1">
      <c r="A3" s="153" t="s">
        <v>2</v>
      </c>
      <c r="B3" s="153"/>
      <c r="C3" s="153"/>
      <c r="D3" s="153"/>
      <c r="E3" s="153"/>
      <c r="F3" s="153"/>
      <c r="G3" s="153"/>
      <c r="H3" s="153"/>
      <c r="I3" s="153"/>
      <c r="J3" s="153"/>
      <c r="K3" s="153"/>
    </row>
    <row r="4" spans="1:11" s="1" customFormat="1">
      <c r="A4" s="153" t="s">
        <v>3</v>
      </c>
      <c r="B4" s="153"/>
      <c r="C4" s="153"/>
      <c r="D4" s="153"/>
      <c r="E4" s="153"/>
      <c r="F4" s="153"/>
      <c r="G4" s="153"/>
      <c r="H4" s="153"/>
      <c r="I4" s="153"/>
      <c r="J4" s="153"/>
      <c r="K4" s="153"/>
    </row>
    <row r="5" spans="1:11" ht="18.75">
      <c r="A5" s="154" t="s">
        <v>18</v>
      </c>
      <c r="B5" s="154"/>
      <c r="C5" s="154"/>
      <c r="D5" s="154"/>
      <c r="E5" s="154"/>
      <c r="F5" s="154"/>
      <c r="G5" s="154"/>
      <c r="H5" s="154"/>
      <c r="I5" s="154"/>
      <c r="J5" s="154"/>
      <c r="K5" s="154"/>
    </row>
    <row r="6" spans="1:11" ht="18.75">
      <c r="A6" s="8" t="s">
        <v>19</v>
      </c>
      <c r="B6" s="8"/>
      <c r="C6" s="149" t="e">
        <f>F18</f>
        <v>#REF!</v>
      </c>
      <c r="D6" s="150"/>
      <c r="E6" s="9"/>
      <c r="F6" s="8"/>
      <c r="G6" s="8"/>
      <c r="H6" s="8" t="s">
        <v>20</v>
      </c>
      <c r="I6" s="8"/>
      <c r="J6" s="149" t="e">
        <f>I18</f>
        <v>#REF!</v>
      </c>
      <c r="K6" s="150"/>
    </row>
    <row r="7" spans="1:11">
      <c r="A7" s="25" t="s">
        <v>29</v>
      </c>
      <c r="B7" s="10"/>
      <c r="C7" s="10"/>
      <c r="D7" s="10"/>
      <c r="F7" s="158"/>
      <c r="G7" s="158"/>
      <c r="I7" s="159" t="s">
        <v>37</v>
      </c>
      <c r="J7" s="159"/>
      <c r="K7" s="159"/>
    </row>
    <row r="8" spans="1:11" ht="15.75">
      <c r="A8" s="157" t="e">
        <f>#REF!</f>
        <v>#REF!</v>
      </c>
      <c r="B8" s="157"/>
      <c r="C8" s="157"/>
      <c r="D8" s="157"/>
      <c r="E8" s="157"/>
      <c r="F8" s="157"/>
      <c r="I8" s="160" t="s">
        <v>38</v>
      </c>
      <c r="J8" s="160"/>
      <c r="K8" s="160"/>
    </row>
    <row r="9" spans="1:11">
      <c r="A9" s="161" t="e">
        <f>#REF!</f>
        <v>#REF!</v>
      </c>
      <c r="B9" s="161"/>
      <c r="C9" s="161"/>
      <c r="D9" s="161"/>
      <c r="E9" s="161"/>
      <c r="F9" s="161"/>
      <c r="I9" s="160" t="s">
        <v>39</v>
      </c>
      <c r="J9" s="160"/>
      <c r="K9" s="160"/>
    </row>
    <row r="11" spans="1:11">
      <c r="A11" s="155" t="s">
        <v>21</v>
      </c>
      <c r="B11" s="155" t="s">
        <v>22</v>
      </c>
      <c r="C11" s="155" t="s">
        <v>12</v>
      </c>
      <c r="D11" s="162" t="s">
        <v>23</v>
      </c>
      <c r="E11" s="162"/>
      <c r="F11" s="162"/>
      <c r="G11" s="162" t="s">
        <v>24</v>
      </c>
      <c r="H11" s="162"/>
      <c r="I11" s="162"/>
      <c r="J11" s="155" t="s">
        <v>25</v>
      </c>
      <c r="K11" s="156" t="s">
        <v>15</v>
      </c>
    </row>
    <row r="12" spans="1:11">
      <c r="A12" s="155"/>
      <c r="B12" s="155"/>
      <c r="C12" s="155"/>
      <c r="D12" s="11" t="s">
        <v>26</v>
      </c>
      <c r="E12" s="11" t="s">
        <v>13</v>
      </c>
      <c r="F12" s="11" t="s">
        <v>14</v>
      </c>
      <c r="G12" s="11" t="s">
        <v>26</v>
      </c>
      <c r="H12" s="11" t="s">
        <v>13</v>
      </c>
      <c r="I12" s="11" t="s">
        <v>14</v>
      </c>
      <c r="J12" s="155"/>
      <c r="K12" s="156"/>
    </row>
    <row r="13" spans="1:11" s="1" customFormat="1" ht="15.7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4" zoomScaleNormal="100" workbookViewId="0">
      <selection activeCell="D17" sqref="D17:E17"/>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 customWidth="1"/>
    <col min="7" max="7" width="9.42578125" customWidth="1"/>
    <col min="8" max="8" width="5" bestFit="1" customWidth="1"/>
    <col min="9" max="9" width="9.5703125" bestFit="1" customWidth="1"/>
    <col min="10" max="10" width="10.7109375" bestFit="1" customWidth="1"/>
  </cols>
  <sheetData>
    <row r="1" spans="1:14" s="1" customFormat="1">
      <c r="A1" s="164" t="s">
        <v>0</v>
      </c>
      <c r="B1" s="164"/>
      <c r="C1" s="164"/>
      <c r="D1" s="164"/>
      <c r="E1" s="164"/>
      <c r="F1" s="164"/>
      <c r="G1" s="164"/>
      <c r="H1" s="164"/>
      <c r="I1" s="164"/>
      <c r="J1" s="164"/>
      <c r="K1" s="164"/>
    </row>
    <row r="2" spans="1:14" s="1" customFormat="1" ht="22.5">
      <c r="A2" s="165" t="s">
        <v>1</v>
      </c>
      <c r="B2" s="165"/>
      <c r="C2" s="165"/>
      <c r="D2" s="165"/>
      <c r="E2" s="165"/>
      <c r="F2" s="165"/>
      <c r="G2" s="165"/>
      <c r="H2" s="165"/>
      <c r="I2" s="165"/>
      <c r="J2" s="165"/>
      <c r="K2" s="165"/>
    </row>
    <row r="3" spans="1:14" s="1" customFormat="1">
      <c r="A3" s="153" t="s">
        <v>2</v>
      </c>
      <c r="B3" s="153"/>
      <c r="C3" s="153"/>
      <c r="D3" s="153"/>
      <c r="E3" s="153"/>
      <c r="F3" s="153"/>
      <c r="G3" s="153"/>
      <c r="H3" s="153"/>
      <c r="I3" s="153"/>
      <c r="J3" s="153"/>
      <c r="K3" s="153"/>
    </row>
    <row r="4" spans="1:14" s="1" customFormat="1">
      <c r="A4" s="153" t="s">
        <v>3</v>
      </c>
      <c r="B4" s="153"/>
      <c r="C4" s="153"/>
      <c r="D4" s="153"/>
      <c r="E4" s="153"/>
      <c r="F4" s="153"/>
      <c r="G4" s="153"/>
      <c r="H4" s="153"/>
      <c r="I4" s="153"/>
      <c r="J4" s="153"/>
      <c r="K4" s="153"/>
    </row>
    <row r="5" spans="1:14" ht="18.75">
      <c r="A5" s="166" t="s">
        <v>4</v>
      </c>
      <c r="B5" s="166"/>
      <c r="C5" s="166"/>
      <c r="D5" s="166"/>
      <c r="E5" s="166"/>
      <c r="F5" s="166"/>
      <c r="G5" s="166"/>
      <c r="H5" s="166"/>
      <c r="I5" s="166"/>
      <c r="J5" s="166"/>
      <c r="K5" s="166"/>
    </row>
    <row r="6" spans="1:14" ht="15.75">
      <c r="A6" s="157" t="s">
        <v>44</v>
      </c>
      <c r="B6" s="157"/>
      <c r="C6" s="157"/>
      <c r="D6" s="157"/>
      <c r="E6" s="157"/>
      <c r="F6" s="157"/>
      <c r="G6" s="2"/>
      <c r="H6" s="163" t="s">
        <v>42</v>
      </c>
      <c r="I6" s="163"/>
      <c r="J6" s="163"/>
      <c r="K6" s="163"/>
    </row>
    <row r="7" spans="1:14" ht="15.75">
      <c r="A7" s="167" t="s">
        <v>28</v>
      </c>
      <c r="B7" s="167"/>
      <c r="C7" s="167"/>
      <c r="D7" s="167"/>
      <c r="E7" s="167"/>
      <c r="F7" s="167"/>
      <c r="G7" s="3"/>
      <c r="H7" s="168" t="s">
        <v>141</v>
      </c>
      <c r="I7" s="168"/>
      <c r="J7" s="168"/>
      <c r="K7" s="168"/>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7">
      <c r="A9" s="59">
        <v>1</v>
      </c>
      <c r="B9" s="60" t="s">
        <v>45</v>
      </c>
      <c r="C9" s="60"/>
      <c r="D9" s="38"/>
      <c r="E9" s="38"/>
      <c r="F9" s="38"/>
      <c r="G9" s="38"/>
      <c r="H9" s="38"/>
      <c r="I9" s="38"/>
      <c r="J9" s="41"/>
      <c r="K9" s="28"/>
    </row>
    <row r="10" spans="1:14" ht="15" customHeight="1">
      <c r="A10" s="18"/>
      <c r="B10" s="36" t="s">
        <v>46</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8.5">
      <c r="A16" s="18">
        <v>2</v>
      </c>
      <c r="B16" s="60" t="s">
        <v>47</v>
      </c>
      <c r="C16" s="35"/>
      <c r="D16" s="37"/>
      <c r="E16" s="37"/>
      <c r="F16" s="37"/>
      <c r="G16" s="38"/>
      <c r="H16" s="39"/>
      <c r="I16" s="39"/>
      <c r="J16" s="41"/>
      <c r="K16" s="21"/>
    </row>
    <row r="17" spans="1:19" ht="15" customHeight="1">
      <c r="A17" s="18"/>
      <c r="B17" s="36" t="s">
        <v>48</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2.75">
      <c r="A21" s="18">
        <v>3</v>
      </c>
      <c r="B21" s="60" t="s">
        <v>87</v>
      </c>
      <c r="C21" s="35"/>
      <c r="D21" s="37"/>
      <c r="E21" s="37"/>
      <c r="F21" s="37"/>
      <c r="G21" s="38"/>
      <c r="H21" s="39"/>
      <c r="I21" s="39"/>
      <c r="J21" s="41"/>
      <c r="K21" s="21"/>
    </row>
    <row r="22" spans="1:19" ht="15" customHeight="1">
      <c r="A22" s="18"/>
      <c r="B22" s="36" t="s">
        <v>84</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85</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75">
      <c r="A26" s="18">
        <v>4</v>
      </c>
      <c r="B26" s="87" t="s">
        <v>89</v>
      </c>
      <c r="C26" s="19"/>
      <c r="D26" s="20"/>
      <c r="E26" s="21"/>
      <c r="F26" s="21"/>
      <c r="G26" s="23"/>
      <c r="H26" s="22"/>
      <c r="I26" s="23"/>
      <c r="J26" s="40"/>
      <c r="K26" s="21"/>
      <c r="M26" s="88"/>
      <c r="N26" s="1"/>
      <c r="O26" s="1"/>
      <c r="P26" s="1"/>
      <c r="Q26" s="1"/>
      <c r="R26" s="88"/>
      <c r="S26" s="88"/>
    </row>
    <row r="27" spans="1:19" ht="15" customHeight="1">
      <c r="A27" s="18"/>
      <c r="B27" s="36" t="s">
        <v>90</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85</v>
      </c>
      <c r="I28" s="23">
        <v>663.31</v>
      </c>
      <c r="J28" s="40">
        <f>G28*I28</f>
        <v>323.46723559890273</v>
      </c>
      <c r="K28" s="21"/>
    </row>
    <row r="29" spans="1:19" ht="15" customHeight="1">
      <c r="A29" s="18"/>
      <c r="B29" s="36"/>
      <c r="C29" s="19"/>
      <c r="D29" s="20"/>
      <c r="E29" s="21"/>
      <c r="F29" s="21"/>
      <c r="G29" s="23"/>
      <c r="H29" s="22"/>
      <c r="I29" s="23"/>
      <c r="J29" s="40"/>
      <c r="K29" s="21"/>
    </row>
    <row r="30" spans="1:19">
      <c r="A30" s="18">
        <v>5</v>
      </c>
      <c r="B30" s="89" t="s">
        <v>91</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92</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85</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c r="A39" s="18"/>
      <c r="B39" s="89"/>
      <c r="C39" s="19"/>
      <c r="D39" s="20"/>
      <c r="E39" s="21"/>
      <c r="F39" s="21"/>
      <c r="G39" s="23"/>
      <c r="H39" s="22"/>
      <c r="I39" s="23"/>
      <c r="J39" s="40"/>
      <c r="K39" s="21"/>
    </row>
    <row r="40" spans="1:20" ht="39.75">
      <c r="A40" s="18">
        <v>7</v>
      </c>
      <c r="B40" s="60" t="s">
        <v>88</v>
      </c>
      <c r="C40" s="35"/>
      <c r="D40" s="37"/>
      <c r="E40" s="37"/>
      <c r="F40" s="37"/>
      <c r="G40" s="38"/>
      <c r="H40" s="39"/>
      <c r="I40" s="39"/>
      <c r="J40" s="41"/>
      <c r="K40" s="21"/>
      <c r="N40" s="66" t="s">
        <v>49</v>
      </c>
      <c r="O40" s="66"/>
      <c r="P40" s="66"/>
      <c r="Q40" s="66"/>
      <c r="R40" s="66"/>
      <c r="S40" s="66"/>
      <c r="T40" s="66"/>
    </row>
    <row r="41" spans="1:20" ht="15" customHeight="1">
      <c r="A41" s="18"/>
      <c r="B41" s="36" t="s">
        <v>84</v>
      </c>
      <c r="C41" s="35">
        <v>2</v>
      </c>
      <c r="D41" s="37">
        <f>(18+14)/3.281</f>
        <v>9.7531240475464784</v>
      </c>
      <c r="E41" s="37">
        <v>0.15</v>
      </c>
      <c r="F41" s="37">
        <v>0.6</v>
      </c>
      <c r="G41" s="38">
        <f>PRODUCT(C41:F41)</f>
        <v>1.7555623285583659</v>
      </c>
      <c r="H41" s="39"/>
      <c r="I41" s="39"/>
      <c r="J41" s="39"/>
      <c r="K41" s="61"/>
      <c r="N41" s="171" t="s">
        <v>87</v>
      </c>
      <c r="O41" s="171"/>
      <c r="P41" s="171"/>
      <c r="Q41" s="171"/>
      <c r="R41" s="171"/>
      <c r="S41" s="171"/>
      <c r="T41" s="171"/>
    </row>
    <row r="42" spans="1:20" ht="15" customHeight="1">
      <c r="A42" s="18"/>
      <c r="B42" s="36" t="s">
        <v>41</v>
      </c>
      <c r="C42" s="35"/>
      <c r="D42" s="37"/>
      <c r="E42" s="37"/>
      <c r="F42" s="37"/>
      <c r="G42" s="33">
        <f>SUM(G41:G41)</f>
        <v>1.7555623285583659</v>
      </c>
      <c r="H42" s="39" t="s">
        <v>85</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93</v>
      </c>
      <c r="C45" s="19" t="s">
        <v>7</v>
      </c>
      <c r="D45" s="90" t="s">
        <v>94</v>
      </c>
      <c r="E45" s="91" t="s">
        <v>95</v>
      </c>
      <c r="F45" s="91" t="s">
        <v>96</v>
      </c>
      <c r="G45" s="91" t="s">
        <v>97</v>
      </c>
      <c r="H45" s="22"/>
      <c r="I45" s="23"/>
      <c r="J45" s="40"/>
      <c r="K45" s="21"/>
    </row>
    <row r="46" spans="1:20" ht="15" customHeight="1">
      <c r="A46" s="18"/>
      <c r="B46" s="36" t="s">
        <v>99</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98</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100</v>
      </c>
      <c r="C53" s="19"/>
      <c r="D53" s="20"/>
      <c r="E53" s="21"/>
      <c r="F53" s="21"/>
      <c r="G53" s="23"/>
      <c r="H53" s="22"/>
      <c r="I53" s="23"/>
      <c r="J53" s="40"/>
      <c r="K53" s="21"/>
    </row>
    <row r="54" spans="1:20" ht="15" customHeight="1">
      <c r="A54" s="18"/>
      <c r="B54" s="36" t="s">
        <v>101</v>
      </c>
      <c r="C54" s="35">
        <f>2*13</f>
        <v>26</v>
      </c>
      <c r="D54" s="37">
        <v>0.75</v>
      </c>
      <c r="E54" s="37"/>
      <c r="F54" s="37">
        <v>0.1</v>
      </c>
      <c r="G54" s="38">
        <f>PRODUCT(C54:F54)</f>
        <v>1.9500000000000002</v>
      </c>
      <c r="H54" s="39"/>
      <c r="I54" s="39"/>
      <c r="J54" s="39"/>
      <c r="K54" s="61"/>
      <c r="N54" s="171" t="s">
        <v>87</v>
      </c>
      <c r="O54" s="171"/>
      <c r="P54" s="171"/>
      <c r="Q54" s="171"/>
      <c r="R54" s="171"/>
      <c r="S54" s="171"/>
      <c r="T54" s="171"/>
    </row>
    <row r="55" spans="1:20" ht="15" customHeight="1">
      <c r="A55" s="18"/>
      <c r="B55" s="36"/>
      <c r="C55" s="35">
        <f>2*13</f>
        <v>26</v>
      </c>
      <c r="D55" s="37">
        <v>0.7</v>
      </c>
      <c r="E55" s="37"/>
      <c r="F55" s="37">
        <v>0.1</v>
      </c>
      <c r="G55" s="38">
        <f>PRODUCT(C55:F55)</f>
        <v>1.82</v>
      </c>
      <c r="H55" s="39"/>
      <c r="I55" s="39"/>
      <c r="J55" s="39"/>
      <c r="K55" s="61"/>
      <c r="N55" s="120"/>
      <c r="O55" s="120"/>
      <c r="P55" s="120"/>
      <c r="Q55" s="120"/>
      <c r="R55" s="120"/>
      <c r="S55" s="120"/>
      <c r="T55" s="120"/>
    </row>
    <row r="56" spans="1:20" ht="15" customHeight="1">
      <c r="A56" s="18"/>
      <c r="B56" s="36"/>
      <c r="C56" s="35">
        <v>2</v>
      </c>
      <c r="D56" s="37">
        <v>0.9</v>
      </c>
      <c r="E56" s="37"/>
      <c r="F56" s="37">
        <v>0.1</v>
      </c>
      <c r="G56" s="38">
        <f t="shared" ref="G56:G57" si="1">PRODUCT(C56:F56)</f>
        <v>0.18000000000000002</v>
      </c>
      <c r="H56" s="39"/>
      <c r="I56" s="39"/>
      <c r="J56" s="39"/>
      <c r="K56" s="61"/>
      <c r="N56" s="120"/>
      <c r="O56" s="120"/>
      <c r="P56" s="120"/>
      <c r="Q56" s="120"/>
      <c r="R56" s="120"/>
      <c r="S56" s="120"/>
      <c r="T56" s="120"/>
    </row>
    <row r="57" spans="1:20" ht="15" customHeight="1">
      <c r="A57" s="18"/>
      <c r="B57" s="36"/>
      <c r="C57" s="35">
        <v>2</v>
      </c>
      <c r="D57" s="37">
        <f>2.75/3.281</f>
        <v>0.8381590978360256</v>
      </c>
      <c r="E57" s="37"/>
      <c r="F57" s="37">
        <v>0.1</v>
      </c>
      <c r="G57" s="38">
        <f t="shared" si="1"/>
        <v>0.16763181956720513</v>
      </c>
      <c r="H57" s="39"/>
      <c r="I57" s="39"/>
      <c r="J57" s="39"/>
      <c r="K57" s="61"/>
      <c r="N57" s="120"/>
      <c r="O57" s="120"/>
      <c r="P57" s="120"/>
      <c r="Q57" s="120"/>
      <c r="R57" s="120"/>
      <c r="S57" s="120"/>
      <c r="T57" s="120"/>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119</v>
      </c>
      <c r="C61" s="35"/>
      <c r="D61" s="37"/>
      <c r="E61" s="37"/>
      <c r="F61" s="37"/>
      <c r="G61" s="38"/>
      <c r="H61" s="39"/>
      <c r="I61" s="39"/>
      <c r="J61" s="41"/>
      <c r="K61" s="21"/>
      <c r="N61">
        <f>9.75/0.75</f>
        <v>13</v>
      </c>
    </row>
    <row r="62" spans="1:20" ht="15" customHeight="1">
      <c r="A62" s="18"/>
      <c r="B62" s="36" t="s">
        <v>120</v>
      </c>
      <c r="C62" s="35">
        <v>1</v>
      </c>
      <c r="D62" s="37">
        <f>D41</f>
        <v>9.7531240475464784</v>
      </c>
      <c r="E62" s="37">
        <f>0.7</f>
        <v>0.7</v>
      </c>
      <c r="F62" s="37">
        <v>0.1</v>
      </c>
      <c r="G62" s="38">
        <f>PRODUCT(C62:F62)</f>
        <v>0.68271868332825347</v>
      </c>
      <c r="H62" s="39"/>
      <c r="I62" s="39"/>
      <c r="J62" s="39"/>
      <c r="K62" s="61"/>
      <c r="N62" s="171" t="s">
        <v>87</v>
      </c>
      <c r="O62" s="171"/>
      <c r="P62" s="171"/>
      <c r="Q62" s="171"/>
      <c r="R62" s="171"/>
      <c r="S62" s="171"/>
      <c r="T62" s="171"/>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20"/>
      <c r="O63" s="120"/>
      <c r="P63" s="120"/>
      <c r="Q63" s="120"/>
      <c r="R63" s="120"/>
      <c r="S63" s="120"/>
      <c r="T63" s="120"/>
    </row>
    <row r="64" spans="1:20" ht="15" customHeight="1">
      <c r="A64" s="18"/>
      <c r="B64" s="36" t="s">
        <v>41</v>
      </c>
      <c r="C64" s="35"/>
      <c r="D64" s="37"/>
      <c r="E64" s="37"/>
      <c r="F64" s="37"/>
      <c r="G64" s="33">
        <f>SUM(G62:G63)</f>
        <v>0.75815300213349579</v>
      </c>
      <c r="H64" s="39" t="s">
        <v>85</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75">
      <c r="A67" s="18">
        <v>11</v>
      </c>
      <c r="B67" s="121" t="s">
        <v>121</v>
      </c>
      <c r="C67" s="19" t="s">
        <v>7</v>
      </c>
      <c r="D67" s="90" t="s">
        <v>94</v>
      </c>
      <c r="E67" s="91" t="s">
        <v>95</v>
      </c>
      <c r="F67" s="91" t="s">
        <v>96</v>
      </c>
      <c r="G67" s="91" t="s">
        <v>124</v>
      </c>
      <c r="H67" s="22"/>
      <c r="I67" s="23"/>
      <c r="J67" s="40"/>
      <c r="K67" s="21"/>
    </row>
    <row r="68" spans="1:13">
      <c r="A68" s="122"/>
      <c r="B68" s="126" t="s">
        <v>123</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135</v>
      </c>
      <c r="C70" s="124">
        <f>TRUNC(D75/0.1,0)</f>
        <v>482</v>
      </c>
      <c r="D70" s="12">
        <f>0.15</f>
        <v>0.15</v>
      </c>
      <c r="E70" s="12">
        <v>0.8</v>
      </c>
      <c r="F70" s="21">
        <f>PRODUCT(C70:E70)</f>
        <v>57.84</v>
      </c>
      <c r="G70" s="92">
        <f>F70</f>
        <v>57.84</v>
      </c>
      <c r="H70" s="122"/>
      <c r="I70" s="125"/>
      <c r="J70" s="125"/>
      <c r="K70" s="123"/>
    </row>
    <row r="71" spans="1:13" s="1" customFormat="1" ht="30">
      <c r="A71" s="122"/>
      <c r="B71" s="127" t="s">
        <v>125</v>
      </c>
      <c r="C71" s="124">
        <v>4</v>
      </c>
      <c r="D71" s="12">
        <f>7.5/3.281</f>
        <v>2.2858884486437061</v>
      </c>
      <c r="E71" s="12">
        <v>2.72</v>
      </c>
      <c r="F71" s="12">
        <f t="shared" ref="F71" si="3">PRODUCT(C71:E71)</f>
        <v>24.870466321243523</v>
      </c>
      <c r="G71" s="128">
        <f t="shared" ref="G71" si="4">F71</f>
        <v>24.870466321243523</v>
      </c>
      <c r="H71" s="125"/>
      <c r="I71" s="125"/>
      <c r="J71" s="125"/>
      <c r="K71" s="123"/>
      <c r="M71" s="129"/>
    </row>
    <row r="72" spans="1:13" s="1" customFormat="1" ht="45">
      <c r="A72" s="122"/>
      <c r="B72" s="127" t="s">
        <v>126</v>
      </c>
      <c r="C72" s="124">
        <v>1</v>
      </c>
      <c r="D72" s="12">
        <f>(1.6+5.6)</f>
        <v>7.1999999999999993</v>
      </c>
      <c r="E72" s="12">
        <v>3.87</v>
      </c>
      <c r="F72" s="12">
        <f>PRODUCT(C72:E72)</f>
        <v>27.863999999999997</v>
      </c>
      <c r="G72" s="128">
        <f t="shared" ref="G72" si="5">F72</f>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ref="G73:G74" si="6">F73</f>
        <v>39.315708625419077</v>
      </c>
      <c r="H73" s="125"/>
      <c r="I73" s="125"/>
      <c r="J73" s="125"/>
      <c r="K73" s="123"/>
      <c r="M73" s="129"/>
    </row>
    <row r="74" spans="1:13" s="1" customFormat="1" ht="30">
      <c r="A74" s="122"/>
      <c r="B74" s="127" t="s">
        <v>133</v>
      </c>
      <c r="C74" s="124">
        <v>1</v>
      </c>
      <c r="D74" s="12">
        <f>1.6+5.6</f>
        <v>7.1999999999999993</v>
      </c>
      <c r="E74" s="12">
        <v>1.52</v>
      </c>
      <c r="F74" s="12">
        <f>PRODUCT(C74:E74)</f>
        <v>10.943999999999999</v>
      </c>
      <c r="G74" s="128">
        <f t="shared" si="6"/>
        <v>10.943999999999999</v>
      </c>
      <c r="H74" s="125"/>
      <c r="I74" s="125"/>
      <c r="J74" s="125"/>
      <c r="K74" s="123"/>
      <c r="M74" s="129"/>
    </row>
    <row r="75" spans="1:13" s="1" customFormat="1">
      <c r="A75" s="122"/>
      <c r="B75" s="127" t="s">
        <v>134</v>
      </c>
      <c r="C75" s="124">
        <v>2</v>
      </c>
      <c r="D75" s="12">
        <f>5.6+5.92+2.83+1.2+0.85+5.2+6.9+5.8+4.3+6.3+1.5+1.8</f>
        <v>48.199999999999989</v>
      </c>
      <c r="E75" s="12">
        <v>1.52</v>
      </c>
      <c r="F75" s="12">
        <f>PRODUCT(C75:E75)</f>
        <v>146.52799999999996</v>
      </c>
      <c r="G75" s="128">
        <f t="shared" ref="G75" si="7">F75</f>
        <v>146.52799999999996</v>
      </c>
      <c r="H75" s="125"/>
      <c r="I75" s="125"/>
      <c r="J75" s="125"/>
      <c r="K75" s="123"/>
      <c r="M75" s="129"/>
    </row>
    <row r="76" spans="1:13" s="1" customFormat="1">
      <c r="A76" s="122"/>
      <c r="B76" s="127" t="s">
        <v>136</v>
      </c>
      <c r="C76" s="124">
        <f>C70</f>
        <v>482</v>
      </c>
      <c r="D76" s="12">
        <f>2.5/3.281</f>
        <v>0.76196281621456874</v>
      </c>
      <c r="E76" s="12">
        <v>1.1299999999999999</v>
      </c>
      <c r="F76" s="12">
        <f>PRODUCT(C76:E76)</f>
        <v>415.01066747942701</v>
      </c>
      <c r="G76" s="128">
        <f t="shared" ref="G76" si="8">F76</f>
        <v>415.01066747942701</v>
      </c>
      <c r="H76" s="125"/>
      <c r="I76" s="125"/>
      <c r="J76" s="125"/>
      <c r="K76" s="123"/>
      <c r="M76" s="129"/>
    </row>
    <row r="77" spans="1:13" ht="15" customHeight="1">
      <c r="A77" s="18"/>
      <c r="B77" s="36" t="s">
        <v>41</v>
      </c>
      <c r="C77" s="19"/>
      <c r="D77" s="20"/>
      <c r="E77" s="21"/>
      <c r="F77" s="21"/>
      <c r="G77" s="23">
        <f>SUM(G68:G76)</f>
        <v>734.74624078024999</v>
      </c>
      <c r="H77" s="22" t="s">
        <v>122</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127</v>
      </c>
      <c r="C80" s="19"/>
      <c r="D80" s="20"/>
      <c r="E80" s="21"/>
      <c r="F80" s="21"/>
      <c r="G80" s="125"/>
      <c r="H80" s="22"/>
      <c r="I80" s="23"/>
      <c r="J80" s="125"/>
      <c r="K80" s="21"/>
    </row>
    <row r="81" spans="1:11" s="1" customFormat="1">
      <c r="A81" s="18"/>
      <c r="B81" s="127" t="s">
        <v>128</v>
      </c>
      <c r="C81" s="19">
        <v>2</v>
      </c>
      <c r="D81" s="20">
        <f>(4/3.281)+0.85</f>
        <v>2.0691405059433099</v>
      </c>
      <c r="E81" s="21"/>
      <c r="F81" s="21">
        <v>1.6</v>
      </c>
      <c r="G81" s="128">
        <f t="shared" ref="G81:G89" si="9">PRODUCT(C81:F81)</f>
        <v>6.6212496190185917</v>
      </c>
      <c r="H81" s="22"/>
      <c r="I81" s="23"/>
      <c r="J81" s="125"/>
      <c r="K81" s="21"/>
    </row>
    <row r="82" spans="1:11" s="1" customFormat="1">
      <c r="A82" s="18"/>
      <c r="B82" s="127"/>
      <c r="C82" s="19">
        <v>1</v>
      </c>
      <c r="D82" s="20">
        <f>5.2+6.9</f>
        <v>12.100000000000001</v>
      </c>
      <c r="E82" s="21"/>
      <c r="F82" s="21">
        <f>(1.5+1.3+1.75)/3</f>
        <v>1.5166666666666666</v>
      </c>
      <c r="G82" s="128">
        <f t="shared" si="9"/>
        <v>18.351666666666667</v>
      </c>
      <c r="H82" s="22"/>
      <c r="I82" s="23"/>
      <c r="J82" s="125"/>
      <c r="K82" s="21"/>
    </row>
    <row r="83" spans="1:11" s="1" customFormat="1">
      <c r="A83" s="18"/>
      <c r="B83" s="127"/>
      <c r="C83" s="19">
        <v>1</v>
      </c>
      <c r="D83" s="20">
        <f>5.2+6.9</f>
        <v>12.100000000000001</v>
      </c>
      <c r="E83" s="21"/>
      <c r="F83" s="21">
        <v>1.3</v>
      </c>
      <c r="G83" s="128">
        <f t="shared" si="9"/>
        <v>15.730000000000002</v>
      </c>
      <c r="H83" s="22"/>
      <c r="I83" s="23"/>
      <c r="J83" s="125"/>
      <c r="K83" s="21"/>
    </row>
    <row r="84" spans="1:11" s="1" customFormat="1">
      <c r="A84" s="18"/>
      <c r="B84" s="127"/>
      <c r="C84" s="19">
        <v>1</v>
      </c>
      <c r="D84" s="20">
        <f>5.8</f>
        <v>5.8</v>
      </c>
      <c r="E84" s="21"/>
      <c r="F84" s="21">
        <v>1.4</v>
      </c>
      <c r="G84" s="128">
        <f t="shared" si="9"/>
        <v>8.1199999999999992</v>
      </c>
      <c r="H84" s="22"/>
      <c r="I84" s="23"/>
      <c r="J84" s="125"/>
      <c r="K84" s="21"/>
    </row>
    <row r="85" spans="1:11" s="1" customFormat="1">
      <c r="A85" s="18"/>
      <c r="B85" s="127"/>
      <c r="C85" s="19">
        <v>1</v>
      </c>
      <c r="D85" s="20">
        <v>5.8</v>
      </c>
      <c r="E85" s="21"/>
      <c r="F85" s="21">
        <f>3.6/3.281</f>
        <v>1.097226455348979</v>
      </c>
      <c r="G85" s="128">
        <f t="shared" si="9"/>
        <v>6.3639134410240779</v>
      </c>
      <c r="H85" s="22"/>
      <c r="I85" s="23"/>
      <c r="J85" s="125"/>
      <c r="K85" s="21"/>
    </row>
    <row r="86" spans="1:11" s="1" customFormat="1">
      <c r="A86" s="18"/>
      <c r="B86" s="127"/>
      <c r="C86" s="19">
        <v>1</v>
      </c>
      <c r="D86" s="20">
        <f>4.3+6.3</f>
        <v>10.6</v>
      </c>
      <c r="E86" s="21"/>
      <c r="F86" s="21">
        <v>1.27</v>
      </c>
      <c r="G86" s="128">
        <f t="shared" si="9"/>
        <v>13.462</v>
      </c>
      <c r="H86" s="22"/>
      <c r="I86" s="23"/>
      <c r="J86" s="125"/>
      <c r="K86" s="21"/>
    </row>
    <row r="87" spans="1:11" s="1" customFormat="1">
      <c r="A87" s="18"/>
      <c r="B87" s="127"/>
      <c r="C87" s="19">
        <v>1</v>
      </c>
      <c r="D87" s="20">
        <f>6/3.281</f>
        <v>1.8287107589149649</v>
      </c>
      <c r="E87" s="21"/>
      <c r="F87" s="21">
        <f>3/3.281</f>
        <v>0.91435537945748246</v>
      </c>
      <c r="G87" s="128">
        <f t="shared" si="9"/>
        <v>1.6720915198856734</v>
      </c>
      <c r="H87" s="22"/>
      <c r="I87" s="23"/>
      <c r="J87" s="125"/>
      <c r="K87" s="21"/>
    </row>
    <row r="88" spans="1:11" s="1" customFormat="1">
      <c r="A88" s="18"/>
      <c r="B88" s="127"/>
      <c r="C88" s="19">
        <v>1</v>
      </c>
      <c r="D88" s="20">
        <f>5/3.281</f>
        <v>1.5239256324291375</v>
      </c>
      <c r="E88" s="21"/>
      <c r="F88" s="21">
        <f>2/3.281</f>
        <v>0.6095702529716549</v>
      </c>
      <c r="G88" s="128">
        <f t="shared" si="9"/>
        <v>0.92893973326981849</v>
      </c>
      <c r="H88" s="22"/>
      <c r="I88" s="23"/>
      <c r="J88" s="125"/>
      <c r="K88" s="21"/>
    </row>
    <row r="89" spans="1:11" s="1" customFormat="1">
      <c r="A89" s="18"/>
      <c r="B89" s="127"/>
      <c r="C89" s="19">
        <v>1</v>
      </c>
      <c r="D89" s="20">
        <f>5.45+6.25+1.27</f>
        <v>12.969999999999999</v>
      </c>
      <c r="E89" s="21"/>
      <c r="F89" s="21">
        <v>0.3</v>
      </c>
      <c r="G89" s="128">
        <f t="shared" si="9"/>
        <v>3.8909999999999996</v>
      </c>
      <c r="H89" s="22"/>
      <c r="I89" s="23"/>
      <c r="J89" s="125"/>
      <c r="K89" s="21"/>
    </row>
    <row r="90" spans="1:11" s="1" customFormat="1">
      <c r="A90" s="18"/>
      <c r="B90" s="127" t="s">
        <v>129</v>
      </c>
      <c r="C90" s="19"/>
      <c r="D90" s="20"/>
      <c r="E90" s="21"/>
      <c r="F90" s="21"/>
      <c r="G90" s="125">
        <f>SUM(G81:G89)</f>
        <v>75.140860979864826</v>
      </c>
      <c r="H90" s="22" t="s">
        <v>43</v>
      </c>
      <c r="I90" s="23">
        <v>405.86</v>
      </c>
      <c r="J90" s="125">
        <f>G90*I90</f>
        <v>30496.66983728794</v>
      </c>
      <c r="K90" s="21"/>
    </row>
    <row r="91" spans="1:11" s="1" customFormat="1">
      <c r="A91" s="18"/>
      <c r="B91" s="127" t="s">
        <v>130</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75">
      <c r="A93" s="18">
        <v>13</v>
      </c>
      <c r="B93" s="121" t="s">
        <v>131</v>
      </c>
      <c r="C93" s="19"/>
      <c r="D93" s="20"/>
      <c r="E93" s="21"/>
      <c r="F93" s="21"/>
      <c r="G93" s="23"/>
      <c r="H93" s="22"/>
      <c r="I93" s="23"/>
      <c r="J93" s="40"/>
      <c r="K93" s="21"/>
    </row>
    <row r="94" spans="1:11" ht="15" customHeight="1">
      <c r="A94" s="18"/>
      <c r="B94" s="36" t="s">
        <v>132</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137</v>
      </c>
      <c r="C98" s="19"/>
      <c r="D98" s="20"/>
      <c r="E98" s="21"/>
      <c r="F98" s="21"/>
      <c r="G98" s="125"/>
      <c r="H98" s="22"/>
      <c r="I98" s="23"/>
      <c r="J98" s="125"/>
      <c r="K98" s="21"/>
    </row>
    <row r="99" spans="1:11" ht="15" customHeight="1">
      <c r="A99" s="18"/>
      <c r="B99" s="36" t="s">
        <v>138</v>
      </c>
      <c r="C99" s="19">
        <v>1</v>
      </c>
      <c r="D99" s="20">
        <f>1.6+5.6</f>
        <v>7.1999999999999993</v>
      </c>
      <c r="E99" s="21">
        <f>(7.333+1.5)/3.281</f>
        <v>2.6921670222493144</v>
      </c>
      <c r="F99" s="21"/>
      <c r="G99" s="128">
        <f t="shared" ref="G99" si="10">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139</v>
      </c>
      <c r="C103" s="19">
        <v>1</v>
      </c>
      <c r="D103" s="20"/>
      <c r="E103" s="21"/>
      <c r="F103" s="21"/>
      <c r="G103" s="128">
        <f t="shared" ref="G103" si="11">PRODUCT(C103:F103)</f>
        <v>1</v>
      </c>
      <c r="H103" s="22" t="s">
        <v>140</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16</v>
      </c>
      <c r="B105" s="29" t="s">
        <v>30</v>
      </c>
      <c r="C105" s="19">
        <v>1</v>
      </c>
      <c r="D105" s="20"/>
      <c r="E105" s="21"/>
      <c r="F105" s="21"/>
      <c r="G105" s="33">
        <f t="shared" ref="G105" si="12">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69">
        <f>J107</f>
        <v>336917.6969730733</v>
      </c>
      <c r="D109" s="169"/>
      <c r="E109" s="38">
        <v>100</v>
      </c>
      <c r="F109" s="47"/>
      <c r="G109" s="48"/>
      <c r="H109" s="47"/>
      <c r="I109" s="49"/>
      <c r="J109" s="50"/>
      <c r="K109" s="51"/>
    </row>
    <row r="110" spans="1:11">
      <c r="A110" s="52"/>
      <c r="B110" s="28" t="s">
        <v>32</v>
      </c>
      <c r="C110" s="170">
        <v>300000</v>
      </c>
      <c r="D110" s="170"/>
      <c r="E110" s="38"/>
      <c r="F110" s="45"/>
      <c r="G110" s="44"/>
      <c r="H110" s="44"/>
      <c r="I110" s="44"/>
      <c r="J110" s="44"/>
      <c r="K110" s="45"/>
    </row>
    <row r="111" spans="1:11">
      <c r="A111" s="52"/>
      <c r="B111" s="28" t="s">
        <v>33</v>
      </c>
      <c r="C111" s="170">
        <f>C110-C113-C114</f>
        <v>285000</v>
      </c>
      <c r="D111" s="170"/>
      <c r="E111" s="38">
        <f>C111/C109*100</f>
        <v>84.590391825804687</v>
      </c>
      <c r="F111" s="45"/>
      <c r="G111" s="44"/>
      <c r="H111" s="44"/>
      <c r="I111" s="44"/>
      <c r="J111" s="44"/>
      <c r="K111" s="45"/>
    </row>
    <row r="112" spans="1:11">
      <c r="A112" s="52"/>
      <c r="B112" s="28" t="s">
        <v>34</v>
      </c>
      <c r="C112" s="169">
        <f>C109-C111</f>
        <v>51917.696973073296</v>
      </c>
      <c r="D112" s="169"/>
      <c r="E112" s="38">
        <f>100-E111</f>
        <v>15.409608174195313</v>
      </c>
      <c r="F112" s="45"/>
      <c r="G112" s="44"/>
      <c r="H112" s="44"/>
      <c r="I112" s="44"/>
      <c r="J112" s="44"/>
      <c r="K112" s="45"/>
    </row>
    <row r="113" spans="1:11">
      <c r="A113" s="52"/>
      <c r="B113" s="28" t="s">
        <v>35</v>
      </c>
      <c r="C113" s="169">
        <f>C110*0.03</f>
        <v>9000</v>
      </c>
      <c r="D113" s="169"/>
      <c r="E113" s="38">
        <v>3</v>
      </c>
      <c r="F113" s="45"/>
      <c r="G113" s="44"/>
      <c r="H113" s="44"/>
      <c r="I113" s="44"/>
      <c r="J113" s="44"/>
      <c r="K113" s="45"/>
    </row>
    <row r="114" spans="1:11">
      <c r="A114" s="52"/>
      <c r="B114" s="28" t="s">
        <v>36</v>
      </c>
      <c r="C114" s="169">
        <f>C110*0.02</f>
        <v>6000</v>
      </c>
      <c r="D114" s="169"/>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N41:T41"/>
    <mergeCell ref="N54:T54"/>
    <mergeCell ref="N62:T62"/>
    <mergeCell ref="C113:D113"/>
    <mergeCell ref="C114:D114"/>
    <mergeCell ref="C112:D112"/>
    <mergeCell ref="A7:F7"/>
    <mergeCell ref="H7:K7"/>
    <mergeCell ref="C109:D109"/>
    <mergeCell ref="C110:D110"/>
    <mergeCell ref="C111:D111"/>
    <mergeCell ref="A6:F6"/>
    <mergeCell ref="H6:K6"/>
    <mergeCell ref="A1:K1"/>
    <mergeCell ref="A2:K2"/>
    <mergeCell ref="A3:K3"/>
    <mergeCell ref="A4:K4"/>
    <mergeCell ref="A5:K5"/>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4" workbookViewId="0">
      <selection activeCell="B45" sqref="B45"/>
    </sheetView>
  </sheetViews>
  <sheetFormatPr defaultColWidth="8.85546875" defaultRowHeight="12.75"/>
  <cols>
    <col min="1" max="1" width="8.85546875" style="64"/>
    <col min="2" max="2" width="11.42578125" style="64" customWidth="1"/>
    <col min="3" max="3" width="12.85546875" style="64" customWidth="1"/>
    <col min="4" max="5" width="8.85546875" style="64"/>
    <col min="6" max="6" width="10.42578125" style="64" bestFit="1" customWidth="1"/>
    <col min="7" max="7" width="11.140625" style="64" customWidth="1"/>
    <col min="8" max="8" width="13.85546875" style="64" customWidth="1"/>
    <col min="9" max="9" width="8.85546875" style="64"/>
    <col min="10" max="10" width="12" style="64" customWidth="1"/>
    <col min="11" max="16384" width="8.85546875" style="64"/>
  </cols>
  <sheetData>
    <row r="1" spans="1:10" ht="20.25">
      <c r="A1" s="62" t="e">
        <f>+#REF!+1</f>
        <v>#REF!</v>
      </c>
      <c r="B1" s="63"/>
      <c r="C1" s="63"/>
      <c r="D1" s="63"/>
      <c r="E1" s="63"/>
      <c r="F1" s="63"/>
      <c r="G1" s="63"/>
      <c r="H1" s="63"/>
    </row>
    <row r="2" spans="1:10" ht="20.25" customHeight="1">
      <c r="A2" s="65"/>
      <c r="B2" s="66" t="s">
        <v>49</v>
      </c>
      <c r="C2" s="66"/>
      <c r="D2" s="66"/>
      <c r="E2" s="66"/>
      <c r="F2" s="66"/>
      <c r="G2" s="66"/>
      <c r="H2" s="66"/>
    </row>
    <row r="3" spans="1:10" ht="18">
      <c r="A3" s="67" t="s">
        <v>50</v>
      </c>
      <c r="B3" s="172" t="s">
        <v>51</v>
      </c>
      <c r="C3" s="172"/>
      <c r="D3" s="172"/>
      <c r="E3" s="172"/>
      <c r="F3" s="172"/>
      <c r="G3" s="172"/>
      <c r="H3" s="172"/>
    </row>
    <row r="4" spans="1:10" ht="15.75">
      <c r="A4" s="68"/>
      <c r="B4" s="173" t="s">
        <v>86</v>
      </c>
      <c r="C4" s="173"/>
      <c r="D4" s="173"/>
      <c r="E4" s="173"/>
      <c r="F4" s="173"/>
      <c r="G4" s="173"/>
      <c r="H4" s="173"/>
    </row>
    <row r="5" spans="1:10" ht="31.5">
      <c r="A5" s="68"/>
      <c r="B5" s="69" t="s">
        <v>52</v>
      </c>
      <c r="C5" s="69" t="s">
        <v>53</v>
      </c>
      <c r="D5" s="69" t="s">
        <v>54</v>
      </c>
      <c r="E5" s="69" t="s">
        <v>55</v>
      </c>
      <c r="F5" s="69" t="s">
        <v>56</v>
      </c>
      <c r="G5" s="69" t="s">
        <v>57</v>
      </c>
      <c r="H5" s="69" t="s">
        <v>58</v>
      </c>
    </row>
    <row r="6" spans="1:10" ht="17.25">
      <c r="A6" s="68"/>
      <c r="B6" s="174" t="s">
        <v>59</v>
      </c>
      <c r="C6" s="69" t="s">
        <v>60</v>
      </c>
      <c r="D6" s="70">
        <v>1</v>
      </c>
      <c r="E6" s="71" t="s">
        <v>61</v>
      </c>
      <c r="F6" s="72">
        <v>1225</v>
      </c>
      <c r="G6" s="73">
        <f t="shared" ref="G6:G13" si="0">FLOOR(D6*F6,0.01)</f>
        <v>1225</v>
      </c>
      <c r="H6" s="74"/>
    </row>
    <row r="7" spans="1:10" ht="17.25">
      <c r="A7" s="68"/>
      <c r="B7" s="175"/>
      <c r="C7" s="71" t="s">
        <v>62</v>
      </c>
      <c r="D7" s="70">
        <v>2</v>
      </c>
      <c r="E7" s="71" t="s">
        <v>61</v>
      </c>
      <c r="F7" s="73">
        <v>920</v>
      </c>
      <c r="G7" s="73">
        <f t="shared" si="0"/>
        <v>1840</v>
      </c>
      <c r="H7" s="74">
        <f>SUM(G6+G7)</f>
        <v>3065</v>
      </c>
    </row>
    <row r="8" spans="1:10" ht="45">
      <c r="A8" s="68"/>
      <c r="B8" s="174" t="s">
        <v>63</v>
      </c>
      <c r="C8" s="75" t="s">
        <v>64</v>
      </c>
      <c r="D8" s="70">
        <v>0</v>
      </c>
      <c r="E8" s="71" t="s">
        <v>65</v>
      </c>
      <c r="F8" s="73">
        <v>58</v>
      </c>
      <c r="G8" s="73">
        <f t="shared" si="0"/>
        <v>0</v>
      </c>
      <c r="H8" s="74"/>
    </row>
    <row r="9" spans="1:10" ht="17.25">
      <c r="A9" s="68"/>
      <c r="B9" s="174"/>
      <c r="C9" s="71" t="s">
        <v>66</v>
      </c>
      <c r="D9" s="76">
        <v>0.1028</v>
      </c>
      <c r="E9" s="71" t="s">
        <v>67</v>
      </c>
      <c r="F9" s="73">
        <v>12131</v>
      </c>
      <c r="G9" s="73">
        <f t="shared" si="0"/>
        <v>1247.06</v>
      </c>
      <c r="H9" s="77"/>
    </row>
    <row r="10" spans="1:10" ht="17.25">
      <c r="A10" s="68"/>
      <c r="B10" s="174"/>
      <c r="C10" s="71" t="s">
        <v>68</v>
      </c>
      <c r="D10" s="76">
        <v>0.17150000000000001</v>
      </c>
      <c r="E10" s="71" t="s">
        <v>69</v>
      </c>
      <c r="F10" s="73">
        <v>3177</v>
      </c>
      <c r="G10" s="73">
        <f t="shared" si="0"/>
        <v>544.85</v>
      </c>
      <c r="H10" s="77"/>
      <c r="J10" s="78">
        <f>'[1]update Rate'!N46</f>
        <v>99000</v>
      </c>
    </row>
    <row r="11" spans="1:10" ht="17.25">
      <c r="A11" s="68"/>
      <c r="B11" s="174"/>
      <c r="C11" s="71" t="s">
        <v>70</v>
      </c>
      <c r="D11" s="76">
        <v>0.15160000000000001</v>
      </c>
      <c r="E11" s="71" t="s">
        <v>69</v>
      </c>
      <c r="F11" s="73">
        <f>35*35.28</f>
        <v>1234.8</v>
      </c>
      <c r="G11" s="73">
        <f t="shared" si="0"/>
        <v>187.19</v>
      </c>
      <c r="H11" s="77"/>
    </row>
    <row r="12" spans="1:10" ht="17.25">
      <c r="A12" s="68"/>
      <c r="B12" s="174"/>
      <c r="C12" s="71" t="s">
        <v>71</v>
      </c>
      <c r="D12" s="76">
        <v>35</v>
      </c>
      <c r="E12" s="71" t="s">
        <v>72</v>
      </c>
      <c r="F12" s="79">
        <f>100</f>
        <v>100</v>
      </c>
      <c r="G12" s="73">
        <f t="shared" si="0"/>
        <v>3500</v>
      </c>
      <c r="H12" s="77"/>
      <c r="J12" s="64">
        <f>35*0.62</f>
        <v>21.7</v>
      </c>
    </row>
    <row r="13" spans="1:10" ht="17.25">
      <c r="A13" s="68"/>
      <c r="B13" s="174"/>
      <c r="C13" s="71" t="s">
        <v>73</v>
      </c>
      <c r="D13" s="70">
        <v>90</v>
      </c>
      <c r="E13" s="71" t="s">
        <v>74</v>
      </c>
      <c r="F13" s="73">
        <f>'[1]Update Descrip'!F665</f>
        <v>0.28000000000000003</v>
      </c>
      <c r="G13" s="73">
        <f t="shared" si="0"/>
        <v>25.2</v>
      </c>
      <c r="H13" s="74">
        <f>SUM(G8:G13)</f>
        <v>5504.3</v>
      </c>
    </row>
    <row r="14" spans="1:10" ht="17.25">
      <c r="A14" s="68"/>
      <c r="B14" s="68"/>
      <c r="C14" s="68"/>
      <c r="D14" s="68"/>
      <c r="E14" s="68"/>
      <c r="F14" s="80" t="s">
        <v>75</v>
      </c>
      <c r="G14" s="81"/>
      <c r="H14" s="82">
        <f>SUM(H7:H13)</f>
        <v>8569.2999999999993</v>
      </c>
    </row>
    <row r="15" spans="1:10" ht="17.25">
      <c r="B15" s="83" t="s">
        <v>76</v>
      </c>
      <c r="E15" s="68"/>
      <c r="F15" s="80" t="s">
        <v>77</v>
      </c>
      <c r="G15" s="81"/>
      <c r="H15" s="73">
        <f>FLOOR(H14*0.15,0.01)</f>
        <v>1285.3900000000001</v>
      </c>
    </row>
    <row r="16" spans="1:10" ht="17.25">
      <c r="A16" s="84" t="s">
        <v>78</v>
      </c>
      <c r="B16" s="73">
        <f>+H16</f>
        <v>9854.6899999999987</v>
      </c>
      <c r="C16" s="68" t="s">
        <v>79</v>
      </c>
      <c r="D16" s="68"/>
      <c r="E16" s="68"/>
      <c r="F16" s="80" t="s">
        <v>80</v>
      </c>
      <c r="G16" s="81"/>
      <c r="H16" s="73">
        <f>SUM(H14:H15)</f>
        <v>9854.6899999999987</v>
      </c>
    </row>
    <row r="17" spans="1:8" ht="17.25">
      <c r="A17" s="84"/>
      <c r="B17" s="85"/>
      <c r="C17" s="68"/>
      <c r="D17" s="68"/>
      <c r="E17" s="68"/>
      <c r="F17" s="80" t="s">
        <v>81</v>
      </c>
      <c r="G17" s="81"/>
      <c r="H17" s="73">
        <f>H16/9</f>
        <v>1094.9655555555555</v>
      </c>
    </row>
    <row r="18" spans="1:8" ht="17.25">
      <c r="A18" s="84"/>
      <c r="B18" s="85"/>
      <c r="C18" s="68"/>
      <c r="D18" s="68"/>
      <c r="E18" s="68"/>
      <c r="F18" s="80" t="s">
        <v>82</v>
      </c>
      <c r="G18" s="81"/>
      <c r="H18" s="73">
        <f>H17/1.15</f>
        <v>952.14396135265702</v>
      </c>
    </row>
    <row r="19" spans="1:8" ht="17.25">
      <c r="A19" s="84"/>
      <c r="B19" s="86" t="s">
        <v>83</v>
      </c>
      <c r="C19" s="86"/>
      <c r="D19" s="86"/>
      <c r="E19" s="68"/>
      <c r="F19" s="80"/>
      <c r="G19" s="81"/>
      <c r="H19" s="85"/>
    </row>
    <row r="22" spans="1:8" s="94" customFormat="1" ht="20.25">
      <c r="A22" s="93">
        <f>+A9+1</f>
        <v>1</v>
      </c>
      <c r="B22" s="176"/>
      <c r="C22" s="176"/>
      <c r="D22" s="176"/>
      <c r="E22" s="176"/>
      <c r="F22" s="176"/>
      <c r="G22" s="176"/>
      <c r="H22" s="176"/>
    </row>
    <row r="23" spans="1:8" s="94" customFormat="1" ht="19.5">
      <c r="A23" s="95" t="s">
        <v>102</v>
      </c>
      <c r="B23" s="176" t="s">
        <v>116</v>
      </c>
      <c r="C23" s="176"/>
      <c r="D23" s="176"/>
      <c r="E23" s="176"/>
      <c r="F23" s="176"/>
      <c r="G23" s="176"/>
      <c r="H23" s="176"/>
    </row>
    <row r="24" spans="1:8" s="94" customFormat="1" ht="15">
      <c r="B24" s="178" t="s">
        <v>103</v>
      </c>
      <c r="C24" s="178"/>
      <c r="D24" s="178"/>
      <c r="E24" s="178"/>
      <c r="F24" s="178"/>
      <c r="G24" s="178"/>
      <c r="H24" s="178"/>
    </row>
    <row r="25" spans="1:8" s="94" customFormat="1" ht="30" customHeight="1">
      <c r="B25" s="96" t="s">
        <v>52</v>
      </c>
      <c r="C25" s="96" t="s">
        <v>53</v>
      </c>
      <c r="D25" s="96" t="s">
        <v>54</v>
      </c>
      <c r="E25" s="96" t="s">
        <v>55</v>
      </c>
      <c r="F25" s="96" t="s">
        <v>56</v>
      </c>
      <c r="G25" s="96" t="s">
        <v>57</v>
      </c>
      <c r="H25" s="96" t="s">
        <v>58</v>
      </c>
    </row>
    <row r="26" spans="1:8" s="94" customFormat="1" ht="24.75" customHeight="1">
      <c r="B26" s="179" t="s">
        <v>59</v>
      </c>
      <c r="C26" s="97" t="s">
        <v>60</v>
      </c>
      <c r="D26" s="98">
        <v>17.2</v>
      </c>
      <c r="E26" s="99" t="s">
        <v>61</v>
      </c>
      <c r="F26" s="100">
        <v>1225</v>
      </c>
      <c r="G26" s="101">
        <f t="shared" ref="G26:G31" si="1">FLOOR(D26*F26,0.01)</f>
        <v>21070</v>
      </c>
      <c r="H26" s="102"/>
    </row>
    <row r="27" spans="1:8" s="94" customFormat="1" ht="17.25">
      <c r="B27" s="180"/>
      <c r="C27" s="103" t="s">
        <v>62</v>
      </c>
      <c r="D27" s="104">
        <v>25.7</v>
      </c>
      <c r="E27" s="105" t="s">
        <v>61</v>
      </c>
      <c r="F27" s="106">
        <v>920</v>
      </c>
      <c r="G27" s="106">
        <f t="shared" si="1"/>
        <v>23644</v>
      </c>
      <c r="H27" s="107">
        <f>SUM(G26+G27)</f>
        <v>44714</v>
      </c>
    </row>
    <row r="28" spans="1:8" s="94" customFormat="1" ht="17.25">
      <c r="B28" s="181" t="s">
        <v>63</v>
      </c>
      <c r="C28" s="99" t="s">
        <v>104</v>
      </c>
      <c r="D28" s="108">
        <v>16.5</v>
      </c>
      <c r="E28" s="99" t="s">
        <v>105</v>
      </c>
      <c r="F28" s="101">
        <v>1215.8800000000001</v>
      </c>
      <c r="G28" s="101">
        <f>FLOOR(D28*F28,0.01)</f>
        <v>20062.02</v>
      </c>
      <c r="H28" s="102"/>
    </row>
    <row r="29" spans="1:8" s="94" customFormat="1" ht="17.25">
      <c r="B29" s="182"/>
      <c r="C29" s="103" t="s">
        <v>106</v>
      </c>
      <c r="D29" s="109">
        <v>0.23200000000000001</v>
      </c>
      <c r="E29" s="103" t="s">
        <v>69</v>
      </c>
      <c r="F29" s="106">
        <f>Jwood</f>
        <v>57449.37</v>
      </c>
      <c r="G29" s="106">
        <f t="shared" si="1"/>
        <v>13328.25</v>
      </c>
      <c r="H29" s="107"/>
    </row>
    <row r="30" spans="1:8" s="94" customFormat="1" ht="27.75">
      <c r="B30" s="182"/>
      <c r="C30" s="110" t="s">
        <v>117</v>
      </c>
      <c r="D30" s="109">
        <v>0</v>
      </c>
      <c r="E30" s="103" t="s">
        <v>107</v>
      </c>
      <c r="F30" s="106">
        <f>'[7]update Rate'!$N$215</f>
        <v>2304</v>
      </c>
      <c r="G30" s="106">
        <f t="shared" si="1"/>
        <v>0</v>
      </c>
      <c r="H30" s="107"/>
    </row>
    <row r="31" spans="1:8" s="94" customFormat="1" ht="17.25">
      <c r="B31" s="183"/>
      <c r="C31" s="105" t="s">
        <v>108</v>
      </c>
      <c r="D31" s="111">
        <v>25</v>
      </c>
      <c r="E31" s="105" t="s">
        <v>109</v>
      </c>
      <c r="F31" s="112">
        <f>'[7]update Rate'!$N$59</f>
        <v>132</v>
      </c>
      <c r="G31" s="112">
        <f t="shared" si="1"/>
        <v>3300</v>
      </c>
      <c r="H31" s="113">
        <f>SUM(G28:G31)</f>
        <v>36690.270000000004</v>
      </c>
    </row>
    <row r="32" spans="1:8" s="94" customFormat="1" ht="17.25">
      <c r="F32" s="114" t="s">
        <v>75</v>
      </c>
      <c r="G32" s="114"/>
      <c r="H32" s="112">
        <f>SUM(H26:H31)</f>
        <v>81404.27</v>
      </c>
    </row>
    <row r="33" spans="1:8" s="94" customFormat="1" ht="17.25">
      <c r="B33" s="94" t="s">
        <v>110</v>
      </c>
      <c r="F33" s="114" t="s">
        <v>77</v>
      </c>
      <c r="G33" s="114"/>
      <c r="H33" s="115">
        <f>FLOOR(H32*0.15,0.01)</f>
        <v>12210.64</v>
      </c>
    </row>
    <row r="34" spans="1:8" s="94" customFormat="1" ht="20.100000000000001" customHeight="1">
      <c r="A34" s="116"/>
      <c r="B34" s="117">
        <f>+H34</f>
        <v>93614.91</v>
      </c>
      <c r="C34" s="116" t="s">
        <v>78</v>
      </c>
      <c r="D34" s="115">
        <f>INT(B34/B35*100)/100</f>
        <v>936.14</v>
      </c>
      <c r="E34" s="94" t="s">
        <v>79</v>
      </c>
      <c r="F34" s="114" t="s">
        <v>80</v>
      </c>
      <c r="G34" s="114"/>
      <c r="H34" s="115">
        <f>SUM(H32:H33)</f>
        <v>93614.91</v>
      </c>
    </row>
    <row r="35" spans="1:8" s="94" customFormat="1" ht="20.100000000000001" customHeight="1">
      <c r="B35" s="118">
        <v>100</v>
      </c>
    </row>
    <row r="36" spans="1:8" s="94" customFormat="1" ht="12" customHeight="1">
      <c r="A36" s="184" t="s">
        <v>118</v>
      </c>
      <c r="B36" s="184"/>
      <c r="C36" s="184"/>
      <c r="D36" s="184"/>
      <c r="E36" s="184"/>
      <c r="F36" s="184"/>
      <c r="G36" s="184"/>
      <c r="H36" s="184"/>
    </row>
    <row r="37" spans="1:8" s="94" customFormat="1" ht="12" customHeight="1">
      <c r="B37" s="119" t="s">
        <v>111</v>
      </c>
    </row>
    <row r="38" spans="1:8" s="94" customFormat="1" ht="12" customHeight="1">
      <c r="A38" s="177" t="s">
        <v>112</v>
      </c>
      <c r="B38" s="177"/>
      <c r="C38" s="177"/>
      <c r="D38" s="177"/>
      <c r="E38" s="177"/>
      <c r="F38" s="177"/>
      <c r="G38" s="177"/>
      <c r="H38" s="177"/>
    </row>
    <row r="39" spans="1:8" s="94" customFormat="1" ht="12" customHeight="1">
      <c r="B39" s="119" t="s">
        <v>113</v>
      </c>
    </row>
    <row r="40" spans="1:8" s="94" customFormat="1" ht="12" customHeight="1">
      <c r="A40" s="177" t="s">
        <v>114</v>
      </c>
      <c r="B40" s="177"/>
      <c r="C40" s="177"/>
      <c r="D40" s="177"/>
      <c r="E40" s="177"/>
      <c r="F40" s="177"/>
      <c r="G40" s="177"/>
      <c r="H40" s="177"/>
    </row>
    <row r="41" spans="1:8" s="94" customFormat="1" ht="12" customHeight="1">
      <c r="B41" s="119" t="s">
        <v>115</v>
      </c>
    </row>
    <row r="42" spans="1:8" s="94" customFormat="1" ht="12" customHeight="1">
      <c r="B42" s="119"/>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7"/>
  <sheetViews>
    <sheetView topLeftCell="A130" zoomScaleNormal="100" workbookViewId="0">
      <selection activeCell="F31" sqref="F31"/>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85546875" bestFit="1" customWidth="1"/>
    <col min="7" max="7" width="9.42578125" customWidth="1"/>
    <col min="8" max="8" width="5" bestFit="1" customWidth="1"/>
    <col min="9" max="9" width="9.5703125" bestFit="1" customWidth="1"/>
    <col min="10" max="10" width="10.7109375" bestFit="1" customWidth="1"/>
  </cols>
  <sheetData>
    <row r="1" spans="1:14" s="1" customFormat="1">
      <c r="A1" s="164" t="s">
        <v>0</v>
      </c>
      <c r="B1" s="164"/>
      <c r="C1" s="164"/>
      <c r="D1" s="164"/>
      <c r="E1" s="164"/>
      <c r="F1" s="164"/>
      <c r="G1" s="164"/>
      <c r="H1" s="164"/>
      <c r="I1" s="164"/>
      <c r="J1" s="164"/>
      <c r="K1" s="164"/>
    </row>
    <row r="2" spans="1:14" s="1" customFormat="1" ht="22.5">
      <c r="A2" s="165" t="s">
        <v>1</v>
      </c>
      <c r="B2" s="165"/>
      <c r="C2" s="165"/>
      <c r="D2" s="165"/>
      <c r="E2" s="165"/>
      <c r="F2" s="165"/>
      <c r="G2" s="165"/>
      <c r="H2" s="165"/>
      <c r="I2" s="165"/>
      <c r="J2" s="165"/>
      <c r="K2" s="165"/>
    </row>
    <row r="3" spans="1:14" s="1" customFormat="1">
      <c r="A3" s="153" t="s">
        <v>2</v>
      </c>
      <c r="B3" s="153"/>
      <c r="C3" s="153"/>
      <c r="D3" s="153"/>
      <c r="E3" s="153"/>
      <c r="F3" s="153"/>
      <c r="G3" s="153"/>
      <c r="H3" s="153"/>
      <c r="I3" s="153"/>
      <c r="J3" s="153"/>
      <c r="K3" s="153"/>
    </row>
    <row r="4" spans="1:14" s="1" customFormat="1">
      <c r="A4" s="153" t="s">
        <v>3</v>
      </c>
      <c r="B4" s="153"/>
      <c r="C4" s="153"/>
      <c r="D4" s="153"/>
      <c r="E4" s="153"/>
      <c r="F4" s="153"/>
      <c r="G4" s="153"/>
      <c r="H4" s="153"/>
      <c r="I4" s="153"/>
      <c r="J4" s="153"/>
      <c r="K4" s="153"/>
    </row>
    <row r="5" spans="1:14" ht="18.75">
      <c r="A5" s="166" t="s">
        <v>4</v>
      </c>
      <c r="B5" s="166"/>
      <c r="C5" s="166"/>
      <c r="D5" s="166"/>
      <c r="E5" s="166"/>
      <c r="F5" s="166"/>
      <c r="G5" s="166"/>
      <c r="H5" s="166"/>
      <c r="I5" s="166"/>
      <c r="J5" s="166"/>
      <c r="K5" s="166"/>
    </row>
    <row r="6" spans="1:14" ht="15.75">
      <c r="A6" s="157" t="s">
        <v>44</v>
      </c>
      <c r="B6" s="157"/>
      <c r="C6" s="157"/>
      <c r="D6" s="157"/>
      <c r="E6" s="157"/>
      <c r="F6" s="157"/>
      <c r="G6" s="2"/>
      <c r="H6" s="163" t="s">
        <v>42</v>
      </c>
      <c r="I6" s="163"/>
      <c r="J6" s="163"/>
      <c r="K6" s="163"/>
    </row>
    <row r="7" spans="1:14" ht="15.75">
      <c r="A7" s="167" t="s">
        <v>28</v>
      </c>
      <c r="B7" s="167"/>
      <c r="C7" s="167"/>
      <c r="D7" s="167"/>
      <c r="E7" s="167"/>
      <c r="F7" s="167"/>
      <c r="G7" s="3"/>
      <c r="H7" s="168" t="s">
        <v>141</v>
      </c>
      <c r="I7" s="168"/>
      <c r="J7" s="168"/>
      <c r="K7" s="168"/>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8.5">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2.75">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75">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47">
        <f t="shared" si="2"/>
        <v>1.95</v>
      </c>
      <c r="E48" s="147">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c r="A58" s="18"/>
      <c r="B58" s="89"/>
      <c r="C58" s="19"/>
      <c r="D58" s="20"/>
      <c r="E58" s="21"/>
      <c r="F58" s="21"/>
      <c r="G58" s="23"/>
      <c r="H58" s="22"/>
      <c r="I58" s="23"/>
      <c r="J58" s="40"/>
      <c r="K58" s="21"/>
    </row>
    <row r="59" spans="1:20" ht="39.75">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71" t="s">
        <v>87</v>
      </c>
      <c r="O60" s="171"/>
      <c r="P60" s="171"/>
      <c r="Q60" s="171"/>
      <c r="R60" s="171"/>
      <c r="S60" s="171"/>
      <c r="T60" s="171"/>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71" t="s">
        <v>87</v>
      </c>
      <c r="O73" s="171"/>
      <c r="P73" s="171"/>
      <c r="Q73" s="171"/>
      <c r="R73" s="171"/>
      <c r="S73" s="171"/>
      <c r="T73" s="171"/>
    </row>
    <row r="74" spans="1:20" ht="15" customHeight="1">
      <c r="A74" s="18"/>
      <c r="B74" s="36"/>
      <c r="C74" s="35">
        <f>2*13</f>
        <v>26</v>
      </c>
      <c r="D74" s="37">
        <v>0.7</v>
      </c>
      <c r="E74" s="37"/>
      <c r="F74" s="37">
        <v>0.1</v>
      </c>
      <c r="G74" s="38">
        <f>PRODUCT(C74:F74)</f>
        <v>1.82</v>
      </c>
      <c r="H74" s="39"/>
      <c r="I74" s="39"/>
      <c r="J74" s="39"/>
      <c r="K74" s="61"/>
      <c r="N74" s="131"/>
      <c r="O74" s="131"/>
      <c r="P74" s="131"/>
      <c r="Q74" s="131"/>
      <c r="R74" s="131"/>
      <c r="S74" s="131"/>
      <c r="T74" s="131"/>
    </row>
    <row r="75" spans="1:20" ht="15" customHeight="1">
      <c r="A75" s="18"/>
      <c r="B75" s="36"/>
      <c r="C75" s="35">
        <v>2</v>
      </c>
      <c r="D75" s="37">
        <v>0.9</v>
      </c>
      <c r="E75" s="37"/>
      <c r="F75" s="37">
        <v>0.1</v>
      </c>
      <c r="G75" s="38">
        <f t="shared" ref="G75:G76" si="3">PRODUCT(C75:F75)</f>
        <v>0.18000000000000002</v>
      </c>
      <c r="H75" s="39"/>
      <c r="I75" s="39"/>
      <c r="J75" s="39"/>
      <c r="K75" s="61"/>
      <c r="N75" s="131"/>
      <c r="O75" s="131"/>
      <c r="P75" s="131"/>
      <c r="Q75" s="131"/>
      <c r="R75" s="131"/>
      <c r="S75" s="131"/>
      <c r="T75" s="131"/>
    </row>
    <row r="76" spans="1:20" ht="15" customHeight="1">
      <c r="A76" s="18"/>
      <c r="B76" s="36"/>
      <c r="C76" s="35">
        <v>2</v>
      </c>
      <c r="D76" s="37">
        <f>2.75/3.281</f>
        <v>0.8381590978360256</v>
      </c>
      <c r="E76" s="37"/>
      <c r="F76" s="37">
        <v>0.1</v>
      </c>
      <c r="G76" s="38">
        <f t="shared" si="3"/>
        <v>0.16763181956720513</v>
      </c>
      <c r="H76" s="39"/>
      <c r="I76" s="39"/>
      <c r="J76" s="39"/>
      <c r="K76" s="61"/>
      <c r="N76" s="131"/>
      <c r="O76" s="131"/>
      <c r="P76" s="131"/>
      <c r="Q76" s="131"/>
      <c r="R76" s="131"/>
      <c r="S76" s="131"/>
      <c r="T76" s="131"/>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71" t="s">
        <v>87</v>
      </c>
      <c r="O81" s="171"/>
      <c r="P81" s="171"/>
      <c r="Q81" s="171"/>
      <c r="R81" s="171"/>
      <c r="S81" s="171"/>
      <c r="T81" s="171"/>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31"/>
      <c r="O82" s="131"/>
      <c r="P82" s="131"/>
      <c r="Q82" s="131"/>
      <c r="R82" s="131"/>
      <c r="S82" s="131"/>
      <c r="T82" s="131"/>
    </row>
    <row r="83" spans="1:20" ht="15" customHeight="1">
      <c r="A83" s="18"/>
      <c r="B83" s="36" t="s">
        <v>159</v>
      </c>
      <c r="C83" s="35">
        <v>1</v>
      </c>
      <c r="D83" s="37">
        <v>1.95</v>
      </c>
      <c r="E83" s="37">
        <v>1</v>
      </c>
      <c r="F83" s="37">
        <v>0.1</v>
      </c>
      <c r="G83" s="38">
        <f t="shared" si="4"/>
        <v>0.19500000000000001</v>
      </c>
      <c r="H83" s="39"/>
      <c r="I83" s="39"/>
      <c r="J83" s="39"/>
      <c r="K83" s="61"/>
      <c r="N83" s="132"/>
      <c r="O83" s="132"/>
      <c r="P83" s="132"/>
      <c r="Q83" s="132"/>
      <c r="R83" s="132"/>
      <c r="S83" s="132"/>
      <c r="T83" s="132"/>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75">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TRUNC(D95/0.1,0)</f>
        <v>482</v>
      </c>
      <c r="D90" s="12">
        <f>0.15</f>
        <v>0.15</v>
      </c>
      <c r="E90" s="12">
        <v>0.8</v>
      </c>
      <c r="F90" s="21">
        <f>PRODUCT(C90:E90)</f>
        <v>57.84</v>
      </c>
      <c r="G90" s="92">
        <f>F90</f>
        <v>57.84</v>
      </c>
      <c r="H90" s="122"/>
      <c r="I90" s="125"/>
      <c r="J90" s="125"/>
      <c r="K90" s="123"/>
    </row>
    <row r="91" spans="1:20" s="1" customFormat="1" ht="30">
      <c r="A91" s="122"/>
      <c r="B91" s="127" t="s">
        <v>125</v>
      </c>
      <c r="C91" s="124">
        <v>4</v>
      </c>
      <c r="D91" s="12">
        <f>7.5/3.281</f>
        <v>2.2858884486437061</v>
      </c>
      <c r="E91" s="12">
        <v>2.72</v>
      </c>
      <c r="F91" s="12">
        <f t="shared" ref="F91" si="5">PRODUCT(C91:E91)</f>
        <v>24.870466321243523</v>
      </c>
      <c r="G91" s="128">
        <f t="shared" ref="G91:G96" si="6">F91</f>
        <v>24.870466321243523</v>
      </c>
      <c r="H91" s="125"/>
      <c r="I91" s="125"/>
      <c r="J91" s="125"/>
      <c r="K91" s="123"/>
      <c r="M91" s="129"/>
    </row>
    <row r="92" spans="1:20" s="1" customFormat="1" ht="45">
      <c r="A92" s="122"/>
      <c r="B92" s="127" t="s">
        <v>126</v>
      </c>
      <c r="C92" s="124">
        <v>1</v>
      </c>
      <c r="D92" s="12">
        <f>(1.6+5.6)</f>
        <v>7.1999999999999993</v>
      </c>
      <c r="E92" s="12">
        <v>3.87</v>
      </c>
      <c r="F92" s="12">
        <f>PRODUCT(C92:E92)</f>
        <v>27.863999999999997</v>
      </c>
      <c r="G92" s="128">
        <f t="shared" si="6"/>
        <v>27.863999999999997</v>
      </c>
      <c r="H92" s="125"/>
      <c r="I92" s="125"/>
      <c r="J92" s="125"/>
      <c r="K92" s="123"/>
      <c r="M92" s="129"/>
    </row>
    <row r="93" spans="1:20" s="1" customFormat="1">
      <c r="A93" s="122"/>
      <c r="B93" s="127"/>
      <c r="C93" s="124">
        <v>4</v>
      </c>
      <c r="D93" s="12">
        <f>(7.333+1)/3.281</f>
        <v>2.5397744590064004</v>
      </c>
      <c r="E93" s="12">
        <v>3.87</v>
      </c>
      <c r="F93" s="12">
        <f>PRODUCT(C93:E93)</f>
        <v>39.315708625419077</v>
      </c>
      <c r="G93" s="128">
        <f t="shared" si="6"/>
        <v>39.315708625419077</v>
      </c>
      <c r="H93" s="125"/>
      <c r="I93" s="125"/>
      <c r="J93" s="125"/>
      <c r="K93" s="123"/>
      <c r="M93" s="129"/>
    </row>
    <row r="94" spans="1:20" s="1" customFormat="1" ht="30">
      <c r="A94" s="122"/>
      <c r="B94" s="127" t="s">
        <v>133</v>
      </c>
      <c r="C94" s="124">
        <v>1</v>
      </c>
      <c r="D94" s="12">
        <f>1.6+5.6</f>
        <v>7.1999999999999993</v>
      </c>
      <c r="E94" s="12">
        <v>1.52</v>
      </c>
      <c r="F94" s="12">
        <f>PRODUCT(C94:E94)</f>
        <v>10.943999999999999</v>
      </c>
      <c r="G94" s="128">
        <f t="shared" si="6"/>
        <v>10.943999999999999</v>
      </c>
      <c r="H94" s="125"/>
      <c r="I94" s="125"/>
      <c r="J94" s="125"/>
      <c r="K94" s="123"/>
      <c r="M94" s="129"/>
    </row>
    <row r="95" spans="1:20" s="1" customFormat="1">
      <c r="A95" s="122"/>
      <c r="B95" s="127" t="s">
        <v>134</v>
      </c>
      <c r="C95" s="124">
        <v>2</v>
      </c>
      <c r="D95" s="12">
        <f>5.6+5.92+2.83+1.2+0.85+5.2+6.9+5.8+4.3+6.3+1.5+1.8</f>
        <v>48.199999999999989</v>
      </c>
      <c r="E95" s="12">
        <v>1.52</v>
      </c>
      <c r="F95" s="12">
        <f>PRODUCT(C95:E95)</f>
        <v>146.52799999999996</v>
      </c>
      <c r="G95" s="128">
        <f t="shared" si="6"/>
        <v>146.52799999999996</v>
      </c>
      <c r="H95" s="125"/>
      <c r="I95" s="125"/>
      <c r="J95" s="125"/>
      <c r="K95" s="123"/>
      <c r="M95" s="129"/>
    </row>
    <row r="96" spans="1:20" s="1" customFormat="1">
      <c r="A96" s="122"/>
      <c r="B96" s="127" t="s">
        <v>136</v>
      </c>
      <c r="C96" s="124">
        <f>C90</f>
        <v>482</v>
      </c>
      <c r="D96" s="12">
        <f>2.5/3.281</f>
        <v>0.76196281621456874</v>
      </c>
      <c r="E96" s="12">
        <v>1.1299999999999999</v>
      </c>
      <c r="F96" s="12">
        <f>PRODUCT(C96:E96)</f>
        <v>415.01066747942701</v>
      </c>
      <c r="G96" s="128">
        <f t="shared" si="6"/>
        <v>415.01066747942701</v>
      </c>
      <c r="H96" s="125"/>
      <c r="I96" s="125"/>
      <c r="J96" s="125"/>
      <c r="K96" s="123"/>
      <c r="M96" s="129"/>
    </row>
    <row r="97" spans="1:11" ht="15" customHeight="1">
      <c r="A97" s="18"/>
      <c r="B97" s="36" t="s">
        <v>41</v>
      </c>
      <c r="C97" s="19"/>
      <c r="D97" s="20"/>
      <c r="E97" s="21"/>
      <c r="F97" s="21"/>
      <c r="G97" s="23">
        <f>SUM(G88:G96)</f>
        <v>734.74624078024999</v>
      </c>
      <c r="H97" s="22" t="s">
        <v>122</v>
      </c>
      <c r="I97" s="23">
        <v>181.17</v>
      </c>
      <c r="J97" s="40">
        <f>G97*I97</f>
        <v>133113.97644215787</v>
      </c>
      <c r="K97" s="21"/>
    </row>
    <row r="98" spans="1:11" ht="15" customHeight="1">
      <c r="A98" s="18"/>
      <c r="B98" s="36" t="s">
        <v>40</v>
      </c>
      <c r="C98" s="19"/>
      <c r="D98" s="20"/>
      <c r="E98" s="21"/>
      <c r="F98" s="21"/>
      <c r="G98" s="23"/>
      <c r="H98" s="22"/>
      <c r="I98" s="23"/>
      <c r="J98" s="40">
        <f>0.13*G97*1871.42/18.94</f>
        <v>9437.8271008303491</v>
      </c>
      <c r="K98" s="21"/>
    </row>
    <row r="99" spans="1:11" ht="15" customHeight="1">
      <c r="A99" s="18"/>
      <c r="B99" s="36"/>
      <c r="C99" s="19"/>
      <c r="D99" s="20"/>
      <c r="E99" s="21"/>
      <c r="F99" s="21"/>
      <c r="G99" s="23"/>
      <c r="H99" s="22"/>
      <c r="I99" s="23"/>
      <c r="J99" s="40"/>
      <c r="K99" s="21"/>
    </row>
    <row r="100" spans="1:11" s="1" customFormat="1" ht="30">
      <c r="A100" s="18">
        <v>15</v>
      </c>
      <c r="B100" s="130" t="s">
        <v>127</v>
      </c>
      <c r="C100" s="19"/>
      <c r="D100" s="20"/>
      <c r="E100" s="21"/>
      <c r="F100" s="21"/>
      <c r="G100" s="125"/>
      <c r="H100" s="22"/>
      <c r="I100" s="23"/>
      <c r="J100" s="125"/>
      <c r="K100" s="21"/>
    </row>
    <row r="101" spans="1:11" s="1" customFormat="1">
      <c r="A101" s="18"/>
      <c r="B101" s="127" t="s">
        <v>128</v>
      </c>
      <c r="C101" s="19">
        <v>2</v>
      </c>
      <c r="D101" s="20">
        <f>(4/3.281)+0.85</f>
        <v>2.0691405059433099</v>
      </c>
      <c r="E101" s="21"/>
      <c r="F101" s="21">
        <v>1.6</v>
      </c>
      <c r="G101" s="128">
        <f t="shared" ref="G101:G111" si="7">PRODUCT(C101:F101)</f>
        <v>6.6212496190185917</v>
      </c>
      <c r="H101" s="22"/>
      <c r="I101" s="23"/>
      <c r="J101" s="125"/>
      <c r="K101" s="21"/>
    </row>
    <row r="102" spans="1:11" s="1" customFormat="1">
      <c r="A102" s="18"/>
      <c r="B102" s="127"/>
      <c r="C102" s="19">
        <v>1</v>
      </c>
      <c r="D102" s="20">
        <f>5.2+6.9</f>
        <v>12.100000000000001</v>
      </c>
      <c r="E102" s="21"/>
      <c r="F102" s="21">
        <f>(1.5+1.3+1.75)/3</f>
        <v>1.5166666666666666</v>
      </c>
      <c r="G102" s="128">
        <f t="shared" si="7"/>
        <v>18.351666666666667</v>
      </c>
      <c r="H102" s="22"/>
      <c r="I102" s="23"/>
      <c r="J102" s="125"/>
      <c r="K102" s="21"/>
    </row>
    <row r="103" spans="1:11" s="1" customFormat="1">
      <c r="A103" s="18"/>
      <c r="B103" s="127"/>
      <c r="C103" s="19">
        <v>1</v>
      </c>
      <c r="D103" s="20">
        <f>5.2+6.9</f>
        <v>12.100000000000001</v>
      </c>
      <c r="E103" s="21"/>
      <c r="F103" s="21">
        <v>1.3</v>
      </c>
      <c r="G103" s="128">
        <f t="shared" si="7"/>
        <v>15.730000000000002</v>
      </c>
      <c r="H103" s="22"/>
      <c r="I103" s="23"/>
      <c r="J103" s="125"/>
      <c r="K103" s="21"/>
    </row>
    <row r="104" spans="1:11" s="1" customFormat="1">
      <c r="A104" s="18"/>
      <c r="B104" s="127"/>
      <c r="C104" s="19">
        <v>1</v>
      </c>
      <c r="D104" s="20">
        <f>5.8</f>
        <v>5.8</v>
      </c>
      <c r="E104" s="21"/>
      <c r="F104" s="21">
        <v>1.4</v>
      </c>
      <c r="G104" s="128">
        <f t="shared" si="7"/>
        <v>8.1199999999999992</v>
      </c>
      <c r="H104" s="22"/>
      <c r="I104" s="23"/>
      <c r="J104" s="125"/>
      <c r="K104" s="21"/>
    </row>
    <row r="105" spans="1:11" s="1" customFormat="1">
      <c r="A105" s="18"/>
      <c r="B105" s="127"/>
      <c r="C105" s="19">
        <v>1</v>
      </c>
      <c r="D105" s="20">
        <v>5.8</v>
      </c>
      <c r="E105" s="21"/>
      <c r="F105" s="21">
        <f>3.6/3.281</f>
        <v>1.097226455348979</v>
      </c>
      <c r="G105" s="128">
        <f t="shared" si="7"/>
        <v>6.3639134410240779</v>
      </c>
      <c r="H105" s="22"/>
      <c r="I105" s="23"/>
      <c r="J105" s="125"/>
      <c r="K105" s="21"/>
    </row>
    <row r="106" spans="1:11" s="1" customFormat="1">
      <c r="A106" s="18"/>
      <c r="B106" s="127"/>
      <c r="C106" s="19">
        <v>1</v>
      </c>
      <c r="D106" s="20">
        <f>4.3+6.3</f>
        <v>10.6</v>
      </c>
      <c r="E106" s="21"/>
      <c r="F106" s="21">
        <v>1.27</v>
      </c>
      <c r="G106" s="128">
        <f t="shared" si="7"/>
        <v>13.462</v>
      </c>
      <c r="H106" s="22"/>
      <c r="I106" s="23"/>
      <c r="J106" s="125"/>
      <c r="K106" s="21"/>
    </row>
    <row r="107" spans="1:11" s="1" customFormat="1">
      <c r="A107" s="18"/>
      <c r="B107" s="127"/>
      <c r="C107" s="19">
        <v>1</v>
      </c>
      <c r="D107" s="20">
        <f>6/3.281</f>
        <v>1.8287107589149649</v>
      </c>
      <c r="E107" s="21"/>
      <c r="F107" s="21">
        <f>3/3.281</f>
        <v>0.91435537945748246</v>
      </c>
      <c r="G107" s="128">
        <f t="shared" si="7"/>
        <v>1.6720915198856734</v>
      </c>
      <c r="H107" s="22"/>
      <c r="I107" s="23"/>
      <c r="J107" s="125"/>
      <c r="K107" s="21"/>
    </row>
    <row r="108" spans="1:11" s="1" customFormat="1">
      <c r="A108" s="18"/>
      <c r="B108" s="127"/>
      <c r="C108" s="19">
        <v>1</v>
      </c>
      <c r="D108" s="20">
        <f>5/3.281</f>
        <v>1.5239256324291375</v>
      </c>
      <c r="E108" s="21"/>
      <c r="F108" s="21">
        <f>2/3.281</f>
        <v>0.6095702529716549</v>
      </c>
      <c r="G108" s="128">
        <f t="shared" si="7"/>
        <v>0.92893973326981849</v>
      </c>
      <c r="H108" s="22"/>
      <c r="I108" s="23"/>
      <c r="J108" s="125"/>
      <c r="K108" s="21"/>
    </row>
    <row r="109" spans="1:11" s="1" customFormat="1">
      <c r="A109" s="18"/>
      <c r="B109" s="127"/>
      <c r="C109" s="19">
        <v>1</v>
      </c>
      <c r="D109" s="20">
        <f>5.45+6.25+1.27</f>
        <v>12.969999999999999</v>
      </c>
      <c r="E109" s="21"/>
      <c r="F109" s="21">
        <v>0.3</v>
      </c>
      <c r="G109" s="128">
        <f t="shared" si="7"/>
        <v>3.8909999999999996</v>
      </c>
      <c r="H109" s="22"/>
      <c r="I109" s="23"/>
      <c r="J109" s="125"/>
      <c r="K109" s="21"/>
    </row>
    <row r="110" spans="1:11" s="1" customFormat="1">
      <c r="A110" s="18"/>
      <c r="B110" s="127" t="str">
        <f>B54</f>
        <v>-at one side drain</v>
      </c>
      <c r="C110" s="19">
        <f>C54</f>
        <v>1</v>
      </c>
      <c r="D110" s="20">
        <f>D54</f>
        <v>6.55</v>
      </c>
      <c r="E110" s="21"/>
      <c r="F110" s="21">
        <v>0.23</v>
      </c>
      <c r="G110" s="128">
        <f t="shared" si="7"/>
        <v>1.5065</v>
      </c>
      <c r="H110" s="22"/>
      <c r="I110" s="23"/>
      <c r="J110" s="125"/>
      <c r="K110" s="21"/>
    </row>
    <row r="111" spans="1:11" s="1" customFormat="1">
      <c r="A111" s="18"/>
      <c r="B111" s="127" t="str">
        <f>B14</f>
        <v>-at roof</v>
      </c>
      <c r="C111" s="19">
        <f>C14</f>
        <v>1</v>
      </c>
      <c r="D111" s="20">
        <f>D14</f>
        <v>18</v>
      </c>
      <c r="E111" s="21"/>
      <c r="F111" s="21">
        <f>F14</f>
        <v>0.7110637000914356</v>
      </c>
      <c r="G111" s="128">
        <f t="shared" si="7"/>
        <v>12.799146601645841</v>
      </c>
      <c r="H111" s="22"/>
      <c r="I111" s="23"/>
      <c r="J111" s="125"/>
      <c r="K111" s="21"/>
    </row>
    <row r="112" spans="1:11" s="1" customFormat="1">
      <c r="A112" s="18"/>
      <c r="B112" s="127" t="s">
        <v>129</v>
      </c>
      <c r="C112" s="19"/>
      <c r="D112" s="20"/>
      <c r="E112" s="21"/>
      <c r="F112" s="21"/>
      <c r="G112" s="125">
        <f>SUM(G101:G111)</f>
        <v>89.446507581510673</v>
      </c>
      <c r="H112" s="22" t="s">
        <v>43</v>
      </c>
      <c r="I112" s="23">
        <v>405.86</v>
      </c>
      <c r="J112" s="125">
        <f>G112*I112</f>
        <v>36302.759567031921</v>
      </c>
      <c r="K112" s="21"/>
    </row>
    <row r="113" spans="1:17" s="1" customFormat="1">
      <c r="A113" s="18"/>
      <c r="B113" s="127" t="s">
        <v>130</v>
      </c>
      <c r="C113" s="19"/>
      <c r="D113" s="20"/>
      <c r="E113" s="21"/>
      <c r="F113" s="21"/>
      <c r="G113" s="125"/>
      <c r="H113" s="22"/>
      <c r="I113" s="23"/>
      <c r="J113" s="125">
        <f>0.13*G112*11166.2/100</f>
        <v>1298.410870843664</v>
      </c>
      <c r="K113" s="21"/>
    </row>
    <row r="114" spans="1:17" s="1" customFormat="1">
      <c r="A114" s="18"/>
      <c r="B114" s="127"/>
      <c r="C114" s="19"/>
      <c r="D114" s="20"/>
      <c r="E114" s="21"/>
      <c r="F114" s="21"/>
      <c r="G114" s="125"/>
      <c r="H114" s="22"/>
      <c r="I114" s="23"/>
      <c r="J114" s="125"/>
      <c r="K114" s="21"/>
    </row>
    <row r="115" spans="1:17" ht="30.75">
      <c r="A115" s="18">
        <v>16</v>
      </c>
      <c r="B115" s="121" t="s">
        <v>131</v>
      </c>
      <c r="C115" s="19"/>
      <c r="D115" s="20"/>
      <c r="E115" s="21"/>
      <c r="F115" s="21"/>
      <c r="G115" s="23"/>
      <c r="H115" s="22"/>
      <c r="I115" s="23"/>
      <c r="J115" s="40"/>
      <c r="K115" s="21"/>
    </row>
    <row r="116" spans="1:17" ht="15" customHeight="1">
      <c r="A116" s="18"/>
      <c r="B116" s="36" t="s">
        <v>156</v>
      </c>
      <c r="C116" s="19">
        <v>1</v>
      </c>
      <c r="D116" s="20"/>
      <c r="E116" s="21"/>
      <c r="F116" s="21"/>
      <c r="G116" s="38">
        <f>G112-G110</f>
        <v>87.94000758151067</v>
      </c>
      <c r="H116" s="22"/>
      <c r="I116" s="23"/>
      <c r="J116" s="40"/>
      <c r="K116" s="21"/>
    </row>
    <row r="117" spans="1:17" ht="15" customHeight="1">
      <c r="A117" s="18"/>
      <c r="B117" s="36" t="s">
        <v>41</v>
      </c>
      <c r="C117" s="19"/>
      <c r="D117" s="20"/>
      <c r="E117" s="21"/>
      <c r="F117" s="21"/>
      <c r="G117" s="23">
        <f>SUM(G116:G116)</f>
        <v>87.94000758151067</v>
      </c>
      <c r="H117" s="22" t="s">
        <v>43</v>
      </c>
      <c r="I117" s="23">
        <v>251.77</v>
      </c>
      <c r="J117" s="40">
        <f>G117*I117</f>
        <v>22140.655708796941</v>
      </c>
      <c r="K117" s="21"/>
    </row>
    <row r="118" spans="1:17" ht="15" customHeight="1">
      <c r="A118" s="18"/>
      <c r="B118" s="36" t="s">
        <v>40</v>
      </c>
      <c r="C118" s="19"/>
      <c r="D118" s="20"/>
      <c r="E118" s="21"/>
      <c r="F118" s="21"/>
      <c r="G118" s="23"/>
      <c r="H118" s="22"/>
      <c r="I118" s="23"/>
      <c r="J118" s="40">
        <f>0.13*G117*12736/100</f>
        <v>1456.0051175255562</v>
      </c>
      <c r="K118" s="21"/>
    </row>
    <row r="119" spans="1:17" ht="15" customHeight="1">
      <c r="A119" s="18"/>
      <c r="B119" s="36"/>
      <c r="C119" s="19"/>
      <c r="D119" s="20"/>
      <c r="E119" s="21"/>
      <c r="F119" s="21"/>
      <c r="G119" s="23"/>
      <c r="H119" s="22"/>
      <c r="I119" s="23"/>
      <c r="J119" s="40"/>
      <c r="K119" s="21"/>
    </row>
    <row r="120" spans="1:17" s="1" customFormat="1" ht="48">
      <c r="A120" s="18">
        <v>17</v>
      </c>
      <c r="B120" s="146" t="s">
        <v>153</v>
      </c>
      <c r="C120" s="146"/>
      <c r="D120" s="20"/>
      <c r="G120" s="125"/>
      <c r="H120" s="22"/>
      <c r="I120" s="23"/>
      <c r="J120" s="125"/>
      <c r="K120" s="21"/>
    </row>
    <row r="121" spans="1:17" ht="15" customHeight="1">
      <c r="A121" s="18"/>
      <c r="B121" s="36" t="s">
        <v>138</v>
      </c>
      <c r="C121" s="19">
        <v>1</v>
      </c>
      <c r="D121" s="20">
        <f>1.6+5.6</f>
        <v>7.1999999999999993</v>
      </c>
      <c r="E121" s="21">
        <f>(7.333+1.5)/3.281</f>
        <v>2.6921670222493144</v>
      </c>
      <c r="F121" s="21"/>
      <c r="G121" s="128">
        <f t="shared" ref="G121" si="8">PRODUCT(C121:F121)</f>
        <v>19.383602560195062</v>
      </c>
      <c r="H121" s="22"/>
      <c r="I121" s="23"/>
      <c r="J121" s="40"/>
      <c r="K121" s="21"/>
    </row>
    <row r="122" spans="1:17" ht="15" customHeight="1">
      <c r="A122" s="18"/>
      <c r="B122" s="36" t="s">
        <v>41</v>
      </c>
      <c r="C122" s="19"/>
      <c r="D122" s="20"/>
      <c r="E122" s="21"/>
      <c r="F122" s="21"/>
      <c r="G122" s="23">
        <f>SUM(G121:G121)</f>
        <v>19.383602560195062</v>
      </c>
      <c r="H122" s="22" t="s">
        <v>43</v>
      </c>
      <c r="I122" s="23">
        <v>2271.5500000000002</v>
      </c>
      <c r="J122" s="40">
        <f>G122*I122</f>
        <v>44030.822395611096</v>
      </c>
      <c r="K122" s="21"/>
    </row>
    <row r="123" spans="1:17" ht="15" customHeight="1">
      <c r="A123" s="18"/>
      <c r="B123" s="36" t="s">
        <v>40</v>
      </c>
      <c r="C123" s="19"/>
      <c r="D123" s="20"/>
      <c r="E123" s="21"/>
      <c r="F123" s="21"/>
      <c r="G123" s="23"/>
      <c r="H123" s="22"/>
      <c r="I123" s="23"/>
      <c r="J123" s="40">
        <f>0.13*G122*(20218/10)</f>
        <v>5094.6697953063094</v>
      </c>
      <c r="K123" s="21"/>
    </row>
    <row r="124" spans="1:17" ht="15" customHeight="1">
      <c r="A124" s="18"/>
      <c r="B124" s="36"/>
      <c r="C124" s="19"/>
      <c r="D124" s="20"/>
      <c r="E124" s="21"/>
      <c r="F124" s="21"/>
      <c r="G124" s="23"/>
      <c r="H124" s="22"/>
      <c r="I124" s="23"/>
      <c r="J124" s="40"/>
      <c r="K124" s="21"/>
    </row>
    <row r="125" spans="1:17" s="144" customFormat="1" ht="18">
      <c r="A125" s="141">
        <v>18</v>
      </c>
      <c r="B125" s="133" t="s">
        <v>142</v>
      </c>
      <c r="C125" s="134"/>
      <c r="D125" s="135"/>
      <c r="E125" s="142"/>
      <c r="F125" s="135" t="s">
        <v>145</v>
      </c>
      <c r="G125" s="135"/>
      <c r="H125" s="135"/>
      <c r="I125" s="135"/>
      <c r="J125" s="137"/>
      <c r="K125" s="143"/>
    </row>
    <row r="126" spans="1:17" ht="15" customHeight="1">
      <c r="A126" s="18"/>
      <c r="B126" s="36" t="s">
        <v>143</v>
      </c>
      <c r="C126" s="35">
        <v>1</v>
      </c>
      <c r="D126" s="37"/>
      <c r="E126" s="5"/>
      <c r="F126" s="138">
        <f>CONVERT(48.3735,"ft2","m2")</f>
        <v>4.49404520544</v>
      </c>
      <c r="G126" s="128">
        <f>PRODUCT(C126:F126)</f>
        <v>4.49404520544</v>
      </c>
      <c r="H126" s="39"/>
      <c r="I126" s="39"/>
      <c r="J126" s="39"/>
      <c r="K126" s="21"/>
      <c r="M126" s="1"/>
      <c r="N126" s="1"/>
      <c r="O126" s="1"/>
      <c r="P126" s="88"/>
      <c r="Q126" s="88"/>
    </row>
    <row r="127" spans="1:17" ht="15" customHeight="1">
      <c r="A127" s="18"/>
      <c r="B127" s="36"/>
      <c r="C127" s="35">
        <v>1</v>
      </c>
      <c r="D127" s="37"/>
      <c r="E127" s="5"/>
      <c r="F127" s="138">
        <f>CONVERT(224.2762,"ft2","m2")</f>
        <v>20.835940779647999</v>
      </c>
      <c r="G127" s="128">
        <f>PRODUCT(C127:F127)</f>
        <v>20.835940779647999</v>
      </c>
      <c r="H127" s="39"/>
      <c r="I127" s="39"/>
      <c r="J127" s="39"/>
      <c r="K127" s="21"/>
      <c r="M127" s="1"/>
      <c r="N127" s="1"/>
      <c r="O127" s="1"/>
      <c r="P127" s="88"/>
      <c r="Q127" s="88"/>
    </row>
    <row r="128" spans="1:17" ht="15" customHeight="1">
      <c r="A128" s="18"/>
      <c r="B128" s="36"/>
      <c r="C128" s="35">
        <v>1</v>
      </c>
      <c r="D128" s="37">
        <f>(4.1+4.4)/2</f>
        <v>4.25</v>
      </c>
      <c r="E128" s="37">
        <f>2.6</f>
        <v>2.6</v>
      </c>
      <c r="F128" s="37"/>
      <c r="G128" s="128">
        <f t="shared" ref="G128:G130" si="9">PRODUCT(C128:F128)</f>
        <v>11.05</v>
      </c>
      <c r="H128" s="39"/>
      <c r="I128" s="39"/>
      <c r="J128" s="39"/>
      <c r="K128" s="21"/>
      <c r="M128" s="1"/>
      <c r="N128" s="1"/>
      <c r="O128" s="1"/>
      <c r="P128" s="88"/>
      <c r="Q128" s="88"/>
    </row>
    <row r="129" spans="1:20" ht="15" customHeight="1">
      <c r="A129" s="18"/>
      <c r="B129" s="36"/>
      <c r="C129" s="35">
        <v>1</v>
      </c>
      <c r="D129" s="37">
        <v>7</v>
      </c>
      <c r="E129" s="37">
        <f>((2.5+4.75)/2)/3.281</f>
        <v>1.1048460835111247</v>
      </c>
      <c r="F129" s="37"/>
      <c r="G129" s="128">
        <f t="shared" si="9"/>
        <v>7.733922584577873</v>
      </c>
      <c r="H129" s="39"/>
      <c r="I129" s="39"/>
      <c r="J129" s="39"/>
      <c r="K129" s="21"/>
      <c r="M129" s="1"/>
      <c r="N129" s="185" t="s">
        <v>146</v>
      </c>
      <c r="O129" s="185"/>
      <c r="P129" s="185"/>
      <c r="Q129" s="185"/>
      <c r="R129" s="185"/>
      <c r="S129" s="185"/>
      <c r="T129" s="185"/>
    </row>
    <row r="130" spans="1:20" ht="15" customHeight="1">
      <c r="A130" s="18"/>
      <c r="B130" s="36"/>
      <c r="C130" s="35">
        <v>1</v>
      </c>
      <c r="D130" s="37">
        <v>6.55</v>
      </c>
      <c r="E130" s="37">
        <f>((16.17+1)/2)/3.281</f>
        <v>2.616580310880829</v>
      </c>
      <c r="F130" s="37"/>
      <c r="G130" s="128">
        <f t="shared" si="9"/>
        <v>17.138601036269428</v>
      </c>
      <c r="H130" s="39"/>
      <c r="I130" s="39"/>
      <c r="J130" s="39"/>
      <c r="K130" s="21"/>
      <c r="M130" s="1"/>
      <c r="N130" s="185" t="s">
        <v>147</v>
      </c>
      <c r="O130" s="185"/>
      <c r="P130" s="185"/>
      <c r="Q130" s="185"/>
      <c r="R130" s="185"/>
      <c r="S130" s="185"/>
      <c r="T130" s="185"/>
    </row>
    <row r="131" spans="1:20" ht="15" customHeight="1">
      <c r="A131" s="39"/>
      <c r="B131" s="36" t="s">
        <v>41</v>
      </c>
      <c r="C131" s="134"/>
      <c r="D131" s="135"/>
      <c r="E131" s="135"/>
      <c r="F131" s="135"/>
      <c r="G131" s="136">
        <f>SUM(G126:G130)</f>
        <v>61.252509605935302</v>
      </c>
      <c r="H131" s="136" t="s">
        <v>144</v>
      </c>
      <c r="I131" s="136">
        <f>35*10.7639</f>
        <v>376.73649999999998</v>
      </c>
      <c r="J131" s="137">
        <f>G131*I131</f>
        <v>23076.056085156444</v>
      </c>
      <c r="K131" s="35"/>
    </row>
    <row r="132" spans="1:20" ht="15" customHeight="1">
      <c r="A132" s="39"/>
      <c r="B132" s="36" t="s">
        <v>40</v>
      </c>
      <c r="C132" s="134"/>
      <c r="D132" s="135"/>
      <c r="E132" s="135"/>
      <c r="F132" s="135"/>
      <c r="G132" s="135"/>
      <c r="H132" s="135"/>
      <c r="I132" s="135"/>
      <c r="J132" s="41">
        <f>0.13*J131</f>
        <v>2999.8872910703381</v>
      </c>
      <c r="K132" s="35"/>
    </row>
    <row r="133" spans="1:20" ht="15" customHeight="1">
      <c r="A133" s="39"/>
      <c r="B133" s="36"/>
      <c r="C133" s="134"/>
      <c r="D133" s="135"/>
      <c r="E133" s="135"/>
      <c r="F133" s="135"/>
      <c r="G133" s="135"/>
      <c r="H133" s="135"/>
      <c r="I133" s="135"/>
      <c r="J133" s="41"/>
      <c r="K133" s="35"/>
    </row>
    <row r="134" spans="1:20" s="1" customFormat="1" ht="60">
      <c r="A134" s="59">
        <v>19</v>
      </c>
      <c r="B134" s="139" t="s">
        <v>148</v>
      </c>
      <c r="C134" s="140"/>
      <c r="D134" s="38"/>
      <c r="E134" s="38"/>
      <c r="F134" s="38"/>
      <c r="G134" s="38"/>
      <c r="H134" s="38"/>
      <c r="I134" s="38"/>
      <c r="J134" s="41"/>
      <c r="K134" s="28"/>
    </row>
    <row r="135" spans="1:20" ht="15" customHeight="1">
      <c r="A135" s="39"/>
      <c r="B135" s="36" t="s">
        <v>149</v>
      </c>
      <c r="C135" s="19"/>
      <c r="D135" s="135"/>
      <c r="E135" s="135"/>
      <c r="F135" s="135"/>
      <c r="G135" s="135">
        <f>G131</f>
        <v>61.252509605935302</v>
      </c>
      <c r="H135" s="135"/>
      <c r="I135" s="135"/>
      <c r="J135" s="41"/>
      <c r="K135" s="35"/>
    </row>
    <row r="136" spans="1:20" ht="15" customHeight="1">
      <c r="A136" s="39"/>
      <c r="B136" s="36" t="str">
        <f>B83</f>
        <v>-at entrance</v>
      </c>
      <c r="C136" s="19">
        <v>1</v>
      </c>
      <c r="D136" s="147">
        <f t="shared" ref="D136:E136" si="10">D83</f>
        <v>1.95</v>
      </c>
      <c r="E136" s="147">
        <f t="shared" si="10"/>
        <v>1</v>
      </c>
      <c r="F136" s="147"/>
      <c r="G136" s="128">
        <f t="shared" ref="G136" si="11">PRODUCT(C136:F136)</f>
        <v>1.95</v>
      </c>
      <c r="H136" s="135"/>
      <c r="I136" s="135"/>
      <c r="J136" s="41"/>
      <c r="K136" s="35"/>
    </row>
    <row r="137" spans="1:20" ht="15" customHeight="1">
      <c r="A137" s="39"/>
      <c r="B137" s="36" t="s">
        <v>41</v>
      </c>
      <c r="C137" s="134"/>
      <c r="D137" s="135"/>
      <c r="E137" s="135"/>
      <c r="F137" s="135"/>
      <c r="G137" s="136">
        <f>SUM(G135:G136)</f>
        <v>63.202509605935305</v>
      </c>
      <c r="H137" s="136" t="s">
        <v>144</v>
      </c>
      <c r="I137" s="136">
        <v>9.1999999999999993</v>
      </c>
      <c r="J137" s="137">
        <f>G137*I137</f>
        <v>581.46308837460481</v>
      </c>
      <c r="K137" s="35"/>
    </row>
    <row r="138" spans="1:20" ht="15" customHeight="1">
      <c r="A138" s="18"/>
      <c r="B138" s="36"/>
      <c r="C138" s="19"/>
      <c r="D138" s="20"/>
      <c r="E138" s="21"/>
      <c r="F138" s="21"/>
      <c r="G138" s="23"/>
      <c r="H138" s="22"/>
      <c r="I138" s="23"/>
      <c r="J138" s="40"/>
      <c r="K138" s="21"/>
    </row>
    <row r="139" spans="1:20" ht="15" customHeight="1">
      <c r="A139" s="18">
        <v>20</v>
      </c>
      <c r="B139" s="36" t="s">
        <v>139</v>
      </c>
      <c r="C139" s="19">
        <v>1</v>
      </c>
      <c r="D139" s="20"/>
      <c r="E139" s="21"/>
      <c r="F139" s="21"/>
      <c r="G139" s="128">
        <f t="shared" ref="G139" si="12">PRODUCT(C139:F139)</f>
        <v>1</v>
      </c>
      <c r="H139" s="22" t="s">
        <v>140</v>
      </c>
      <c r="I139" s="23">
        <v>5000</v>
      </c>
      <c r="J139" s="33">
        <f>G139*I139</f>
        <v>5000</v>
      </c>
      <c r="K139" s="21"/>
    </row>
    <row r="140" spans="1:20" ht="15" customHeight="1">
      <c r="A140" s="18"/>
      <c r="B140" s="36"/>
      <c r="C140" s="19"/>
      <c r="D140" s="20"/>
      <c r="E140" s="21"/>
      <c r="F140" s="21"/>
      <c r="G140" s="23"/>
      <c r="H140" s="22"/>
      <c r="I140" s="23"/>
      <c r="J140" s="40"/>
      <c r="K140" s="21"/>
    </row>
    <row r="141" spans="1:20" ht="15" customHeight="1">
      <c r="A141" s="18">
        <v>21</v>
      </c>
      <c r="B141" s="29" t="s">
        <v>30</v>
      </c>
      <c r="C141" s="19">
        <v>1</v>
      </c>
      <c r="D141" s="20"/>
      <c r="E141" s="21"/>
      <c r="F141" s="21"/>
      <c r="G141" s="33">
        <f t="shared" ref="G141" si="13">PRODUCT(C141:F141)</f>
        <v>1</v>
      </c>
      <c r="H141" s="22" t="s">
        <v>31</v>
      </c>
      <c r="I141" s="23">
        <v>1000</v>
      </c>
      <c r="J141" s="33">
        <f>G141*I141</f>
        <v>1000</v>
      </c>
      <c r="K141" s="21"/>
    </row>
    <row r="142" spans="1:20" ht="15" customHeight="1">
      <c r="A142" s="18"/>
      <c r="B142" s="24"/>
      <c r="C142" s="19"/>
      <c r="D142" s="20"/>
      <c r="E142" s="21"/>
      <c r="F142" s="21"/>
      <c r="G142" s="23"/>
      <c r="H142" s="22"/>
      <c r="I142" s="23"/>
      <c r="J142" s="40"/>
      <c r="K142" s="21"/>
    </row>
    <row r="143" spans="1:20">
      <c r="A143" s="39"/>
      <c r="B143" s="42" t="s">
        <v>17</v>
      </c>
      <c r="C143" s="43"/>
      <c r="D143" s="37"/>
      <c r="E143" s="37"/>
      <c r="F143" s="37"/>
      <c r="G143" s="40"/>
      <c r="H143" s="40"/>
      <c r="I143" s="40"/>
      <c r="J143" s="40">
        <f>SUM(J10:J141)</f>
        <v>487209.35310074891</v>
      </c>
      <c r="K143" s="35"/>
    </row>
    <row r="144" spans="1:20">
      <c r="A144" s="54"/>
      <c r="B144" s="57"/>
      <c r="C144" s="58"/>
      <c r="D144" s="55"/>
      <c r="E144" s="55"/>
      <c r="F144" s="55"/>
      <c r="G144" s="56"/>
      <c r="H144" s="56"/>
      <c r="I144" s="56"/>
      <c r="J144" s="56"/>
      <c r="K144" s="53"/>
    </row>
    <row r="145" spans="1:11" s="1" customFormat="1">
      <c r="A145" s="46"/>
      <c r="B145" s="28" t="s">
        <v>27</v>
      </c>
      <c r="C145" s="169">
        <f>J143</f>
        <v>487209.35310074891</v>
      </c>
      <c r="D145" s="169"/>
      <c r="E145" s="38">
        <v>100</v>
      </c>
      <c r="F145" s="47"/>
      <c r="G145" s="48"/>
      <c r="H145" s="47"/>
      <c r="I145" s="49"/>
      <c r="J145" s="50"/>
      <c r="K145" s="51"/>
    </row>
    <row r="146" spans="1:11">
      <c r="A146" s="52"/>
      <c r="B146" s="28" t="s">
        <v>32</v>
      </c>
      <c r="C146" s="170">
        <v>500000</v>
      </c>
      <c r="D146" s="170"/>
      <c r="E146" s="38"/>
      <c r="F146" s="45"/>
      <c r="G146" s="44"/>
      <c r="H146" s="44"/>
      <c r="I146" s="44"/>
      <c r="J146" s="44"/>
      <c r="K146" s="45"/>
    </row>
    <row r="147" spans="1:11">
      <c r="A147" s="52"/>
      <c r="B147" s="28" t="s">
        <v>33</v>
      </c>
      <c r="C147" s="170">
        <f>C146-C149-C150</f>
        <v>475000</v>
      </c>
      <c r="D147" s="170"/>
      <c r="E147" s="38">
        <f>C147/C145*100</f>
        <v>97.494023252418117</v>
      </c>
      <c r="F147" s="45"/>
      <c r="G147" s="44"/>
      <c r="H147" s="44"/>
      <c r="I147" s="44"/>
      <c r="J147" s="44"/>
      <c r="K147" s="45"/>
    </row>
    <row r="148" spans="1:11">
      <c r="A148" s="52"/>
      <c r="B148" s="28" t="s">
        <v>34</v>
      </c>
      <c r="C148" s="169">
        <f>C145-C147</f>
        <v>12209.353100748907</v>
      </c>
      <c r="D148" s="169"/>
      <c r="E148" s="38">
        <f>100-E147</f>
        <v>2.505976747581883</v>
      </c>
      <c r="F148" s="45"/>
      <c r="G148" s="44"/>
      <c r="H148" s="44"/>
      <c r="I148" s="44"/>
      <c r="J148" s="44"/>
      <c r="K148" s="45"/>
    </row>
    <row r="149" spans="1:11">
      <c r="A149" s="52"/>
      <c r="B149" s="28" t="s">
        <v>35</v>
      </c>
      <c r="C149" s="169">
        <f>C146*0.03</f>
        <v>15000</v>
      </c>
      <c r="D149" s="169"/>
      <c r="E149" s="38">
        <v>3</v>
      </c>
      <c r="F149" s="45"/>
      <c r="G149" s="44"/>
      <c r="H149" s="44"/>
      <c r="I149" s="44"/>
      <c r="J149" s="44"/>
      <c r="K149" s="45"/>
    </row>
    <row r="150" spans="1:11">
      <c r="A150" s="52"/>
      <c r="B150" s="28" t="s">
        <v>36</v>
      </c>
      <c r="C150" s="169">
        <f>C146*0.02</f>
        <v>10000</v>
      </c>
      <c r="D150" s="169"/>
      <c r="E150" s="38">
        <v>2</v>
      </c>
      <c r="F150" s="45"/>
      <c r="G150" s="44"/>
      <c r="H150" s="44"/>
      <c r="I150" s="44"/>
      <c r="J150" s="44"/>
      <c r="K150" s="45"/>
    </row>
    <row r="151" spans="1:11" s="34" customFormat="1">
      <c r="A151" s="53"/>
      <c r="B151" s="53"/>
      <c r="C151" s="53"/>
      <c r="D151" s="53"/>
      <c r="E151" s="53"/>
      <c r="F151" s="53"/>
      <c r="G151" s="53"/>
      <c r="H151" s="53"/>
      <c r="I151" s="53"/>
      <c r="J151" s="53"/>
      <c r="K151" s="53"/>
    </row>
    <row r="152" spans="1:11" s="34" customFormat="1"/>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sheetData>
  <mergeCells count="20">
    <mergeCell ref="C146:D146"/>
    <mergeCell ref="C147:D147"/>
    <mergeCell ref="C148:D148"/>
    <mergeCell ref="C149:D149"/>
    <mergeCell ref="C150:D150"/>
    <mergeCell ref="N129:T129"/>
    <mergeCell ref="N130:T130"/>
    <mergeCell ref="A7:F7"/>
    <mergeCell ref="H7:K7"/>
    <mergeCell ref="N60:T60"/>
    <mergeCell ref="N73:T73"/>
    <mergeCell ref="N81:T81"/>
    <mergeCell ref="C145:D145"/>
    <mergeCell ref="A1:K1"/>
    <mergeCell ref="A2:K2"/>
    <mergeCell ref="A3:K3"/>
    <mergeCell ref="A4:K4"/>
    <mergeCell ref="A5:K5"/>
    <mergeCell ref="A6:F6"/>
    <mergeCell ref="H6:K6"/>
  </mergeCells>
  <hyperlinks>
    <hyperlink ref="B100" r:id="rId1"/>
  </hyperlinks>
  <pageMargins left="0.7" right="0.7" top="0.75" bottom="0.75" header="0.3" footer="0.3"/>
  <pageSetup paperSize="9" scale="80" orientation="portrait" r:id="rId2"/>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topLeftCell="A133" zoomScaleNormal="100" workbookViewId="0">
      <selection activeCell="I148" sqref="I148"/>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85546875" bestFit="1" customWidth="1"/>
    <col min="7" max="7" width="9.42578125" customWidth="1"/>
    <col min="8" max="8" width="5" bestFit="1" customWidth="1"/>
    <col min="9" max="9" width="9.5703125" bestFit="1" customWidth="1"/>
    <col min="10" max="10" width="10.7109375" bestFit="1" customWidth="1"/>
  </cols>
  <sheetData>
    <row r="1" spans="1:14" s="1" customFormat="1">
      <c r="A1" s="164" t="s">
        <v>0</v>
      </c>
      <c r="B1" s="164"/>
      <c r="C1" s="164"/>
      <c r="D1" s="164"/>
      <c r="E1" s="164"/>
      <c r="F1" s="164"/>
      <c r="G1" s="164"/>
      <c r="H1" s="164"/>
      <c r="I1" s="164"/>
      <c r="J1" s="164"/>
      <c r="K1" s="164"/>
    </row>
    <row r="2" spans="1:14" s="1" customFormat="1" ht="22.5">
      <c r="A2" s="165" t="s">
        <v>1</v>
      </c>
      <c r="B2" s="165"/>
      <c r="C2" s="165"/>
      <c r="D2" s="165"/>
      <c r="E2" s="165"/>
      <c r="F2" s="165"/>
      <c r="G2" s="165"/>
      <c r="H2" s="165"/>
      <c r="I2" s="165"/>
      <c r="J2" s="165"/>
      <c r="K2" s="165"/>
    </row>
    <row r="3" spans="1:14" s="1" customFormat="1">
      <c r="A3" s="153" t="s">
        <v>2</v>
      </c>
      <c r="B3" s="153"/>
      <c r="C3" s="153"/>
      <c r="D3" s="153"/>
      <c r="E3" s="153"/>
      <c r="F3" s="153"/>
      <c r="G3" s="153"/>
      <c r="H3" s="153"/>
      <c r="I3" s="153"/>
      <c r="J3" s="153"/>
      <c r="K3" s="153"/>
    </row>
    <row r="4" spans="1:14" s="1" customFormat="1">
      <c r="A4" s="153" t="s">
        <v>3</v>
      </c>
      <c r="B4" s="153"/>
      <c r="C4" s="153"/>
      <c r="D4" s="153"/>
      <c r="E4" s="153"/>
      <c r="F4" s="153"/>
      <c r="G4" s="153"/>
      <c r="H4" s="153"/>
      <c r="I4" s="153"/>
      <c r="J4" s="153"/>
      <c r="K4" s="153"/>
    </row>
    <row r="5" spans="1:14" ht="18.75">
      <c r="A5" s="166" t="s">
        <v>4</v>
      </c>
      <c r="B5" s="166"/>
      <c r="C5" s="166"/>
      <c r="D5" s="166"/>
      <c r="E5" s="166"/>
      <c r="F5" s="166"/>
      <c r="G5" s="166"/>
      <c r="H5" s="166"/>
      <c r="I5" s="166"/>
      <c r="J5" s="166"/>
      <c r="K5" s="166"/>
    </row>
    <row r="6" spans="1:14" ht="15.75">
      <c r="A6" s="157" t="s">
        <v>44</v>
      </c>
      <c r="B6" s="157"/>
      <c r="C6" s="157"/>
      <c r="D6" s="157"/>
      <c r="E6" s="157"/>
      <c r="F6" s="157"/>
      <c r="G6" s="2"/>
      <c r="H6" s="163" t="s">
        <v>42</v>
      </c>
      <c r="I6" s="163"/>
      <c r="J6" s="163"/>
      <c r="K6" s="163"/>
    </row>
    <row r="7" spans="1:14" ht="15.75">
      <c r="A7" s="167" t="s">
        <v>28</v>
      </c>
      <c r="B7" s="167"/>
      <c r="C7" s="167"/>
      <c r="D7" s="167"/>
      <c r="E7" s="167"/>
      <c r="F7" s="167"/>
      <c r="G7" s="3"/>
      <c r="H7" s="168" t="s">
        <v>141</v>
      </c>
      <c r="I7" s="168"/>
      <c r="J7" s="168"/>
      <c r="K7" s="168"/>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8.5">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7">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8.5">
      <c r="A26" s="18">
        <v>4</v>
      </c>
      <c r="B26" s="60" t="s">
        <v>47</v>
      </c>
      <c r="C26" s="35"/>
      <c r="D26" s="37"/>
      <c r="E26" s="37"/>
      <c r="F26" s="37"/>
      <c r="G26" s="38"/>
      <c r="H26" s="39"/>
      <c r="I26" s="39"/>
      <c r="J26" s="41"/>
      <c r="K26" s="21"/>
    </row>
    <row r="27" spans="1:14" ht="15" customHeight="1">
      <c r="A27" s="18"/>
      <c r="B27" s="36" t="s">
        <v>48</v>
      </c>
      <c r="C27" s="35">
        <v>1</v>
      </c>
      <c r="D27" s="37">
        <f>3.1+3.17+5.36+2.3</f>
        <v>13.93</v>
      </c>
      <c r="E27" s="37">
        <v>6.55</v>
      </c>
      <c r="F27" s="37"/>
      <c r="G27" s="38">
        <f>PRODUCT(C27:F27)</f>
        <v>91.241500000000002</v>
      </c>
      <c r="H27" s="39"/>
      <c r="I27" s="39"/>
      <c r="J27" s="39"/>
      <c r="K27" s="61"/>
      <c r="N27">
        <f>5.84+1.76</f>
        <v>7.6</v>
      </c>
    </row>
    <row r="28" spans="1:14" ht="15" customHeight="1">
      <c r="A28" s="18"/>
      <c r="B28" s="36" t="s">
        <v>160</v>
      </c>
      <c r="C28" s="35">
        <v>-1</v>
      </c>
      <c r="D28" s="37">
        <f>1.6+5.6</f>
        <v>7.1999999999999993</v>
      </c>
      <c r="E28" s="37">
        <f>(7.333+1.5)/3.281</f>
        <v>2.6921670222493144</v>
      </c>
      <c r="F28" s="37"/>
      <c r="G28" s="38">
        <f>PRODUCT(C28:F28)</f>
        <v>-19.383602560195062</v>
      </c>
      <c r="H28" s="39"/>
      <c r="I28" s="39"/>
      <c r="J28" s="39"/>
      <c r="K28" s="61"/>
    </row>
    <row r="29" spans="1:14" ht="15" customHeight="1">
      <c r="A29" s="18"/>
      <c r="B29" s="36" t="s">
        <v>41</v>
      </c>
      <c r="C29" s="35"/>
      <c r="D29" s="37"/>
      <c r="E29" s="37"/>
      <c r="F29" s="37"/>
      <c r="G29" s="33">
        <f>SUM(G27:G28)</f>
        <v>71.857897439804944</v>
      </c>
      <c r="H29" s="39" t="s">
        <v>43</v>
      </c>
      <c r="I29" s="39">
        <v>1070.9000000000001</v>
      </c>
      <c r="J29" s="41">
        <f>G29*I29</f>
        <v>76952.62236828712</v>
      </c>
      <c r="K29" s="21"/>
    </row>
    <row r="30" spans="1:14" ht="15" customHeight="1">
      <c r="A30" s="18"/>
      <c r="B30" s="36" t="s">
        <v>40</v>
      </c>
      <c r="C30" s="35"/>
      <c r="D30" s="37"/>
      <c r="E30" s="37"/>
      <c r="F30" s="37"/>
      <c r="G30" s="38"/>
      <c r="H30" s="39"/>
      <c r="I30" s="39"/>
      <c r="J30" s="41">
        <f>0.13*G29*8587.63/10</f>
        <v>8022.1574652828976</v>
      </c>
      <c r="K30" s="21"/>
    </row>
    <row r="31" spans="1:14" ht="15" customHeight="1">
      <c r="A31" s="18"/>
      <c r="B31" s="36"/>
      <c r="C31" s="35"/>
      <c r="D31" s="37"/>
      <c r="E31" s="37"/>
      <c r="F31" s="37"/>
      <c r="G31" s="38"/>
      <c r="H31" s="39"/>
      <c r="I31" s="39"/>
      <c r="J31" s="41"/>
      <c r="K31" s="21"/>
    </row>
    <row r="32" spans="1:14" ht="28.5">
      <c r="A32" s="18">
        <v>5</v>
      </c>
      <c r="B32" s="60" t="s">
        <v>157</v>
      </c>
      <c r="C32" s="35"/>
      <c r="D32" s="37"/>
      <c r="E32" s="37"/>
      <c r="F32" s="37"/>
      <c r="G32" s="38"/>
      <c r="H32" s="39"/>
      <c r="I32" s="39"/>
      <c r="J32" s="41"/>
      <c r="K32" s="21"/>
    </row>
    <row r="33" spans="1:19" ht="15" customHeight="1">
      <c r="A33" s="18"/>
      <c r="B33" s="36" t="s">
        <v>48</v>
      </c>
      <c r="C33" s="35">
        <v>1</v>
      </c>
      <c r="D33" s="37">
        <f>3.1+3.1+5.6+1.6</f>
        <v>13.4</v>
      </c>
      <c r="E33" s="37"/>
      <c r="F33" s="37"/>
      <c r="G33" s="38">
        <f>PRODUCT(C33:F33)</f>
        <v>13.4</v>
      </c>
      <c r="H33" s="39"/>
      <c r="I33" s="39"/>
      <c r="J33" s="39"/>
      <c r="K33" s="61"/>
      <c r="N33">
        <f>5.84+1.76</f>
        <v>7.6</v>
      </c>
    </row>
    <row r="34" spans="1:19" ht="15" customHeight="1">
      <c r="A34" s="18"/>
      <c r="B34" s="36" t="s">
        <v>41</v>
      </c>
      <c r="C34" s="35"/>
      <c r="D34" s="37"/>
      <c r="E34" s="37"/>
      <c r="F34" s="37"/>
      <c r="G34" s="33">
        <f>SUM(G33:G33)</f>
        <v>13.4</v>
      </c>
      <c r="H34" s="39" t="s">
        <v>158</v>
      </c>
      <c r="I34" s="39">
        <v>1108.01</v>
      </c>
      <c r="J34" s="41">
        <f>G34*I34</f>
        <v>14847.334000000001</v>
      </c>
      <c r="K34" s="21"/>
    </row>
    <row r="35" spans="1:19" ht="15" customHeight="1">
      <c r="A35" s="18"/>
      <c r="B35" s="36" t="s">
        <v>40</v>
      </c>
      <c r="C35" s="35"/>
      <c r="D35" s="37"/>
      <c r="E35" s="37"/>
      <c r="F35" s="37"/>
      <c r="G35" s="38"/>
      <c r="H35" s="39"/>
      <c r="I35" s="39"/>
      <c r="J35" s="41">
        <f>0.13*G34*7076.41/10</f>
        <v>1232.7106220000001</v>
      </c>
      <c r="K35" s="21"/>
    </row>
    <row r="36" spans="1:19" ht="15" customHeight="1">
      <c r="A36" s="18"/>
      <c r="B36" s="36"/>
      <c r="C36" s="35"/>
      <c r="D36" s="37"/>
      <c r="E36" s="37"/>
      <c r="F36" s="37"/>
      <c r="G36" s="38"/>
      <c r="H36" s="39"/>
      <c r="I36" s="39"/>
      <c r="J36" s="41"/>
      <c r="K36" s="21"/>
    </row>
    <row r="37" spans="1:19" ht="42.75">
      <c r="A37" s="18">
        <v>6</v>
      </c>
      <c r="B37" s="60" t="s">
        <v>87</v>
      </c>
      <c r="C37" s="35"/>
      <c r="D37" s="37"/>
      <c r="E37" s="37"/>
      <c r="F37" s="37"/>
      <c r="G37" s="38"/>
      <c r="H37" s="39"/>
      <c r="I37" s="39"/>
      <c r="J37" s="41"/>
      <c r="K37" s="21"/>
    </row>
    <row r="38" spans="1:19" ht="15" customHeight="1">
      <c r="A38" s="18"/>
      <c r="B38" s="36" t="s">
        <v>84</v>
      </c>
      <c r="C38" s="35">
        <v>2</v>
      </c>
      <c r="D38" s="37">
        <f>(18+14)/3.281</f>
        <v>9.7531240475464784</v>
      </c>
      <c r="E38" s="37">
        <v>0.15</v>
      </c>
      <c r="F38" s="37">
        <v>0.6</v>
      </c>
      <c r="G38" s="38">
        <f>PRODUCT(C38:F38)</f>
        <v>1.7555623285583659</v>
      </c>
      <c r="H38" s="39"/>
      <c r="I38" s="39"/>
      <c r="J38" s="39"/>
      <c r="K38" s="61"/>
      <c r="N38">
        <f>5.84+1.76</f>
        <v>7.6</v>
      </c>
    </row>
    <row r="39" spans="1:19" ht="15" customHeight="1">
      <c r="A39" s="18"/>
      <c r="B39" s="36" t="s">
        <v>41</v>
      </c>
      <c r="C39" s="35"/>
      <c r="D39" s="37"/>
      <c r="E39" s="37"/>
      <c r="F39" s="37"/>
      <c r="G39" s="33">
        <f>SUM(G38:G38)</f>
        <v>1.7555623285583659</v>
      </c>
      <c r="H39" s="39" t="s">
        <v>85</v>
      </c>
      <c r="I39" s="39">
        <v>1950.4</v>
      </c>
      <c r="J39" s="41">
        <f>G39*I39</f>
        <v>3424.0487656202372</v>
      </c>
      <c r="K39" s="21"/>
    </row>
    <row r="40" spans="1:19" ht="15" customHeight="1">
      <c r="A40" s="18"/>
      <c r="B40" s="36" t="s">
        <v>40</v>
      </c>
      <c r="C40" s="35"/>
      <c r="D40" s="37"/>
      <c r="E40" s="37"/>
      <c r="F40" s="37"/>
      <c r="G40" s="38"/>
      <c r="H40" s="39"/>
      <c r="I40" s="39"/>
      <c r="J40" s="41">
        <f>0.13*J39</f>
        <v>445.12633953063084</v>
      </c>
      <c r="K40" s="21"/>
    </row>
    <row r="41" spans="1:19" ht="15" customHeight="1">
      <c r="A41" s="18"/>
      <c r="B41" s="36"/>
      <c r="C41" s="35"/>
      <c r="D41" s="37"/>
      <c r="E41" s="37"/>
      <c r="F41" s="37"/>
      <c r="G41" s="38"/>
      <c r="H41" s="39"/>
      <c r="I41" s="39"/>
      <c r="J41" s="41"/>
      <c r="K41" s="21"/>
    </row>
    <row r="42" spans="1:19" ht="30.75">
      <c r="A42" s="18">
        <v>7</v>
      </c>
      <c r="B42" s="87" t="s">
        <v>89</v>
      </c>
      <c r="C42" s="19"/>
      <c r="D42" s="20"/>
      <c r="E42" s="21"/>
      <c r="F42" s="21"/>
      <c r="G42" s="23"/>
      <c r="H42" s="22"/>
      <c r="I42" s="23"/>
      <c r="J42" s="40"/>
      <c r="K42" s="21"/>
      <c r="M42" s="88"/>
      <c r="N42" s="1"/>
      <c r="O42" s="1"/>
      <c r="P42" s="1"/>
      <c r="Q42" s="1"/>
      <c r="R42" s="88"/>
      <c r="S42" s="88"/>
    </row>
    <row r="43" spans="1:19" ht="15" customHeight="1">
      <c r="A43" s="18"/>
      <c r="B43" s="36" t="s">
        <v>90</v>
      </c>
      <c r="C43" s="19">
        <v>1</v>
      </c>
      <c r="D43" s="20">
        <f>D61</f>
        <v>9.7531240475464784</v>
      </c>
      <c r="E43" s="21">
        <v>0.4</v>
      </c>
      <c r="F43" s="21">
        <v>0.125</v>
      </c>
      <c r="G43" s="38">
        <f>PRODUCT(C43:F43)</f>
        <v>0.48765620237732393</v>
      </c>
      <c r="H43" s="22"/>
      <c r="I43" s="23"/>
      <c r="J43" s="40"/>
      <c r="K43" s="21"/>
    </row>
    <row r="44" spans="1:19" ht="15" customHeight="1">
      <c r="A44" s="18"/>
      <c r="B44" s="36" t="s">
        <v>41</v>
      </c>
      <c r="C44" s="19"/>
      <c r="D44" s="20"/>
      <c r="E44" s="21"/>
      <c r="F44" s="21"/>
      <c r="G44" s="23">
        <f>SUM(G43:G43)</f>
        <v>0.48765620237732393</v>
      </c>
      <c r="H44" s="22" t="s">
        <v>85</v>
      </c>
      <c r="I44" s="23">
        <v>663.31</v>
      </c>
      <c r="J44" s="40">
        <f>G44*I44</f>
        <v>323.46723559890273</v>
      </c>
      <c r="K44" s="21"/>
    </row>
    <row r="45" spans="1:19" ht="15" customHeight="1">
      <c r="A45" s="18"/>
      <c r="B45" s="36"/>
      <c r="C45" s="19"/>
      <c r="D45" s="20"/>
      <c r="E45" s="21"/>
      <c r="F45" s="21"/>
      <c r="G45" s="23"/>
      <c r="H45" s="22"/>
      <c r="I45" s="23"/>
      <c r="J45" s="40"/>
      <c r="K45" s="21"/>
    </row>
    <row r="46" spans="1:19">
      <c r="A46" s="18">
        <v>8</v>
      </c>
      <c r="B46" s="89" t="s">
        <v>91</v>
      </c>
      <c r="C46" s="19"/>
      <c r="D46" s="20"/>
      <c r="E46" s="21"/>
      <c r="F46" s="21"/>
      <c r="G46" s="23"/>
      <c r="H46" s="22"/>
      <c r="I46" s="23"/>
      <c r="J46" s="40"/>
      <c r="K46" s="21"/>
    </row>
    <row r="47" spans="1:19" ht="15" customHeight="1">
      <c r="A47" s="18"/>
      <c r="B47" s="36" t="str">
        <f>B43</f>
        <v>-at drain wall base</v>
      </c>
      <c r="C47" s="19">
        <f>C43</f>
        <v>1</v>
      </c>
      <c r="D47" s="20">
        <f>D43</f>
        <v>9.7531240475464784</v>
      </c>
      <c r="E47" s="21">
        <f>E43+0.3</f>
        <v>0.7</v>
      </c>
      <c r="F47" s="21"/>
      <c r="G47" s="38">
        <f>PRODUCT(C47:F47)</f>
        <v>6.8271868332825347</v>
      </c>
      <c r="H47" s="22"/>
      <c r="I47" s="23"/>
      <c r="J47" s="40"/>
      <c r="K47" s="21"/>
    </row>
    <row r="48" spans="1:19" ht="15" customHeight="1">
      <c r="A48" s="18"/>
      <c r="B48" s="36" t="s">
        <v>155</v>
      </c>
      <c r="C48" s="19">
        <v>1</v>
      </c>
      <c r="D48" s="20">
        <f>D15</f>
        <v>6.55</v>
      </c>
      <c r="E48" s="21">
        <f>E15</f>
        <v>0.23</v>
      </c>
      <c r="F48" s="21"/>
      <c r="G48" s="38">
        <f>PRODUCT(C48:F48)</f>
        <v>1.5065</v>
      </c>
      <c r="H48" s="22"/>
      <c r="I48" s="23"/>
      <c r="J48" s="40"/>
      <c r="K48" s="21"/>
    </row>
    <row r="49" spans="1:20" ht="15" customHeight="1">
      <c r="A49" s="18"/>
      <c r="B49" s="36" t="str">
        <f>B84</f>
        <v>-at entrance</v>
      </c>
      <c r="C49" s="19">
        <f t="shared" ref="C49:E49" si="2">C84</f>
        <v>1</v>
      </c>
      <c r="D49" s="147">
        <f t="shared" si="2"/>
        <v>1.95</v>
      </c>
      <c r="E49" s="147">
        <f t="shared" si="2"/>
        <v>1</v>
      </c>
      <c r="F49" s="36"/>
      <c r="G49" s="38">
        <f>PRODUCT(C49:F49)</f>
        <v>1.95</v>
      </c>
      <c r="H49" s="22"/>
      <c r="I49" s="23"/>
      <c r="J49" s="40"/>
      <c r="K49" s="21"/>
    </row>
    <row r="50" spans="1:20" ht="15" customHeight="1">
      <c r="A50" s="18"/>
      <c r="B50" s="36" t="s">
        <v>41</v>
      </c>
      <c r="C50" s="19"/>
      <c r="D50" s="20"/>
      <c r="E50" s="21"/>
      <c r="F50" s="21"/>
      <c r="G50" s="23">
        <f>SUM(G47:G49)</f>
        <v>10.283686833282534</v>
      </c>
      <c r="H50" s="22" t="s">
        <v>43</v>
      </c>
      <c r="I50" s="23">
        <v>1014.97</v>
      </c>
      <c r="J50" s="40">
        <f>G50*I50</f>
        <v>10437.633625176773</v>
      </c>
      <c r="K50" s="21"/>
    </row>
    <row r="51" spans="1:20" ht="15" customHeight="1">
      <c r="A51" s="18"/>
      <c r="B51" s="36" t="s">
        <v>40</v>
      </c>
      <c r="C51" s="19"/>
      <c r="D51" s="20"/>
      <c r="E51" s="21"/>
      <c r="F51" s="21"/>
      <c r="G51" s="23"/>
      <c r="H51" s="22"/>
      <c r="I51" s="23"/>
      <c r="J51" s="40">
        <f>0.13*G50*8617.2/10</f>
        <v>1152.0156203369095</v>
      </c>
      <c r="K51" s="21"/>
    </row>
    <row r="52" spans="1:20" ht="15" customHeight="1">
      <c r="A52" s="18"/>
      <c r="B52" s="36"/>
      <c r="C52" s="19"/>
      <c r="D52" s="20"/>
      <c r="E52" s="21"/>
      <c r="F52" s="21"/>
      <c r="G52" s="23"/>
      <c r="H52" s="22"/>
      <c r="I52" s="23"/>
      <c r="J52" s="40"/>
      <c r="K52" s="21"/>
    </row>
    <row r="53" spans="1:20" ht="30">
      <c r="A53" s="18">
        <v>9</v>
      </c>
      <c r="B53" s="89" t="s">
        <v>92</v>
      </c>
      <c r="C53" s="19"/>
      <c r="D53" s="20"/>
      <c r="E53" s="21"/>
      <c r="F53" s="21"/>
      <c r="G53" s="23"/>
      <c r="H53" s="22"/>
      <c r="I53" s="23"/>
      <c r="J53" s="40"/>
      <c r="K53" s="21"/>
    </row>
    <row r="54" spans="1:20" ht="15" customHeight="1">
      <c r="A54" s="18"/>
      <c r="B54" s="36" t="str">
        <f>B47</f>
        <v>-at drain wall base</v>
      </c>
      <c r="C54" s="19">
        <f>C47</f>
        <v>1</v>
      </c>
      <c r="D54" s="20">
        <f>D47</f>
        <v>9.7531240475464784</v>
      </c>
      <c r="E54" s="21">
        <f>E47</f>
        <v>0.7</v>
      </c>
      <c r="F54" s="21">
        <v>0.1</v>
      </c>
      <c r="G54" s="38">
        <f>PRODUCT(C54:F54)</f>
        <v>0.68271868332825347</v>
      </c>
      <c r="H54" s="22"/>
      <c r="I54" s="23"/>
      <c r="J54" s="40"/>
      <c r="K54" s="21"/>
    </row>
    <row r="55" spans="1:20" ht="15" customHeight="1">
      <c r="A55" s="18"/>
      <c r="B55" s="36" t="str">
        <f>B48</f>
        <v>-at one side drain</v>
      </c>
      <c r="C55" s="19">
        <f>C48</f>
        <v>1</v>
      </c>
      <c r="D55" s="20">
        <f>D48</f>
        <v>6.55</v>
      </c>
      <c r="E55" s="21">
        <f>E48+0.3</f>
        <v>0.53</v>
      </c>
      <c r="F55" s="21">
        <v>7.4999999999999997E-2</v>
      </c>
      <c r="G55" s="38">
        <f>PRODUCT(C55:F55)</f>
        <v>0.2603625</v>
      </c>
      <c r="H55" s="22"/>
      <c r="I55" s="23"/>
      <c r="J55" s="40"/>
      <c r="K55" s="21"/>
    </row>
    <row r="56" spans="1:20" ht="15" customHeight="1">
      <c r="A56" s="18"/>
      <c r="B56" s="36" t="str">
        <f>B14</f>
        <v>-at roof</v>
      </c>
      <c r="C56" s="19">
        <f>C14</f>
        <v>1</v>
      </c>
      <c r="D56" s="20">
        <f>D14</f>
        <v>18</v>
      </c>
      <c r="E56" s="21">
        <f>E14</f>
        <v>0.23</v>
      </c>
      <c r="F56" s="21">
        <v>0.05</v>
      </c>
      <c r="G56" s="38">
        <f>PRODUCT(C56:F56)</f>
        <v>0.20700000000000005</v>
      </c>
      <c r="H56" s="22"/>
      <c r="I56" s="23"/>
      <c r="J56" s="40"/>
      <c r="K56" s="21"/>
    </row>
    <row r="57" spans="1:20" ht="15" customHeight="1">
      <c r="A57" s="18"/>
      <c r="B57" s="36" t="s">
        <v>41</v>
      </c>
      <c r="C57" s="19"/>
      <c r="D57" s="20"/>
      <c r="E57" s="21"/>
      <c r="F57" s="21"/>
      <c r="G57" s="23">
        <f>SUM(G54:G56)</f>
        <v>1.1500811833282536</v>
      </c>
      <c r="H57" s="22" t="s">
        <v>85</v>
      </c>
      <c r="I57" s="23">
        <v>12983.1</v>
      </c>
      <c r="J57" s="40">
        <f>G57*I57</f>
        <v>14931.619011269049</v>
      </c>
      <c r="K57" s="21"/>
    </row>
    <row r="58" spans="1:20" ht="15" customHeight="1">
      <c r="A58" s="18"/>
      <c r="B58" s="36" t="s">
        <v>40</v>
      </c>
      <c r="C58" s="19"/>
      <c r="D58" s="20"/>
      <c r="E58" s="21"/>
      <c r="F58" s="21"/>
      <c r="G58" s="23"/>
      <c r="H58" s="22"/>
      <c r="I58" s="23"/>
      <c r="J58" s="40">
        <f>0.13*G57*8078.11</f>
        <v>1207.7627000212537</v>
      </c>
      <c r="K58" s="21"/>
    </row>
    <row r="59" spans="1:20">
      <c r="A59" s="18"/>
      <c r="B59" s="89"/>
      <c r="C59" s="19"/>
      <c r="D59" s="20"/>
      <c r="E59" s="21"/>
      <c r="F59" s="21"/>
      <c r="G59" s="23"/>
      <c r="H59" s="22"/>
      <c r="I59" s="23"/>
      <c r="J59" s="40"/>
      <c r="K59" s="21"/>
    </row>
    <row r="60" spans="1:20" ht="39.75">
      <c r="A60" s="18">
        <v>10</v>
      </c>
      <c r="B60" s="60" t="s">
        <v>88</v>
      </c>
      <c r="C60" s="35"/>
      <c r="D60" s="37"/>
      <c r="E60" s="37"/>
      <c r="F60" s="37"/>
      <c r="G60" s="38"/>
      <c r="H60" s="39"/>
      <c r="I60" s="39"/>
      <c r="J60" s="41"/>
      <c r="K60" s="21"/>
      <c r="N60" s="66" t="s">
        <v>49</v>
      </c>
      <c r="O60" s="66"/>
      <c r="P60" s="66"/>
      <c r="Q60" s="66"/>
      <c r="R60" s="66"/>
      <c r="S60" s="66"/>
      <c r="T60" s="66"/>
    </row>
    <row r="61" spans="1:20" ht="15" customHeight="1">
      <c r="A61" s="18"/>
      <c r="B61" s="36" t="s">
        <v>84</v>
      </c>
      <c r="C61" s="35">
        <v>2</v>
      </c>
      <c r="D61" s="37">
        <f>(18+14)/3.281</f>
        <v>9.7531240475464784</v>
      </c>
      <c r="E61" s="37">
        <v>0.15</v>
      </c>
      <c r="F61" s="37">
        <v>0.6</v>
      </c>
      <c r="G61" s="38">
        <f>PRODUCT(C61:F61)</f>
        <v>1.7555623285583659</v>
      </c>
      <c r="H61" s="39"/>
      <c r="I61" s="39"/>
      <c r="J61" s="39"/>
      <c r="K61" s="61"/>
      <c r="N61" s="171" t="s">
        <v>87</v>
      </c>
      <c r="O61" s="171"/>
      <c r="P61" s="171"/>
      <c r="Q61" s="171"/>
      <c r="R61" s="171"/>
      <c r="S61" s="171"/>
      <c r="T61" s="171"/>
    </row>
    <row r="62" spans="1:20" ht="15" customHeight="1">
      <c r="A62" s="18"/>
      <c r="B62" s="36" t="s">
        <v>41</v>
      </c>
      <c r="C62" s="35"/>
      <c r="D62" s="37"/>
      <c r="E62" s="37"/>
      <c r="F62" s="37"/>
      <c r="G62" s="33">
        <f>SUM(G61:G61)</f>
        <v>1.7555623285583659</v>
      </c>
      <c r="H62" s="39" t="s">
        <v>85</v>
      </c>
      <c r="I62" s="39">
        <v>8569.2999999999993</v>
      </c>
      <c r="J62" s="41">
        <f>G62*I62</f>
        <v>15043.940262115204</v>
      </c>
      <c r="K62" s="21"/>
    </row>
    <row r="63" spans="1:20" ht="15" customHeight="1">
      <c r="A63" s="18"/>
      <c r="B63" s="36" t="s">
        <v>40</v>
      </c>
      <c r="C63" s="35"/>
      <c r="D63" s="37"/>
      <c r="E63" s="37"/>
      <c r="F63" s="37"/>
      <c r="G63" s="38"/>
      <c r="H63" s="39"/>
      <c r="I63" s="39"/>
      <c r="J63" s="41">
        <f>0.13*G62*5504.3/9</f>
        <v>139.57871380676622</v>
      </c>
      <c r="K63" s="21"/>
    </row>
    <row r="64" spans="1:20" ht="15" customHeight="1">
      <c r="A64" s="18"/>
      <c r="B64" s="36"/>
      <c r="C64" s="35"/>
      <c r="D64" s="37"/>
      <c r="E64" s="37"/>
      <c r="F64" s="37"/>
      <c r="G64" s="38"/>
      <c r="H64" s="39"/>
      <c r="I64" s="39"/>
      <c r="J64" s="41"/>
      <c r="K64" s="21"/>
      <c r="N64">
        <f>9.75/0.75</f>
        <v>13</v>
      </c>
    </row>
    <row r="65" spans="1:20" ht="30">
      <c r="A65" s="18">
        <v>11</v>
      </c>
      <c r="B65" s="89" t="s">
        <v>93</v>
      </c>
      <c r="C65" s="19" t="s">
        <v>7</v>
      </c>
      <c r="D65" s="90" t="s">
        <v>94</v>
      </c>
      <c r="E65" s="91" t="s">
        <v>95</v>
      </c>
      <c r="F65" s="91" t="s">
        <v>96</v>
      </c>
      <c r="G65" s="91" t="s">
        <v>97</v>
      </c>
      <c r="H65" s="22"/>
      <c r="I65" s="23"/>
      <c r="J65" s="40"/>
      <c r="K65" s="21"/>
    </row>
    <row r="66" spans="1:20" ht="15" customHeight="1">
      <c r="A66" s="18"/>
      <c r="B66" s="36" t="s">
        <v>99</v>
      </c>
      <c r="C66" s="19">
        <f>TRUNC((D67-0.1)/0.15,0)+1</f>
        <v>5</v>
      </c>
      <c r="D66" s="20">
        <v>0.75</v>
      </c>
      <c r="E66" s="21">
        <f>8*8/162</f>
        <v>0.39506172839506171</v>
      </c>
      <c r="F66" s="21">
        <f>PRODUCT(C66:E66)</f>
        <v>1.4814814814814814</v>
      </c>
      <c r="G66" s="92">
        <f>F66/1000</f>
        <v>1.4814814814814814E-3</v>
      </c>
      <c r="H66" s="22"/>
      <c r="I66" s="23"/>
      <c r="J66" s="40"/>
      <c r="K66" s="21"/>
    </row>
    <row r="67" spans="1:20" ht="15" customHeight="1">
      <c r="A67" s="18"/>
      <c r="B67" s="36"/>
      <c r="C67" s="19">
        <f>13*(TRUNC((D66-0.1)/0.15,0)+1)</f>
        <v>65</v>
      </c>
      <c r="D67" s="20">
        <v>0.7</v>
      </c>
      <c r="E67" s="21">
        <f>8*8/162</f>
        <v>0.39506172839506171</v>
      </c>
      <c r="F67" s="21">
        <f>PRODUCT(C67:E67)</f>
        <v>17.975308641975307</v>
      </c>
      <c r="G67" s="92">
        <f>F67/1000</f>
        <v>1.7975308641975305E-2</v>
      </c>
      <c r="H67" s="22"/>
      <c r="I67" s="23"/>
      <c r="J67" s="40"/>
      <c r="K67" s="21"/>
    </row>
    <row r="68" spans="1:20" ht="15" customHeight="1">
      <c r="A68" s="18"/>
      <c r="B68" s="36"/>
      <c r="C68" s="19">
        <f>TRUNC((D69-0.1)/0.15,0)+1</f>
        <v>5</v>
      </c>
      <c r="D68" s="20">
        <v>0.9</v>
      </c>
      <c r="E68" s="21">
        <f>8*8/162</f>
        <v>0.39506172839506171</v>
      </c>
      <c r="F68" s="21">
        <f>PRODUCT(C68:E68)</f>
        <v>1.7777777777777777</v>
      </c>
      <c r="G68" s="92">
        <f>F68/1000</f>
        <v>1.7777777777777776E-3</v>
      </c>
      <c r="H68" s="22"/>
      <c r="I68" s="23"/>
      <c r="J68" s="40"/>
      <c r="K68" s="21"/>
    </row>
    <row r="69" spans="1:20" ht="15" customHeight="1">
      <c r="A69" s="18"/>
      <c r="B69" s="36"/>
      <c r="C69" s="19">
        <f>(TRUNC((D68-0.1)/0.15,0)+1)</f>
        <v>6</v>
      </c>
      <c r="D69" s="20">
        <f>2.75/3.281</f>
        <v>0.8381590978360256</v>
      </c>
      <c r="E69" s="21">
        <f>8*8/162</f>
        <v>0.39506172839506171</v>
      </c>
      <c r="F69" s="21">
        <f>PRODUCT(C69:E69)</f>
        <v>1.9867474911668754</v>
      </c>
      <c r="G69" s="92">
        <f>F69/1000</f>
        <v>1.9867474911668755E-3</v>
      </c>
      <c r="H69" s="22"/>
      <c r="I69" s="23"/>
      <c r="J69" s="40"/>
      <c r="K69" s="21"/>
    </row>
    <row r="70" spans="1:20" ht="15" customHeight="1">
      <c r="A70" s="18"/>
      <c r="B70" s="36" t="s">
        <v>41</v>
      </c>
      <c r="C70" s="19"/>
      <c r="D70" s="20"/>
      <c r="E70" s="21"/>
      <c r="F70" s="21"/>
      <c r="G70" s="23">
        <f>SUM(G66:G69)</f>
        <v>2.3221315392401441E-2</v>
      </c>
      <c r="H70" s="22" t="s">
        <v>98</v>
      </c>
      <c r="I70" s="23">
        <v>131940</v>
      </c>
      <c r="J70" s="40">
        <f>G70*I70</f>
        <v>3063.8203528734462</v>
      </c>
      <c r="K70" s="21"/>
    </row>
    <row r="71" spans="1:20" ht="15" customHeight="1">
      <c r="A71" s="18"/>
      <c r="B71" s="36" t="s">
        <v>40</v>
      </c>
      <c r="C71" s="19"/>
      <c r="D71" s="20"/>
      <c r="E71" s="21"/>
      <c r="F71" s="21"/>
      <c r="G71" s="23"/>
      <c r="H71" s="22"/>
      <c r="I71" s="23"/>
      <c r="J71" s="40">
        <f>0.13*G70*106200</f>
        <v>320.5934803074943</v>
      </c>
      <c r="K71" s="21"/>
    </row>
    <row r="72" spans="1:20" ht="15" customHeight="1">
      <c r="A72" s="18"/>
      <c r="B72" s="36"/>
      <c r="C72" s="19"/>
      <c r="D72" s="20"/>
      <c r="E72" s="21"/>
      <c r="F72" s="21"/>
      <c r="G72" s="23"/>
      <c r="H72" s="22"/>
      <c r="I72" s="23"/>
      <c r="J72" s="40"/>
      <c r="K72" s="21"/>
    </row>
    <row r="73" spans="1:20" ht="30">
      <c r="A73" s="18">
        <v>12</v>
      </c>
      <c r="B73" s="89" t="s">
        <v>100</v>
      </c>
      <c r="C73" s="19"/>
      <c r="D73" s="20"/>
      <c r="E73" s="21"/>
      <c r="F73" s="21"/>
      <c r="G73" s="23"/>
      <c r="H73" s="22"/>
      <c r="I73" s="23"/>
      <c r="J73" s="40"/>
      <c r="K73" s="21"/>
    </row>
    <row r="74" spans="1:20" ht="15" customHeight="1">
      <c r="A74" s="18"/>
      <c r="B74" s="36" t="s">
        <v>101</v>
      </c>
      <c r="C74" s="35">
        <f>2*13</f>
        <v>26</v>
      </c>
      <c r="D74" s="37">
        <v>0.75</v>
      </c>
      <c r="E74" s="37"/>
      <c r="F74" s="37">
        <v>0.1</v>
      </c>
      <c r="G74" s="38">
        <f>PRODUCT(C74:F74)</f>
        <v>1.9500000000000002</v>
      </c>
      <c r="H74" s="39"/>
      <c r="I74" s="39"/>
      <c r="J74" s="39"/>
      <c r="K74" s="61"/>
      <c r="N74" s="171" t="s">
        <v>87</v>
      </c>
      <c r="O74" s="171"/>
      <c r="P74" s="171"/>
      <c r="Q74" s="171"/>
      <c r="R74" s="171"/>
      <c r="S74" s="171"/>
      <c r="T74" s="171"/>
    </row>
    <row r="75" spans="1:20" ht="15" customHeight="1">
      <c r="A75" s="18"/>
      <c r="B75" s="36"/>
      <c r="C75" s="35">
        <f>2*13</f>
        <v>26</v>
      </c>
      <c r="D75" s="37">
        <v>0.7</v>
      </c>
      <c r="E75" s="37"/>
      <c r="F75" s="37">
        <v>0.1</v>
      </c>
      <c r="G75" s="38">
        <f>PRODUCT(C75:F75)</f>
        <v>1.82</v>
      </c>
      <c r="H75" s="39"/>
      <c r="I75" s="39"/>
      <c r="J75" s="39"/>
      <c r="K75" s="61"/>
      <c r="N75" s="132"/>
      <c r="O75" s="132"/>
      <c r="P75" s="132"/>
      <c r="Q75" s="132"/>
      <c r="R75" s="132"/>
      <c r="S75" s="132"/>
      <c r="T75" s="132"/>
    </row>
    <row r="76" spans="1:20" ht="15" customHeight="1">
      <c r="A76" s="18"/>
      <c r="B76" s="36"/>
      <c r="C76" s="35">
        <v>2</v>
      </c>
      <c r="D76" s="37">
        <v>0.9</v>
      </c>
      <c r="E76" s="37"/>
      <c r="F76" s="37">
        <v>0.1</v>
      </c>
      <c r="G76" s="38">
        <f t="shared" ref="G76:G77" si="3">PRODUCT(C76:F76)</f>
        <v>0.18000000000000002</v>
      </c>
      <c r="H76" s="39"/>
      <c r="I76" s="39"/>
      <c r="J76" s="39"/>
      <c r="K76" s="61"/>
      <c r="N76" s="132"/>
      <c r="O76" s="132"/>
      <c r="P76" s="132"/>
      <c r="Q76" s="132"/>
      <c r="R76" s="132"/>
      <c r="S76" s="132"/>
      <c r="T76" s="132"/>
    </row>
    <row r="77" spans="1:20" ht="15" customHeight="1">
      <c r="A77" s="18"/>
      <c r="B77" s="36"/>
      <c r="C77" s="35">
        <v>2</v>
      </c>
      <c r="D77" s="37">
        <f>2.75/3.281</f>
        <v>0.8381590978360256</v>
      </c>
      <c r="E77" s="37"/>
      <c r="F77" s="37">
        <v>0.1</v>
      </c>
      <c r="G77" s="38">
        <f t="shared" si="3"/>
        <v>0.16763181956720513</v>
      </c>
      <c r="H77" s="39"/>
      <c r="I77" s="39"/>
      <c r="J77" s="39"/>
      <c r="K77" s="61"/>
      <c r="N77" s="132"/>
      <c r="O77" s="132"/>
      <c r="P77" s="132"/>
      <c r="Q77" s="132"/>
      <c r="R77" s="132"/>
      <c r="S77" s="132"/>
      <c r="T77" s="132"/>
    </row>
    <row r="78" spans="1:20" ht="15" customHeight="1">
      <c r="A78" s="18"/>
      <c r="B78" s="36" t="s">
        <v>41</v>
      </c>
      <c r="C78" s="35"/>
      <c r="D78" s="37"/>
      <c r="E78" s="37"/>
      <c r="F78" s="37"/>
      <c r="G78" s="33">
        <f>SUM(G74:G77)</f>
        <v>4.1176318195672055</v>
      </c>
      <c r="H78" s="39" t="s">
        <v>43</v>
      </c>
      <c r="I78" s="23">
        <f>81404.27/100</f>
        <v>814.04270000000008</v>
      </c>
      <c r="J78" s="41">
        <f>G78*I78</f>
        <v>3351.928124006401</v>
      </c>
      <c r="K78" s="21"/>
    </row>
    <row r="79" spans="1:20" ht="15" customHeight="1">
      <c r="A79" s="18"/>
      <c r="B79" s="36" t="s">
        <v>40</v>
      </c>
      <c r="C79" s="35"/>
      <c r="D79" s="37"/>
      <c r="E79" s="37"/>
      <c r="F79" s="37"/>
      <c r="G79" s="38"/>
      <c r="H79" s="39"/>
      <c r="I79" s="39"/>
      <c r="J79" s="41">
        <f>0.13*G78*36690.27/100</f>
        <v>196.40013018666568</v>
      </c>
      <c r="K79" s="21"/>
    </row>
    <row r="80" spans="1:20" ht="15" customHeight="1">
      <c r="A80" s="18"/>
      <c r="B80" s="36"/>
      <c r="C80" s="35"/>
      <c r="D80" s="37"/>
      <c r="E80" s="37"/>
      <c r="F80" s="37"/>
      <c r="G80" s="38"/>
      <c r="H80" s="39"/>
      <c r="I80" s="39"/>
      <c r="J80" s="41"/>
      <c r="K80" s="21"/>
    </row>
    <row r="81" spans="1:20" ht="30">
      <c r="A81" s="18">
        <v>13</v>
      </c>
      <c r="B81" s="89" t="s">
        <v>119</v>
      </c>
      <c r="C81" s="35"/>
      <c r="D81" s="37"/>
      <c r="E81" s="37"/>
      <c r="F81" s="37"/>
      <c r="G81" s="38"/>
      <c r="H81" s="39"/>
      <c r="I81" s="39"/>
      <c r="J81" s="41"/>
      <c r="K81" s="21"/>
      <c r="N81">
        <f>9.75/0.75</f>
        <v>13</v>
      </c>
    </row>
    <row r="82" spans="1:20" ht="15" customHeight="1">
      <c r="A82" s="18"/>
      <c r="B82" s="36" t="s">
        <v>120</v>
      </c>
      <c r="C82" s="35">
        <v>1</v>
      </c>
      <c r="D82" s="37">
        <f>D61</f>
        <v>9.7531240475464784</v>
      </c>
      <c r="E82" s="37">
        <f>0.7</f>
        <v>0.7</v>
      </c>
      <c r="F82" s="37">
        <v>0.1</v>
      </c>
      <c r="G82" s="38">
        <f>PRODUCT(C82:F82)</f>
        <v>0.68271868332825347</v>
      </c>
      <c r="H82" s="39"/>
      <c r="I82" s="39"/>
      <c r="J82" s="39"/>
      <c r="K82" s="61"/>
      <c r="N82" s="171" t="s">
        <v>87</v>
      </c>
      <c r="O82" s="171"/>
      <c r="P82" s="171"/>
      <c r="Q82" s="171"/>
      <c r="R82" s="171"/>
      <c r="S82" s="171"/>
      <c r="T82" s="171"/>
    </row>
    <row r="83" spans="1:20" ht="15" customHeight="1">
      <c r="A83" s="18"/>
      <c r="B83" s="36"/>
      <c r="C83" s="35">
        <v>1</v>
      </c>
      <c r="D83" s="37">
        <v>0.9</v>
      </c>
      <c r="E83" s="37">
        <f>2.75/3.281</f>
        <v>0.8381590978360256</v>
      </c>
      <c r="F83" s="37">
        <v>0.1</v>
      </c>
      <c r="G83" s="38">
        <f t="shared" ref="G83:G84" si="4">PRODUCT(C83:F83)</f>
        <v>7.5434318805242317E-2</v>
      </c>
      <c r="H83" s="39"/>
      <c r="I83" s="39"/>
      <c r="J83" s="39"/>
      <c r="K83" s="61"/>
      <c r="N83" s="132"/>
      <c r="O83" s="132"/>
      <c r="P83" s="132"/>
      <c r="Q83" s="132"/>
      <c r="R83" s="132"/>
      <c r="S83" s="132"/>
      <c r="T83" s="132"/>
    </row>
    <row r="84" spans="1:20" ht="15" customHeight="1">
      <c r="A84" s="18"/>
      <c r="B84" s="36" t="s">
        <v>159</v>
      </c>
      <c r="C84" s="35">
        <v>1</v>
      </c>
      <c r="D84" s="37">
        <v>1.95</v>
      </c>
      <c r="E84" s="37">
        <v>1</v>
      </c>
      <c r="F84" s="37">
        <v>0.1</v>
      </c>
      <c r="G84" s="38">
        <f t="shared" si="4"/>
        <v>0.19500000000000001</v>
      </c>
      <c r="H84" s="39"/>
      <c r="I84" s="39"/>
      <c r="J84" s="39"/>
      <c r="K84" s="61"/>
      <c r="N84" s="132"/>
      <c r="O84" s="132"/>
      <c r="P84" s="132"/>
      <c r="Q84" s="132"/>
      <c r="R84" s="132"/>
      <c r="S84" s="132"/>
      <c r="T84" s="132"/>
    </row>
    <row r="85" spans="1:20" ht="15" customHeight="1">
      <c r="A85" s="18"/>
      <c r="B85" s="36" t="s">
        <v>41</v>
      </c>
      <c r="C85" s="35"/>
      <c r="D85" s="37"/>
      <c r="E85" s="37"/>
      <c r="F85" s="37"/>
      <c r="G85" s="33">
        <f>SUM(G82:G84)</f>
        <v>0.95315300213349574</v>
      </c>
      <c r="H85" s="39" t="s">
        <v>85</v>
      </c>
      <c r="I85" s="23">
        <v>13568.9</v>
      </c>
      <c r="J85" s="41">
        <f>G85*I85</f>
        <v>12933.23777064919</v>
      </c>
      <c r="K85" s="21"/>
    </row>
    <row r="86" spans="1:20" ht="15" customHeight="1">
      <c r="A86" s="18"/>
      <c r="B86" s="36" t="s">
        <v>40</v>
      </c>
      <c r="C86" s="35"/>
      <c r="D86" s="37"/>
      <c r="E86" s="37"/>
      <c r="F86" s="37"/>
      <c r="G86" s="38"/>
      <c r="H86" s="39"/>
      <c r="I86" s="39"/>
      <c r="J86" s="41">
        <f>0.13*G85*9524.2</f>
        <v>1180.1425769795794</v>
      </c>
      <c r="K86" s="21"/>
    </row>
    <row r="87" spans="1:20" ht="15" customHeight="1">
      <c r="A87" s="18"/>
      <c r="B87" s="36"/>
      <c r="C87" s="35"/>
      <c r="D87" s="37"/>
      <c r="E87" s="37"/>
      <c r="F87" s="37"/>
      <c r="G87" s="38"/>
      <c r="H87" s="39"/>
      <c r="I87" s="39"/>
      <c r="J87" s="41"/>
      <c r="K87" s="21"/>
    </row>
    <row r="88" spans="1:20" ht="30.75">
      <c r="A88" s="18">
        <v>14</v>
      </c>
      <c r="B88" s="121" t="s">
        <v>121</v>
      </c>
      <c r="C88" s="19" t="s">
        <v>7</v>
      </c>
      <c r="D88" s="90" t="s">
        <v>94</v>
      </c>
      <c r="E88" s="91" t="s">
        <v>95</v>
      </c>
      <c r="F88" s="91" t="s">
        <v>96</v>
      </c>
      <c r="G88" s="91" t="s">
        <v>124</v>
      </c>
      <c r="H88" s="22"/>
      <c r="I88" s="23"/>
      <c r="J88" s="40"/>
      <c r="K88" s="21"/>
    </row>
    <row r="89" spans="1:20">
      <c r="A89" s="122"/>
      <c r="B89" s="126" t="s">
        <v>123</v>
      </c>
      <c r="C89" s="124">
        <v>6</v>
      </c>
      <c r="D89" s="12">
        <f>(2.5+2+2.5)/12/3.281</f>
        <v>0.17779132378339937</v>
      </c>
      <c r="E89" s="12">
        <v>0.8</v>
      </c>
      <c r="F89" s="21">
        <f>PRODUCT(C89:E89)</f>
        <v>0.85339835416031706</v>
      </c>
      <c r="G89" s="92">
        <f>F89</f>
        <v>0.85339835416031706</v>
      </c>
      <c r="H89" s="122"/>
      <c r="I89" s="125"/>
      <c r="J89" s="125"/>
      <c r="K89" s="123"/>
    </row>
    <row r="90" spans="1:20">
      <c r="A90" s="122"/>
      <c r="B90" s="126"/>
      <c r="C90" s="124">
        <v>2</v>
      </c>
      <c r="D90" s="12">
        <f>1.6+5.6</f>
        <v>7.1999999999999993</v>
      </c>
      <c r="E90" s="12">
        <v>0.8</v>
      </c>
      <c r="F90" s="21">
        <f>PRODUCT(C90:E90)</f>
        <v>11.52</v>
      </c>
      <c r="G90" s="92">
        <f>F90</f>
        <v>11.52</v>
      </c>
      <c r="H90" s="122"/>
      <c r="I90" s="125"/>
      <c r="J90" s="125"/>
      <c r="K90" s="123"/>
    </row>
    <row r="91" spans="1:20">
      <c r="A91" s="122"/>
      <c r="B91" s="126" t="s">
        <v>135</v>
      </c>
      <c r="C91" s="124">
        <f>TRUNC(D96/0.1,0)</f>
        <v>482</v>
      </c>
      <c r="D91" s="12">
        <f>0.15</f>
        <v>0.15</v>
      </c>
      <c r="E91" s="12">
        <v>0.8</v>
      </c>
      <c r="F91" s="21">
        <f>PRODUCT(C91:E91)</f>
        <v>57.84</v>
      </c>
      <c r="G91" s="92">
        <f>F91</f>
        <v>57.84</v>
      </c>
      <c r="H91" s="122"/>
      <c r="I91" s="125"/>
      <c r="J91" s="125"/>
      <c r="K91" s="123"/>
    </row>
    <row r="92" spans="1:20" s="1" customFormat="1" ht="30">
      <c r="A92" s="122"/>
      <c r="B92" s="127" t="s">
        <v>125</v>
      </c>
      <c r="C92" s="124">
        <v>4</v>
      </c>
      <c r="D92" s="12">
        <f>7.5/3.281</f>
        <v>2.2858884486437061</v>
      </c>
      <c r="E92" s="12">
        <v>2.72</v>
      </c>
      <c r="F92" s="12">
        <f t="shared" ref="F92" si="5">PRODUCT(C92:E92)</f>
        <v>24.870466321243523</v>
      </c>
      <c r="G92" s="128">
        <f t="shared" ref="G92:G97" si="6">F92</f>
        <v>24.870466321243523</v>
      </c>
      <c r="H92" s="125"/>
      <c r="I92" s="125"/>
      <c r="J92" s="125"/>
      <c r="K92" s="123"/>
      <c r="M92" s="129"/>
    </row>
    <row r="93" spans="1:20" s="1" customFormat="1" ht="45">
      <c r="A93" s="122"/>
      <c r="B93" s="127" t="s">
        <v>126</v>
      </c>
      <c r="C93" s="124">
        <v>1</v>
      </c>
      <c r="D93" s="12">
        <f>(1.6+5.6)</f>
        <v>7.1999999999999993</v>
      </c>
      <c r="E93" s="12">
        <v>3.87</v>
      </c>
      <c r="F93" s="12">
        <f>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PRODUCT(C94:E94)</f>
        <v>39.315708625419077</v>
      </c>
      <c r="G94" s="128">
        <f t="shared" si="6"/>
        <v>39.315708625419077</v>
      </c>
      <c r="H94" s="125"/>
      <c r="I94" s="125"/>
      <c r="J94" s="125"/>
      <c r="K94" s="123"/>
      <c r="M94" s="129"/>
    </row>
    <row r="95" spans="1:20" s="1" customFormat="1" ht="30">
      <c r="A95" s="122"/>
      <c r="B95" s="127" t="s">
        <v>133</v>
      </c>
      <c r="C95" s="124">
        <v>1</v>
      </c>
      <c r="D95" s="12">
        <f>1.6+5.6</f>
        <v>7.1999999999999993</v>
      </c>
      <c r="E95" s="12">
        <v>1.52</v>
      </c>
      <c r="F95" s="12">
        <f>PRODUCT(C95:E95)</f>
        <v>10.943999999999999</v>
      </c>
      <c r="G95" s="128">
        <f t="shared" si="6"/>
        <v>10.943999999999999</v>
      </c>
      <c r="H95" s="125"/>
      <c r="I95" s="125"/>
      <c r="J95" s="125"/>
      <c r="K95" s="123"/>
      <c r="M95" s="129"/>
    </row>
    <row r="96" spans="1:20" s="1" customFormat="1">
      <c r="A96" s="122"/>
      <c r="B96" s="127" t="s">
        <v>134</v>
      </c>
      <c r="C96" s="124">
        <v>2</v>
      </c>
      <c r="D96" s="12">
        <f>5.6+5.92+2.83+1.2+0.85+5.2+6.9+5.8+4.3+6.3+1.5+1.8</f>
        <v>48.199999999999989</v>
      </c>
      <c r="E96" s="12">
        <v>1.52</v>
      </c>
      <c r="F96" s="12">
        <f>PRODUCT(C96:E96)</f>
        <v>146.52799999999996</v>
      </c>
      <c r="G96" s="128">
        <f t="shared" si="6"/>
        <v>146.52799999999996</v>
      </c>
      <c r="H96" s="125"/>
      <c r="I96" s="125"/>
      <c r="J96" s="125"/>
      <c r="K96" s="123"/>
      <c r="M96" s="129"/>
    </row>
    <row r="97" spans="1:13" s="1" customFormat="1">
      <c r="A97" s="122"/>
      <c r="B97" s="127" t="s">
        <v>136</v>
      </c>
      <c r="C97" s="124">
        <f>C91</f>
        <v>482</v>
      </c>
      <c r="D97" s="12">
        <f>2.5/3.281</f>
        <v>0.76196281621456874</v>
      </c>
      <c r="E97" s="12">
        <v>1.1299999999999999</v>
      </c>
      <c r="F97" s="12">
        <f>PRODUCT(C97:E97)</f>
        <v>415.01066747942701</v>
      </c>
      <c r="G97" s="128">
        <f t="shared" si="6"/>
        <v>415.01066747942701</v>
      </c>
      <c r="H97" s="125"/>
      <c r="I97" s="125"/>
      <c r="J97" s="125"/>
      <c r="K97" s="123"/>
      <c r="M97" s="129"/>
    </row>
    <row r="98" spans="1:13" ht="15" customHeight="1">
      <c r="A98" s="18"/>
      <c r="B98" s="36" t="s">
        <v>41</v>
      </c>
      <c r="C98" s="19"/>
      <c r="D98" s="20"/>
      <c r="E98" s="21"/>
      <c r="F98" s="21"/>
      <c r="G98" s="23">
        <f>SUM(G89:G97)</f>
        <v>734.74624078024999</v>
      </c>
      <c r="H98" s="22" t="s">
        <v>122</v>
      </c>
      <c r="I98" s="23">
        <v>181.17</v>
      </c>
      <c r="J98" s="40">
        <f>G98*I98</f>
        <v>133113.97644215787</v>
      </c>
      <c r="K98" s="21"/>
    </row>
    <row r="99" spans="1:13" ht="15" customHeight="1">
      <c r="A99" s="18"/>
      <c r="B99" s="36" t="s">
        <v>40</v>
      </c>
      <c r="C99" s="19"/>
      <c r="D99" s="20"/>
      <c r="E99" s="21"/>
      <c r="F99" s="21"/>
      <c r="G99" s="23"/>
      <c r="H99" s="22"/>
      <c r="I99" s="23"/>
      <c r="J99" s="40">
        <f>0.13*G98*1871.42/18.94</f>
        <v>9437.8271008303491</v>
      </c>
      <c r="K99" s="21"/>
    </row>
    <row r="100" spans="1:13" ht="15" customHeight="1">
      <c r="A100" s="18"/>
      <c r="B100" s="36"/>
      <c r="C100" s="19"/>
      <c r="D100" s="20"/>
      <c r="E100" s="21"/>
      <c r="F100" s="21"/>
      <c r="G100" s="23"/>
      <c r="H100" s="22"/>
      <c r="I100" s="23"/>
      <c r="J100" s="40"/>
      <c r="K100" s="21"/>
    </row>
    <row r="101" spans="1:13" s="1" customFormat="1" ht="30">
      <c r="A101" s="18">
        <v>15</v>
      </c>
      <c r="B101" s="130" t="s">
        <v>127</v>
      </c>
      <c r="C101" s="19"/>
      <c r="D101" s="20"/>
      <c r="E101" s="21"/>
      <c r="F101" s="21"/>
      <c r="G101" s="125"/>
      <c r="H101" s="22"/>
      <c r="I101" s="23"/>
      <c r="J101" s="125"/>
      <c r="K101" s="21"/>
    </row>
    <row r="102" spans="1:13" s="1" customFormat="1">
      <c r="A102" s="18"/>
      <c r="B102" s="127" t="s">
        <v>128</v>
      </c>
      <c r="C102" s="19">
        <v>2</v>
      </c>
      <c r="D102" s="20">
        <f>(4/3.281)+0.85</f>
        <v>2.0691405059433099</v>
      </c>
      <c r="E102" s="21"/>
      <c r="F102" s="21">
        <v>1.6</v>
      </c>
      <c r="G102" s="128">
        <f t="shared" ref="G102:G112" si="7">PRODUCT(C102:F102)</f>
        <v>6.6212496190185917</v>
      </c>
      <c r="H102" s="22"/>
      <c r="I102" s="23"/>
      <c r="J102" s="125"/>
      <c r="K102" s="21"/>
    </row>
    <row r="103" spans="1:13" s="1" customFormat="1">
      <c r="A103" s="18"/>
      <c r="B103" s="127"/>
      <c r="C103" s="19">
        <v>1</v>
      </c>
      <c r="D103" s="20">
        <f>5.2+6.9</f>
        <v>12.100000000000001</v>
      </c>
      <c r="E103" s="21"/>
      <c r="F103" s="21">
        <f>(1.5+1.3+1.75)/3</f>
        <v>1.5166666666666666</v>
      </c>
      <c r="G103" s="128">
        <f t="shared" si="7"/>
        <v>18.351666666666667</v>
      </c>
      <c r="H103" s="22"/>
      <c r="I103" s="23"/>
      <c r="J103" s="125"/>
      <c r="K103" s="21"/>
    </row>
    <row r="104" spans="1:13" s="1" customFormat="1">
      <c r="A104" s="18"/>
      <c r="B104" s="127"/>
      <c r="C104" s="19">
        <v>1</v>
      </c>
      <c r="D104" s="20">
        <f>5.2+6.9</f>
        <v>12.100000000000001</v>
      </c>
      <c r="E104" s="21"/>
      <c r="F104" s="21">
        <v>1.3</v>
      </c>
      <c r="G104" s="128">
        <f t="shared" si="7"/>
        <v>15.730000000000002</v>
      </c>
      <c r="H104" s="22"/>
      <c r="I104" s="23"/>
      <c r="J104" s="125"/>
      <c r="K104" s="21"/>
    </row>
    <row r="105" spans="1:13" s="1" customFormat="1">
      <c r="A105" s="18"/>
      <c r="B105" s="127"/>
      <c r="C105" s="19">
        <v>1</v>
      </c>
      <c r="D105" s="20">
        <f>5.8</f>
        <v>5.8</v>
      </c>
      <c r="E105" s="21"/>
      <c r="F105" s="21">
        <v>1.4</v>
      </c>
      <c r="G105" s="128">
        <f t="shared" si="7"/>
        <v>8.1199999999999992</v>
      </c>
      <c r="H105" s="22"/>
      <c r="I105" s="23"/>
      <c r="J105" s="125"/>
      <c r="K105" s="21"/>
    </row>
    <row r="106" spans="1:13" s="1" customFormat="1">
      <c r="A106" s="18"/>
      <c r="B106" s="127"/>
      <c r="C106" s="19">
        <v>1</v>
      </c>
      <c r="D106" s="20">
        <v>5.8</v>
      </c>
      <c r="E106" s="21"/>
      <c r="F106" s="21">
        <f>3.6/3.281</f>
        <v>1.097226455348979</v>
      </c>
      <c r="G106" s="128">
        <f t="shared" si="7"/>
        <v>6.3639134410240779</v>
      </c>
      <c r="H106" s="22"/>
      <c r="I106" s="23"/>
      <c r="J106" s="125"/>
      <c r="K106" s="21"/>
    </row>
    <row r="107" spans="1:13" s="1" customFormat="1">
      <c r="A107" s="18"/>
      <c r="B107" s="127"/>
      <c r="C107" s="19">
        <v>1</v>
      </c>
      <c r="D107" s="20">
        <f>4.3+6.3</f>
        <v>10.6</v>
      </c>
      <c r="E107" s="21"/>
      <c r="F107" s="21">
        <v>1.27</v>
      </c>
      <c r="G107" s="128">
        <f t="shared" si="7"/>
        <v>13.462</v>
      </c>
      <c r="H107" s="22"/>
      <c r="I107" s="23"/>
      <c r="J107" s="125"/>
      <c r="K107" s="21"/>
    </row>
    <row r="108" spans="1:13" s="1" customFormat="1">
      <c r="A108" s="18"/>
      <c r="B108" s="127"/>
      <c r="C108" s="19">
        <v>1</v>
      </c>
      <c r="D108" s="20">
        <f>6/3.281</f>
        <v>1.8287107589149649</v>
      </c>
      <c r="E108" s="21"/>
      <c r="F108" s="21">
        <f>3/3.281</f>
        <v>0.91435537945748246</v>
      </c>
      <c r="G108" s="128">
        <f t="shared" si="7"/>
        <v>1.6720915198856734</v>
      </c>
      <c r="H108" s="22"/>
      <c r="I108" s="23"/>
      <c r="J108" s="125"/>
      <c r="K108" s="21"/>
    </row>
    <row r="109" spans="1:13" s="1" customFormat="1">
      <c r="A109" s="18"/>
      <c r="B109" s="127"/>
      <c r="C109" s="19">
        <v>1</v>
      </c>
      <c r="D109" s="20">
        <f>5/3.281</f>
        <v>1.5239256324291375</v>
      </c>
      <c r="E109" s="21"/>
      <c r="F109" s="21">
        <f>2/3.281</f>
        <v>0.6095702529716549</v>
      </c>
      <c r="G109" s="128">
        <f t="shared" si="7"/>
        <v>0.92893973326981849</v>
      </c>
      <c r="H109" s="22"/>
      <c r="I109" s="23"/>
      <c r="J109" s="125"/>
      <c r="K109" s="21"/>
    </row>
    <row r="110" spans="1:13" s="1" customFormat="1">
      <c r="A110" s="18"/>
      <c r="B110" s="127"/>
      <c r="C110" s="19">
        <v>1</v>
      </c>
      <c r="D110" s="20">
        <f>5.45+6.25+1.27</f>
        <v>12.969999999999999</v>
      </c>
      <c r="E110" s="21"/>
      <c r="F110" s="21">
        <v>0.3</v>
      </c>
      <c r="G110" s="128">
        <f t="shared" si="7"/>
        <v>3.8909999999999996</v>
      </c>
      <c r="H110" s="22"/>
      <c r="I110" s="23"/>
      <c r="J110" s="125"/>
      <c r="K110" s="21"/>
    </row>
    <row r="111" spans="1:13" s="1" customFormat="1">
      <c r="A111" s="18"/>
      <c r="B111" s="127" t="str">
        <f>B55</f>
        <v>-at one side drain</v>
      </c>
      <c r="C111" s="19">
        <f>C55</f>
        <v>1</v>
      </c>
      <c r="D111" s="20">
        <f>D55</f>
        <v>6.55</v>
      </c>
      <c r="E111" s="21"/>
      <c r="F111" s="21">
        <v>0.23</v>
      </c>
      <c r="G111" s="128">
        <f t="shared" si="7"/>
        <v>1.5065</v>
      </c>
      <c r="H111" s="22"/>
      <c r="I111" s="23"/>
      <c r="J111" s="125"/>
      <c r="K111" s="21"/>
    </row>
    <row r="112" spans="1:13" s="1" customFormat="1">
      <c r="A112" s="18"/>
      <c r="B112" s="127" t="str">
        <f>B14</f>
        <v>-at roof</v>
      </c>
      <c r="C112" s="19">
        <f>C14</f>
        <v>1</v>
      </c>
      <c r="D112" s="20">
        <f>D14</f>
        <v>18</v>
      </c>
      <c r="E112" s="21"/>
      <c r="F112" s="21">
        <f>F14</f>
        <v>0.7110637000914356</v>
      </c>
      <c r="G112" s="128">
        <f t="shared" si="7"/>
        <v>12.799146601645841</v>
      </c>
      <c r="H112" s="22"/>
      <c r="I112" s="23"/>
      <c r="J112" s="125"/>
      <c r="K112" s="21"/>
    </row>
    <row r="113" spans="1:17" s="1" customFormat="1">
      <c r="A113" s="18"/>
      <c r="B113" s="127" t="s">
        <v>129</v>
      </c>
      <c r="C113" s="19"/>
      <c r="D113" s="20"/>
      <c r="E113" s="21"/>
      <c r="F113" s="21"/>
      <c r="G113" s="125">
        <f>SUM(G102:G112)</f>
        <v>89.446507581510673</v>
      </c>
      <c r="H113" s="22" t="s">
        <v>43</v>
      </c>
      <c r="I113" s="23">
        <v>405.86</v>
      </c>
      <c r="J113" s="125">
        <f>G113*I113</f>
        <v>36302.759567031921</v>
      </c>
      <c r="K113" s="21"/>
    </row>
    <row r="114" spans="1:17" s="1" customFormat="1">
      <c r="A114" s="18"/>
      <c r="B114" s="127" t="s">
        <v>130</v>
      </c>
      <c r="C114" s="19"/>
      <c r="D114" s="20"/>
      <c r="E114" s="21"/>
      <c r="F114" s="21"/>
      <c r="G114" s="125"/>
      <c r="H114" s="22"/>
      <c r="I114" s="23"/>
      <c r="J114" s="125">
        <f>0.13*G113*11166.2/100</f>
        <v>1298.410870843664</v>
      </c>
      <c r="K114" s="21"/>
    </row>
    <row r="115" spans="1:17" s="1" customFormat="1">
      <c r="A115" s="18"/>
      <c r="B115" s="127"/>
      <c r="C115" s="19"/>
      <c r="D115" s="20"/>
      <c r="E115" s="21"/>
      <c r="F115" s="21"/>
      <c r="G115" s="125"/>
      <c r="H115" s="22"/>
      <c r="I115" s="23"/>
      <c r="J115" s="125"/>
      <c r="K115" s="21"/>
    </row>
    <row r="116" spans="1:17" ht="30.75">
      <c r="A116" s="18">
        <v>16</v>
      </c>
      <c r="B116" s="121" t="s">
        <v>131</v>
      </c>
      <c r="C116" s="19"/>
      <c r="D116" s="20"/>
      <c r="E116" s="21"/>
      <c r="F116" s="21"/>
      <c r="G116" s="23"/>
      <c r="H116" s="22"/>
      <c r="I116" s="23"/>
      <c r="J116" s="40"/>
      <c r="K116" s="21"/>
    </row>
    <row r="117" spans="1:17" ht="15" customHeight="1">
      <c r="A117" s="18"/>
      <c r="B117" s="36" t="s">
        <v>156</v>
      </c>
      <c r="C117" s="19">
        <v>1</v>
      </c>
      <c r="D117" s="20"/>
      <c r="E117" s="21"/>
      <c r="F117" s="21"/>
      <c r="G117" s="38">
        <f>G113-G111</f>
        <v>87.94000758151067</v>
      </c>
      <c r="H117" s="22"/>
      <c r="I117" s="23"/>
      <c r="J117" s="40"/>
      <c r="K117" s="21"/>
    </row>
    <row r="118" spans="1:17" ht="15" customHeight="1">
      <c r="A118" s="18"/>
      <c r="B118" s="36" t="s">
        <v>41</v>
      </c>
      <c r="C118" s="19"/>
      <c r="D118" s="20"/>
      <c r="E118" s="21"/>
      <c r="F118" s="21"/>
      <c r="G118" s="23">
        <f>SUM(G117:G117)</f>
        <v>87.94000758151067</v>
      </c>
      <c r="H118" s="22" t="s">
        <v>43</v>
      </c>
      <c r="I118" s="23">
        <v>251.77</v>
      </c>
      <c r="J118" s="40">
        <f>G118*I118</f>
        <v>22140.655708796941</v>
      </c>
      <c r="K118" s="21"/>
    </row>
    <row r="119" spans="1:17" ht="15" customHeight="1">
      <c r="A119" s="18"/>
      <c r="B119" s="36" t="s">
        <v>40</v>
      </c>
      <c r="C119" s="19"/>
      <c r="D119" s="20"/>
      <c r="E119" s="21"/>
      <c r="F119" s="21"/>
      <c r="G119" s="23"/>
      <c r="H119" s="22"/>
      <c r="I119" s="23"/>
      <c r="J119" s="40">
        <f>0.13*G118*12736/100</f>
        <v>1456.0051175255562</v>
      </c>
      <c r="K119" s="21"/>
    </row>
    <row r="120" spans="1:17" ht="15" customHeight="1">
      <c r="A120" s="18"/>
      <c r="B120" s="36"/>
      <c r="C120" s="19"/>
      <c r="D120" s="20"/>
      <c r="E120" s="21"/>
      <c r="F120" s="21"/>
      <c r="G120" s="23"/>
      <c r="H120" s="22"/>
      <c r="I120" s="23"/>
      <c r="J120" s="40"/>
      <c r="K120" s="21"/>
    </row>
    <row r="121" spans="1:17" s="1" customFormat="1" ht="48">
      <c r="A121" s="18">
        <v>17</v>
      </c>
      <c r="B121" s="146" t="s">
        <v>153</v>
      </c>
      <c r="C121" s="146"/>
      <c r="D121" s="20"/>
      <c r="G121" s="125"/>
      <c r="H121" s="22"/>
      <c r="I121" s="23"/>
      <c r="J121" s="125"/>
      <c r="K121" s="21"/>
    </row>
    <row r="122" spans="1:17" ht="15" customHeight="1">
      <c r="A122" s="18"/>
      <c r="B122" s="36" t="s">
        <v>138</v>
      </c>
      <c r="C122" s="19">
        <v>1</v>
      </c>
      <c r="D122" s="20">
        <f>1.6+5.6</f>
        <v>7.1999999999999993</v>
      </c>
      <c r="E122" s="21">
        <f>(7.333+1.5)/3.281</f>
        <v>2.6921670222493144</v>
      </c>
      <c r="F122" s="21"/>
      <c r="G122" s="128">
        <f t="shared" ref="G122" si="8">PRODUCT(C122:F122)</f>
        <v>19.383602560195062</v>
      </c>
      <c r="H122" s="22"/>
      <c r="I122" s="23"/>
      <c r="J122" s="40"/>
      <c r="K122" s="21"/>
    </row>
    <row r="123" spans="1:17" ht="15" customHeight="1">
      <c r="A123" s="18"/>
      <c r="B123" s="36" t="s">
        <v>41</v>
      </c>
      <c r="C123" s="19"/>
      <c r="D123" s="20"/>
      <c r="E123" s="21"/>
      <c r="F123" s="21"/>
      <c r="G123" s="23">
        <f>SUM(G122:G122)</f>
        <v>19.383602560195062</v>
      </c>
      <c r="H123" s="22" t="s">
        <v>43</v>
      </c>
      <c r="I123" s="23">
        <v>2271.5500000000002</v>
      </c>
      <c r="J123" s="40">
        <f>G123*I123</f>
        <v>44030.822395611096</v>
      </c>
      <c r="K123" s="21"/>
    </row>
    <row r="124" spans="1:17" ht="15" customHeight="1">
      <c r="A124" s="18"/>
      <c r="B124" s="36" t="s">
        <v>40</v>
      </c>
      <c r="C124" s="19"/>
      <c r="D124" s="20"/>
      <c r="E124" s="21"/>
      <c r="F124" s="21"/>
      <c r="G124" s="23"/>
      <c r="H124" s="22"/>
      <c r="I124" s="23"/>
      <c r="J124" s="40">
        <f>0.13*G123*(20218/10)</f>
        <v>5094.6697953063094</v>
      </c>
      <c r="K124" s="21"/>
    </row>
    <row r="125" spans="1:17" ht="15" customHeight="1">
      <c r="A125" s="18"/>
      <c r="B125" s="36"/>
      <c r="C125" s="19"/>
      <c r="D125" s="20"/>
      <c r="E125" s="21"/>
      <c r="F125" s="21"/>
      <c r="G125" s="23"/>
      <c r="H125" s="22"/>
      <c r="I125" s="23"/>
      <c r="J125" s="40"/>
      <c r="K125" s="21"/>
    </row>
    <row r="126" spans="1:17" s="144" customFormat="1" ht="18">
      <c r="A126" s="141">
        <v>18</v>
      </c>
      <c r="B126" s="133" t="s">
        <v>142</v>
      </c>
      <c r="C126" s="134"/>
      <c r="D126" s="135"/>
      <c r="E126" s="142"/>
      <c r="F126" s="135" t="s">
        <v>145</v>
      </c>
      <c r="G126" s="135"/>
      <c r="H126" s="135"/>
      <c r="I126" s="135"/>
      <c r="J126" s="137"/>
      <c r="K126" s="143"/>
    </row>
    <row r="127" spans="1:17" ht="15" customHeight="1">
      <c r="A127" s="18"/>
      <c r="B127" s="36" t="s">
        <v>143</v>
      </c>
      <c r="C127" s="35">
        <v>1</v>
      </c>
      <c r="D127" s="37"/>
      <c r="E127" s="5"/>
      <c r="F127" s="138">
        <f>CONVERT(48.3735,"ft2","m2")</f>
        <v>4.49404520544</v>
      </c>
      <c r="G127" s="128">
        <f>PRODUCT(C127:F127)</f>
        <v>4.49404520544</v>
      </c>
      <c r="H127" s="39"/>
      <c r="I127" s="39"/>
      <c r="J127" s="39"/>
      <c r="K127" s="21"/>
      <c r="M127" s="1"/>
      <c r="N127" s="1"/>
      <c r="O127" s="1"/>
      <c r="P127" s="88"/>
      <c r="Q127" s="88"/>
    </row>
    <row r="128" spans="1:17" ht="15" customHeight="1">
      <c r="A128" s="18"/>
      <c r="B128" s="36"/>
      <c r="C128" s="35">
        <v>1</v>
      </c>
      <c r="D128" s="37"/>
      <c r="E128" s="5"/>
      <c r="F128" s="138">
        <f>CONVERT(224.2762,"ft2","m2")</f>
        <v>20.835940779647999</v>
      </c>
      <c r="G128" s="128">
        <f>PRODUCT(C128:F128)</f>
        <v>20.835940779647999</v>
      </c>
      <c r="H128" s="39"/>
      <c r="I128" s="39"/>
      <c r="J128" s="39"/>
      <c r="K128" s="21"/>
      <c r="M128" s="1"/>
      <c r="N128" s="1"/>
      <c r="O128" s="1"/>
      <c r="P128" s="88"/>
      <c r="Q128" s="88"/>
    </row>
    <row r="129" spans="1:20" ht="15" customHeight="1">
      <c r="A129" s="18"/>
      <c r="B129" s="36"/>
      <c r="C129" s="35">
        <v>1</v>
      </c>
      <c r="D129" s="37">
        <f>(4.1+4.4)/2</f>
        <v>4.25</v>
      </c>
      <c r="E129" s="37">
        <f>2.6</f>
        <v>2.6</v>
      </c>
      <c r="F129" s="37"/>
      <c r="G129" s="128">
        <f t="shared" ref="G129:G131" si="9">PRODUCT(C129:F129)</f>
        <v>11.05</v>
      </c>
      <c r="H129" s="39"/>
      <c r="I129" s="39"/>
      <c r="J129" s="39"/>
      <c r="K129" s="21"/>
      <c r="M129" s="1"/>
      <c r="N129" s="1"/>
      <c r="O129" s="1"/>
      <c r="P129" s="88"/>
      <c r="Q129" s="88"/>
    </row>
    <row r="130" spans="1:20" ht="15" customHeight="1">
      <c r="A130" s="18"/>
      <c r="B130" s="36"/>
      <c r="C130" s="35">
        <v>1</v>
      </c>
      <c r="D130" s="37">
        <v>7</v>
      </c>
      <c r="E130" s="37">
        <f>((2.5+4.75)/2)/3.281</f>
        <v>1.1048460835111247</v>
      </c>
      <c r="F130" s="37"/>
      <c r="G130" s="128">
        <f t="shared" si="9"/>
        <v>7.733922584577873</v>
      </c>
      <c r="H130" s="39"/>
      <c r="I130" s="39"/>
      <c r="J130" s="39"/>
      <c r="K130" s="21"/>
      <c r="M130" s="1"/>
      <c r="N130" s="185" t="s">
        <v>146</v>
      </c>
      <c r="O130" s="185"/>
      <c r="P130" s="185"/>
      <c r="Q130" s="185"/>
      <c r="R130" s="185"/>
      <c r="S130" s="185"/>
      <c r="T130" s="185"/>
    </row>
    <row r="131" spans="1:20" ht="15" customHeight="1">
      <c r="A131" s="18"/>
      <c r="B131" s="36"/>
      <c r="C131" s="35">
        <v>1</v>
      </c>
      <c r="D131" s="37">
        <v>6.55</v>
      </c>
      <c r="E131" s="37">
        <f>((16.17+1)/2)/3.281</f>
        <v>2.616580310880829</v>
      </c>
      <c r="F131" s="37"/>
      <c r="G131" s="128">
        <f t="shared" si="9"/>
        <v>17.138601036269428</v>
      </c>
      <c r="H131" s="39"/>
      <c r="I131" s="39"/>
      <c r="J131" s="39"/>
      <c r="K131" s="21"/>
      <c r="M131" s="1"/>
      <c r="N131" s="185" t="s">
        <v>147</v>
      </c>
      <c r="O131" s="185"/>
      <c r="P131" s="185"/>
      <c r="Q131" s="185"/>
      <c r="R131" s="185"/>
      <c r="S131" s="185"/>
      <c r="T131" s="185"/>
    </row>
    <row r="132" spans="1:20" ht="15" customHeight="1">
      <c r="A132" s="39"/>
      <c r="B132" s="36" t="s">
        <v>41</v>
      </c>
      <c r="C132" s="134"/>
      <c r="D132" s="135"/>
      <c r="E132" s="135"/>
      <c r="F132" s="135"/>
      <c r="G132" s="136">
        <f>SUM(G127:G131)</f>
        <v>61.252509605935302</v>
      </c>
      <c r="H132" s="136" t="s">
        <v>144</v>
      </c>
      <c r="I132" s="136">
        <f>35*10.7639</f>
        <v>376.73649999999998</v>
      </c>
      <c r="J132" s="137">
        <f>G132*I132</f>
        <v>23076.056085156444</v>
      </c>
      <c r="K132" s="35"/>
    </row>
    <row r="133" spans="1:20" ht="15" customHeight="1">
      <c r="A133" s="39"/>
      <c r="B133" s="36" t="s">
        <v>40</v>
      </c>
      <c r="C133" s="134"/>
      <c r="D133" s="135"/>
      <c r="E133" s="135"/>
      <c r="F133" s="135"/>
      <c r="G133" s="135"/>
      <c r="H133" s="135"/>
      <c r="I133" s="135"/>
      <c r="J133" s="41">
        <f>0.13*J132</f>
        <v>2999.8872910703381</v>
      </c>
      <c r="K133" s="35"/>
    </row>
    <row r="134" spans="1:20" ht="15" customHeight="1">
      <c r="A134" s="39"/>
      <c r="B134" s="36"/>
      <c r="C134" s="134"/>
      <c r="D134" s="135"/>
      <c r="E134" s="135"/>
      <c r="F134" s="135"/>
      <c r="G134" s="135"/>
      <c r="H134" s="135"/>
      <c r="I134" s="135"/>
      <c r="J134" s="41"/>
      <c r="K134" s="35"/>
    </row>
    <row r="135" spans="1:20" s="1" customFormat="1" ht="60">
      <c r="A135" s="59">
        <v>19</v>
      </c>
      <c r="B135" s="139" t="s">
        <v>148</v>
      </c>
      <c r="C135" s="140"/>
      <c r="D135" s="38"/>
      <c r="E135" s="38"/>
      <c r="F135" s="38"/>
      <c r="G135" s="38"/>
      <c r="H135" s="38"/>
      <c r="I135" s="38"/>
      <c r="J135" s="41"/>
      <c r="K135" s="28"/>
    </row>
    <row r="136" spans="1:20" ht="15" customHeight="1">
      <c r="A136" s="39"/>
      <c r="B136" s="36" t="s">
        <v>149</v>
      </c>
      <c r="C136" s="19"/>
      <c r="D136" s="135"/>
      <c r="E136" s="135"/>
      <c r="F136" s="135"/>
      <c r="G136" s="135">
        <f>G132</f>
        <v>61.252509605935302</v>
      </c>
      <c r="H136" s="135"/>
      <c r="I136" s="135"/>
      <c r="J136" s="41"/>
      <c r="K136" s="35"/>
    </row>
    <row r="137" spans="1:20" ht="15" customHeight="1">
      <c r="A137" s="39"/>
      <c r="B137" s="36" t="str">
        <f>B84</f>
        <v>-at entrance</v>
      </c>
      <c r="C137" s="19">
        <v>1</v>
      </c>
      <c r="D137" s="147">
        <f t="shared" ref="D137:E137" si="10">D84</f>
        <v>1.95</v>
      </c>
      <c r="E137" s="147">
        <f t="shared" si="10"/>
        <v>1</v>
      </c>
      <c r="F137" s="147"/>
      <c r="G137" s="128">
        <f t="shared" ref="G137" si="11">PRODUCT(C137:F137)</f>
        <v>1.95</v>
      </c>
      <c r="H137" s="135"/>
      <c r="I137" s="135"/>
      <c r="J137" s="41"/>
      <c r="K137" s="35"/>
    </row>
    <row r="138" spans="1:20" ht="15" customHeight="1">
      <c r="A138" s="39"/>
      <c r="B138" s="36" t="s">
        <v>41</v>
      </c>
      <c r="C138" s="134"/>
      <c r="D138" s="135"/>
      <c r="E138" s="135"/>
      <c r="F138" s="135"/>
      <c r="G138" s="136">
        <f>SUM(G136:G137)</f>
        <v>63.202509605935305</v>
      </c>
      <c r="H138" s="136" t="s">
        <v>144</v>
      </c>
      <c r="I138" s="136">
        <v>9.1999999999999993</v>
      </c>
      <c r="J138" s="137">
        <f>G138*I138</f>
        <v>581.46308837460481</v>
      </c>
      <c r="K138" s="35"/>
    </row>
    <row r="139" spans="1:20" ht="15" customHeight="1">
      <c r="A139" s="18"/>
      <c r="B139" s="36"/>
      <c r="C139" s="19"/>
      <c r="D139" s="20"/>
      <c r="E139" s="21"/>
      <c r="F139" s="21"/>
      <c r="G139" s="23"/>
      <c r="H139" s="22"/>
      <c r="I139" s="23"/>
      <c r="J139" s="40"/>
      <c r="K139" s="21"/>
    </row>
    <row r="140" spans="1:20" ht="15" customHeight="1">
      <c r="A140" s="18">
        <v>20</v>
      </c>
      <c r="B140" s="36" t="s">
        <v>139</v>
      </c>
      <c r="C140" s="19">
        <v>1</v>
      </c>
      <c r="D140" s="20"/>
      <c r="E140" s="21"/>
      <c r="F140" s="21"/>
      <c r="G140" s="128">
        <f t="shared" ref="G140" si="12">PRODUCT(C140:F140)</f>
        <v>1</v>
      </c>
      <c r="H140" s="22" t="s">
        <v>140</v>
      </c>
      <c r="I140" s="23">
        <v>6000</v>
      </c>
      <c r="J140" s="33">
        <f>G140*I140</f>
        <v>6000</v>
      </c>
      <c r="K140" s="21"/>
    </row>
    <row r="141" spans="1:20" ht="15" customHeight="1">
      <c r="A141" s="18"/>
      <c r="B141" s="36"/>
      <c r="C141" s="19"/>
      <c r="D141" s="20"/>
      <c r="E141" s="21"/>
      <c r="F141" s="21"/>
      <c r="G141" s="23"/>
      <c r="H141" s="22"/>
      <c r="I141" s="23"/>
      <c r="J141" s="40"/>
      <c r="K141" s="21"/>
    </row>
    <row r="142" spans="1:20" ht="15" customHeight="1">
      <c r="A142" s="18">
        <v>21</v>
      </c>
      <c r="B142" s="29" t="s">
        <v>30</v>
      </c>
      <c r="C142" s="19">
        <v>1</v>
      </c>
      <c r="D142" s="20"/>
      <c r="E142" s="21"/>
      <c r="F142" s="21"/>
      <c r="G142" s="33">
        <f t="shared" ref="G142" si="13">PRODUCT(C142:F142)</f>
        <v>1</v>
      </c>
      <c r="H142" s="22" t="s">
        <v>31</v>
      </c>
      <c r="I142" s="23">
        <v>1000</v>
      </c>
      <c r="J142" s="33">
        <f>G142*I142</f>
        <v>1000</v>
      </c>
      <c r="K142" s="21"/>
    </row>
    <row r="143" spans="1:20" ht="15" customHeight="1">
      <c r="A143" s="18"/>
      <c r="B143" s="24"/>
      <c r="C143" s="19"/>
      <c r="D143" s="20"/>
      <c r="E143" s="21"/>
      <c r="F143" s="21"/>
      <c r="G143" s="23"/>
      <c r="H143" s="22"/>
      <c r="I143" s="23"/>
      <c r="J143" s="40"/>
      <c r="K143" s="21"/>
    </row>
    <row r="144" spans="1:20">
      <c r="A144" s="39"/>
      <c r="B144" s="42" t="s">
        <v>17</v>
      </c>
      <c r="C144" s="43"/>
      <c r="D144" s="37"/>
      <c r="E144" s="37"/>
      <c r="F144" s="37"/>
      <c r="G144" s="40"/>
      <c r="H144" s="40"/>
      <c r="I144" s="40"/>
      <c r="J144" s="40">
        <f>SUM(J10:J142)</f>
        <v>559342.93667359848</v>
      </c>
      <c r="K144" s="35"/>
    </row>
    <row r="145" spans="1:11">
      <c r="A145" s="54"/>
      <c r="B145" s="57"/>
      <c r="C145" s="58"/>
      <c r="D145" s="55"/>
      <c r="E145" s="55"/>
      <c r="F145" s="55"/>
      <c r="G145" s="56"/>
      <c r="H145" s="56"/>
      <c r="I145" s="56"/>
      <c r="J145" s="56"/>
      <c r="K145" s="53"/>
    </row>
    <row r="146" spans="1:11" s="1" customFormat="1">
      <c r="A146" s="46"/>
      <c r="B146" s="28" t="s">
        <v>27</v>
      </c>
      <c r="C146" s="169">
        <f>J144</f>
        <v>559342.93667359848</v>
      </c>
      <c r="D146" s="169"/>
      <c r="E146" s="38">
        <v>100</v>
      </c>
      <c r="F146" s="47"/>
      <c r="G146" s="48"/>
      <c r="H146" s="47"/>
      <c r="I146" s="49"/>
      <c r="J146" s="50"/>
      <c r="K146" s="51"/>
    </row>
    <row r="147" spans="1:11">
      <c r="A147" s="52"/>
      <c r="B147" s="28" t="s">
        <v>32</v>
      </c>
      <c r="C147" s="170">
        <v>500000</v>
      </c>
      <c r="D147" s="170"/>
      <c r="E147" s="38"/>
      <c r="F147" s="45"/>
      <c r="G147" s="44"/>
      <c r="H147" s="44"/>
      <c r="I147" s="44"/>
      <c r="J147" s="44"/>
      <c r="K147" s="45"/>
    </row>
    <row r="148" spans="1:11">
      <c r="A148" s="52"/>
      <c r="B148" s="28" t="s">
        <v>33</v>
      </c>
      <c r="C148" s="170">
        <f>C147-C150-C151</f>
        <v>475000</v>
      </c>
      <c r="D148" s="170"/>
      <c r="E148" s="38">
        <f>C148/C146*100</f>
        <v>84.921068785603282</v>
      </c>
      <c r="F148" s="45"/>
      <c r="G148" s="44"/>
      <c r="H148" s="44"/>
      <c r="I148" s="44"/>
      <c r="J148" s="44"/>
      <c r="K148" s="45"/>
    </row>
    <row r="149" spans="1:11">
      <c r="A149" s="52"/>
      <c r="B149" s="28" t="s">
        <v>34</v>
      </c>
      <c r="C149" s="169">
        <f>C146-C148</f>
        <v>84342.93667359848</v>
      </c>
      <c r="D149" s="169"/>
      <c r="E149" s="38">
        <f>100-E148</f>
        <v>15.078931214396718</v>
      </c>
      <c r="F149" s="45"/>
      <c r="G149" s="44"/>
      <c r="H149" s="44"/>
      <c r="I149" s="44"/>
      <c r="J149" s="44"/>
      <c r="K149" s="45"/>
    </row>
    <row r="150" spans="1:11">
      <c r="A150" s="52"/>
      <c r="B150" s="28" t="s">
        <v>35</v>
      </c>
      <c r="C150" s="169">
        <f>C147*0.03</f>
        <v>15000</v>
      </c>
      <c r="D150" s="169"/>
      <c r="E150" s="38">
        <v>3</v>
      </c>
      <c r="F150" s="45"/>
      <c r="G150" s="44"/>
      <c r="H150" s="44"/>
      <c r="I150" s="44"/>
      <c r="J150" s="44"/>
      <c r="K150" s="45"/>
    </row>
    <row r="151" spans="1:11">
      <c r="A151" s="52"/>
      <c r="B151" s="28" t="s">
        <v>36</v>
      </c>
      <c r="C151" s="169">
        <f>C147*0.02</f>
        <v>10000</v>
      </c>
      <c r="D151" s="169"/>
      <c r="E151" s="38">
        <v>2</v>
      </c>
      <c r="F151" s="45"/>
      <c r="G151" s="44"/>
      <c r="H151" s="44"/>
      <c r="I151" s="44"/>
      <c r="J151" s="44"/>
      <c r="K151" s="45"/>
    </row>
    <row r="152" spans="1:11" s="34" customFormat="1">
      <c r="A152" s="53"/>
      <c r="B152" s="53"/>
      <c r="C152" s="53"/>
      <c r="D152" s="53"/>
      <c r="E152" s="53"/>
      <c r="F152" s="53"/>
      <c r="G152" s="53"/>
      <c r="H152" s="53"/>
      <c r="I152" s="53"/>
      <c r="J152" s="53"/>
      <c r="K152" s="53"/>
    </row>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sheetData>
  <mergeCells count="20">
    <mergeCell ref="N130:T130"/>
    <mergeCell ref="A1:K1"/>
    <mergeCell ref="A2:K2"/>
    <mergeCell ref="A3:K3"/>
    <mergeCell ref="A4:K4"/>
    <mergeCell ref="A5:K5"/>
    <mergeCell ref="A6:F6"/>
    <mergeCell ref="H6:K6"/>
    <mergeCell ref="A7:F7"/>
    <mergeCell ref="H7:K7"/>
    <mergeCell ref="N61:T61"/>
    <mergeCell ref="N74:T74"/>
    <mergeCell ref="N82:T82"/>
    <mergeCell ref="C151:D151"/>
    <mergeCell ref="N131:T131"/>
    <mergeCell ref="C146:D146"/>
    <mergeCell ref="C147:D147"/>
    <mergeCell ref="C148:D148"/>
    <mergeCell ref="C149:D149"/>
    <mergeCell ref="C150:D150"/>
  </mergeCells>
  <hyperlinks>
    <hyperlink ref="B101" r:id="rId1"/>
  </hyperlinks>
  <pageMargins left="0.7" right="0.7" top="0.75" bottom="0.75" header="0.3" footer="0.3"/>
  <pageSetup paperSize="9" scale="80" orientation="portrait" r:id="rId2"/>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5"/>
  <sheetViews>
    <sheetView tabSelected="1" zoomScaleNormal="100" workbookViewId="0">
      <selection activeCell="F15" sqref="F15"/>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64" t="s">
        <v>0</v>
      </c>
      <c r="B1" s="164"/>
      <c r="C1" s="164"/>
      <c r="D1" s="164"/>
      <c r="E1" s="164"/>
      <c r="F1" s="164"/>
      <c r="G1" s="164"/>
      <c r="H1" s="164"/>
      <c r="I1" s="164"/>
      <c r="J1" s="164"/>
      <c r="K1" s="164"/>
    </row>
    <row r="2" spans="1:14" s="1" customFormat="1" ht="22.5">
      <c r="A2" s="165" t="s">
        <v>1</v>
      </c>
      <c r="B2" s="165"/>
      <c r="C2" s="165"/>
      <c r="D2" s="165"/>
      <c r="E2" s="165"/>
      <c r="F2" s="165"/>
      <c r="G2" s="165"/>
      <c r="H2" s="165"/>
      <c r="I2" s="165"/>
      <c r="J2" s="165"/>
      <c r="K2" s="165"/>
    </row>
    <row r="3" spans="1:14" s="1" customFormat="1">
      <c r="A3" s="153" t="s">
        <v>2</v>
      </c>
      <c r="B3" s="153"/>
      <c r="C3" s="153"/>
      <c r="D3" s="153"/>
      <c r="E3" s="153"/>
      <c r="F3" s="153"/>
      <c r="G3" s="153"/>
      <c r="H3" s="153"/>
      <c r="I3" s="153"/>
      <c r="J3" s="153"/>
      <c r="K3" s="153"/>
    </row>
    <row r="4" spans="1:14" s="1" customFormat="1">
      <c r="A4" s="153" t="s">
        <v>3</v>
      </c>
      <c r="B4" s="153"/>
      <c r="C4" s="153"/>
      <c r="D4" s="153"/>
      <c r="E4" s="153"/>
      <c r="F4" s="153"/>
      <c r="G4" s="153"/>
      <c r="H4" s="153"/>
      <c r="I4" s="153"/>
      <c r="J4" s="153"/>
      <c r="K4" s="153"/>
    </row>
    <row r="5" spans="1:14" ht="18.75">
      <c r="A5" s="166" t="s">
        <v>4</v>
      </c>
      <c r="B5" s="166"/>
      <c r="C5" s="166"/>
      <c r="D5" s="166"/>
      <c r="E5" s="166"/>
      <c r="F5" s="166"/>
      <c r="G5" s="166"/>
      <c r="H5" s="166"/>
      <c r="I5" s="166"/>
      <c r="J5" s="166"/>
      <c r="K5" s="166"/>
    </row>
    <row r="6" spans="1:14" ht="15.75">
      <c r="A6" s="157" t="s">
        <v>44</v>
      </c>
      <c r="B6" s="157"/>
      <c r="C6" s="157"/>
      <c r="D6" s="157"/>
      <c r="E6" s="157"/>
      <c r="F6" s="157"/>
      <c r="G6" s="2"/>
      <c r="H6" s="163" t="s">
        <v>42</v>
      </c>
      <c r="I6" s="163"/>
      <c r="J6" s="163"/>
      <c r="K6" s="163"/>
    </row>
    <row r="7" spans="1:14" ht="15.75">
      <c r="A7" s="167" t="s">
        <v>28</v>
      </c>
      <c r="B7" s="167"/>
      <c r="C7" s="167"/>
      <c r="D7" s="167"/>
      <c r="E7" s="167"/>
      <c r="F7" s="167"/>
      <c r="G7" s="3"/>
      <c r="H7" s="168" t="s">
        <v>162</v>
      </c>
      <c r="I7" s="168"/>
      <c r="J7" s="168"/>
      <c r="K7" s="168"/>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163</v>
      </c>
      <c r="C11" s="35">
        <v>1</v>
      </c>
      <c r="D11" s="37"/>
      <c r="E11" s="37"/>
      <c r="F11" s="37">
        <f>((1.17/3.281)+(1.5/3.281))/2</f>
        <v>0.40688814385857969</v>
      </c>
      <c r="G11" s="38"/>
      <c r="H11" s="39"/>
      <c r="I11" s="39"/>
      <c r="J11" s="39"/>
      <c r="K11" s="61"/>
    </row>
    <row r="12" spans="1:14" ht="15" customHeight="1">
      <c r="A12" s="18"/>
      <c r="B12" s="36" t="s">
        <v>164</v>
      </c>
      <c r="C12" s="35">
        <v>1</v>
      </c>
      <c r="D12" s="37"/>
      <c r="E12" s="37"/>
      <c r="F12" s="37">
        <f>((1.17/3.281)+(1.917/3.281))/2</f>
        <v>0.47043584273087469</v>
      </c>
      <c r="G12" s="38"/>
      <c r="H12" s="39"/>
      <c r="I12" s="39"/>
      <c r="J12" s="39"/>
      <c r="K12" s="61"/>
    </row>
    <row r="13" spans="1:14" ht="15" customHeight="1">
      <c r="A13" s="18"/>
      <c r="B13" s="36" t="s">
        <v>165</v>
      </c>
      <c r="C13" s="35">
        <v>2</v>
      </c>
      <c r="D13" s="37"/>
      <c r="E13" s="37"/>
      <c r="F13" s="37">
        <f>((1.25/3.281)+(0.833/3.281))/2</f>
        <v>0.31743370923498931</v>
      </c>
      <c r="G13" s="38"/>
      <c r="H13" s="39"/>
      <c r="I13" s="39"/>
      <c r="J13" s="39"/>
      <c r="K13" s="61"/>
    </row>
    <row r="14" spans="1:14" ht="15" customHeight="1">
      <c r="A14" s="18"/>
      <c r="B14" s="36" t="s">
        <v>166</v>
      </c>
      <c r="C14" s="35">
        <v>2</v>
      </c>
      <c r="D14" s="37"/>
      <c r="E14" s="37"/>
      <c r="F14" s="37">
        <f>((1.25/3.281)+(1.42/3.281))/2</f>
        <v>0.40688814385857969</v>
      </c>
      <c r="G14" s="38"/>
      <c r="H14" s="39"/>
      <c r="I14" s="39"/>
      <c r="J14" s="39"/>
      <c r="K14" s="61"/>
    </row>
    <row r="15" spans="1:14" ht="15" customHeight="1">
      <c r="A15" s="18"/>
      <c r="B15" s="36" t="s">
        <v>41</v>
      </c>
      <c r="C15" s="35"/>
      <c r="D15" s="37"/>
      <c r="E15" s="37"/>
      <c r="F15" s="37"/>
      <c r="G15" s="33">
        <f>SUM(G10:G10)</f>
        <v>1.2799146601645841</v>
      </c>
      <c r="H15" s="39" t="s">
        <v>85</v>
      </c>
      <c r="I15" s="39">
        <v>975.2</v>
      </c>
      <c r="J15" s="41">
        <f>G15*I15</f>
        <v>1248.1727765925025</v>
      </c>
      <c r="K15" s="21"/>
    </row>
    <row r="16" spans="1:14" ht="15" customHeight="1">
      <c r="A16" s="18"/>
      <c r="B16" s="36"/>
      <c r="C16" s="35"/>
      <c r="D16" s="37"/>
      <c r="E16" s="37"/>
      <c r="F16" s="37"/>
      <c r="G16" s="38"/>
      <c r="H16" s="39"/>
      <c r="I16" s="39"/>
      <c r="J16" s="41"/>
      <c r="K16" s="21"/>
    </row>
    <row r="17" spans="1:14" ht="28.5">
      <c r="A17" s="18">
        <v>2</v>
      </c>
      <c r="B17" s="60" t="s">
        <v>152</v>
      </c>
      <c r="C17" s="35"/>
      <c r="D17" s="37"/>
      <c r="E17" s="37"/>
      <c r="F17" s="37"/>
      <c r="G17" s="38"/>
      <c r="H17" s="39"/>
      <c r="I17" s="39"/>
      <c r="J17" s="41"/>
      <c r="K17" s="21"/>
    </row>
    <row r="18" spans="1:14" ht="15" customHeight="1">
      <c r="A18" s="18"/>
      <c r="B18" s="36" t="s">
        <v>48</v>
      </c>
      <c r="C18" s="35">
        <v>1</v>
      </c>
      <c r="D18" s="37">
        <f>D10</f>
        <v>18</v>
      </c>
      <c r="E18" s="37">
        <v>0.23</v>
      </c>
      <c r="F18" s="37">
        <f>F10</f>
        <v>0.7110637000914356</v>
      </c>
      <c r="G18" s="38">
        <f>PRODUCT(C18:F18)</f>
        <v>2.9438037183785437</v>
      </c>
      <c r="H18" s="39"/>
      <c r="I18" s="39"/>
      <c r="J18" s="39"/>
      <c r="K18" s="61"/>
      <c r="N18">
        <f>5.84+1.76</f>
        <v>7.6</v>
      </c>
    </row>
    <row r="19" spans="1:14" ht="15" customHeight="1">
      <c r="A19" s="18"/>
      <c r="B19" s="36" t="s">
        <v>154</v>
      </c>
      <c r="C19" s="35">
        <v>1</v>
      </c>
      <c r="D19" s="37">
        <v>6.55</v>
      </c>
      <c r="E19" s="37">
        <v>0.23</v>
      </c>
      <c r="F19" s="37">
        <v>0.3</v>
      </c>
      <c r="G19" s="38">
        <f>PRODUCT(C19:F19)</f>
        <v>0.45194999999999996</v>
      </c>
      <c r="H19" s="39"/>
      <c r="I19" s="39"/>
      <c r="J19" s="39"/>
      <c r="K19" s="61"/>
    </row>
    <row r="20" spans="1:14" ht="15" customHeight="1">
      <c r="A20" s="18"/>
      <c r="B20" s="36" t="s">
        <v>41</v>
      </c>
      <c r="C20" s="35"/>
      <c r="D20" s="37"/>
      <c r="E20" s="37"/>
      <c r="F20" s="37"/>
      <c r="G20" s="33">
        <f>SUM(G18:G19)</f>
        <v>3.3957537183785438</v>
      </c>
      <c r="H20" s="39" t="s">
        <v>85</v>
      </c>
      <c r="I20" s="39">
        <v>14362.76</v>
      </c>
      <c r="J20" s="41">
        <f>G20*I20</f>
        <v>48772.395676178618</v>
      </c>
      <c r="K20" s="21"/>
    </row>
    <row r="21" spans="1:14" ht="15" customHeight="1">
      <c r="A21" s="18"/>
      <c r="B21" s="36" t="s">
        <v>40</v>
      </c>
      <c r="C21" s="35"/>
      <c r="D21" s="37"/>
      <c r="E21" s="37"/>
      <c r="F21" s="37"/>
      <c r="G21" s="38"/>
      <c r="H21" s="39"/>
      <c r="I21" s="39"/>
      <c r="J21" s="41">
        <f>0.13*G20*10311.74</f>
        <v>4552.0968282338599</v>
      </c>
      <c r="K21" s="21"/>
    </row>
    <row r="22" spans="1:14" ht="15" customHeight="1">
      <c r="A22" s="18"/>
      <c r="B22" s="36"/>
      <c r="C22" s="35"/>
      <c r="D22" s="37"/>
      <c r="E22" s="37"/>
      <c r="F22" s="37"/>
      <c r="G22" s="38"/>
      <c r="H22" s="39"/>
      <c r="I22" s="39"/>
      <c r="J22" s="41"/>
      <c r="K22" s="21"/>
    </row>
    <row r="23" spans="1:14" s="1" customFormat="1" ht="57">
      <c r="A23" s="59">
        <v>3</v>
      </c>
      <c r="B23" s="60" t="s">
        <v>45</v>
      </c>
      <c r="C23" s="60"/>
      <c r="D23" s="38"/>
      <c r="E23" s="38"/>
      <c r="F23" s="38"/>
      <c r="G23" s="38"/>
      <c r="H23" s="38"/>
      <c r="I23" s="38"/>
      <c r="J23" s="41"/>
      <c r="K23" s="28"/>
    </row>
    <row r="24" spans="1:14" ht="15" customHeight="1">
      <c r="A24" s="18"/>
      <c r="B24" s="36" t="s">
        <v>46</v>
      </c>
      <c r="C24" s="35">
        <v>1</v>
      </c>
      <c r="D24" s="37">
        <f>((5.84+1.76)+(4.23+3.4))/2</f>
        <v>7.6150000000000002</v>
      </c>
      <c r="E24" s="37">
        <f>(3.48+3.5)/2</f>
        <v>3.49</v>
      </c>
      <c r="F24" s="37"/>
      <c r="G24" s="38">
        <f t="shared" ref="G24:G26" si="1">PRODUCT(C24:F24)</f>
        <v>26.576350000000001</v>
      </c>
      <c r="H24" s="39"/>
      <c r="I24" s="39"/>
      <c r="J24" s="39"/>
      <c r="K24" s="61"/>
      <c r="N24">
        <f>5.84+1.76</f>
        <v>7.6</v>
      </c>
    </row>
    <row r="25" spans="1:14" ht="15" customHeight="1">
      <c r="A25" s="18"/>
      <c r="B25" s="36"/>
      <c r="C25" s="35">
        <v>1</v>
      </c>
      <c r="D25" s="37">
        <f>((3.87+1.86)+(3.57+2.18))/2</f>
        <v>5.74</v>
      </c>
      <c r="E25" s="37">
        <f>1.15+0.59+0.59</f>
        <v>2.3299999999999996</v>
      </c>
      <c r="F25" s="37"/>
      <c r="G25" s="38">
        <f t="shared" si="1"/>
        <v>13.374199999999998</v>
      </c>
      <c r="H25" s="39"/>
      <c r="I25" s="39"/>
      <c r="J25" s="39"/>
      <c r="K25" s="61"/>
      <c r="N25">
        <f>3.87+1.86</f>
        <v>5.73</v>
      </c>
    </row>
    <row r="26" spans="1:14" ht="15" customHeight="1">
      <c r="A26" s="18"/>
      <c r="B26" s="36"/>
      <c r="C26" s="35">
        <v>1</v>
      </c>
      <c r="D26" s="37">
        <f>5.7</f>
        <v>5.7</v>
      </c>
      <c r="E26" s="37">
        <f>2.3</f>
        <v>2.2999999999999998</v>
      </c>
      <c r="F26" s="37"/>
      <c r="G26" s="38">
        <f t="shared" si="1"/>
        <v>13.11</v>
      </c>
      <c r="H26" s="39"/>
      <c r="I26" s="39"/>
      <c r="J26" s="39"/>
      <c r="K26" s="61"/>
    </row>
    <row r="27" spans="1:14" ht="15" customHeight="1">
      <c r="A27" s="18"/>
      <c r="B27" s="36" t="s">
        <v>41</v>
      </c>
      <c r="C27" s="35"/>
      <c r="D27" s="37"/>
      <c r="E27" s="37"/>
      <c r="F27" s="37"/>
      <c r="G27" s="33">
        <f>SUM(G24:G26)</f>
        <v>53.060549999999999</v>
      </c>
      <c r="H27" s="39" t="s">
        <v>43</v>
      </c>
      <c r="I27" s="39">
        <v>817.76</v>
      </c>
      <c r="J27" s="41">
        <f>G27*I27</f>
        <v>43390.795367999999</v>
      </c>
      <c r="K27" s="21"/>
    </row>
    <row r="28" spans="1:14" ht="15" customHeight="1">
      <c r="A28" s="18"/>
      <c r="B28" s="36" t="s">
        <v>40</v>
      </c>
      <c r="C28" s="35"/>
      <c r="D28" s="37"/>
      <c r="E28" s="37"/>
      <c r="F28" s="37"/>
      <c r="G28" s="38"/>
      <c r="H28" s="39"/>
      <c r="I28" s="39"/>
      <c r="J28" s="41">
        <f>0.13*J27</f>
        <v>5640.8033978399999</v>
      </c>
      <c r="K28" s="21"/>
    </row>
    <row r="29" spans="1:14" ht="15" customHeight="1">
      <c r="A29" s="18"/>
      <c r="B29" s="36"/>
      <c r="C29" s="35"/>
      <c r="D29" s="37"/>
      <c r="E29" s="37"/>
      <c r="F29" s="37"/>
      <c r="G29" s="38"/>
      <c r="H29" s="39"/>
      <c r="I29" s="39"/>
      <c r="J29" s="41"/>
      <c r="K29" s="21"/>
    </row>
    <row r="30" spans="1:14" ht="28.5">
      <c r="A30" s="18">
        <v>4</v>
      </c>
      <c r="B30" s="60" t="s">
        <v>47</v>
      </c>
      <c r="C30" s="35"/>
      <c r="D30" s="37"/>
      <c r="E30" s="37"/>
      <c r="F30" s="37"/>
      <c r="G30" s="38"/>
      <c r="H30" s="39"/>
      <c r="I30" s="39"/>
      <c r="J30" s="41"/>
      <c r="K30" s="21"/>
    </row>
    <row r="31" spans="1:14" ht="15" customHeight="1">
      <c r="A31" s="18"/>
      <c r="B31" s="36" t="s">
        <v>48</v>
      </c>
      <c r="C31" s="35">
        <v>3</v>
      </c>
      <c r="D31" s="37">
        <f>12/3.281</f>
        <v>3.6574215178299299</v>
      </c>
      <c r="E31" s="37">
        <f>3.5/3.281</f>
        <v>1.0667479427003961</v>
      </c>
      <c r="F31" s="37"/>
      <c r="G31" s="38">
        <f>PRODUCT(C31:F31)</f>
        <v>11.704640639199713</v>
      </c>
      <c r="H31" s="39"/>
      <c r="I31" s="39"/>
      <c r="J31" s="39"/>
      <c r="K31" s="61"/>
      <c r="N31">
        <f>5.84+1.76</f>
        <v>7.6</v>
      </c>
    </row>
    <row r="32" spans="1:14" ht="15" customHeight="1">
      <c r="A32" s="18"/>
      <c r="B32" s="36" t="s">
        <v>41</v>
      </c>
      <c r="C32" s="35"/>
      <c r="D32" s="37"/>
      <c r="E32" s="37"/>
      <c r="F32" s="37"/>
      <c r="G32" s="33">
        <f>SUM(G31:G31)</f>
        <v>11.704640639199713</v>
      </c>
      <c r="H32" s="39" t="s">
        <v>43</v>
      </c>
      <c r="I32" s="39">
        <v>1070.9000000000001</v>
      </c>
      <c r="J32" s="41">
        <f>G32*I32</f>
        <v>12534.499660518974</v>
      </c>
      <c r="K32" s="21"/>
    </row>
    <row r="33" spans="1:19" ht="15" customHeight="1">
      <c r="A33" s="18"/>
      <c r="B33" s="36" t="s">
        <v>40</v>
      </c>
      <c r="C33" s="35"/>
      <c r="D33" s="37"/>
      <c r="E33" s="37"/>
      <c r="F33" s="37"/>
      <c r="G33" s="38"/>
      <c r="H33" s="39"/>
      <c r="I33" s="39"/>
      <c r="J33" s="41">
        <f>0.13*G32*8587.63/10</f>
        <v>1306.6966002013382</v>
      </c>
      <c r="K33" s="21"/>
    </row>
    <row r="34" spans="1:19" ht="15" customHeight="1">
      <c r="A34" s="18"/>
      <c r="B34" s="36"/>
      <c r="C34" s="35"/>
      <c r="D34" s="37"/>
      <c r="E34" s="37"/>
      <c r="F34" s="37"/>
      <c r="G34" s="38"/>
      <c r="H34" s="39"/>
      <c r="I34" s="39"/>
      <c r="J34" s="41"/>
      <c r="K34" s="21"/>
    </row>
    <row r="35" spans="1:19" ht="28.5">
      <c r="A35" s="18">
        <v>5</v>
      </c>
      <c r="B35" s="60" t="s">
        <v>157</v>
      </c>
      <c r="C35" s="35"/>
      <c r="D35" s="37"/>
      <c r="E35" s="37"/>
      <c r="F35" s="37"/>
      <c r="G35" s="38"/>
      <c r="H35" s="39"/>
      <c r="I35" s="39"/>
      <c r="J35" s="41"/>
      <c r="K35" s="21"/>
    </row>
    <row r="36" spans="1:19" ht="15" customHeight="1">
      <c r="A36" s="18"/>
      <c r="B36" s="36" t="s">
        <v>48</v>
      </c>
      <c r="C36" s="35">
        <v>1</v>
      </c>
      <c r="D36" s="37">
        <f>3.1+3.1+5.6+1.6</f>
        <v>13.4</v>
      </c>
      <c r="E36" s="37"/>
      <c r="F36" s="37"/>
      <c r="G36" s="38">
        <f>PRODUCT(C36:F36)</f>
        <v>13.4</v>
      </c>
      <c r="H36" s="39"/>
      <c r="I36" s="39"/>
      <c r="J36" s="39"/>
      <c r="K36" s="61"/>
      <c r="N36">
        <f>5.84+1.76</f>
        <v>7.6</v>
      </c>
    </row>
    <row r="37" spans="1:19" ht="15" customHeight="1">
      <c r="A37" s="18"/>
      <c r="B37" s="36" t="s">
        <v>41</v>
      </c>
      <c r="C37" s="35"/>
      <c r="D37" s="37"/>
      <c r="E37" s="37"/>
      <c r="F37" s="37"/>
      <c r="G37" s="33">
        <f>SUM(G36:G36)</f>
        <v>13.4</v>
      </c>
      <c r="H37" s="39" t="s">
        <v>158</v>
      </c>
      <c r="I37" s="39">
        <v>1108.01</v>
      </c>
      <c r="J37" s="41">
        <f>G37*I37</f>
        <v>14847.334000000001</v>
      </c>
      <c r="K37" s="21"/>
    </row>
    <row r="38" spans="1:19" ht="15" customHeight="1">
      <c r="A38" s="18"/>
      <c r="B38" s="36" t="s">
        <v>40</v>
      </c>
      <c r="C38" s="35"/>
      <c r="D38" s="37"/>
      <c r="E38" s="37"/>
      <c r="F38" s="37"/>
      <c r="G38" s="38"/>
      <c r="H38" s="39"/>
      <c r="I38" s="39"/>
      <c r="J38" s="41">
        <f>0.13*G37*7076.41/10</f>
        <v>1232.7106220000001</v>
      </c>
      <c r="K38" s="21"/>
    </row>
    <row r="39" spans="1:19" ht="15" customHeight="1">
      <c r="A39" s="18"/>
      <c r="B39" s="36"/>
      <c r="C39" s="35"/>
      <c r="D39" s="37"/>
      <c r="E39" s="37"/>
      <c r="F39" s="37"/>
      <c r="G39" s="38"/>
      <c r="H39" s="39"/>
      <c r="I39" s="39"/>
      <c r="J39" s="41"/>
      <c r="K39" s="21"/>
    </row>
    <row r="40" spans="1:19" ht="42.75">
      <c r="A40" s="18">
        <v>6</v>
      </c>
      <c r="B40" s="60" t="s">
        <v>87</v>
      </c>
      <c r="C40" s="35"/>
      <c r="D40" s="37"/>
      <c r="E40" s="37"/>
      <c r="F40" s="37"/>
      <c r="G40" s="38"/>
      <c r="H40" s="39"/>
      <c r="I40" s="39"/>
      <c r="J40" s="41"/>
      <c r="K40" s="21"/>
    </row>
    <row r="41" spans="1:19" ht="15" customHeight="1">
      <c r="A41" s="18"/>
      <c r="B41" s="36" t="s">
        <v>84</v>
      </c>
      <c r="C41" s="35">
        <v>2</v>
      </c>
      <c r="D41" s="37">
        <f>(18+14)/3.281</f>
        <v>9.7531240475464784</v>
      </c>
      <c r="E41" s="37">
        <v>0.15</v>
      </c>
      <c r="F41" s="37">
        <v>0.6</v>
      </c>
      <c r="G41" s="38">
        <f>PRODUCT(C41:F41)</f>
        <v>1.7555623285583659</v>
      </c>
      <c r="H41" s="39"/>
      <c r="I41" s="39"/>
      <c r="J41" s="39"/>
      <c r="K41" s="61"/>
      <c r="N41">
        <f>5.84+1.76</f>
        <v>7.6</v>
      </c>
    </row>
    <row r="42" spans="1:19" ht="15" customHeight="1">
      <c r="A42" s="18"/>
      <c r="B42" s="36" t="s">
        <v>41</v>
      </c>
      <c r="C42" s="35"/>
      <c r="D42" s="37"/>
      <c r="E42" s="37"/>
      <c r="F42" s="37"/>
      <c r="G42" s="33">
        <f>SUM(G41:G41)</f>
        <v>1.7555623285583659</v>
      </c>
      <c r="H42" s="39" t="s">
        <v>85</v>
      </c>
      <c r="I42" s="39">
        <v>1950.4</v>
      </c>
      <c r="J42" s="41">
        <f>G42*I42</f>
        <v>3424.0487656202372</v>
      </c>
      <c r="K42" s="21"/>
    </row>
    <row r="43" spans="1:19" ht="15" customHeight="1">
      <c r="A43" s="18"/>
      <c r="B43" s="36" t="s">
        <v>40</v>
      </c>
      <c r="C43" s="35"/>
      <c r="D43" s="37"/>
      <c r="E43" s="37"/>
      <c r="F43" s="37"/>
      <c r="G43" s="38"/>
      <c r="H43" s="39"/>
      <c r="I43" s="39"/>
      <c r="J43" s="41">
        <f>0.13*J42</f>
        <v>445.12633953063084</v>
      </c>
      <c r="K43" s="21"/>
    </row>
    <row r="44" spans="1:19" ht="15" customHeight="1">
      <c r="A44" s="18"/>
      <c r="B44" s="36"/>
      <c r="C44" s="35"/>
      <c r="D44" s="37"/>
      <c r="E44" s="37"/>
      <c r="F44" s="37"/>
      <c r="G44" s="38"/>
      <c r="H44" s="39"/>
      <c r="I44" s="39"/>
      <c r="J44" s="41"/>
      <c r="K44" s="21"/>
    </row>
    <row r="45" spans="1:19" ht="30.75">
      <c r="A45" s="18">
        <v>7</v>
      </c>
      <c r="B45" s="87" t="s">
        <v>89</v>
      </c>
      <c r="C45" s="19"/>
      <c r="D45" s="20"/>
      <c r="E45" s="21"/>
      <c r="F45" s="21"/>
      <c r="G45" s="23"/>
      <c r="H45" s="22"/>
      <c r="I45" s="23"/>
      <c r="J45" s="40"/>
      <c r="K45" s="21"/>
      <c r="M45" s="88"/>
      <c r="N45" s="1"/>
      <c r="O45" s="1"/>
      <c r="P45" s="1"/>
      <c r="Q45" s="1"/>
      <c r="R45" s="88"/>
      <c r="S45" s="88"/>
    </row>
    <row r="46" spans="1:19" ht="15" customHeight="1">
      <c r="A46" s="18"/>
      <c r="B46" s="36" t="s">
        <v>90</v>
      </c>
      <c r="C46" s="19">
        <v>1</v>
      </c>
      <c r="D46" s="20">
        <f>D64</f>
        <v>9.7531240475464784</v>
      </c>
      <c r="E46" s="21">
        <v>0.4</v>
      </c>
      <c r="F46" s="21">
        <v>0.125</v>
      </c>
      <c r="G46" s="38">
        <f>PRODUCT(C46:F46)</f>
        <v>0.48765620237732393</v>
      </c>
      <c r="H46" s="22"/>
      <c r="I46" s="23"/>
      <c r="J46" s="40"/>
      <c r="K46" s="21"/>
    </row>
    <row r="47" spans="1:19" ht="15" customHeight="1">
      <c r="A47" s="18"/>
      <c r="B47" s="36" t="s">
        <v>41</v>
      </c>
      <c r="C47" s="19"/>
      <c r="D47" s="20"/>
      <c r="E47" s="21"/>
      <c r="F47" s="21"/>
      <c r="G47" s="23">
        <f>SUM(G46:G46)</f>
        <v>0.48765620237732393</v>
      </c>
      <c r="H47" s="22" t="s">
        <v>85</v>
      </c>
      <c r="I47" s="23">
        <v>663.31</v>
      </c>
      <c r="J47" s="40">
        <f>G47*I47</f>
        <v>323.46723559890273</v>
      </c>
      <c r="K47" s="21"/>
    </row>
    <row r="48" spans="1:19" ht="15" customHeight="1">
      <c r="A48" s="18"/>
      <c r="B48" s="36"/>
      <c r="C48" s="19"/>
      <c r="D48" s="20"/>
      <c r="E48" s="21"/>
      <c r="F48" s="21"/>
      <c r="G48" s="23"/>
      <c r="H48" s="22"/>
      <c r="I48" s="23"/>
      <c r="J48" s="40"/>
      <c r="K48" s="21"/>
    </row>
    <row r="49" spans="1:20">
      <c r="A49" s="18">
        <v>8</v>
      </c>
      <c r="B49" s="89" t="s">
        <v>91</v>
      </c>
      <c r="C49" s="19"/>
      <c r="D49" s="20"/>
      <c r="E49" s="21"/>
      <c r="F49" s="21"/>
      <c r="G49" s="23"/>
      <c r="H49" s="22"/>
      <c r="I49" s="23"/>
      <c r="J49" s="40"/>
      <c r="K49" s="21"/>
    </row>
    <row r="50" spans="1:20" ht="15" customHeight="1">
      <c r="A50" s="18"/>
      <c r="B50" s="36" t="str">
        <f>B46</f>
        <v>-at drain wall base</v>
      </c>
      <c r="C50" s="19">
        <f>C46</f>
        <v>1</v>
      </c>
      <c r="D50" s="20">
        <f>D46</f>
        <v>9.7531240475464784</v>
      </c>
      <c r="E50" s="21">
        <f>E46+0.3</f>
        <v>0.7</v>
      </c>
      <c r="F50" s="21"/>
      <c r="G50" s="38">
        <f>PRODUCT(C50:F50)</f>
        <v>6.8271868332825347</v>
      </c>
      <c r="H50" s="22"/>
      <c r="I50" s="23"/>
      <c r="J50" s="40"/>
      <c r="K50" s="21"/>
    </row>
    <row r="51" spans="1:20" ht="15" customHeight="1">
      <c r="A51" s="18"/>
      <c r="B51" s="36" t="s">
        <v>155</v>
      </c>
      <c r="C51" s="19">
        <v>1</v>
      </c>
      <c r="D51" s="20">
        <f>D19</f>
        <v>6.55</v>
      </c>
      <c r="E51" s="21">
        <f>E19</f>
        <v>0.23</v>
      </c>
      <c r="F51" s="21"/>
      <c r="G51" s="38">
        <f>PRODUCT(C51:F51)</f>
        <v>1.5065</v>
      </c>
      <c r="H51" s="22"/>
      <c r="I51" s="23"/>
      <c r="J51" s="40"/>
      <c r="K51" s="21"/>
    </row>
    <row r="52" spans="1:20" ht="15" customHeight="1">
      <c r="A52" s="18"/>
      <c r="B52" s="36" t="str">
        <f>B87</f>
        <v>-at entrance</v>
      </c>
      <c r="C52" s="19">
        <f t="shared" ref="C52:E52" si="2">C87</f>
        <v>1</v>
      </c>
      <c r="D52" s="147">
        <f t="shared" si="2"/>
        <v>1.95</v>
      </c>
      <c r="E52" s="147">
        <f t="shared" si="2"/>
        <v>1</v>
      </c>
      <c r="F52" s="36"/>
      <c r="G52" s="38">
        <f>PRODUCT(C52:F52)</f>
        <v>1.95</v>
      </c>
      <c r="H52" s="22"/>
      <c r="I52" s="23"/>
      <c r="J52" s="40"/>
      <c r="K52" s="21"/>
    </row>
    <row r="53" spans="1:20" ht="15" customHeight="1">
      <c r="A53" s="18"/>
      <c r="B53" s="36" t="s">
        <v>41</v>
      </c>
      <c r="C53" s="19"/>
      <c r="D53" s="20"/>
      <c r="E53" s="21"/>
      <c r="F53" s="21"/>
      <c r="G53" s="23">
        <f>SUM(G50:G52)</f>
        <v>10.283686833282534</v>
      </c>
      <c r="H53" s="22" t="s">
        <v>43</v>
      </c>
      <c r="I53" s="23">
        <v>1014.97</v>
      </c>
      <c r="J53" s="40">
        <f>G53*I53</f>
        <v>10437.633625176773</v>
      </c>
      <c r="K53" s="21"/>
    </row>
    <row r="54" spans="1:20" ht="15" customHeight="1">
      <c r="A54" s="18"/>
      <c r="B54" s="36" t="s">
        <v>40</v>
      </c>
      <c r="C54" s="19"/>
      <c r="D54" s="20"/>
      <c r="E54" s="21"/>
      <c r="F54" s="21"/>
      <c r="G54" s="23"/>
      <c r="H54" s="22"/>
      <c r="I54" s="23"/>
      <c r="J54" s="40">
        <f>0.13*G53*8617.2/10</f>
        <v>1152.0156203369095</v>
      </c>
      <c r="K54" s="21"/>
    </row>
    <row r="55" spans="1:20" ht="15" customHeight="1">
      <c r="A55" s="18"/>
      <c r="B55" s="36"/>
      <c r="C55" s="19"/>
      <c r="D55" s="20"/>
      <c r="E55" s="21"/>
      <c r="F55" s="21"/>
      <c r="G55" s="23"/>
      <c r="H55" s="22"/>
      <c r="I55" s="23"/>
      <c r="J55" s="40"/>
      <c r="K55" s="21"/>
    </row>
    <row r="56" spans="1:20" ht="30">
      <c r="A56" s="18">
        <v>9</v>
      </c>
      <c r="B56" s="89" t="s">
        <v>92</v>
      </c>
      <c r="C56" s="19"/>
      <c r="D56" s="20"/>
      <c r="E56" s="21"/>
      <c r="F56" s="21"/>
      <c r="G56" s="23"/>
      <c r="H56" s="22"/>
      <c r="I56" s="23"/>
      <c r="J56" s="40"/>
      <c r="K56" s="21"/>
    </row>
    <row r="57" spans="1:20" ht="15" customHeight="1">
      <c r="A57" s="18"/>
      <c r="B57" s="36" t="str">
        <f>B50</f>
        <v>-at drain wall base</v>
      </c>
      <c r="C57" s="19">
        <f>C50</f>
        <v>1</v>
      </c>
      <c r="D57" s="20">
        <f>D50</f>
        <v>9.7531240475464784</v>
      </c>
      <c r="E57" s="21">
        <f>E50</f>
        <v>0.7</v>
      </c>
      <c r="F57" s="21">
        <v>0.1</v>
      </c>
      <c r="G57" s="38">
        <f>PRODUCT(C57:F57)</f>
        <v>0.68271868332825347</v>
      </c>
      <c r="H57" s="22"/>
      <c r="I57" s="23"/>
      <c r="J57" s="40"/>
      <c r="K57" s="21"/>
    </row>
    <row r="58" spans="1:20" ht="15" customHeight="1">
      <c r="A58" s="18"/>
      <c r="B58" s="36" t="str">
        <f>B51</f>
        <v>-at one side drain</v>
      </c>
      <c r="C58" s="19">
        <f>C51</f>
        <v>1</v>
      </c>
      <c r="D58" s="20">
        <f>D51</f>
        <v>6.55</v>
      </c>
      <c r="E58" s="21">
        <f>E51+0.3</f>
        <v>0.53</v>
      </c>
      <c r="F58" s="21">
        <v>7.4999999999999997E-2</v>
      </c>
      <c r="G58" s="38">
        <f>PRODUCT(C58:F58)</f>
        <v>0.2603625</v>
      </c>
      <c r="H58" s="22"/>
      <c r="I58" s="23"/>
      <c r="J58" s="40"/>
      <c r="K58" s="21"/>
    </row>
    <row r="59" spans="1:20" ht="15" customHeight="1">
      <c r="A59" s="18"/>
      <c r="B59" s="36" t="str">
        <f>B18</f>
        <v>-at roof</v>
      </c>
      <c r="C59" s="19">
        <f>C18</f>
        <v>1</v>
      </c>
      <c r="D59" s="20">
        <f>D18</f>
        <v>18</v>
      </c>
      <c r="E59" s="21">
        <f>E18</f>
        <v>0.23</v>
      </c>
      <c r="F59" s="21">
        <v>0.05</v>
      </c>
      <c r="G59" s="38">
        <f>PRODUCT(C59:F59)</f>
        <v>0.20700000000000005</v>
      </c>
      <c r="H59" s="22"/>
      <c r="I59" s="23"/>
      <c r="J59" s="40"/>
      <c r="K59" s="21"/>
    </row>
    <row r="60" spans="1:20" ht="15" customHeight="1">
      <c r="A60" s="18"/>
      <c r="B60" s="36" t="s">
        <v>41</v>
      </c>
      <c r="C60" s="19"/>
      <c r="D60" s="20"/>
      <c r="E60" s="21"/>
      <c r="F60" s="21"/>
      <c r="G60" s="23">
        <f>SUM(G57:G59)</f>
        <v>1.1500811833282536</v>
      </c>
      <c r="H60" s="22" t="s">
        <v>85</v>
      </c>
      <c r="I60" s="23">
        <v>12983.1</v>
      </c>
      <c r="J60" s="40">
        <f>G60*I60</f>
        <v>14931.619011269049</v>
      </c>
      <c r="K60" s="21"/>
    </row>
    <row r="61" spans="1:20" ht="15" customHeight="1">
      <c r="A61" s="18"/>
      <c r="B61" s="36" t="s">
        <v>40</v>
      </c>
      <c r="C61" s="19"/>
      <c r="D61" s="20"/>
      <c r="E61" s="21"/>
      <c r="F61" s="21"/>
      <c r="G61" s="23"/>
      <c r="H61" s="22"/>
      <c r="I61" s="23"/>
      <c r="J61" s="40">
        <f>0.13*G60*8078.11</f>
        <v>1207.7627000212537</v>
      </c>
      <c r="K61" s="21"/>
    </row>
    <row r="62" spans="1:20">
      <c r="A62" s="18"/>
      <c r="B62" s="89"/>
      <c r="C62" s="19"/>
      <c r="D62" s="20"/>
      <c r="E62" s="21"/>
      <c r="F62" s="21"/>
      <c r="G62" s="23"/>
      <c r="H62" s="22"/>
      <c r="I62" s="23"/>
      <c r="J62" s="40"/>
      <c r="K62" s="21"/>
    </row>
    <row r="63" spans="1:20" ht="39.75">
      <c r="A63" s="18">
        <v>10</v>
      </c>
      <c r="B63" s="60" t="s">
        <v>88</v>
      </c>
      <c r="C63" s="35"/>
      <c r="D63" s="37"/>
      <c r="E63" s="37"/>
      <c r="F63" s="37"/>
      <c r="G63" s="38"/>
      <c r="H63" s="39"/>
      <c r="I63" s="39"/>
      <c r="J63" s="41"/>
      <c r="K63" s="21"/>
      <c r="N63" s="66" t="s">
        <v>49</v>
      </c>
      <c r="O63" s="66"/>
      <c r="P63" s="66"/>
      <c r="Q63" s="66"/>
      <c r="R63" s="66"/>
      <c r="S63" s="66"/>
      <c r="T63" s="66"/>
    </row>
    <row r="64" spans="1:20" ht="15" customHeight="1">
      <c r="A64" s="18"/>
      <c r="B64" s="36" t="s">
        <v>84</v>
      </c>
      <c r="C64" s="35">
        <v>2</v>
      </c>
      <c r="D64" s="37">
        <f>(18+14)/3.281</f>
        <v>9.7531240475464784</v>
      </c>
      <c r="E64" s="37">
        <v>0.15</v>
      </c>
      <c r="F64" s="37">
        <v>0.6</v>
      </c>
      <c r="G64" s="38">
        <f>PRODUCT(C64:F64)</f>
        <v>1.7555623285583659</v>
      </c>
      <c r="H64" s="39"/>
      <c r="I64" s="39"/>
      <c r="J64" s="39"/>
      <c r="K64" s="61"/>
      <c r="N64" s="171" t="s">
        <v>87</v>
      </c>
      <c r="O64" s="171"/>
      <c r="P64" s="171"/>
      <c r="Q64" s="171"/>
      <c r="R64" s="171"/>
      <c r="S64" s="171"/>
      <c r="T64" s="171"/>
    </row>
    <row r="65" spans="1:20" ht="15" customHeight="1">
      <c r="A65" s="18"/>
      <c r="B65" s="36" t="s">
        <v>41</v>
      </c>
      <c r="C65" s="35"/>
      <c r="D65" s="37"/>
      <c r="E65" s="37"/>
      <c r="F65" s="37"/>
      <c r="G65" s="33">
        <f>SUM(G64:G64)</f>
        <v>1.7555623285583659</v>
      </c>
      <c r="H65" s="39" t="s">
        <v>85</v>
      </c>
      <c r="I65" s="39">
        <v>8569.2999999999993</v>
      </c>
      <c r="J65" s="41">
        <f>G65*I65</f>
        <v>15043.940262115204</v>
      </c>
      <c r="K65" s="21"/>
    </row>
    <row r="66" spans="1:20" ht="15" customHeight="1">
      <c r="A66" s="18"/>
      <c r="B66" s="36" t="s">
        <v>40</v>
      </c>
      <c r="C66" s="35"/>
      <c r="D66" s="37"/>
      <c r="E66" s="37"/>
      <c r="F66" s="37"/>
      <c r="G66" s="38"/>
      <c r="H66" s="39"/>
      <c r="I66" s="39"/>
      <c r="J66" s="41">
        <f>0.13*G65*5504.3/9</f>
        <v>139.57871380676622</v>
      </c>
      <c r="K66" s="21"/>
    </row>
    <row r="67" spans="1:20" ht="15" customHeight="1">
      <c r="A67" s="18"/>
      <c r="B67" s="36"/>
      <c r="C67" s="35"/>
      <c r="D67" s="37"/>
      <c r="E67" s="37"/>
      <c r="F67" s="37"/>
      <c r="G67" s="38"/>
      <c r="H67" s="39"/>
      <c r="I67" s="39"/>
      <c r="J67" s="41"/>
      <c r="K67" s="21"/>
      <c r="N67">
        <f>9.75/0.75</f>
        <v>13</v>
      </c>
    </row>
    <row r="68" spans="1:20" ht="30">
      <c r="A68" s="18">
        <v>11</v>
      </c>
      <c r="B68" s="89" t="s">
        <v>93</v>
      </c>
      <c r="C68" s="19" t="s">
        <v>7</v>
      </c>
      <c r="D68" s="90" t="s">
        <v>94</v>
      </c>
      <c r="E68" s="91" t="s">
        <v>95</v>
      </c>
      <c r="F68" s="91" t="s">
        <v>96</v>
      </c>
      <c r="G68" s="91" t="s">
        <v>97</v>
      </c>
      <c r="H68" s="22"/>
      <c r="I68" s="23"/>
      <c r="J68" s="40"/>
      <c r="K68" s="21"/>
    </row>
    <row r="69" spans="1:20" ht="15" customHeight="1">
      <c r="A69" s="18"/>
      <c r="B69" s="36" t="s">
        <v>99</v>
      </c>
      <c r="C69" s="19">
        <f>TRUNC((D70-0.1)/0.15,0)+1</f>
        <v>5</v>
      </c>
      <c r="D69" s="20">
        <v>0.75</v>
      </c>
      <c r="E69" s="21">
        <f>8*8/162</f>
        <v>0.39506172839506171</v>
      </c>
      <c r="F69" s="21">
        <f>PRODUCT(C69:E69)</f>
        <v>1.4814814814814814</v>
      </c>
      <c r="G69" s="92">
        <f>F69/1000</f>
        <v>1.4814814814814814E-3</v>
      </c>
      <c r="H69" s="22"/>
      <c r="I69" s="23"/>
      <c r="J69" s="40"/>
      <c r="K69" s="21"/>
    </row>
    <row r="70" spans="1:20" ht="15" customHeight="1">
      <c r="A70" s="18"/>
      <c r="B70" s="36"/>
      <c r="C70" s="19">
        <f>13*(TRUNC((D69-0.1)/0.15,0)+1)</f>
        <v>65</v>
      </c>
      <c r="D70" s="20">
        <v>0.7</v>
      </c>
      <c r="E70" s="21">
        <f>8*8/162</f>
        <v>0.39506172839506171</v>
      </c>
      <c r="F70" s="21">
        <f>PRODUCT(C70:E70)</f>
        <v>17.975308641975307</v>
      </c>
      <c r="G70" s="92">
        <f>F70/1000</f>
        <v>1.7975308641975305E-2</v>
      </c>
      <c r="H70" s="22"/>
      <c r="I70" s="23"/>
      <c r="J70" s="40"/>
      <c r="K70" s="21"/>
    </row>
    <row r="71" spans="1:20" ht="15" customHeight="1">
      <c r="A71" s="18"/>
      <c r="B71" s="36"/>
      <c r="C71" s="19">
        <f>TRUNC((D72-0.1)/0.15,0)+1</f>
        <v>5</v>
      </c>
      <c r="D71" s="20">
        <v>0.9</v>
      </c>
      <c r="E71" s="21">
        <f>8*8/162</f>
        <v>0.39506172839506171</v>
      </c>
      <c r="F71" s="21">
        <f>PRODUCT(C71:E71)</f>
        <v>1.7777777777777777</v>
      </c>
      <c r="G71" s="92">
        <f>F71/1000</f>
        <v>1.7777777777777776E-3</v>
      </c>
      <c r="H71" s="22"/>
      <c r="I71" s="23"/>
      <c r="J71" s="40"/>
      <c r="K71" s="21"/>
    </row>
    <row r="72" spans="1:20" ht="15" customHeight="1">
      <c r="A72" s="18"/>
      <c r="B72" s="36"/>
      <c r="C72" s="19">
        <f>(TRUNC((D71-0.1)/0.15,0)+1)</f>
        <v>6</v>
      </c>
      <c r="D72" s="20">
        <f>2.75/3.281</f>
        <v>0.8381590978360256</v>
      </c>
      <c r="E72" s="21">
        <f>8*8/162</f>
        <v>0.39506172839506171</v>
      </c>
      <c r="F72" s="21">
        <f>PRODUCT(C72:E72)</f>
        <v>1.9867474911668754</v>
      </c>
      <c r="G72" s="92">
        <f>F72/1000</f>
        <v>1.9867474911668755E-3</v>
      </c>
      <c r="H72" s="22"/>
      <c r="I72" s="23"/>
      <c r="J72" s="40"/>
      <c r="K72" s="21"/>
    </row>
    <row r="73" spans="1:20" ht="15" customHeight="1">
      <c r="A73" s="18"/>
      <c r="B73" s="36" t="s">
        <v>41</v>
      </c>
      <c r="C73" s="19"/>
      <c r="D73" s="20"/>
      <c r="E73" s="21"/>
      <c r="F73" s="21"/>
      <c r="G73" s="23">
        <f>SUM(G69:G72)</f>
        <v>2.3221315392401441E-2</v>
      </c>
      <c r="H73" s="22" t="s">
        <v>98</v>
      </c>
      <c r="I73" s="23">
        <v>131940</v>
      </c>
      <c r="J73" s="40">
        <f>G73*I73</f>
        <v>3063.8203528734462</v>
      </c>
      <c r="K73" s="21"/>
    </row>
    <row r="74" spans="1:20" ht="15" customHeight="1">
      <c r="A74" s="18"/>
      <c r="B74" s="36" t="s">
        <v>40</v>
      </c>
      <c r="C74" s="19"/>
      <c r="D74" s="20"/>
      <c r="E74" s="21"/>
      <c r="F74" s="21"/>
      <c r="G74" s="23"/>
      <c r="H74" s="22"/>
      <c r="I74" s="23"/>
      <c r="J74" s="40">
        <f>0.13*G73*106200</f>
        <v>320.5934803074943</v>
      </c>
      <c r="K74" s="21"/>
    </row>
    <row r="75" spans="1:20" ht="15" customHeight="1">
      <c r="A75" s="18"/>
      <c r="B75" s="36"/>
      <c r="C75" s="19"/>
      <c r="D75" s="20"/>
      <c r="E75" s="21"/>
      <c r="F75" s="21"/>
      <c r="G75" s="23"/>
      <c r="H75" s="22"/>
      <c r="I75" s="23"/>
      <c r="J75" s="40"/>
      <c r="K75" s="21"/>
    </row>
    <row r="76" spans="1:20" ht="30">
      <c r="A76" s="18">
        <v>12</v>
      </c>
      <c r="B76" s="89" t="s">
        <v>100</v>
      </c>
      <c r="C76" s="19"/>
      <c r="D76" s="20"/>
      <c r="E76" s="21"/>
      <c r="F76" s="21"/>
      <c r="G76" s="23"/>
      <c r="H76" s="22"/>
      <c r="I76" s="23"/>
      <c r="J76" s="40"/>
      <c r="K76" s="21"/>
    </row>
    <row r="77" spans="1:20" ht="15" customHeight="1">
      <c r="A77" s="18"/>
      <c r="B77" s="36" t="s">
        <v>101</v>
      </c>
      <c r="C77" s="35">
        <f>2*13</f>
        <v>26</v>
      </c>
      <c r="D77" s="37">
        <v>0.75</v>
      </c>
      <c r="E77" s="37"/>
      <c r="F77" s="37">
        <v>0.1</v>
      </c>
      <c r="G77" s="38">
        <f>PRODUCT(C77:F77)</f>
        <v>1.9500000000000002</v>
      </c>
      <c r="H77" s="39"/>
      <c r="I77" s="39"/>
      <c r="J77" s="39"/>
      <c r="K77" s="61"/>
      <c r="N77" s="171" t="s">
        <v>87</v>
      </c>
      <c r="O77" s="171"/>
      <c r="P77" s="171"/>
      <c r="Q77" s="171"/>
      <c r="R77" s="171"/>
      <c r="S77" s="171"/>
      <c r="T77" s="171"/>
    </row>
    <row r="78" spans="1:20" ht="15" customHeight="1">
      <c r="A78" s="18"/>
      <c r="B78" s="36"/>
      <c r="C78" s="35">
        <f>2*13</f>
        <v>26</v>
      </c>
      <c r="D78" s="37">
        <v>0.7</v>
      </c>
      <c r="E78" s="37"/>
      <c r="F78" s="37">
        <v>0.1</v>
      </c>
      <c r="G78" s="38">
        <f>PRODUCT(C78:F78)</f>
        <v>1.82</v>
      </c>
      <c r="H78" s="39"/>
      <c r="I78" s="39"/>
      <c r="J78" s="39"/>
      <c r="K78" s="61"/>
      <c r="N78" s="145"/>
      <c r="O78" s="145"/>
      <c r="P78" s="145"/>
      <c r="Q78" s="145"/>
      <c r="R78" s="145"/>
      <c r="S78" s="145"/>
      <c r="T78" s="145"/>
    </row>
    <row r="79" spans="1:20" ht="15" customHeight="1">
      <c r="A79" s="18"/>
      <c r="B79" s="36"/>
      <c r="C79" s="35">
        <v>2</v>
      </c>
      <c r="D79" s="37">
        <v>0.9</v>
      </c>
      <c r="E79" s="37"/>
      <c r="F79" s="37">
        <v>0.1</v>
      </c>
      <c r="G79" s="38">
        <f t="shared" ref="G79:G80" si="3">PRODUCT(C79:F79)</f>
        <v>0.18000000000000002</v>
      </c>
      <c r="H79" s="39"/>
      <c r="I79" s="39"/>
      <c r="J79" s="39"/>
      <c r="K79" s="61"/>
      <c r="N79" s="145"/>
      <c r="O79" s="145"/>
      <c r="P79" s="145"/>
      <c r="Q79" s="145"/>
      <c r="R79" s="145"/>
      <c r="S79" s="145"/>
      <c r="T79" s="145"/>
    </row>
    <row r="80" spans="1:20" ht="15" customHeight="1">
      <c r="A80" s="18"/>
      <c r="B80" s="36"/>
      <c r="C80" s="35">
        <v>2</v>
      </c>
      <c r="D80" s="37">
        <f>2.75/3.281</f>
        <v>0.8381590978360256</v>
      </c>
      <c r="E80" s="37"/>
      <c r="F80" s="37">
        <v>0.1</v>
      </c>
      <c r="G80" s="38">
        <f t="shared" si="3"/>
        <v>0.16763181956720513</v>
      </c>
      <c r="H80" s="39"/>
      <c r="I80" s="39"/>
      <c r="J80" s="39"/>
      <c r="K80" s="61"/>
      <c r="N80" s="145"/>
      <c r="O80" s="145"/>
      <c r="P80" s="145"/>
      <c r="Q80" s="145"/>
      <c r="R80" s="145"/>
      <c r="S80" s="145"/>
      <c r="T80" s="145"/>
    </row>
    <row r="81" spans="1:20" ht="15" customHeight="1">
      <c r="A81" s="18"/>
      <c r="B81" s="36" t="s">
        <v>41</v>
      </c>
      <c r="C81" s="35"/>
      <c r="D81" s="37"/>
      <c r="E81" s="37"/>
      <c r="F81" s="37"/>
      <c r="G81" s="33">
        <f>SUM(G77:G80)</f>
        <v>4.1176318195672055</v>
      </c>
      <c r="H81" s="39" t="s">
        <v>43</v>
      </c>
      <c r="I81" s="23">
        <f>81404.27/100</f>
        <v>814.04270000000008</v>
      </c>
      <c r="J81" s="41">
        <f>G81*I81</f>
        <v>3351.928124006401</v>
      </c>
      <c r="K81" s="21"/>
    </row>
    <row r="82" spans="1:20" ht="15" customHeight="1">
      <c r="A82" s="18"/>
      <c r="B82" s="36" t="s">
        <v>40</v>
      </c>
      <c r="C82" s="35"/>
      <c r="D82" s="37"/>
      <c r="E82" s="37"/>
      <c r="F82" s="37"/>
      <c r="G82" s="38"/>
      <c r="H82" s="39"/>
      <c r="I82" s="39"/>
      <c r="J82" s="41">
        <f>0.13*G81*36690.27/100</f>
        <v>196.40013018666568</v>
      </c>
      <c r="K82" s="21"/>
    </row>
    <row r="83" spans="1:20" ht="15" customHeight="1">
      <c r="A83" s="18"/>
      <c r="B83" s="36"/>
      <c r="C83" s="35"/>
      <c r="D83" s="37"/>
      <c r="E83" s="37"/>
      <c r="F83" s="37"/>
      <c r="G83" s="38"/>
      <c r="H83" s="39"/>
      <c r="I83" s="39"/>
      <c r="J83" s="41"/>
      <c r="K83" s="21"/>
    </row>
    <row r="84" spans="1:20" ht="30">
      <c r="A84" s="18">
        <v>13</v>
      </c>
      <c r="B84" s="89" t="s">
        <v>119</v>
      </c>
      <c r="C84" s="35"/>
      <c r="D84" s="37"/>
      <c r="E84" s="37"/>
      <c r="F84" s="37"/>
      <c r="G84" s="38"/>
      <c r="H84" s="39"/>
      <c r="I84" s="39"/>
      <c r="J84" s="41"/>
      <c r="K84" s="21"/>
      <c r="N84">
        <f>9.75/0.75</f>
        <v>13</v>
      </c>
    </row>
    <row r="85" spans="1:20" ht="15" customHeight="1">
      <c r="A85" s="18"/>
      <c r="B85" s="36" t="s">
        <v>120</v>
      </c>
      <c r="C85" s="35">
        <v>1</v>
      </c>
      <c r="D85" s="37">
        <f>D64</f>
        <v>9.7531240475464784</v>
      </c>
      <c r="E85" s="37">
        <f>0.7</f>
        <v>0.7</v>
      </c>
      <c r="F85" s="37">
        <v>0.1</v>
      </c>
      <c r="G85" s="38">
        <f>PRODUCT(C85:F85)</f>
        <v>0.68271868332825347</v>
      </c>
      <c r="H85" s="39"/>
      <c r="I85" s="39"/>
      <c r="J85" s="39"/>
      <c r="K85" s="61"/>
      <c r="N85" s="171" t="s">
        <v>87</v>
      </c>
      <c r="O85" s="171"/>
      <c r="P85" s="171"/>
      <c r="Q85" s="171"/>
      <c r="R85" s="171"/>
      <c r="S85" s="171"/>
      <c r="T85" s="171"/>
    </row>
    <row r="86" spans="1:20" ht="15" customHeight="1">
      <c r="A86" s="18"/>
      <c r="B86" s="36"/>
      <c r="C86" s="35">
        <v>1</v>
      </c>
      <c r="D86" s="37">
        <v>0.9</v>
      </c>
      <c r="E86" s="37">
        <f>2.75/3.281</f>
        <v>0.8381590978360256</v>
      </c>
      <c r="F86" s="37">
        <v>0.1</v>
      </c>
      <c r="G86" s="38">
        <f t="shared" ref="G86:G87" si="4">PRODUCT(C86:F86)</f>
        <v>7.5434318805242317E-2</v>
      </c>
      <c r="H86" s="39"/>
      <c r="I86" s="39"/>
      <c r="J86" s="39"/>
      <c r="K86" s="61"/>
      <c r="N86" s="145"/>
      <c r="O86" s="145"/>
      <c r="P86" s="145"/>
      <c r="Q86" s="145"/>
      <c r="R86" s="145"/>
      <c r="S86" s="145"/>
      <c r="T86" s="145"/>
    </row>
    <row r="87" spans="1:20" ht="15" customHeight="1">
      <c r="A87" s="18"/>
      <c r="B87" s="36" t="s">
        <v>159</v>
      </c>
      <c r="C87" s="35">
        <v>1</v>
      </c>
      <c r="D87" s="37">
        <v>1.95</v>
      </c>
      <c r="E87" s="37">
        <v>1</v>
      </c>
      <c r="F87" s="37">
        <v>0.1</v>
      </c>
      <c r="G87" s="38">
        <f t="shared" si="4"/>
        <v>0.19500000000000001</v>
      </c>
      <c r="H87" s="39"/>
      <c r="I87" s="39"/>
      <c r="J87" s="39"/>
      <c r="K87" s="61"/>
      <c r="N87" s="145"/>
      <c r="O87" s="145"/>
      <c r="P87" s="145"/>
      <c r="Q87" s="145"/>
      <c r="R87" s="145"/>
      <c r="S87" s="145"/>
      <c r="T87" s="145"/>
    </row>
    <row r="88" spans="1:20" ht="15" customHeight="1">
      <c r="A88" s="18"/>
      <c r="B88" s="36" t="s">
        <v>41</v>
      </c>
      <c r="C88" s="35"/>
      <c r="D88" s="37"/>
      <c r="E88" s="37"/>
      <c r="F88" s="37"/>
      <c r="G88" s="33">
        <f>SUM(G85:G87)</f>
        <v>0.95315300213349574</v>
      </c>
      <c r="H88" s="39" t="s">
        <v>85</v>
      </c>
      <c r="I88" s="23">
        <v>13568.9</v>
      </c>
      <c r="J88" s="41">
        <f>G88*I88</f>
        <v>12933.23777064919</v>
      </c>
      <c r="K88" s="21"/>
    </row>
    <row r="89" spans="1:20" ht="15" customHeight="1">
      <c r="A89" s="18"/>
      <c r="B89" s="36" t="s">
        <v>40</v>
      </c>
      <c r="C89" s="35"/>
      <c r="D89" s="37"/>
      <c r="E89" s="37"/>
      <c r="F89" s="37"/>
      <c r="G89" s="38"/>
      <c r="H89" s="39"/>
      <c r="I89" s="39"/>
      <c r="J89" s="41">
        <f>0.13*G88*9524.2</f>
        <v>1180.1425769795794</v>
      </c>
      <c r="K89" s="21"/>
    </row>
    <row r="90" spans="1:20" ht="15" customHeight="1">
      <c r="A90" s="18"/>
      <c r="B90" s="36"/>
      <c r="C90" s="35"/>
      <c r="D90" s="37"/>
      <c r="E90" s="37"/>
      <c r="F90" s="37"/>
      <c r="G90" s="38"/>
      <c r="H90" s="39"/>
      <c r="I90" s="39"/>
      <c r="J90" s="41"/>
      <c r="K90" s="21"/>
    </row>
    <row r="91" spans="1:20" ht="30.75">
      <c r="A91" s="18">
        <v>14</v>
      </c>
      <c r="B91" s="121" t="s">
        <v>121</v>
      </c>
      <c r="C91" s="19" t="s">
        <v>7</v>
      </c>
      <c r="D91" s="90" t="s">
        <v>94</v>
      </c>
      <c r="E91" s="91" t="s">
        <v>95</v>
      </c>
      <c r="F91" s="91" t="s">
        <v>96</v>
      </c>
      <c r="G91" s="91" t="s">
        <v>124</v>
      </c>
      <c r="H91" s="22"/>
      <c r="I91" s="23"/>
      <c r="J91" s="40"/>
      <c r="K91" s="21"/>
    </row>
    <row r="92" spans="1:20">
      <c r="A92" s="122"/>
      <c r="B92" s="126" t="s">
        <v>123</v>
      </c>
      <c r="C92" s="124">
        <v>6</v>
      </c>
      <c r="D92" s="12">
        <f>(2.5+2+2.5)/12/3.281</f>
        <v>0.17779132378339937</v>
      </c>
      <c r="E92" s="12">
        <v>0.8</v>
      </c>
      <c r="F92" s="21">
        <f>PRODUCT(C92:E92)</f>
        <v>0.85339835416031706</v>
      </c>
      <c r="G92" s="92">
        <f>F92</f>
        <v>0.85339835416031706</v>
      </c>
      <c r="H92" s="122"/>
      <c r="I92" s="125"/>
      <c r="J92" s="125"/>
      <c r="K92" s="123"/>
    </row>
    <row r="93" spans="1:20">
      <c r="A93" s="122"/>
      <c r="B93" s="126"/>
      <c r="C93" s="124">
        <v>2</v>
      </c>
      <c r="D93" s="12">
        <f>1.6+5.6</f>
        <v>7.1999999999999993</v>
      </c>
      <c r="E93" s="12">
        <v>0.8</v>
      </c>
      <c r="F93" s="21">
        <f>PRODUCT(C93:E93)</f>
        <v>11.52</v>
      </c>
      <c r="G93" s="92">
        <f>F93</f>
        <v>11.52</v>
      </c>
      <c r="H93" s="122"/>
      <c r="I93" s="125"/>
      <c r="J93" s="125"/>
      <c r="K93" s="123"/>
    </row>
    <row r="94" spans="1:20">
      <c r="A94" s="122"/>
      <c r="B94" s="126" t="s">
        <v>135</v>
      </c>
      <c r="C94" s="124">
        <f>TRUNC(D102/0.1,0)</f>
        <v>482</v>
      </c>
      <c r="D94" s="12">
        <f>0.15</f>
        <v>0.15</v>
      </c>
      <c r="E94" s="12">
        <v>0.8</v>
      </c>
      <c r="F94" s="21">
        <f>PRODUCT(C94:E94)</f>
        <v>57.84</v>
      </c>
      <c r="G94" s="92">
        <f>F94</f>
        <v>57.84</v>
      </c>
      <c r="H94" s="122"/>
      <c r="I94" s="125"/>
      <c r="J94" s="125"/>
      <c r="K94" s="123"/>
    </row>
    <row r="95" spans="1:20" s="1" customFormat="1" ht="30">
      <c r="A95" s="122"/>
      <c r="B95" s="127" t="s">
        <v>125</v>
      </c>
      <c r="C95" s="124">
        <v>4</v>
      </c>
      <c r="D95" s="12">
        <f>7.5/3.281</f>
        <v>2.2858884486437061</v>
      </c>
      <c r="E95" s="12">
        <v>2.72</v>
      </c>
      <c r="F95" s="12">
        <f t="shared" ref="F95" si="5">PRODUCT(C95:E95)</f>
        <v>24.870466321243523</v>
      </c>
      <c r="G95" s="128">
        <f t="shared" ref="G95:G103" si="6">F95</f>
        <v>24.870466321243523</v>
      </c>
      <c r="H95" s="125"/>
      <c r="I95" s="125"/>
      <c r="J95" s="125"/>
      <c r="K95" s="123"/>
      <c r="M95" s="129"/>
    </row>
    <row r="96" spans="1:20" s="1" customFormat="1">
      <c r="A96" s="122"/>
      <c r="B96" s="127" t="s">
        <v>161</v>
      </c>
      <c r="C96" s="124">
        <v>5</v>
      </c>
      <c r="D96" s="12">
        <f>7/3.281</f>
        <v>2.1334958854007922</v>
      </c>
      <c r="E96" s="12">
        <v>2.72</v>
      </c>
      <c r="F96" s="12">
        <f t="shared" ref="F96" si="7">PRODUCT(C96:E96)</f>
        <v>29.015544041450777</v>
      </c>
      <c r="G96" s="128">
        <f t="shared" ref="G96" si="8">F96</f>
        <v>29.015544041450777</v>
      </c>
      <c r="H96" s="125"/>
      <c r="I96" s="125"/>
      <c r="J96" s="125"/>
      <c r="K96" s="123"/>
      <c r="M96" s="129"/>
    </row>
    <row r="97" spans="1:13" s="1" customFormat="1" ht="45">
      <c r="A97" s="122"/>
      <c r="B97" s="127" t="s">
        <v>126</v>
      </c>
      <c r="C97" s="124">
        <v>1</v>
      </c>
      <c r="D97" s="12">
        <f>(1.6+5.6)</f>
        <v>7.1999999999999993</v>
      </c>
      <c r="E97" s="12">
        <v>3.87</v>
      </c>
      <c r="F97" s="12">
        <f t="shared" ref="F97:F103" si="9">PRODUCT(C97:E97)</f>
        <v>27.863999999999997</v>
      </c>
      <c r="G97" s="128">
        <f t="shared" si="6"/>
        <v>27.863999999999997</v>
      </c>
      <c r="H97" s="125"/>
      <c r="I97" s="125"/>
      <c r="J97" s="125"/>
      <c r="K97" s="123"/>
      <c r="M97" s="129"/>
    </row>
    <row r="98" spans="1:13" s="1" customFormat="1">
      <c r="A98" s="122"/>
      <c r="B98" s="127"/>
      <c r="C98" s="124">
        <v>4</v>
      </c>
      <c r="D98" s="12">
        <f>(7.333+1)/3.281</f>
        <v>2.5397744590064004</v>
      </c>
      <c r="E98" s="12">
        <v>3.87</v>
      </c>
      <c r="F98" s="12">
        <f t="shared" si="9"/>
        <v>39.315708625419077</v>
      </c>
      <c r="G98" s="128">
        <f t="shared" si="6"/>
        <v>39.315708625419077</v>
      </c>
      <c r="H98" s="125"/>
      <c r="I98" s="125"/>
      <c r="J98" s="125"/>
      <c r="K98" s="123"/>
      <c r="M98" s="129"/>
    </row>
    <row r="99" spans="1:13" s="1" customFormat="1">
      <c r="A99" s="122"/>
      <c r="B99" s="127" t="str">
        <f>B96</f>
        <v>-at compound</v>
      </c>
      <c r="C99" s="124">
        <v>2</v>
      </c>
      <c r="D99" s="12">
        <f>3+3+7.2</f>
        <v>13.2</v>
      </c>
      <c r="E99" s="12">
        <v>3.87</v>
      </c>
      <c r="F99" s="12">
        <f t="shared" si="9"/>
        <v>102.16799999999999</v>
      </c>
      <c r="G99" s="128">
        <f t="shared" ref="G99" si="10">F99</f>
        <v>102.16799999999999</v>
      </c>
      <c r="H99" s="125"/>
      <c r="I99" s="125"/>
      <c r="J99" s="125"/>
      <c r="K99" s="123"/>
      <c r="M99" s="129"/>
    </row>
    <row r="100" spans="1:13" s="1" customFormat="1">
      <c r="A100" s="122"/>
      <c r="B100" s="127"/>
      <c r="C100" s="124">
        <v>5</v>
      </c>
      <c r="D100" s="12">
        <v>1.5</v>
      </c>
      <c r="E100" s="12">
        <v>3.87</v>
      </c>
      <c r="F100" s="12">
        <f t="shared" ref="F100" si="11">PRODUCT(C100:E100)</f>
        <v>29.025000000000002</v>
      </c>
      <c r="G100" s="128">
        <f t="shared" ref="G100" si="12">F100</f>
        <v>29.025000000000002</v>
      </c>
      <c r="H100" s="125"/>
      <c r="I100" s="125"/>
      <c r="J100" s="125"/>
      <c r="K100" s="123"/>
      <c r="M100" s="129"/>
    </row>
    <row r="101" spans="1:13" s="1" customFormat="1" ht="30">
      <c r="A101" s="122"/>
      <c r="B101" s="127" t="s">
        <v>133</v>
      </c>
      <c r="C101" s="124">
        <v>1</v>
      </c>
      <c r="D101" s="12">
        <f>1.6+5.6</f>
        <v>7.1999999999999993</v>
      </c>
      <c r="E101" s="12">
        <v>1.52</v>
      </c>
      <c r="F101" s="12">
        <f t="shared" si="9"/>
        <v>10.943999999999999</v>
      </c>
      <c r="G101" s="128">
        <f t="shared" si="6"/>
        <v>10.943999999999999</v>
      </c>
      <c r="H101" s="125"/>
      <c r="I101" s="125"/>
      <c r="J101" s="125"/>
      <c r="K101" s="123"/>
      <c r="M101" s="129"/>
    </row>
    <row r="102" spans="1:13" s="1" customFormat="1">
      <c r="A102" s="122"/>
      <c r="B102" s="127" t="s">
        <v>134</v>
      </c>
      <c r="C102" s="124">
        <v>2</v>
      </c>
      <c r="D102" s="12">
        <f>5.6+5.92+2.83+1.2+0.85+5.2+6.9+5.8+4.3+6.3+1.5+1.8</f>
        <v>48.199999999999989</v>
      </c>
      <c r="E102" s="12">
        <v>1.52</v>
      </c>
      <c r="F102" s="12">
        <f t="shared" si="9"/>
        <v>146.52799999999996</v>
      </c>
      <c r="G102" s="128">
        <f t="shared" si="6"/>
        <v>146.52799999999996</v>
      </c>
      <c r="H102" s="125"/>
      <c r="I102" s="125"/>
      <c r="J102" s="125"/>
      <c r="K102" s="123"/>
      <c r="M102" s="129"/>
    </row>
    <row r="103" spans="1:13" s="1" customFormat="1">
      <c r="A103" s="122"/>
      <c r="B103" s="127" t="s">
        <v>136</v>
      </c>
      <c r="C103" s="124">
        <f>C94</f>
        <v>482</v>
      </c>
      <c r="D103" s="12">
        <f>2.5/3.281</f>
        <v>0.76196281621456874</v>
      </c>
      <c r="E103" s="12">
        <v>1.1299999999999999</v>
      </c>
      <c r="F103" s="12">
        <f t="shared" si="9"/>
        <v>415.01066747942701</v>
      </c>
      <c r="G103" s="128">
        <f t="shared" si="6"/>
        <v>415.01066747942701</v>
      </c>
      <c r="H103" s="125"/>
      <c r="I103" s="125"/>
      <c r="J103" s="125"/>
      <c r="K103" s="123"/>
      <c r="M103" s="129"/>
    </row>
    <row r="104" spans="1:13" ht="15" customHeight="1">
      <c r="A104" s="18"/>
      <c r="B104" s="36" t="s">
        <v>41</v>
      </c>
      <c r="C104" s="19"/>
      <c r="D104" s="20"/>
      <c r="E104" s="21"/>
      <c r="F104" s="21"/>
      <c r="G104" s="23">
        <f>SUM(G92:G103)</f>
        <v>894.95478482170074</v>
      </c>
      <c r="H104" s="22" t="s">
        <v>122</v>
      </c>
      <c r="I104" s="23">
        <v>181.17</v>
      </c>
      <c r="J104" s="40">
        <f>G104*I104</f>
        <v>162138.9583661475</v>
      </c>
      <c r="K104" s="21"/>
    </row>
    <row r="105" spans="1:13" ht="15" customHeight="1">
      <c r="A105" s="18"/>
      <c r="B105" s="36" t="s">
        <v>40</v>
      </c>
      <c r="C105" s="19"/>
      <c r="D105" s="20"/>
      <c r="E105" s="21"/>
      <c r="F105" s="21"/>
      <c r="G105" s="23"/>
      <c r="H105" s="22"/>
      <c r="I105" s="23"/>
      <c r="J105" s="40">
        <f>0.13*G104*1871.42/18.94</f>
        <v>11495.708386664917</v>
      </c>
      <c r="K105" s="21"/>
    </row>
    <row r="106" spans="1:13" ht="15" customHeight="1">
      <c r="A106" s="18"/>
      <c r="B106" s="36"/>
      <c r="C106" s="19"/>
      <c r="D106" s="20"/>
      <c r="E106" s="21"/>
      <c r="F106" s="21"/>
      <c r="G106" s="23"/>
      <c r="H106" s="22"/>
      <c r="I106" s="23"/>
      <c r="J106" s="40"/>
      <c r="K106" s="21"/>
    </row>
    <row r="107" spans="1:13" s="1" customFormat="1" ht="30">
      <c r="A107" s="18">
        <v>15</v>
      </c>
      <c r="B107" s="130" t="s">
        <v>127</v>
      </c>
      <c r="C107" s="19"/>
      <c r="D107" s="20"/>
      <c r="E107" s="21"/>
      <c r="F107" s="21"/>
      <c r="G107" s="125"/>
      <c r="H107" s="22"/>
      <c r="I107" s="23"/>
      <c r="J107" s="125"/>
      <c r="K107" s="21"/>
    </row>
    <row r="108" spans="1:13" s="1" customFormat="1">
      <c r="A108" s="18"/>
      <c r="B108" s="127" t="s">
        <v>128</v>
      </c>
      <c r="C108" s="19">
        <v>2</v>
      </c>
      <c r="D108" s="20">
        <f>(4/3.281)+0.85</f>
        <v>2.0691405059433099</v>
      </c>
      <c r="E108" s="21"/>
      <c r="F108" s="21">
        <v>1.6</v>
      </c>
      <c r="G108" s="128">
        <f t="shared" ref="G108:G118" si="13">PRODUCT(C108:F108)</f>
        <v>6.6212496190185917</v>
      </c>
      <c r="H108" s="22"/>
      <c r="I108" s="23"/>
      <c r="J108" s="125"/>
      <c r="K108" s="21"/>
    </row>
    <row r="109" spans="1:13" s="1" customFormat="1">
      <c r="A109" s="18"/>
      <c r="B109" s="127"/>
      <c r="C109" s="19">
        <v>1</v>
      </c>
      <c r="D109" s="20">
        <f>5.2+6.9</f>
        <v>12.100000000000001</v>
      </c>
      <c r="E109" s="21"/>
      <c r="F109" s="21">
        <f>(1.5+1.3+1.75)/3</f>
        <v>1.5166666666666666</v>
      </c>
      <c r="G109" s="128">
        <f t="shared" si="13"/>
        <v>18.351666666666667</v>
      </c>
      <c r="H109" s="22"/>
      <c r="I109" s="23"/>
      <c r="J109" s="125"/>
      <c r="K109" s="21"/>
    </row>
    <row r="110" spans="1:13" s="1" customFormat="1">
      <c r="A110" s="18"/>
      <c r="B110" s="127"/>
      <c r="C110" s="19">
        <v>1</v>
      </c>
      <c r="D110" s="20">
        <f>5.2+6.9</f>
        <v>12.100000000000001</v>
      </c>
      <c r="E110" s="21"/>
      <c r="F110" s="21">
        <v>1.3</v>
      </c>
      <c r="G110" s="128">
        <f t="shared" si="13"/>
        <v>15.730000000000002</v>
      </c>
      <c r="H110" s="22"/>
      <c r="I110" s="23"/>
      <c r="J110" s="125"/>
      <c r="K110" s="21"/>
    </row>
    <row r="111" spans="1:13" s="1" customFormat="1">
      <c r="A111" s="18"/>
      <c r="B111" s="127"/>
      <c r="C111" s="19">
        <v>1</v>
      </c>
      <c r="D111" s="20">
        <f>5.8</f>
        <v>5.8</v>
      </c>
      <c r="E111" s="21"/>
      <c r="F111" s="21">
        <v>1.4</v>
      </c>
      <c r="G111" s="128">
        <f t="shared" si="13"/>
        <v>8.1199999999999992</v>
      </c>
      <c r="H111" s="22"/>
      <c r="I111" s="23"/>
      <c r="J111" s="125"/>
      <c r="K111" s="21"/>
    </row>
    <row r="112" spans="1:13" s="1" customFormat="1">
      <c r="A112" s="18"/>
      <c r="B112" s="127"/>
      <c r="C112" s="19">
        <v>1</v>
      </c>
      <c r="D112" s="20">
        <v>5.8</v>
      </c>
      <c r="E112" s="21"/>
      <c r="F112" s="21">
        <f>3.6/3.281</f>
        <v>1.097226455348979</v>
      </c>
      <c r="G112" s="128">
        <f t="shared" si="13"/>
        <v>6.3639134410240779</v>
      </c>
      <c r="H112" s="22"/>
      <c r="I112" s="23"/>
      <c r="J112" s="125"/>
      <c r="K112" s="21"/>
    </row>
    <row r="113" spans="1:11" s="1" customFormat="1">
      <c r="A113" s="18"/>
      <c r="B113" s="127"/>
      <c r="C113" s="19">
        <v>1</v>
      </c>
      <c r="D113" s="20">
        <f>4.3+6.3</f>
        <v>10.6</v>
      </c>
      <c r="E113" s="21"/>
      <c r="F113" s="21">
        <v>1.27</v>
      </c>
      <c r="G113" s="128">
        <f t="shared" si="13"/>
        <v>13.462</v>
      </c>
      <c r="H113" s="22"/>
      <c r="I113" s="23"/>
      <c r="J113" s="125"/>
      <c r="K113" s="21"/>
    </row>
    <row r="114" spans="1:11" s="1" customFormat="1">
      <c r="A114" s="18"/>
      <c r="B114" s="127"/>
      <c r="C114" s="19">
        <v>1</v>
      </c>
      <c r="D114" s="20">
        <f>6/3.281</f>
        <v>1.8287107589149649</v>
      </c>
      <c r="E114" s="21"/>
      <c r="F114" s="21">
        <f>3/3.281</f>
        <v>0.91435537945748246</v>
      </c>
      <c r="G114" s="128">
        <f t="shared" si="13"/>
        <v>1.6720915198856734</v>
      </c>
      <c r="H114" s="22"/>
      <c r="I114" s="23"/>
      <c r="J114" s="125"/>
      <c r="K114" s="21"/>
    </row>
    <row r="115" spans="1:11" s="1" customFormat="1">
      <c r="A115" s="18"/>
      <c r="B115" s="127"/>
      <c r="C115" s="19">
        <v>1</v>
      </c>
      <c r="D115" s="20">
        <f>5/3.281</f>
        <v>1.5239256324291375</v>
      </c>
      <c r="E115" s="21"/>
      <c r="F115" s="21">
        <f>2/3.281</f>
        <v>0.6095702529716549</v>
      </c>
      <c r="G115" s="128">
        <f t="shared" si="13"/>
        <v>0.92893973326981849</v>
      </c>
      <c r="H115" s="22"/>
      <c r="I115" s="23"/>
      <c r="J115" s="125"/>
      <c r="K115" s="21"/>
    </row>
    <row r="116" spans="1:11" s="1" customFormat="1">
      <c r="A116" s="18"/>
      <c r="B116" s="127"/>
      <c r="C116" s="19">
        <v>1</v>
      </c>
      <c r="D116" s="20">
        <f>5.45+6.25+1.27</f>
        <v>12.969999999999999</v>
      </c>
      <c r="E116" s="21"/>
      <c r="F116" s="21">
        <v>0.3</v>
      </c>
      <c r="G116" s="128">
        <f t="shared" si="13"/>
        <v>3.8909999999999996</v>
      </c>
      <c r="H116" s="22"/>
      <c r="I116" s="23"/>
      <c r="J116" s="125"/>
      <c r="K116" s="21"/>
    </row>
    <row r="117" spans="1:11" s="1" customFormat="1">
      <c r="A117" s="18"/>
      <c r="B117" s="127" t="str">
        <f>B58</f>
        <v>-at one side drain</v>
      </c>
      <c r="C117" s="19">
        <f>C58</f>
        <v>1</v>
      </c>
      <c r="D117" s="20">
        <f>D58</f>
        <v>6.55</v>
      </c>
      <c r="E117" s="21"/>
      <c r="F117" s="21">
        <v>0.23</v>
      </c>
      <c r="G117" s="128">
        <f t="shared" si="13"/>
        <v>1.5065</v>
      </c>
      <c r="H117" s="22"/>
      <c r="I117" s="23"/>
      <c r="J117" s="125"/>
      <c r="K117" s="21"/>
    </row>
    <row r="118" spans="1:11" s="1" customFormat="1">
      <c r="A118" s="18"/>
      <c r="B118" s="127" t="str">
        <f>B18</f>
        <v>-at roof</v>
      </c>
      <c r="C118" s="19">
        <f>C18</f>
        <v>1</v>
      </c>
      <c r="D118" s="20">
        <f>D18</f>
        <v>18</v>
      </c>
      <c r="E118" s="21"/>
      <c r="F118" s="21">
        <f>F18</f>
        <v>0.7110637000914356</v>
      </c>
      <c r="G118" s="128">
        <f t="shared" si="13"/>
        <v>12.799146601645841</v>
      </c>
      <c r="H118" s="22"/>
      <c r="I118" s="23"/>
      <c r="J118" s="125"/>
      <c r="K118" s="21"/>
    </row>
    <row r="119" spans="1:11" s="1" customFormat="1">
      <c r="A119" s="18"/>
      <c r="B119" s="127" t="s">
        <v>129</v>
      </c>
      <c r="C119" s="19"/>
      <c r="D119" s="20"/>
      <c r="E119" s="21"/>
      <c r="F119" s="21"/>
      <c r="G119" s="125">
        <f>SUM(G108:G118)</f>
        <v>89.446507581510673</v>
      </c>
      <c r="H119" s="22" t="s">
        <v>43</v>
      </c>
      <c r="I119" s="23">
        <v>405.86</v>
      </c>
      <c r="J119" s="125">
        <f>G119*I119</f>
        <v>36302.759567031921</v>
      </c>
      <c r="K119" s="21"/>
    </row>
    <row r="120" spans="1:11" s="1" customFormat="1">
      <c r="A120" s="18"/>
      <c r="B120" s="127" t="s">
        <v>130</v>
      </c>
      <c r="C120" s="19"/>
      <c r="D120" s="20"/>
      <c r="E120" s="21"/>
      <c r="F120" s="21"/>
      <c r="G120" s="125"/>
      <c r="H120" s="22"/>
      <c r="I120" s="23"/>
      <c r="J120" s="125">
        <f>0.13*G119*11166.2/100</f>
        <v>1298.410870843664</v>
      </c>
      <c r="K120" s="21"/>
    </row>
    <row r="121" spans="1:11" s="1" customFormat="1">
      <c r="A121" s="18"/>
      <c r="B121" s="127"/>
      <c r="C121" s="19"/>
      <c r="D121" s="20"/>
      <c r="E121" s="21"/>
      <c r="F121" s="21"/>
      <c r="G121" s="125"/>
      <c r="H121" s="22"/>
      <c r="I121" s="23"/>
      <c r="J121" s="125"/>
      <c r="K121" s="21"/>
    </row>
    <row r="122" spans="1:11" ht="30.75">
      <c r="A122" s="18">
        <v>16</v>
      </c>
      <c r="B122" s="121" t="s">
        <v>131</v>
      </c>
      <c r="C122" s="19"/>
      <c r="D122" s="20"/>
      <c r="E122" s="21"/>
      <c r="F122" s="21"/>
      <c r="G122" s="23"/>
      <c r="H122" s="22"/>
      <c r="I122" s="23"/>
      <c r="J122" s="40"/>
      <c r="K122" s="21"/>
    </row>
    <row r="123" spans="1:11" ht="15" customHeight="1">
      <c r="A123" s="18"/>
      <c r="B123" s="36" t="s">
        <v>156</v>
      </c>
      <c r="C123" s="19">
        <v>1</v>
      </c>
      <c r="D123" s="20"/>
      <c r="E123" s="21"/>
      <c r="F123" s="21"/>
      <c r="G123" s="38">
        <f>G119-G117</f>
        <v>87.94000758151067</v>
      </c>
      <c r="H123" s="22"/>
      <c r="I123" s="23"/>
      <c r="J123" s="40"/>
      <c r="K123" s="21"/>
    </row>
    <row r="124" spans="1:11" ht="15" customHeight="1">
      <c r="A124" s="18"/>
      <c r="B124" s="36" t="s">
        <v>41</v>
      </c>
      <c r="C124" s="19"/>
      <c r="D124" s="20"/>
      <c r="E124" s="21"/>
      <c r="F124" s="21"/>
      <c r="G124" s="23">
        <f>SUM(G123:G123)</f>
        <v>87.94000758151067</v>
      </c>
      <c r="H124" s="22" t="s">
        <v>43</v>
      </c>
      <c r="I124" s="23">
        <v>251.77</v>
      </c>
      <c r="J124" s="40">
        <f>G124*I124</f>
        <v>22140.655708796941</v>
      </c>
      <c r="K124" s="21"/>
    </row>
    <row r="125" spans="1:11" ht="15" customHeight="1">
      <c r="A125" s="18"/>
      <c r="B125" s="36" t="s">
        <v>40</v>
      </c>
      <c r="C125" s="19"/>
      <c r="D125" s="20"/>
      <c r="E125" s="21"/>
      <c r="F125" s="21"/>
      <c r="G125" s="23"/>
      <c r="H125" s="22"/>
      <c r="I125" s="23"/>
      <c r="J125" s="40">
        <f>0.13*G124*12736/100</f>
        <v>1456.0051175255562</v>
      </c>
      <c r="K125" s="21"/>
    </row>
    <row r="126" spans="1:11" ht="15" customHeight="1">
      <c r="A126" s="18"/>
      <c r="B126" s="36"/>
      <c r="C126" s="19"/>
      <c r="D126" s="20"/>
      <c r="E126" s="21"/>
      <c r="F126" s="21"/>
      <c r="G126" s="23"/>
      <c r="H126" s="22"/>
      <c r="I126" s="23"/>
      <c r="J126" s="40"/>
      <c r="K126" s="21"/>
    </row>
    <row r="127" spans="1:11" s="1" customFormat="1" ht="48">
      <c r="A127" s="18">
        <v>17</v>
      </c>
      <c r="B127" s="146" t="s">
        <v>153</v>
      </c>
      <c r="C127" s="146"/>
      <c r="D127" s="20"/>
      <c r="G127" s="125"/>
      <c r="H127" s="22"/>
      <c r="I127" s="23"/>
      <c r="J127" s="125"/>
      <c r="K127" s="21"/>
    </row>
    <row r="128" spans="1:11" ht="15" customHeight="1">
      <c r="A128" s="18"/>
      <c r="B128" s="36" t="s">
        <v>138</v>
      </c>
      <c r="C128" s="19">
        <v>1</v>
      </c>
      <c r="D128" s="20">
        <f>1.6+5.6</f>
        <v>7.1999999999999993</v>
      </c>
      <c r="E128" s="21">
        <f>(7.333+1.5)/3.281</f>
        <v>2.6921670222493144</v>
      </c>
      <c r="F128" s="21"/>
      <c r="G128" s="128">
        <f t="shared" ref="G128:G129" si="14">PRODUCT(C128:F128)</f>
        <v>19.383602560195062</v>
      </c>
      <c r="H128" s="22"/>
      <c r="I128" s="23"/>
      <c r="J128" s="40"/>
      <c r="K128" s="21"/>
    </row>
    <row r="129" spans="1:20" ht="15" customHeight="1">
      <c r="A129" s="18"/>
      <c r="B129" s="36" t="str">
        <f>B99</f>
        <v>-at compound</v>
      </c>
      <c r="C129" s="19">
        <v>1</v>
      </c>
      <c r="D129" s="20">
        <f>13.2</f>
        <v>13.2</v>
      </c>
      <c r="E129" s="21">
        <v>1.5</v>
      </c>
      <c r="F129" s="21"/>
      <c r="G129" s="128">
        <f t="shared" si="14"/>
        <v>19.799999999999997</v>
      </c>
      <c r="H129" s="22"/>
      <c r="I129" s="23"/>
      <c r="J129" s="40"/>
      <c r="K129" s="21"/>
    </row>
    <row r="130" spans="1:20" ht="15" customHeight="1">
      <c r="A130" s="18"/>
      <c r="B130" s="36" t="s">
        <v>41</v>
      </c>
      <c r="C130" s="19"/>
      <c r="D130" s="20"/>
      <c r="E130" s="21"/>
      <c r="F130" s="21"/>
      <c r="G130" s="23">
        <f>SUM(G128:G129)</f>
        <v>39.183602560195055</v>
      </c>
      <c r="H130" s="22" t="s">
        <v>43</v>
      </c>
      <c r="I130" s="23">
        <v>2271.5500000000002</v>
      </c>
      <c r="J130" s="40">
        <f>G130*I130</f>
        <v>89007.512395611091</v>
      </c>
      <c r="K130" s="21"/>
    </row>
    <row r="131" spans="1:20" ht="15" customHeight="1">
      <c r="A131" s="18"/>
      <c r="B131" s="36" t="s">
        <v>40</v>
      </c>
      <c r="C131" s="19"/>
      <c r="D131" s="20"/>
      <c r="E131" s="21"/>
      <c r="F131" s="21"/>
      <c r="G131" s="23"/>
      <c r="H131" s="22"/>
      <c r="I131" s="23"/>
      <c r="J131" s="40">
        <f>0.13*G130*(20218/10)</f>
        <v>10298.782995306306</v>
      </c>
      <c r="K131" s="21"/>
    </row>
    <row r="132" spans="1:20" ht="15" customHeight="1">
      <c r="A132" s="18"/>
      <c r="B132" s="36"/>
      <c r="C132" s="19"/>
      <c r="D132" s="20"/>
      <c r="E132" s="21"/>
      <c r="F132" s="21"/>
      <c r="G132" s="23"/>
      <c r="H132" s="22"/>
      <c r="I132" s="23"/>
      <c r="J132" s="40"/>
      <c r="K132" s="21"/>
    </row>
    <row r="133" spans="1:20" s="144" customFormat="1" ht="18">
      <c r="A133" s="141">
        <v>18</v>
      </c>
      <c r="B133" s="133" t="s">
        <v>142</v>
      </c>
      <c r="C133" s="134"/>
      <c r="D133" s="135"/>
      <c r="E133" s="142"/>
      <c r="F133" s="135" t="s">
        <v>145</v>
      </c>
      <c r="G133" s="135"/>
      <c r="H133" s="135"/>
      <c r="I133" s="135"/>
      <c r="J133" s="137"/>
      <c r="K133" s="143"/>
    </row>
    <row r="134" spans="1:20" ht="15" customHeight="1">
      <c r="A134" s="18"/>
      <c r="B134" s="36" t="s">
        <v>143</v>
      </c>
      <c r="C134" s="35">
        <v>1</v>
      </c>
      <c r="D134" s="37"/>
      <c r="E134" s="5"/>
      <c r="F134" s="138">
        <f>CONVERT(48.3735,"ft2","m2")</f>
        <v>4.49404520544</v>
      </c>
      <c r="G134" s="128">
        <f>PRODUCT(C134:F134)</f>
        <v>4.49404520544</v>
      </c>
      <c r="H134" s="39"/>
      <c r="I134" s="39"/>
      <c r="J134" s="39"/>
      <c r="K134" s="21"/>
      <c r="M134" s="1"/>
      <c r="N134" s="1"/>
      <c r="O134" s="1"/>
      <c r="P134" s="88"/>
      <c r="Q134" s="88"/>
    </row>
    <row r="135" spans="1:20" ht="15" customHeight="1">
      <c r="A135" s="18"/>
      <c r="B135" s="36"/>
      <c r="C135" s="35">
        <v>1</v>
      </c>
      <c r="D135" s="37"/>
      <c r="E135" s="5"/>
      <c r="F135" s="138">
        <f>CONVERT(224.2762,"ft2","m2")</f>
        <v>20.835940779647999</v>
      </c>
      <c r="G135" s="128">
        <f>PRODUCT(C135:F135)</f>
        <v>20.835940779647999</v>
      </c>
      <c r="H135" s="39"/>
      <c r="I135" s="39"/>
      <c r="J135" s="39"/>
      <c r="K135" s="21"/>
      <c r="M135" s="1"/>
      <c r="N135" s="1"/>
      <c r="O135" s="1"/>
      <c r="P135" s="88"/>
      <c r="Q135" s="88"/>
    </row>
    <row r="136" spans="1:20" ht="15" customHeight="1">
      <c r="A136" s="18"/>
      <c r="B136" s="36"/>
      <c r="C136" s="35">
        <v>1</v>
      </c>
      <c r="D136" s="37">
        <f>(4.1+4.4)/2</f>
        <v>4.25</v>
      </c>
      <c r="E136" s="37">
        <f>2.6</f>
        <v>2.6</v>
      </c>
      <c r="F136" s="37"/>
      <c r="G136" s="128">
        <f t="shared" ref="G136:G138" si="15">PRODUCT(C136:F136)</f>
        <v>11.05</v>
      </c>
      <c r="H136" s="39"/>
      <c r="I136" s="39"/>
      <c r="J136" s="39"/>
      <c r="K136" s="21"/>
      <c r="M136" s="1"/>
      <c r="N136" s="1"/>
      <c r="O136" s="1"/>
      <c r="P136" s="88"/>
      <c r="Q136" s="88"/>
    </row>
    <row r="137" spans="1:20" ht="15" customHeight="1">
      <c r="A137" s="18"/>
      <c r="B137" s="36"/>
      <c r="C137" s="35">
        <v>1</v>
      </c>
      <c r="D137" s="37">
        <v>7</v>
      </c>
      <c r="E137" s="37">
        <f>((2.5+4.75)/2)/3.281</f>
        <v>1.1048460835111247</v>
      </c>
      <c r="F137" s="37"/>
      <c r="G137" s="128">
        <f t="shared" si="15"/>
        <v>7.733922584577873</v>
      </c>
      <c r="H137" s="39"/>
      <c r="I137" s="39"/>
      <c r="J137" s="39"/>
      <c r="K137" s="21"/>
      <c r="M137" s="1"/>
      <c r="N137" s="185" t="s">
        <v>146</v>
      </c>
      <c r="O137" s="185"/>
      <c r="P137" s="185"/>
      <c r="Q137" s="185"/>
      <c r="R137" s="185"/>
      <c r="S137" s="185"/>
      <c r="T137" s="185"/>
    </row>
    <row r="138" spans="1:20" ht="15" customHeight="1">
      <c r="A138" s="18"/>
      <c r="B138" s="36"/>
      <c r="C138" s="35">
        <v>1</v>
      </c>
      <c r="D138" s="37">
        <v>6.55</v>
      </c>
      <c r="E138" s="37">
        <f>((16.17+1)/2)/3.281</f>
        <v>2.616580310880829</v>
      </c>
      <c r="F138" s="37"/>
      <c r="G138" s="128">
        <f t="shared" si="15"/>
        <v>17.138601036269428</v>
      </c>
      <c r="H138" s="39"/>
      <c r="I138" s="39"/>
      <c r="J138" s="39"/>
      <c r="K138" s="21"/>
      <c r="M138" s="1"/>
      <c r="N138" s="185" t="s">
        <v>147</v>
      </c>
      <c r="O138" s="185"/>
      <c r="P138" s="185"/>
      <c r="Q138" s="185"/>
      <c r="R138" s="185"/>
      <c r="S138" s="185"/>
      <c r="T138" s="185"/>
    </row>
    <row r="139" spans="1:20" ht="15" customHeight="1">
      <c r="A139" s="39"/>
      <c r="B139" s="36" t="s">
        <v>41</v>
      </c>
      <c r="C139" s="134"/>
      <c r="D139" s="135"/>
      <c r="E139" s="135"/>
      <c r="F139" s="135"/>
      <c r="G139" s="136">
        <f>SUM(G134:G138)</f>
        <v>61.252509605935302</v>
      </c>
      <c r="H139" s="136" t="s">
        <v>144</v>
      </c>
      <c r="I139" s="136">
        <f>35*10.7639</f>
        <v>376.73649999999998</v>
      </c>
      <c r="J139" s="137">
        <f>G139*I139</f>
        <v>23076.056085156444</v>
      </c>
      <c r="K139" s="35"/>
    </row>
    <row r="140" spans="1:20" ht="15" customHeight="1">
      <c r="A140" s="39"/>
      <c r="B140" s="36" t="s">
        <v>40</v>
      </c>
      <c r="C140" s="134"/>
      <c r="D140" s="135"/>
      <c r="E140" s="135"/>
      <c r="F140" s="135"/>
      <c r="G140" s="135"/>
      <c r="H140" s="135"/>
      <c r="I140" s="135"/>
      <c r="J140" s="41">
        <f>0.13*J139</f>
        <v>2999.8872910703381</v>
      </c>
      <c r="K140" s="35"/>
    </row>
    <row r="141" spans="1:20" ht="15" customHeight="1">
      <c r="A141" s="39"/>
      <c r="B141" s="36"/>
      <c r="C141" s="134"/>
      <c r="D141" s="135"/>
      <c r="E141" s="135"/>
      <c r="F141" s="135"/>
      <c r="G141" s="135"/>
      <c r="H141" s="135"/>
      <c r="I141" s="135"/>
      <c r="J141" s="41"/>
      <c r="K141" s="35"/>
    </row>
    <row r="142" spans="1:20" ht="42.75">
      <c r="A142" s="18">
        <v>19</v>
      </c>
      <c r="B142" s="60" t="s">
        <v>148</v>
      </c>
      <c r="C142" s="35"/>
      <c r="D142" s="37"/>
      <c r="E142" s="37"/>
      <c r="F142" s="37"/>
      <c r="G142" s="38"/>
      <c r="H142" s="39"/>
      <c r="I142" s="39"/>
      <c r="J142" s="41"/>
      <c r="K142" s="21"/>
    </row>
    <row r="143" spans="1:20" ht="15" customHeight="1">
      <c r="A143" s="39"/>
      <c r="B143" s="36" t="s">
        <v>149</v>
      </c>
      <c r="C143" s="19"/>
      <c r="D143" s="135"/>
      <c r="E143" s="135"/>
      <c r="F143" s="135"/>
      <c r="G143" s="135">
        <f>G139</f>
        <v>61.252509605935302</v>
      </c>
      <c r="H143" s="135"/>
      <c r="I143" s="135"/>
      <c r="J143" s="41"/>
      <c r="K143" s="35"/>
    </row>
    <row r="144" spans="1:20" ht="15" customHeight="1">
      <c r="A144" s="39"/>
      <c r="B144" s="36" t="str">
        <f>B87</f>
        <v>-at entrance</v>
      </c>
      <c r="C144" s="19">
        <v>1</v>
      </c>
      <c r="D144" s="147">
        <f t="shared" ref="D144:E144" si="16">D87</f>
        <v>1.95</v>
      </c>
      <c r="E144" s="147">
        <f t="shared" si="16"/>
        <v>1</v>
      </c>
      <c r="F144" s="147"/>
      <c r="G144" s="128">
        <f t="shared" ref="G144" si="17">PRODUCT(C144:F144)</f>
        <v>1.95</v>
      </c>
      <c r="H144" s="135"/>
      <c r="I144" s="135"/>
      <c r="J144" s="41"/>
      <c r="K144" s="35"/>
    </row>
    <row r="145" spans="1:11" ht="15" customHeight="1">
      <c r="A145" s="39"/>
      <c r="B145" s="36" t="s">
        <v>41</v>
      </c>
      <c r="C145" s="134"/>
      <c r="D145" s="135"/>
      <c r="E145" s="135"/>
      <c r="F145" s="135"/>
      <c r="G145" s="136">
        <f>SUM(G143:G144)</f>
        <v>63.202509605935305</v>
      </c>
      <c r="H145" s="136" t="s">
        <v>144</v>
      </c>
      <c r="I145" s="136">
        <v>9.1999999999999993</v>
      </c>
      <c r="J145" s="137">
        <f>G145*I145</f>
        <v>581.46308837460481</v>
      </c>
      <c r="K145" s="35"/>
    </row>
    <row r="146" spans="1:11" ht="15" customHeight="1">
      <c r="A146" s="18"/>
      <c r="B146" s="36"/>
      <c r="C146" s="19"/>
      <c r="D146" s="20"/>
      <c r="E146" s="21"/>
      <c r="F146" s="21"/>
      <c r="G146" s="23"/>
      <c r="H146" s="22"/>
      <c r="I146" s="23"/>
      <c r="J146" s="40"/>
      <c r="K146" s="21"/>
    </row>
    <row r="147" spans="1:11" ht="15" customHeight="1">
      <c r="A147" s="18">
        <v>20</v>
      </c>
      <c r="B147" s="148" t="s">
        <v>139</v>
      </c>
      <c r="C147" s="19">
        <v>1</v>
      </c>
      <c r="D147" s="20"/>
      <c r="E147" s="21"/>
      <c r="F147" s="21"/>
      <c r="G147" s="128">
        <f t="shared" ref="G147" si="18">PRODUCT(C147:F147)</f>
        <v>1</v>
      </c>
      <c r="H147" s="22" t="s">
        <v>140</v>
      </c>
      <c r="I147" s="23">
        <v>2000</v>
      </c>
      <c r="J147" s="33">
        <f>G147*I147</f>
        <v>2000</v>
      </c>
      <c r="K147" s="21"/>
    </row>
    <row r="148" spans="1:11" ht="15" customHeight="1">
      <c r="A148" s="18"/>
      <c r="B148" s="36"/>
      <c r="C148" s="19"/>
      <c r="D148" s="20"/>
      <c r="E148" s="21"/>
      <c r="F148" s="21"/>
      <c r="G148" s="23"/>
      <c r="H148" s="22"/>
      <c r="I148" s="23"/>
      <c r="J148" s="40"/>
      <c r="K148" s="21"/>
    </row>
    <row r="149" spans="1:11" ht="15" customHeight="1">
      <c r="A149" s="18">
        <v>21</v>
      </c>
      <c r="B149" s="29" t="s">
        <v>30</v>
      </c>
      <c r="C149" s="19">
        <v>1</v>
      </c>
      <c r="D149" s="20"/>
      <c r="E149" s="21"/>
      <c r="F149" s="21"/>
      <c r="G149" s="33">
        <f t="shared" ref="G149" si="19">PRODUCT(C149:F149)</f>
        <v>1</v>
      </c>
      <c r="H149" s="22" t="s">
        <v>31</v>
      </c>
      <c r="I149" s="23">
        <v>500</v>
      </c>
      <c r="J149" s="33">
        <f>G149*I149</f>
        <v>500</v>
      </c>
      <c r="K149" s="21"/>
    </row>
    <row r="150" spans="1:11" ht="15" customHeight="1">
      <c r="A150" s="18"/>
      <c r="B150" s="24"/>
      <c r="C150" s="19"/>
      <c r="D150" s="20"/>
      <c r="E150" s="21"/>
      <c r="F150" s="21"/>
      <c r="G150" s="23"/>
      <c r="H150" s="22"/>
      <c r="I150" s="23"/>
      <c r="J150" s="40"/>
      <c r="K150" s="21"/>
    </row>
    <row r="151" spans="1:11">
      <c r="A151" s="39"/>
      <c r="B151" s="42" t="s">
        <v>17</v>
      </c>
      <c r="C151" s="43"/>
      <c r="D151" s="37"/>
      <c r="E151" s="37"/>
      <c r="F151" s="37"/>
      <c r="G151" s="40"/>
      <c r="H151" s="40"/>
      <c r="I151" s="40"/>
      <c r="J151" s="40">
        <f>SUM(J10:J149)</f>
        <v>564973.01951057301</v>
      </c>
      <c r="K151" s="35"/>
    </row>
    <row r="152" spans="1:11">
      <c r="A152" s="54"/>
      <c r="B152" s="57"/>
      <c r="C152" s="58"/>
      <c r="D152" s="55"/>
      <c r="E152" s="55"/>
      <c r="F152" s="55"/>
      <c r="G152" s="56"/>
      <c r="H152" s="56"/>
      <c r="I152" s="56"/>
      <c r="J152" s="56"/>
      <c r="K152" s="53"/>
    </row>
    <row r="153" spans="1:11" s="1" customFormat="1">
      <c r="A153" s="46"/>
      <c r="B153" s="28" t="s">
        <v>27</v>
      </c>
      <c r="C153" s="169">
        <f>J151</f>
        <v>564973.01951057301</v>
      </c>
      <c r="D153" s="169"/>
      <c r="E153" s="38">
        <v>100</v>
      </c>
      <c r="F153" s="47"/>
      <c r="G153" s="48"/>
      <c r="H153" s="47"/>
      <c r="I153" s="49"/>
      <c r="J153" s="50"/>
      <c r="K153" s="51"/>
    </row>
    <row r="154" spans="1:11">
      <c r="A154" s="52"/>
      <c r="B154" s="28" t="s">
        <v>32</v>
      </c>
      <c r="C154" s="170">
        <v>500000</v>
      </c>
      <c r="D154" s="170"/>
      <c r="E154" s="38"/>
      <c r="F154" s="45"/>
      <c r="G154" s="44"/>
      <c r="H154" s="44"/>
      <c r="I154" s="44"/>
      <c r="J154" s="44"/>
      <c r="K154" s="45"/>
    </row>
    <row r="155" spans="1:11">
      <c r="A155" s="52"/>
      <c r="B155" s="28" t="s">
        <v>33</v>
      </c>
      <c r="C155" s="170">
        <f>C154-C157-C158</f>
        <v>475000</v>
      </c>
      <c r="D155" s="170"/>
      <c r="E155" s="38">
        <f>C155/C153*100</f>
        <v>84.074811291251535</v>
      </c>
      <c r="F155" s="45"/>
      <c r="G155" s="44"/>
      <c r="H155" s="44"/>
      <c r="I155" s="44"/>
      <c r="J155" s="44"/>
      <c r="K155" s="45"/>
    </row>
    <row r="156" spans="1:11">
      <c r="A156" s="52"/>
      <c r="B156" s="28" t="s">
        <v>34</v>
      </c>
      <c r="C156" s="169">
        <f>C153-C155</f>
        <v>89973.019510573009</v>
      </c>
      <c r="D156" s="169"/>
      <c r="E156" s="38">
        <f>100-E155</f>
        <v>15.925188708748465</v>
      </c>
      <c r="F156" s="45"/>
      <c r="G156" s="44"/>
      <c r="H156" s="44"/>
      <c r="I156" s="44"/>
      <c r="J156" s="44"/>
      <c r="K156" s="45"/>
    </row>
    <row r="157" spans="1:11">
      <c r="A157" s="52"/>
      <c r="B157" s="28" t="s">
        <v>35</v>
      </c>
      <c r="C157" s="169">
        <f>C154*0.03</f>
        <v>15000</v>
      </c>
      <c r="D157" s="169"/>
      <c r="E157" s="38">
        <v>3</v>
      </c>
      <c r="F157" s="45"/>
      <c r="G157" s="44"/>
      <c r="H157" s="44"/>
      <c r="I157" s="44"/>
      <c r="J157" s="44"/>
      <c r="K157" s="45"/>
    </row>
    <row r="158" spans="1:11">
      <c r="A158" s="52"/>
      <c r="B158" s="28" t="s">
        <v>36</v>
      </c>
      <c r="C158" s="169">
        <f>C154*0.02</f>
        <v>10000</v>
      </c>
      <c r="D158" s="169"/>
      <c r="E158" s="38">
        <v>2</v>
      </c>
      <c r="F158" s="45"/>
      <c r="G158" s="44"/>
      <c r="H158" s="44"/>
      <c r="I158" s="44"/>
      <c r="J158" s="44"/>
      <c r="K158" s="45"/>
    </row>
    <row r="159" spans="1:11" s="34" customFormat="1">
      <c r="A159" s="53"/>
      <c r="B159" s="53"/>
      <c r="C159" s="53"/>
      <c r="D159" s="53"/>
      <c r="E159" s="53"/>
      <c r="F159" s="53"/>
      <c r="G159" s="53"/>
      <c r="H159" s="53"/>
      <c r="I159" s="53"/>
      <c r="J159" s="53"/>
      <c r="K159" s="53"/>
    </row>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row r="212" s="34" customFormat="1"/>
    <row r="213" s="34" customFormat="1"/>
    <row r="214" s="34" customFormat="1"/>
    <row r="215" s="34" customFormat="1"/>
  </sheetData>
  <mergeCells count="20">
    <mergeCell ref="C158:D158"/>
    <mergeCell ref="N138:T138"/>
    <mergeCell ref="C153:D153"/>
    <mergeCell ref="C154:D154"/>
    <mergeCell ref="C155:D155"/>
    <mergeCell ref="C156:D156"/>
    <mergeCell ref="C157:D157"/>
    <mergeCell ref="N137:T137"/>
    <mergeCell ref="A1:K1"/>
    <mergeCell ref="A2:K2"/>
    <mergeCell ref="A3:K3"/>
    <mergeCell ref="A4:K4"/>
    <mergeCell ref="A5:K5"/>
    <mergeCell ref="A6:F6"/>
    <mergeCell ref="H6:K6"/>
    <mergeCell ref="A7:F7"/>
    <mergeCell ref="H7:K7"/>
    <mergeCell ref="N64:T64"/>
    <mergeCell ref="N77:T77"/>
    <mergeCell ref="N85:T85"/>
  </mergeCells>
  <hyperlinks>
    <hyperlink ref="B107" r:id="rId1"/>
  </hyperlinks>
  <pageMargins left="0.7" right="0.7" top="0.75" bottom="0.75" header="0.3" footer="0.3"/>
  <pageSetup paperSize="9" scale="75" orientation="portrait" r:id="rId2"/>
  <headerFooter>
    <oddFooter>&amp;LPrepared By:&amp;CChecked By:&amp;RApproved By:</oddFooter>
  </headerFooter>
  <rowBreaks count="1" manualBreakCount="1">
    <brk id="58"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WCR</vt:lpstr>
      <vt:lpstr>Sheet4 (2)</vt:lpstr>
      <vt:lpstr>rate analysis</vt:lpstr>
      <vt:lpstr>upvc</vt:lpstr>
      <vt:lpstr>upvc (2)</vt:lpstr>
      <vt:lpstr>backyard</vt:lpstr>
      <vt:lpstr>backyard!Print_Area</vt:lpstr>
      <vt:lpstr>'Sheet4 (2)'!Print_Area</vt:lpstr>
      <vt:lpstr>upvc!Print_Area</vt:lpstr>
      <vt:lpstr>'upvc (2)'!Print_Area</vt:lpstr>
      <vt:lpstr>backyard!Print_Titles</vt:lpstr>
      <vt:lpstr>'Sheet4 (2)'!Print_Titles</vt:lpstr>
      <vt:lpstr>upvc!Print_Titles</vt:lpstr>
      <vt:lpstr>'upvc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2025-01-27T06:54:13Z</cp:lastPrinted>
  <dcterms:created xsi:type="dcterms:W3CDTF">2015-06-05T18:17:20Z</dcterms:created>
  <dcterms:modified xsi:type="dcterms:W3CDTF">2025-02-05T09:07:11Z</dcterms:modified>
</cp:coreProperties>
</file>