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Estimate" sheetId="1" r:id="rId1"/>
    <sheet name="WCR" sheetId="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WCR!$A$1:$K$29</definedName>
    <definedName name="_xlnm.Print_Titles" localSheetId="0">Estimate!$1:$8</definedName>
    <definedName name="_xlnm.Print_Titles" localSheetId="1">WCR!$1:$12</definedName>
  </definedNames>
  <calcPr calcId="152511"/>
</workbook>
</file>

<file path=xl/calcChain.xml><?xml version="1.0" encoding="utf-8"?>
<calcChain xmlns="http://schemas.openxmlformats.org/spreadsheetml/2006/main">
  <c r="G17" i="1" l="1"/>
  <c r="E16" i="1"/>
  <c r="G16" i="1"/>
  <c r="D16" i="1"/>
  <c r="G53" i="1"/>
  <c r="D52" i="1"/>
  <c r="G52" i="1"/>
  <c r="C40" i="1" l="1"/>
  <c r="D40" i="1"/>
  <c r="E40" i="1"/>
  <c r="F40" i="1" s="1"/>
  <c r="G40" i="1" s="1"/>
  <c r="C39" i="1"/>
  <c r="C41" i="1"/>
  <c r="D37" i="1"/>
  <c r="C37" i="1"/>
  <c r="C36" i="1"/>
  <c r="D36" i="1"/>
  <c r="C38" i="1"/>
  <c r="E41" i="1"/>
  <c r="D41" i="1"/>
  <c r="E39" i="1"/>
  <c r="D39" i="1"/>
  <c r="E38" i="1"/>
  <c r="D38" i="1"/>
  <c r="E37" i="1"/>
  <c r="E36" i="1"/>
  <c r="E35" i="1"/>
  <c r="C35" i="1"/>
  <c r="E34" i="1"/>
  <c r="D34" i="1"/>
  <c r="C34" i="1"/>
  <c r="E33" i="1"/>
  <c r="D33" i="1"/>
  <c r="D32" i="1"/>
  <c r="C31" i="1"/>
  <c r="E32" i="1"/>
  <c r="E31" i="1"/>
  <c r="D31" i="1"/>
  <c r="E30" i="1"/>
  <c r="D30" i="1"/>
  <c r="C30" i="1"/>
  <c r="E29" i="1"/>
  <c r="D29" i="1"/>
  <c r="E28" i="1"/>
  <c r="D28" i="1"/>
  <c r="E27" i="1"/>
  <c r="D27" i="1"/>
  <c r="F27" i="1" s="1"/>
  <c r="G27" i="1" s="1"/>
  <c r="E26" i="1"/>
  <c r="D26" i="1"/>
  <c r="C26" i="1"/>
  <c r="E25" i="1"/>
  <c r="D25" i="1"/>
  <c r="C25" i="1"/>
  <c r="E24" i="1"/>
  <c r="E23" i="1"/>
  <c r="C24" i="1"/>
  <c r="F25" i="1" l="1"/>
  <c r="G25" i="1" s="1"/>
  <c r="F28" i="1"/>
  <c r="G28" i="1" s="1"/>
  <c r="F31" i="1"/>
  <c r="G31" i="1" s="1"/>
  <c r="F35" i="1"/>
  <c r="G35" i="1" s="1"/>
  <c r="F41" i="1"/>
  <c r="G41" i="1" s="1"/>
  <c r="F30" i="1"/>
  <c r="G30" i="1" s="1"/>
  <c r="F36" i="1"/>
  <c r="G36" i="1" s="1"/>
  <c r="F29" i="1"/>
  <c r="G29" i="1" s="1"/>
  <c r="F33" i="1"/>
  <c r="G33" i="1" s="1"/>
  <c r="F34" i="1"/>
  <c r="G34" i="1" s="1"/>
  <c r="F37" i="1"/>
  <c r="G37" i="1" s="1"/>
  <c r="F39" i="1"/>
  <c r="G39" i="1" s="1"/>
  <c r="F26" i="1"/>
  <c r="G26" i="1" s="1"/>
  <c r="F38" i="1"/>
  <c r="G38" i="1" s="1"/>
  <c r="F32" i="1"/>
  <c r="G32" i="1" s="1"/>
  <c r="C23" i="1" l="1"/>
  <c r="D22" i="1"/>
  <c r="D21" i="1"/>
  <c r="B47" i="1"/>
  <c r="C47" i="1"/>
  <c r="C48" i="1"/>
  <c r="B49" i="1"/>
  <c r="C49" i="1"/>
  <c r="B50" i="1"/>
  <c r="C50" i="1"/>
  <c r="B51" i="1"/>
  <c r="C51" i="1"/>
  <c r="E51" i="1"/>
  <c r="C46" i="1"/>
  <c r="B46" i="1"/>
  <c r="D15" i="1"/>
  <c r="G15" i="1" s="1"/>
  <c r="E14" i="1"/>
  <c r="D24" i="1" s="1"/>
  <c r="F24" i="1" s="1"/>
  <c r="G24" i="1" s="1"/>
  <c r="D14" i="1"/>
  <c r="D23" i="1" s="1"/>
  <c r="E13" i="1"/>
  <c r="D13" i="1"/>
  <c r="D49" i="1" s="1"/>
  <c r="D12" i="1"/>
  <c r="D48" i="1" s="1"/>
  <c r="E12" i="1"/>
  <c r="E11" i="1"/>
  <c r="D11" i="1"/>
  <c r="D47" i="1" s="1"/>
  <c r="F10" i="1"/>
  <c r="F46" i="1" s="1"/>
  <c r="D10" i="1"/>
  <c r="D51" i="1" l="1"/>
  <c r="G13" i="1"/>
  <c r="G51" i="1"/>
  <c r="G49" i="1"/>
  <c r="C21" i="1"/>
  <c r="G12" i="1"/>
  <c r="C22" i="1"/>
  <c r="F23" i="1"/>
  <c r="G23" i="1" s="1"/>
  <c r="G14" i="1"/>
  <c r="G10" i="1"/>
  <c r="E50" i="1"/>
  <c r="D50" i="1"/>
  <c r="G48" i="1"/>
  <c r="G47" i="1"/>
  <c r="H27" i="7"/>
  <c r="E27" i="7"/>
  <c r="C27" i="7"/>
  <c r="H25" i="7"/>
  <c r="E25" i="7"/>
  <c r="C25" i="7"/>
  <c r="H22" i="7"/>
  <c r="E22" i="7"/>
  <c r="C22" i="7"/>
  <c r="H19" i="7"/>
  <c r="E19" i="7"/>
  <c r="C19" i="7"/>
  <c r="H16" i="7"/>
  <c r="E16" i="7"/>
  <c r="C16" i="7"/>
  <c r="H13" i="7"/>
  <c r="E13" i="7"/>
  <c r="C13" i="7"/>
  <c r="B27" i="7"/>
  <c r="A27" i="7"/>
  <c r="B25" i="7"/>
  <c r="A25" i="7"/>
  <c r="B23" i="7"/>
  <c r="B22" i="7"/>
  <c r="A22" i="7"/>
  <c r="B20" i="7"/>
  <c r="B19" i="7"/>
  <c r="A19" i="7"/>
  <c r="B17" i="7"/>
  <c r="B16" i="7"/>
  <c r="A16" i="7"/>
  <c r="B14" i="7"/>
  <c r="B13" i="7"/>
  <c r="A13" i="7"/>
  <c r="A9" i="7"/>
  <c r="A8" i="7"/>
  <c r="G50" i="1" l="1"/>
  <c r="G27" i="7"/>
  <c r="I27" i="7" s="1"/>
  <c r="G25" i="7"/>
  <c r="I25" i="7" s="1"/>
  <c r="C67" i="1"/>
  <c r="C66" i="1"/>
  <c r="G58" i="1"/>
  <c r="J56" i="1" l="1"/>
  <c r="D25" i="7"/>
  <c r="F25" i="7" s="1"/>
  <c r="J25" i="7" s="1"/>
  <c r="J58" i="1"/>
  <c r="D27" i="7"/>
  <c r="F27" i="7" s="1"/>
  <c r="J27" i="7" s="1"/>
  <c r="C64" i="1"/>
  <c r="E22" i="1"/>
  <c r="F22" i="1" s="1"/>
  <c r="G22" i="1" s="1"/>
  <c r="E21" i="1"/>
  <c r="F21" i="1" s="1"/>
  <c r="G21" i="1" s="1"/>
  <c r="G42" i="1" l="1"/>
  <c r="G19" i="7"/>
  <c r="I19" i="7" s="1"/>
  <c r="G22" i="7"/>
  <c r="I22" i="7" s="1"/>
  <c r="I20" i="7" l="1"/>
  <c r="G16" i="7"/>
  <c r="I16" i="7" s="1"/>
  <c r="I17" i="7"/>
  <c r="I23" i="7"/>
  <c r="G13" i="7"/>
  <c r="I13" i="7" s="1"/>
  <c r="I14" i="7"/>
  <c r="I29" i="7" l="1"/>
  <c r="J6" i="7" s="1"/>
  <c r="D22" i="7" l="1"/>
  <c r="F22" i="7" s="1"/>
  <c r="J22" i="7" s="1"/>
  <c r="G46" i="1"/>
  <c r="G11" i="1"/>
  <c r="F23" i="7" l="1"/>
  <c r="J23" i="7" s="1"/>
  <c r="J42" i="1" l="1"/>
  <c r="J43" i="1"/>
  <c r="F20" i="7" s="1"/>
  <c r="J20" i="7" s="1"/>
  <c r="J54" i="1"/>
  <c r="F14" i="7" s="1"/>
  <c r="J14" i="7" s="1"/>
  <c r="J53" i="1"/>
  <c r="D19" i="7"/>
  <c r="F19" i="7" s="1"/>
  <c r="J19" i="7" s="1"/>
  <c r="J18" i="1"/>
  <c r="F17" i="7" s="1"/>
  <c r="J17" i="7" s="1"/>
  <c r="J17" i="1"/>
  <c r="D13" i="7"/>
  <c r="F13" i="7" s="1"/>
  <c r="J13" i="7" s="1"/>
  <c r="D16" i="7"/>
  <c r="F16" i="7" s="1"/>
  <c r="J16" i="7" s="1"/>
  <c r="J60" i="1" l="1"/>
  <c r="C62" i="1" s="1"/>
  <c r="C65" i="1" s="1"/>
  <c r="F29" i="7"/>
  <c r="E64" i="1" l="1"/>
  <c r="E65" i="1" s="1"/>
  <c r="C6" i="7"/>
  <c r="J29" i="7"/>
</calcChain>
</file>

<file path=xl/sharedStrings.xml><?xml version="1.0" encoding="utf-8"?>
<sst xmlns="http://schemas.openxmlformats.org/spreadsheetml/2006/main" count="90" uniqueCount="70">
  <si>
    <t>Government of Nepal</t>
  </si>
  <si>
    <t>Shankharapur Municipality Office</t>
  </si>
  <si>
    <t>Bagmati Province</t>
  </si>
  <si>
    <t>Sankhu, Kathmandu</t>
  </si>
  <si>
    <t>Detail Estimated Sheet</t>
  </si>
  <si>
    <t>F.Y.: 2081/2082</t>
  </si>
  <si>
    <t>Location:- Shankharapur Municipality 9</t>
  </si>
  <si>
    <t>Date:2081/08/02</t>
  </si>
  <si>
    <t>S.N.</t>
  </si>
  <si>
    <t>Description of work</t>
  </si>
  <si>
    <t>No.</t>
  </si>
  <si>
    <t>Length</t>
  </si>
  <si>
    <t>Breadth</t>
  </si>
  <si>
    <t>Height</t>
  </si>
  <si>
    <t>Quantity</t>
  </si>
  <si>
    <t>Unit</t>
  </si>
  <si>
    <t>Rate</t>
  </si>
  <si>
    <t>Amount</t>
  </si>
  <si>
    <t>Remark</t>
  </si>
  <si>
    <t>Sub-total</t>
  </si>
  <si>
    <t>m3</t>
  </si>
  <si>
    <t>VAT calculation</t>
  </si>
  <si>
    <t>Length (m)</t>
  </si>
  <si>
    <t>Unit Weight (kg/m)</t>
  </si>
  <si>
    <t>Total Weight (Kg)</t>
  </si>
  <si>
    <t>MT</t>
  </si>
  <si>
    <t>Provisional sum for lab test</t>
  </si>
  <si>
    <t>PS</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</si>
  <si>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</si>
  <si>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</si>
  <si>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</si>
  <si>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</si>
  <si>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</si>
  <si>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</si>
  <si>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</si>
  <si>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</si>
  <si>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</si>
  <si>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</si>
  <si>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</si>
  <si>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</si>
  <si>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</si>
  <si>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</si>
  <si>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</si>
  <si>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</si>
  <si>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</si>
  <si>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</si>
  <si>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</si>
  <si>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</si>
  <si>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</si>
  <si>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</si>
  <si>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</si>
  <si>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 xml:space="preserve">Maintenance </t>
  </si>
  <si>
    <t>Project:- कालीमस्ट मन्दिर निर्माण</t>
  </si>
  <si>
    <t>d]lzgsf] k|of]u u/L ;'k/ :6«Sr/df l;d]G6 s+lqm6 ug]{ sfd -!M!=%M#_</t>
  </si>
  <si>
    <t>kmnfd]sf] kfOk / KnfOaf]8{af6 kmdf{ agfpg] sfd</t>
  </si>
  <si>
    <t>cf/=;L=;L= nflu kmnfd] 808L sf6\g], df]8\g] #) dL6/ ;Dd</t>
  </si>
  <si>
    <t>-Slab</t>
  </si>
  <si>
    <t>-Column</t>
  </si>
  <si>
    <t>-Beam</t>
  </si>
  <si>
    <t>m2</t>
  </si>
  <si>
    <t>-Cantilever beam</t>
  </si>
  <si>
    <t>-deduction for hollow portion</t>
  </si>
  <si>
    <t>-column stirrups</t>
  </si>
  <si>
    <t>-stirrups</t>
  </si>
  <si>
    <t>-extra bars</t>
  </si>
  <si>
    <t>-Secondary beam</t>
  </si>
  <si>
    <t>-slab bottom bars</t>
  </si>
  <si>
    <t>-slab top bars along x-axis</t>
  </si>
  <si>
    <t>-slab top bars along y-axis</t>
  </si>
  <si>
    <t>-secondary beam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</si>
</sst>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4"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43" fontId="0" fillId="0" borderId="0" xfId="0" applyNumberFormat="1" applyAlignment="1">
      <alignment vertical="center"/>
    </xf>
    <xf numFmtId="0" fontId="15" fillId="3" borderId="2" xfId="0" applyFont="1" applyFill="1" applyBorder="1" applyAlignment="1">
      <alignment wrapText="1"/>
    </xf>
    <xf numFmtId="0" fontId="15" fillId="3" borderId="2" xfId="0" applyFont="1" applyFill="1" applyBorder="1" applyAlignment="1">
      <alignment vertical="center" wrapText="1"/>
    </xf>
    <xf numFmtId="2" fontId="0" fillId="0" borderId="2" xfId="0" quotePrefix="1" applyNumberFormat="1" applyBorder="1" applyAlignment="1">
      <alignment horizontal="right"/>
    </xf>
    <xf numFmtId="164" fontId="0" fillId="0" borderId="2" xfId="0" quotePrefix="1" applyNumberFormat="1" applyBorder="1" applyAlignment="1">
      <alignment horizontal="right"/>
    </xf>
    <xf numFmtId="165" fontId="10" fillId="0" borderId="2" xfId="0" applyNumberFormat="1" applyFont="1" applyBorder="1" applyAlignment="1">
      <alignment vertic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abSelected="1" view="pageBreakPreview" topLeftCell="A55" zoomScale="90" zoomScaleNormal="100" zoomScaleSheetLayoutView="90" workbookViewId="0">
      <selection activeCell="H64" sqref="H64"/>
    </sheetView>
  </sheetViews>
  <sheetFormatPr defaultRowHeight="15" x14ac:dyDescent="0.25"/>
  <cols>
    <col min="1" max="1" width="4.7109375" customWidth="1"/>
    <col min="2" max="2" width="30.85546875" customWidth="1"/>
    <col min="3" max="3" width="5.5703125" bestFit="1" customWidth="1"/>
    <col min="4" max="4" width="7.85546875" customWidth="1"/>
    <col min="5" max="5" width="8.5703125" customWidth="1"/>
    <col min="6" max="6" width="7.28515625" customWidth="1"/>
    <col min="8" max="8" width="4.85546875" customWidth="1"/>
    <col min="9" max="10" width="10.7109375" bestFit="1" customWidth="1"/>
  </cols>
  <sheetData>
    <row r="1" spans="1:11" x14ac:dyDescent="0.25">
      <c r="A1" s="73" t="s">
        <v>0</v>
      </c>
      <c r="B1" s="73"/>
      <c r="C1" s="73"/>
      <c r="D1" s="73"/>
      <c r="E1" s="73"/>
      <c r="F1" s="73"/>
      <c r="G1" s="73"/>
      <c r="H1" s="73"/>
      <c r="I1" s="73"/>
      <c r="J1" s="73"/>
      <c r="K1" s="73"/>
    </row>
    <row r="2" spans="1:11" ht="22.5" x14ac:dyDescent="0.25">
      <c r="A2" s="74" t="s">
        <v>1</v>
      </c>
      <c r="B2" s="74"/>
      <c r="C2" s="74"/>
      <c r="D2" s="74"/>
      <c r="E2" s="74"/>
      <c r="F2" s="74"/>
      <c r="G2" s="74"/>
      <c r="H2" s="74"/>
      <c r="I2" s="74"/>
      <c r="J2" s="74"/>
      <c r="K2" s="74"/>
    </row>
    <row r="3" spans="1:11" x14ac:dyDescent="0.25">
      <c r="A3" s="75" t="s">
        <v>2</v>
      </c>
      <c r="B3" s="75"/>
      <c r="C3" s="75"/>
      <c r="D3" s="75"/>
      <c r="E3" s="75"/>
      <c r="F3" s="75"/>
      <c r="G3" s="75"/>
      <c r="H3" s="75"/>
      <c r="I3" s="75"/>
      <c r="J3" s="75"/>
      <c r="K3" s="75"/>
    </row>
    <row r="4" spans="1:11" x14ac:dyDescent="0.25">
      <c r="A4" s="75" t="s">
        <v>3</v>
      </c>
      <c r="B4" s="75"/>
      <c r="C4" s="75"/>
      <c r="D4" s="75"/>
      <c r="E4" s="75"/>
      <c r="F4" s="75"/>
      <c r="G4" s="75"/>
      <c r="H4" s="75"/>
      <c r="I4" s="75"/>
      <c r="J4" s="75"/>
      <c r="K4" s="75"/>
    </row>
    <row r="5" spans="1:11" ht="18.75" x14ac:dyDescent="0.3">
      <c r="A5" s="76" t="s">
        <v>4</v>
      </c>
      <c r="B5" s="76"/>
      <c r="C5" s="76"/>
      <c r="D5" s="76"/>
      <c r="E5" s="76"/>
      <c r="F5" s="76"/>
      <c r="G5" s="76"/>
      <c r="H5" s="76"/>
      <c r="I5" s="76"/>
      <c r="J5" s="76"/>
      <c r="K5" s="76"/>
    </row>
    <row r="6" spans="1:11" ht="15.75" x14ac:dyDescent="0.25">
      <c r="A6" s="71" t="s">
        <v>52</v>
      </c>
      <c r="B6" s="71"/>
      <c r="C6" s="71"/>
      <c r="D6" s="71"/>
      <c r="E6" s="71"/>
      <c r="F6" s="71"/>
      <c r="G6" s="1"/>
      <c r="H6" s="72" t="s">
        <v>5</v>
      </c>
      <c r="I6" s="72"/>
      <c r="J6" s="72"/>
      <c r="K6" s="72"/>
    </row>
    <row r="7" spans="1:11" ht="15.75" x14ac:dyDescent="0.25">
      <c r="A7" s="68" t="s">
        <v>6</v>
      </c>
      <c r="B7" s="68"/>
      <c r="C7" s="68"/>
      <c r="D7" s="68"/>
      <c r="E7" s="68"/>
      <c r="F7" s="68"/>
      <c r="G7" s="2"/>
      <c r="H7" s="69" t="s">
        <v>7</v>
      </c>
      <c r="I7" s="69"/>
      <c r="J7" s="69"/>
      <c r="K7" s="69"/>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2" t="s">
        <v>54</v>
      </c>
      <c r="C9" s="29"/>
      <c r="D9" s="29"/>
      <c r="E9" s="29"/>
      <c r="F9" s="29"/>
      <c r="G9" s="29"/>
      <c r="H9" s="29"/>
      <c r="I9" s="29"/>
      <c r="J9" s="29"/>
      <c r="K9" s="29"/>
    </row>
    <row r="10" spans="1:11" x14ac:dyDescent="0.25">
      <c r="A10" s="59"/>
      <c r="B10" s="10" t="s">
        <v>57</v>
      </c>
      <c r="C10" s="43">
        <v>6</v>
      </c>
      <c r="D10" s="19">
        <f>0.3*4</f>
        <v>1.2</v>
      </c>
      <c r="E10" s="19"/>
      <c r="F10" s="19">
        <f>(9.333-1.17)/3.281</f>
        <v>2.48796098750381</v>
      </c>
      <c r="G10" s="20">
        <f>PRODUCT(C10:F10)</f>
        <v>17.91331911002743</v>
      </c>
      <c r="H10" s="29"/>
      <c r="I10" s="29"/>
      <c r="J10" s="29"/>
      <c r="K10" s="29"/>
    </row>
    <row r="11" spans="1:11" ht="15" customHeight="1" x14ac:dyDescent="0.25">
      <c r="A11" s="9"/>
      <c r="B11" s="10" t="s">
        <v>58</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60</v>
      </c>
      <c r="C13" s="43">
        <v>10</v>
      </c>
      <c r="D13" s="19">
        <f>2.5/3.281</f>
        <v>0.76196281621456874</v>
      </c>
      <c r="E13" s="19">
        <f>0.23*2</f>
        <v>0.46</v>
      </c>
      <c r="F13" s="19"/>
      <c r="G13" s="20">
        <f>PRODUCT(C13:F13)</f>
        <v>3.5050289545870164</v>
      </c>
      <c r="H13" s="21"/>
      <c r="I13" s="21"/>
      <c r="J13" s="21"/>
      <c r="K13" s="13"/>
    </row>
    <row r="14" spans="1:11" ht="15" customHeight="1" x14ac:dyDescent="0.25">
      <c r="A14" s="9"/>
      <c r="B14" s="10" t="s">
        <v>56</v>
      </c>
      <c r="C14" s="43">
        <v>1</v>
      </c>
      <c r="D14" s="19">
        <f>32/3.281</f>
        <v>9.7531240475464784</v>
      </c>
      <c r="E14" s="19">
        <f>18.667/3.281</f>
        <v>5.6894239561109421</v>
      </c>
      <c r="F14" s="19"/>
      <c r="G14" s="20">
        <f t="shared" ref="G14:G16" si="0">PRODUCT(C14:F14)</f>
        <v>55.489657603032647</v>
      </c>
      <c r="H14" s="21"/>
      <c r="I14" s="21"/>
      <c r="J14" s="21"/>
      <c r="K14" s="13"/>
    </row>
    <row r="15" spans="1:11" ht="15" customHeight="1" x14ac:dyDescent="0.25">
      <c r="A15" s="9"/>
      <c r="B15" s="10" t="s">
        <v>61</v>
      </c>
      <c r="C15" s="43">
        <v>-1</v>
      </c>
      <c r="D15" s="19">
        <f>1.8</f>
        <v>1.8</v>
      </c>
      <c r="E15" s="19">
        <v>1.8</v>
      </c>
      <c r="F15" s="19"/>
      <c r="G15" s="20">
        <f t="shared" si="0"/>
        <v>-3.24</v>
      </c>
      <c r="H15" s="21"/>
      <c r="I15" s="21"/>
      <c r="J15" s="21"/>
      <c r="K15" s="13"/>
    </row>
    <row r="16" spans="1:11" x14ac:dyDescent="0.25">
      <c r="A16" s="59"/>
      <c r="B16" s="45" t="s">
        <v>69</v>
      </c>
      <c r="C16" s="65">
        <v>2</v>
      </c>
      <c r="D16" s="64">
        <f>12.25/3.281</f>
        <v>3.7336177994513866</v>
      </c>
      <c r="E16" s="19">
        <f>0.23*2</f>
        <v>0.46</v>
      </c>
      <c r="F16" s="64"/>
      <c r="G16" s="30">
        <f t="shared" si="0"/>
        <v>3.434928375495276</v>
      </c>
      <c r="H16" s="29"/>
      <c r="I16" s="29"/>
      <c r="J16" s="29"/>
      <c r="K16" s="29"/>
    </row>
    <row r="17" spans="1:11" ht="15" customHeight="1" x14ac:dyDescent="0.25">
      <c r="A17" s="9"/>
      <c r="B17" s="10" t="s">
        <v>19</v>
      </c>
      <c r="C17" s="11"/>
      <c r="D17" s="12"/>
      <c r="E17" s="13"/>
      <c r="F17" s="13"/>
      <c r="G17" s="14">
        <f>SUM(G10:G16)</f>
        <v>88.774680461917129</v>
      </c>
      <c r="H17" s="15" t="s">
        <v>59</v>
      </c>
      <c r="I17" s="14">
        <v>915.42</v>
      </c>
      <c r="J17" s="16">
        <f>G17*I17</f>
        <v>81266.117988448168</v>
      </c>
      <c r="K17" s="13"/>
    </row>
    <row r="18" spans="1:11" ht="15" customHeight="1" x14ac:dyDescent="0.25">
      <c r="A18" s="9"/>
      <c r="B18" s="10" t="s">
        <v>21</v>
      </c>
      <c r="C18" s="11"/>
      <c r="D18" s="12"/>
      <c r="E18" s="13"/>
      <c r="F18" s="13"/>
      <c r="G18" s="14"/>
      <c r="H18" s="15"/>
      <c r="I18" s="14"/>
      <c r="J18" s="16">
        <f>0.13*G17*46827.87/100</f>
        <v>5404.2679547508551</v>
      </c>
      <c r="K18" s="13"/>
    </row>
    <row r="19" spans="1:11" x14ac:dyDescent="0.25">
      <c r="A19" s="59"/>
      <c r="B19" s="29"/>
      <c r="C19" s="29"/>
      <c r="D19" s="29"/>
      <c r="E19" s="29"/>
      <c r="F19" s="29"/>
      <c r="G19" s="29"/>
      <c r="H19" s="29"/>
      <c r="I19" s="29"/>
      <c r="J19" s="29"/>
      <c r="K19" s="29"/>
    </row>
    <row r="20" spans="1:11" s="17" customFormat="1" ht="45" x14ac:dyDescent="0.25">
      <c r="A20" s="25">
        <v>2</v>
      </c>
      <c r="B20" s="63" t="s">
        <v>55</v>
      </c>
      <c r="C20" s="26" t="s">
        <v>10</v>
      </c>
      <c r="D20" s="27" t="s">
        <v>22</v>
      </c>
      <c r="E20" s="27" t="s">
        <v>23</v>
      </c>
      <c r="F20" s="27" t="s">
        <v>24</v>
      </c>
      <c r="G20" s="20"/>
      <c r="H20" s="20"/>
      <c r="I20" s="20"/>
      <c r="J20" s="24"/>
      <c r="K20" s="28"/>
    </row>
    <row r="21" spans="1:11" ht="15" customHeight="1" x14ac:dyDescent="0.25">
      <c r="A21" s="25"/>
      <c r="B21" s="10" t="s">
        <v>62</v>
      </c>
      <c r="C21" s="22">
        <f>6*(TRUNC((F10/2)/0.15,0)+TRUNC((F10/2)/0.1,0)-4)</f>
        <v>96</v>
      </c>
      <c r="D21" s="23">
        <f>(7/12/3.281)*4+0.05*2</f>
        <v>0.81116529513359747</v>
      </c>
      <c r="E21" s="23">
        <f>8*8/162</f>
        <v>0.39506172839506171</v>
      </c>
      <c r="F21" s="23">
        <f>PRODUCT(C21:E21)</f>
        <v>30.764194896918656</v>
      </c>
      <c r="G21" s="23">
        <f>F21/1000</f>
        <v>3.0764194896918656E-2</v>
      </c>
      <c r="H21" s="23"/>
      <c r="I21" s="23"/>
      <c r="J21" s="24"/>
      <c r="K21" s="18"/>
    </row>
    <row r="22" spans="1:11" x14ac:dyDescent="0.25">
      <c r="A22" s="59"/>
      <c r="B22" s="29"/>
      <c r="C22" s="22">
        <f>6*(TRUNC((F10/2)/0.15,0)+TRUNC((F10/2)/0.1,0)-4)</f>
        <v>96</v>
      </c>
      <c r="D22" s="30">
        <f>0.15*4+0.05*2</f>
        <v>0.7</v>
      </c>
      <c r="E22" s="23">
        <f>8*8/162</f>
        <v>0.39506172839506171</v>
      </c>
      <c r="F22" s="23">
        <f>PRODUCT(C22:E22)</f>
        <v>26.548148148148144</v>
      </c>
      <c r="G22" s="23">
        <f>F22/1000</f>
        <v>2.6548148148148144E-2</v>
      </c>
      <c r="H22" s="29"/>
      <c r="I22" s="29"/>
      <c r="J22" s="29"/>
      <c r="K22" s="29"/>
    </row>
    <row r="23" spans="1:11" x14ac:dyDescent="0.25">
      <c r="A23" s="59"/>
      <c r="B23" s="45" t="s">
        <v>58</v>
      </c>
      <c r="C23" s="22">
        <f>2*5</f>
        <v>10</v>
      </c>
      <c r="D23" s="30">
        <f>D14</f>
        <v>9.7531240475464784</v>
      </c>
      <c r="E23" s="23">
        <f>12*12/162</f>
        <v>0.88888888888888884</v>
      </c>
      <c r="F23" s="23">
        <f t="shared" ref="F23:F24" si="1">PRODUCT(C23:E23)</f>
        <v>86.69443597819091</v>
      </c>
      <c r="G23" s="23">
        <f t="shared" ref="G23:G24" si="2">F23/1000</f>
        <v>8.6694435978190904E-2</v>
      </c>
      <c r="H23" s="29"/>
      <c r="I23" s="29"/>
      <c r="J23" s="29"/>
      <c r="K23" s="29"/>
    </row>
    <row r="24" spans="1:11" x14ac:dyDescent="0.25">
      <c r="A24" s="59"/>
      <c r="B24" s="45"/>
      <c r="C24" s="22">
        <f>3*5</f>
        <v>15</v>
      </c>
      <c r="D24" s="30">
        <f>E14</f>
        <v>5.6894239561109421</v>
      </c>
      <c r="E24" s="23">
        <f>12*12/162</f>
        <v>0.88888888888888884</v>
      </c>
      <c r="F24" s="23">
        <f t="shared" si="1"/>
        <v>75.858986081479216</v>
      </c>
      <c r="G24" s="23">
        <f t="shared" si="2"/>
        <v>7.5858986081479216E-2</v>
      </c>
      <c r="H24" s="29"/>
      <c r="I24" s="29"/>
      <c r="J24" s="29"/>
      <c r="K24" s="29"/>
    </row>
    <row r="25" spans="1:11" ht="15" customHeight="1" x14ac:dyDescent="0.25">
      <c r="A25" s="9"/>
      <c r="B25" s="10" t="s">
        <v>63</v>
      </c>
      <c r="C25" s="11">
        <f>37*4</f>
        <v>148</v>
      </c>
      <c r="D25" s="12">
        <f>(0.3*2+(0.583/3.281)*2+0.075*2)</f>
        <v>1.1053794574824747</v>
      </c>
      <c r="E25" s="13">
        <f t="shared" ref="E25:E26" si="3">8*8/162</f>
        <v>0.39506172839506171</v>
      </c>
      <c r="F25" s="20">
        <f>PRODUCT(C25:E25)</f>
        <v>64.630581612802473</v>
      </c>
      <c r="G25" s="20">
        <f>F25/1000</f>
        <v>6.4630581612802468E-2</v>
      </c>
      <c r="H25" s="15"/>
      <c r="I25" s="14"/>
      <c r="J25" s="16"/>
      <c r="K25" s="13"/>
    </row>
    <row r="26" spans="1:11" ht="15" customHeight="1" x14ac:dyDescent="0.25">
      <c r="A26" s="9"/>
      <c r="B26" s="10"/>
      <c r="C26" s="11">
        <f>(29+7+7)*3</f>
        <v>129</v>
      </c>
      <c r="D26" s="12">
        <f>(0.3*2+(0.583/3.281)*2+0.075*2)</f>
        <v>1.1053794574824747</v>
      </c>
      <c r="E26" s="13">
        <f t="shared" si="3"/>
        <v>0.39506172839506171</v>
      </c>
      <c r="F26" s="20">
        <f>PRODUCT(C26:E26)</f>
        <v>56.333412351699451</v>
      </c>
      <c r="G26" s="20">
        <f>F26/1000</f>
        <v>5.6333412351699454E-2</v>
      </c>
      <c r="H26" s="15"/>
      <c r="I26" s="14"/>
      <c r="J26" s="16"/>
      <c r="K26" s="13"/>
    </row>
    <row r="27" spans="1:11" ht="15" customHeight="1" x14ac:dyDescent="0.25">
      <c r="A27" s="9"/>
      <c r="B27" s="10" t="s">
        <v>64</v>
      </c>
      <c r="C27" s="11">
        <v>4</v>
      </c>
      <c r="D27" s="12">
        <f>(6.833+0.75)/3.281</f>
        <v>2.3111856141420297</v>
      </c>
      <c r="E27" s="13">
        <f>12*12/162</f>
        <v>0.88888888888888884</v>
      </c>
      <c r="F27" s="20">
        <f t="shared" ref="F27:F28" si="4">PRODUCT(C27:E27)</f>
        <v>8.2175488502827712</v>
      </c>
      <c r="G27" s="20">
        <f t="shared" ref="G27:G28" si="5">F27/1000</f>
        <v>8.2175488502827711E-3</v>
      </c>
      <c r="H27" s="15"/>
      <c r="I27" s="14"/>
      <c r="J27" s="16"/>
      <c r="K27" s="13"/>
    </row>
    <row r="28" spans="1:11" ht="15" customHeight="1" x14ac:dyDescent="0.25">
      <c r="A28" s="9"/>
      <c r="B28" s="10"/>
      <c r="C28" s="11">
        <v>2</v>
      </c>
      <c r="D28" s="12">
        <f>10.75/3.281</f>
        <v>3.2764401097226452</v>
      </c>
      <c r="E28" s="13">
        <f>12*12/162</f>
        <v>0.88888888888888884</v>
      </c>
      <c r="F28" s="20">
        <f t="shared" si="4"/>
        <v>5.8247824172847027</v>
      </c>
      <c r="G28" s="20">
        <f t="shared" si="5"/>
        <v>5.824782417284703E-3</v>
      </c>
      <c r="H28" s="15"/>
      <c r="I28" s="14"/>
      <c r="J28" s="16"/>
      <c r="K28" s="13"/>
    </row>
    <row r="29" spans="1:11" ht="15" customHeight="1" x14ac:dyDescent="0.25">
      <c r="A29" s="9"/>
      <c r="B29" s="10"/>
      <c r="C29" s="11">
        <v>6</v>
      </c>
      <c r="D29" s="12">
        <f>(4.5+2.5+0.75)/3.281</f>
        <v>2.3620847302651629</v>
      </c>
      <c r="E29" s="13">
        <f>12*12/162</f>
        <v>0.88888888888888884</v>
      </c>
      <c r="F29" s="20">
        <f>PRODUCT(C29:E29)</f>
        <v>12.597785228080866</v>
      </c>
      <c r="G29" s="20">
        <f>F29/1000</f>
        <v>1.2597785228080867E-2</v>
      </c>
      <c r="H29" s="15"/>
      <c r="I29" s="14"/>
      <c r="J29" s="16"/>
      <c r="K29" s="13"/>
    </row>
    <row r="30" spans="1:11" x14ac:dyDescent="0.25">
      <c r="A30" s="59"/>
      <c r="B30" s="45" t="s">
        <v>65</v>
      </c>
      <c r="C30" s="22">
        <f>2*5</f>
        <v>10</v>
      </c>
      <c r="D30" s="30">
        <f>(13.75-0.333+2*(7/12/3.281))</f>
        <v>13.772582647566798</v>
      </c>
      <c r="E30" s="13">
        <f>12*12/162</f>
        <v>0.88888888888888884</v>
      </c>
      <c r="F30" s="20">
        <f>PRODUCT(C30:E30)</f>
        <v>122.42295686726042</v>
      </c>
      <c r="G30" s="20">
        <f>F30/1000</f>
        <v>0.12242295686726043</v>
      </c>
      <c r="H30" s="29"/>
      <c r="I30" s="29"/>
      <c r="J30" s="29"/>
      <c r="K30" s="29"/>
    </row>
    <row r="31" spans="1:11" ht="15" customHeight="1" x14ac:dyDescent="0.25">
      <c r="A31" s="9"/>
      <c r="B31" s="10" t="s">
        <v>63</v>
      </c>
      <c r="C31" s="11">
        <f>(29)*2</f>
        <v>58</v>
      </c>
      <c r="D31" s="12">
        <f>(0.3*2+(0.583/3.281)*2+0.075*2)</f>
        <v>1.1053794574824747</v>
      </c>
      <c r="E31" s="13">
        <f t="shared" ref="E31" si="6">8*8/162</f>
        <v>0.39506172839506171</v>
      </c>
      <c r="F31" s="20">
        <f>PRODUCT(C31:E31)</f>
        <v>25.328200902314478</v>
      </c>
      <c r="G31" s="20">
        <f>F31/1000</f>
        <v>2.5328200902314479E-2</v>
      </c>
      <c r="H31" s="15"/>
      <c r="I31" s="14"/>
      <c r="J31" s="16"/>
      <c r="K31" s="13"/>
    </row>
    <row r="32" spans="1:11" ht="15" customHeight="1" x14ac:dyDescent="0.25">
      <c r="A32" s="9"/>
      <c r="B32" s="10" t="s">
        <v>64</v>
      </c>
      <c r="C32" s="11">
        <v>4</v>
      </c>
      <c r="D32" s="12">
        <f>0.3*(13.75-0.75)/3.281</f>
        <v>1.1886619932947271</v>
      </c>
      <c r="E32" s="13">
        <f>12*12/162</f>
        <v>0.88888888888888884</v>
      </c>
      <c r="F32" s="20">
        <f t="shared" ref="F32" si="7">PRODUCT(C32:E32)</f>
        <v>4.2263537539368077</v>
      </c>
      <c r="G32" s="66">
        <f t="shared" ref="G32" si="8">F32/1000</f>
        <v>4.2263537539368075E-3</v>
      </c>
      <c r="H32" s="15"/>
      <c r="I32" s="14"/>
      <c r="J32" s="16"/>
      <c r="K32" s="13"/>
    </row>
    <row r="33" spans="1:11" ht="15" customHeight="1" x14ac:dyDescent="0.25">
      <c r="A33" s="9"/>
      <c r="B33" s="10" t="s">
        <v>66</v>
      </c>
      <c r="C33" s="11">
        <v>34</v>
      </c>
      <c r="D33" s="12">
        <f>31.667/3.281</f>
        <v>9.6516306004266994</v>
      </c>
      <c r="E33" s="13">
        <f>8*8/162</f>
        <v>0.39506172839506171</v>
      </c>
      <c r="F33" s="20">
        <f>PRODUCT(C33:E33)</f>
        <v>129.64165547239813</v>
      </c>
      <c r="G33" s="20">
        <f>F33/1000</f>
        <v>0.12964165547239812</v>
      </c>
      <c r="H33" s="15"/>
      <c r="I33" s="14"/>
      <c r="J33" s="16"/>
      <c r="K33" s="13"/>
    </row>
    <row r="34" spans="1:11" ht="15" customHeight="1" x14ac:dyDescent="0.25">
      <c r="A34" s="9"/>
      <c r="B34" s="10"/>
      <c r="C34" s="11">
        <f>60</f>
        <v>60</v>
      </c>
      <c r="D34" s="12">
        <f>18.42/3.281</f>
        <v>5.6141420298689431</v>
      </c>
      <c r="E34" s="13">
        <f>8*8/162</f>
        <v>0.39506172839506171</v>
      </c>
      <c r="F34" s="20">
        <f>PRODUCT(C34:E34)</f>
        <v>133.07595922652308</v>
      </c>
      <c r="G34" s="20">
        <f>F34/1000</f>
        <v>0.13307595922652307</v>
      </c>
      <c r="H34" s="15"/>
      <c r="I34" s="14"/>
      <c r="J34" s="16"/>
      <c r="K34" s="13"/>
    </row>
    <row r="35" spans="1:11" ht="15" customHeight="1" x14ac:dyDescent="0.25">
      <c r="A35" s="9"/>
      <c r="B35" s="10" t="s">
        <v>61</v>
      </c>
      <c r="C35" s="11">
        <f>2*(6*2+1)</f>
        <v>26</v>
      </c>
      <c r="D35" s="12">
        <v>1.8</v>
      </c>
      <c r="E35" s="13">
        <f>8*8/162</f>
        <v>0.39506172839506171</v>
      </c>
      <c r="F35" s="20">
        <f>PRODUCT(C35:E35)</f>
        <v>18.488888888888891</v>
      </c>
      <c r="G35" s="20">
        <f>F35/1000</f>
        <v>1.8488888888888892E-2</v>
      </c>
      <c r="H35" s="15"/>
      <c r="I35" s="14"/>
      <c r="J35" s="16"/>
      <c r="K35" s="13"/>
    </row>
    <row r="36" spans="1:11" ht="15" customHeight="1" x14ac:dyDescent="0.25">
      <c r="A36" s="9"/>
      <c r="B36" s="10" t="s">
        <v>67</v>
      </c>
      <c r="C36" s="11">
        <f>10*2</f>
        <v>20</v>
      </c>
      <c r="D36" s="12">
        <f>6.5/3.281</f>
        <v>1.9811033221578787</v>
      </c>
      <c r="E36" s="13">
        <f t="shared" ref="E36:E41" si="9">8*8/162</f>
        <v>0.39506172839506171</v>
      </c>
      <c r="F36" s="20">
        <f t="shared" ref="F36:F41" si="10">PRODUCT(C36:E36)</f>
        <v>15.653162051617805</v>
      </c>
      <c r="G36" s="20">
        <f t="shared" ref="G36:G41" si="11">F36/1000</f>
        <v>1.5653162051617805E-2</v>
      </c>
      <c r="H36" s="15"/>
      <c r="I36" s="14"/>
      <c r="J36" s="16"/>
      <c r="K36" s="13"/>
    </row>
    <row r="37" spans="1:11" ht="15" customHeight="1" x14ac:dyDescent="0.25">
      <c r="A37" s="9"/>
      <c r="B37" s="10"/>
      <c r="C37" s="11">
        <f>8</f>
        <v>8</v>
      </c>
      <c r="D37" s="12">
        <f>7.5/3.281</f>
        <v>2.2858884486437061</v>
      </c>
      <c r="E37" s="13">
        <f t="shared" si="9"/>
        <v>0.39506172839506171</v>
      </c>
      <c r="F37" s="20">
        <f t="shared" si="10"/>
        <v>7.2245363315159103</v>
      </c>
      <c r="G37" s="20">
        <f t="shared" si="11"/>
        <v>7.2245363315159104E-3</v>
      </c>
      <c r="H37" s="15"/>
      <c r="I37" s="14"/>
      <c r="J37" s="16"/>
      <c r="K37" s="13"/>
    </row>
    <row r="38" spans="1:11" ht="15" customHeight="1" x14ac:dyDescent="0.25">
      <c r="A38" s="9"/>
      <c r="B38" s="10"/>
      <c r="C38" s="11">
        <f>12+12</f>
        <v>24</v>
      </c>
      <c r="D38" s="12">
        <f>31.667/3.281</f>
        <v>9.6516306004266994</v>
      </c>
      <c r="E38" s="13">
        <f t="shared" si="9"/>
        <v>0.39506172839506171</v>
      </c>
      <c r="F38" s="20">
        <f t="shared" si="10"/>
        <v>91.511756804045731</v>
      </c>
      <c r="G38" s="20">
        <f t="shared" si="11"/>
        <v>9.1511756804045732E-2</v>
      </c>
      <c r="H38" s="15"/>
      <c r="I38" s="14"/>
      <c r="J38" s="16"/>
      <c r="K38" s="13"/>
    </row>
    <row r="39" spans="1:11" ht="15" customHeight="1" x14ac:dyDescent="0.25">
      <c r="A39" s="9"/>
      <c r="B39" s="10" t="s">
        <v>68</v>
      </c>
      <c r="C39" s="11">
        <f>10*2</f>
        <v>20</v>
      </c>
      <c r="D39" s="12">
        <f>7.083/3.281</f>
        <v>2.1587930508991162</v>
      </c>
      <c r="E39" s="13">
        <f t="shared" si="9"/>
        <v>0.39506172839506171</v>
      </c>
      <c r="F39" s="20">
        <f t="shared" si="10"/>
        <v>17.057130278709067</v>
      </c>
      <c r="G39" s="20">
        <f t="shared" si="11"/>
        <v>1.7057130278709066E-2</v>
      </c>
      <c r="H39" s="15"/>
      <c r="I39" s="14"/>
      <c r="J39" s="16"/>
      <c r="K39" s="13"/>
    </row>
    <row r="40" spans="1:11" ht="15" customHeight="1" x14ac:dyDescent="0.25">
      <c r="A40" s="9"/>
      <c r="B40" s="10"/>
      <c r="C40" s="11">
        <f>12*2</f>
        <v>24</v>
      </c>
      <c r="D40" s="12">
        <f>6.583/3.281</f>
        <v>2.0064004876562023</v>
      </c>
      <c r="E40" s="13">
        <f t="shared" si="9"/>
        <v>0.39506172839506171</v>
      </c>
      <c r="F40" s="20">
        <f t="shared" ref="F40" si="12">PRODUCT(C40:E40)</f>
        <v>19.023649068147694</v>
      </c>
      <c r="G40" s="20">
        <f t="shared" ref="G40" si="13">F40/1000</f>
        <v>1.9023649068147696E-2</v>
      </c>
      <c r="H40" s="15"/>
      <c r="I40" s="14"/>
      <c r="J40" s="16"/>
      <c r="K40" s="13"/>
    </row>
    <row r="41" spans="1:11" ht="15" customHeight="1" x14ac:dyDescent="0.25">
      <c r="A41" s="9"/>
      <c r="B41" s="10"/>
      <c r="C41" s="11">
        <f>39</f>
        <v>39</v>
      </c>
      <c r="D41" s="12">
        <f>18.42/3.281</f>
        <v>5.6141420298689431</v>
      </c>
      <c r="E41" s="13">
        <f t="shared" si="9"/>
        <v>0.39506172839506171</v>
      </c>
      <c r="F41" s="20">
        <f t="shared" si="10"/>
        <v>86.499373497240001</v>
      </c>
      <c r="G41" s="20">
        <f t="shared" si="11"/>
        <v>8.6499373497240004E-2</v>
      </c>
      <c r="H41" s="15"/>
      <c r="I41" s="14"/>
      <c r="J41" s="16"/>
      <c r="K41" s="13"/>
    </row>
    <row r="42" spans="1:11" ht="15" customHeight="1" x14ac:dyDescent="0.25">
      <c r="A42" s="9"/>
      <c r="B42" s="10" t="s">
        <v>19</v>
      </c>
      <c r="C42" s="11"/>
      <c r="D42" s="12"/>
      <c r="E42" s="13"/>
      <c r="F42" s="13"/>
      <c r="G42" s="14">
        <f>SUM(G21:G41)</f>
        <v>1.037623498707485</v>
      </c>
      <c r="H42" s="15" t="s">
        <v>25</v>
      </c>
      <c r="I42" s="14">
        <v>131940</v>
      </c>
      <c r="J42" s="16">
        <f>G42*I42</f>
        <v>136904.04441946559</v>
      </c>
      <c r="K42" s="13"/>
    </row>
    <row r="43" spans="1:11" ht="15" customHeight="1" x14ac:dyDescent="0.25">
      <c r="A43" s="9"/>
      <c r="B43" s="10" t="s">
        <v>21</v>
      </c>
      <c r="C43" s="11"/>
      <c r="D43" s="12"/>
      <c r="E43" s="13"/>
      <c r="F43" s="13"/>
      <c r="G43" s="14"/>
      <c r="H43" s="15"/>
      <c r="I43" s="14"/>
      <c r="J43" s="16">
        <f>0.13*G42*106200</f>
        <v>14325.430023155539</v>
      </c>
      <c r="K43" s="13"/>
    </row>
    <row r="44" spans="1:11" ht="11.25" customHeight="1" x14ac:dyDescent="0.25">
      <c r="A44" s="59"/>
      <c r="B44" s="29"/>
      <c r="C44" s="29"/>
      <c r="D44" s="29"/>
      <c r="E44" s="29"/>
      <c r="F44" s="29"/>
      <c r="G44" s="29"/>
      <c r="H44" s="29"/>
      <c r="I44" s="29"/>
      <c r="J44" s="29"/>
      <c r="K44" s="29"/>
    </row>
    <row r="45" spans="1:11" s="8" customFormat="1" ht="30.75" x14ac:dyDescent="0.25">
      <c r="A45" s="59">
        <v>3</v>
      </c>
      <c r="B45" s="62" t="s">
        <v>53</v>
      </c>
      <c r="C45" s="44"/>
      <c r="D45" s="44"/>
      <c r="E45" s="44"/>
      <c r="F45" s="44"/>
      <c r="G45" s="44"/>
      <c r="H45" s="44"/>
      <c r="I45" s="44"/>
      <c r="J45" s="44"/>
      <c r="K45" s="44"/>
    </row>
    <row r="46" spans="1:11" x14ac:dyDescent="0.25">
      <c r="A46" s="59"/>
      <c r="B46" s="45" t="str">
        <f>B10</f>
        <v>-Column</v>
      </c>
      <c r="C46" s="65">
        <f>C10</f>
        <v>6</v>
      </c>
      <c r="D46" s="64">
        <v>0.3</v>
      </c>
      <c r="E46" s="64">
        <v>0.3</v>
      </c>
      <c r="F46" s="64">
        <f>F10</f>
        <v>2.48796098750381</v>
      </c>
      <c r="G46" s="30">
        <f>PRODUCT(C46:F46)</f>
        <v>1.3434989332520573</v>
      </c>
      <c r="H46" s="29"/>
      <c r="I46" s="29"/>
      <c r="J46" s="29"/>
      <c r="K46" s="29"/>
    </row>
    <row r="47" spans="1:11" x14ac:dyDescent="0.25">
      <c r="A47" s="59"/>
      <c r="B47" s="45" t="str">
        <f>B11</f>
        <v>-Beam</v>
      </c>
      <c r="C47" s="65">
        <f>C11</f>
        <v>4</v>
      </c>
      <c r="D47" s="64">
        <f>D11</f>
        <v>3.6574215178299299</v>
      </c>
      <c r="E47" s="64">
        <v>0.23</v>
      </c>
      <c r="F47" s="64">
        <v>0.23</v>
      </c>
      <c r="G47" s="30">
        <f t="shared" ref="G47:G50" si="14">PRODUCT(C47:F47)</f>
        <v>0.77391039317281318</v>
      </c>
      <c r="H47" s="29"/>
      <c r="I47" s="29"/>
      <c r="J47" s="29"/>
      <c r="K47" s="29"/>
    </row>
    <row r="48" spans="1:11" x14ac:dyDescent="0.25">
      <c r="A48" s="59"/>
      <c r="B48" s="45"/>
      <c r="C48" s="65">
        <f>C12</f>
        <v>3</v>
      </c>
      <c r="D48" s="64">
        <f>D12</f>
        <v>3.5812252362084727</v>
      </c>
      <c r="E48" s="64">
        <v>0.23</v>
      </c>
      <c r="F48" s="64">
        <v>0.23</v>
      </c>
      <c r="G48" s="30">
        <f t="shared" si="14"/>
        <v>0.56834044498628455</v>
      </c>
      <c r="H48" s="29"/>
      <c r="I48" s="29"/>
      <c r="J48" s="29"/>
      <c r="K48" s="29"/>
    </row>
    <row r="49" spans="1:11" x14ac:dyDescent="0.25">
      <c r="A49" s="59"/>
      <c r="B49" s="45" t="str">
        <f>B13</f>
        <v>-Cantilever beam</v>
      </c>
      <c r="C49" s="65">
        <f>C13</f>
        <v>10</v>
      </c>
      <c r="D49" s="64">
        <f>D13</f>
        <v>0.76196281621456874</v>
      </c>
      <c r="E49" s="64">
        <v>0.23</v>
      </c>
      <c r="F49" s="64">
        <v>0.23</v>
      </c>
      <c r="G49" s="30">
        <f t="shared" si="14"/>
        <v>0.40307832977750691</v>
      </c>
      <c r="H49" s="29"/>
      <c r="I49" s="29"/>
      <c r="J49" s="29"/>
      <c r="K49" s="29"/>
    </row>
    <row r="50" spans="1:11" x14ac:dyDescent="0.25">
      <c r="A50" s="59"/>
      <c r="B50" s="45" t="str">
        <f>B14</f>
        <v>-Slab</v>
      </c>
      <c r="C50" s="65">
        <f>C14</f>
        <v>1</v>
      </c>
      <c r="D50" s="64">
        <f>D14</f>
        <v>9.7531240475464784</v>
      </c>
      <c r="E50" s="64">
        <f>E14</f>
        <v>5.6894239561109421</v>
      </c>
      <c r="F50" s="64">
        <v>0.125</v>
      </c>
      <c r="G50" s="30">
        <f t="shared" si="14"/>
        <v>6.9362072003790809</v>
      </c>
      <c r="H50" s="29"/>
      <c r="I50" s="29"/>
      <c r="J50" s="29"/>
      <c r="K50" s="29"/>
    </row>
    <row r="51" spans="1:11" x14ac:dyDescent="0.25">
      <c r="A51" s="59"/>
      <c r="B51" s="45" t="str">
        <f>B15</f>
        <v>-deduction for hollow portion</v>
      </c>
      <c r="C51" s="65">
        <f>C15</f>
        <v>-1</v>
      </c>
      <c r="D51" s="64">
        <f>D15</f>
        <v>1.8</v>
      </c>
      <c r="E51" s="64">
        <f>E15</f>
        <v>1.8</v>
      </c>
      <c r="F51" s="64">
        <v>0.125</v>
      </c>
      <c r="G51" s="30">
        <f>PRODUCT(C51:F51)</f>
        <v>-0.40500000000000003</v>
      </c>
      <c r="H51" s="29"/>
      <c r="I51" s="29"/>
      <c r="J51" s="29"/>
      <c r="K51" s="29"/>
    </row>
    <row r="52" spans="1:11" x14ac:dyDescent="0.25">
      <c r="A52" s="59"/>
      <c r="B52" s="45" t="s">
        <v>69</v>
      </c>
      <c r="C52" s="65">
        <v>2</v>
      </c>
      <c r="D52" s="64">
        <f>12.25/3.281</f>
        <v>3.7336177994513866</v>
      </c>
      <c r="E52" s="64">
        <v>0.23</v>
      </c>
      <c r="F52" s="64">
        <v>0.23</v>
      </c>
      <c r="G52" s="30">
        <f t="shared" ref="G52" si="15">PRODUCT(C52:F52)</f>
        <v>0.39501676318195678</v>
      </c>
      <c r="H52" s="29"/>
      <c r="I52" s="29"/>
      <c r="J52" s="29"/>
      <c r="K52" s="29"/>
    </row>
    <row r="53" spans="1:11" ht="15" customHeight="1" x14ac:dyDescent="0.25">
      <c r="A53" s="9"/>
      <c r="B53" s="10" t="s">
        <v>19</v>
      </c>
      <c r="C53" s="11"/>
      <c r="D53" s="12"/>
      <c r="E53" s="13"/>
      <c r="F53" s="13"/>
      <c r="G53" s="14">
        <f>SUM(G46:G52)</f>
        <v>10.0150520647497</v>
      </c>
      <c r="H53" s="15" t="s">
        <v>20</v>
      </c>
      <c r="I53" s="14">
        <v>13568.9</v>
      </c>
      <c r="J53" s="16">
        <f>G53*I53</f>
        <v>135893.23996138221</v>
      </c>
      <c r="K53" s="13"/>
    </row>
    <row r="54" spans="1:11" ht="15" customHeight="1" x14ac:dyDescent="0.25">
      <c r="A54" s="9"/>
      <c r="B54" s="10" t="s">
        <v>21</v>
      </c>
      <c r="C54" s="11"/>
      <c r="D54" s="12"/>
      <c r="E54" s="13"/>
      <c r="F54" s="13"/>
      <c r="G54" s="14"/>
      <c r="H54" s="15"/>
      <c r="I54" s="14"/>
      <c r="J54" s="16">
        <f>0.13*G53*9524.2</f>
        <v>12400.096653761584</v>
      </c>
      <c r="K54" s="13"/>
    </row>
    <row r="55" spans="1:11" x14ac:dyDescent="0.25">
      <c r="A55" s="59"/>
      <c r="B55" s="29"/>
      <c r="C55" s="29"/>
      <c r="D55" s="29"/>
      <c r="E55" s="29"/>
      <c r="F55" s="29"/>
      <c r="G55" s="29"/>
      <c r="H55" s="29"/>
      <c r="I55" s="29"/>
      <c r="J55" s="29"/>
      <c r="K55" s="29"/>
    </row>
    <row r="56" spans="1:11" ht="15" customHeight="1" x14ac:dyDescent="0.25">
      <c r="A56" s="9">
        <v>4</v>
      </c>
      <c r="B56" s="7" t="s">
        <v>26</v>
      </c>
      <c r="C56" s="11">
        <v>1</v>
      </c>
      <c r="D56" s="12"/>
      <c r="E56" s="13"/>
      <c r="F56" s="13"/>
      <c r="G56" s="32">
        <v>1</v>
      </c>
      <c r="H56" s="15" t="s">
        <v>27</v>
      </c>
      <c r="I56" s="14">
        <v>5000</v>
      </c>
      <c r="J56" s="32">
        <f>G56*I56</f>
        <v>5000</v>
      </c>
      <c r="K56" s="13"/>
    </row>
    <row r="57" spans="1:11" ht="15" customHeight="1" x14ac:dyDescent="0.25">
      <c r="A57" s="9"/>
      <c r="B57" s="7"/>
      <c r="C57" s="11"/>
      <c r="D57" s="12"/>
      <c r="E57" s="13"/>
      <c r="F57" s="13"/>
      <c r="G57" s="32"/>
      <c r="H57" s="15"/>
      <c r="I57" s="14"/>
      <c r="J57" s="32"/>
      <c r="K57" s="13"/>
    </row>
    <row r="58" spans="1:11" ht="15" customHeight="1" x14ac:dyDescent="0.25">
      <c r="A58" s="9">
        <v>5</v>
      </c>
      <c r="B58" s="7" t="s">
        <v>28</v>
      </c>
      <c r="C58" s="11">
        <v>1</v>
      </c>
      <c r="D58" s="12"/>
      <c r="E58" s="13"/>
      <c r="F58" s="13"/>
      <c r="G58" s="32">
        <f t="shared" ref="G58" si="16">PRODUCT(C58:F58)</f>
        <v>1</v>
      </c>
      <c r="H58" s="15" t="s">
        <v>29</v>
      </c>
      <c r="I58" s="14">
        <v>500</v>
      </c>
      <c r="J58" s="32">
        <f>G58*I58</f>
        <v>500</v>
      </c>
      <c r="K58" s="13"/>
    </row>
    <row r="59" spans="1:11" ht="11.25" customHeight="1" x14ac:dyDescent="0.25">
      <c r="A59" s="9"/>
      <c r="B59" s="31"/>
      <c r="C59" s="11"/>
      <c r="D59" s="12"/>
      <c r="E59" s="13"/>
      <c r="F59" s="13"/>
      <c r="G59" s="14"/>
      <c r="H59" s="15"/>
      <c r="I59" s="14"/>
      <c r="J59" s="16"/>
      <c r="K59" s="13"/>
    </row>
    <row r="60" spans="1:11" x14ac:dyDescent="0.25">
      <c r="A60" s="21"/>
      <c r="B60" s="42" t="s">
        <v>35</v>
      </c>
      <c r="C60" s="43"/>
      <c r="D60" s="19"/>
      <c r="E60" s="19"/>
      <c r="F60" s="19"/>
      <c r="G60" s="16"/>
      <c r="H60" s="16"/>
      <c r="I60" s="16"/>
      <c r="J60" s="16">
        <f>SUM(J10:J58)</f>
        <v>391693.19700096396</v>
      </c>
      <c r="K60" s="18"/>
    </row>
    <row r="62" spans="1:11" s="17" customFormat="1" x14ac:dyDescent="0.25">
      <c r="A62" s="33"/>
      <c r="B62" s="28" t="s">
        <v>30</v>
      </c>
      <c r="C62" s="67">
        <f>J60</f>
        <v>391693.19700096396</v>
      </c>
      <c r="D62" s="67"/>
      <c r="E62" s="20">
        <v>100</v>
      </c>
      <c r="F62" s="34"/>
      <c r="G62" s="35"/>
      <c r="H62" s="34"/>
      <c r="I62" s="36"/>
      <c r="J62" s="37"/>
      <c r="K62" s="38"/>
    </row>
    <row r="63" spans="1:11" x14ac:dyDescent="0.25">
      <c r="A63" s="39"/>
      <c r="B63" s="28" t="s">
        <v>31</v>
      </c>
      <c r="C63" s="70">
        <v>250000</v>
      </c>
      <c r="D63" s="70"/>
      <c r="E63" s="20"/>
      <c r="F63" s="40"/>
      <c r="G63" s="41"/>
      <c r="H63" s="41"/>
      <c r="I63" s="41"/>
      <c r="J63" s="41"/>
      <c r="K63" s="40"/>
    </row>
    <row r="64" spans="1:11" x14ac:dyDescent="0.25">
      <c r="A64" s="39"/>
      <c r="B64" s="28" t="s">
        <v>32</v>
      </c>
      <c r="C64" s="70">
        <f>C63-C66-C67</f>
        <v>237500</v>
      </c>
      <c r="D64" s="70"/>
      <c r="E64" s="20">
        <f>C64/C62*100</f>
        <v>60.63419069272615</v>
      </c>
      <c r="F64" s="40"/>
      <c r="G64" s="41"/>
      <c r="H64" s="41"/>
      <c r="I64" s="41"/>
      <c r="J64" s="41"/>
      <c r="K64" s="40"/>
    </row>
    <row r="65" spans="1:11" x14ac:dyDescent="0.25">
      <c r="A65" s="39"/>
      <c r="B65" s="28" t="s">
        <v>33</v>
      </c>
      <c r="C65" s="67">
        <f>C62-C64</f>
        <v>154193.19700096396</v>
      </c>
      <c r="D65" s="67"/>
      <c r="E65" s="20">
        <f>100-E64</f>
        <v>39.36580930727385</v>
      </c>
      <c r="F65" s="40"/>
      <c r="G65" s="41"/>
      <c r="H65" s="41"/>
      <c r="I65" s="41"/>
      <c r="J65" s="41"/>
      <c r="K65" s="40"/>
    </row>
    <row r="66" spans="1:11" x14ac:dyDescent="0.25">
      <c r="A66" s="39"/>
      <c r="B66" s="28" t="s">
        <v>34</v>
      </c>
      <c r="C66" s="67">
        <f>C63*0.03</f>
        <v>7500</v>
      </c>
      <c r="D66" s="67"/>
      <c r="E66" s="20">
        <v>3</v>
      </c>
      <c r="F66" s="40"/>
      <c r="G66" s="41"/>
      <c r="H66" s="41"/>
      <c r="I66" s="41"/>
      <c r="J66" s="41"/>
      <c r="K66" s="40"/>
    </row>
    <row r="67" spans="1:11" x14ac:dyDescent="0.25">
      <c r="A67" s="39"/>
      <c r="B67" s="28" t="s">
        <v>51</v>
      </c>
      <c r="C67" s="67">
        <f>C63*0.02</f>
        <v>5000</v>
      </c>
      <c r="D67" s="67"/>
      <c r="E67" s="20">
        <v>2</v>
      </c>
      <c r="F67" s="40"/>
      <c r="G67" s="41"/>
      <c r="H67" s="41"/>
      <c r="I67" s="41"/>
      <c r="J67" s="41"/>
      <c r="K67" s="40"/>
    </row>
  </sheetData>
  <mergeCells count="15">
    <mergeCell ref="A6:F6"/>
    <mergeCell ref="H6:K6"/>
    <mergeCell ref="A1:K1"/>
    <mergeCell ref="A2:K2"/>
    <mergeCell ref="A3:K3"/>
    <mergeCell ref="A4:K4"/>
    <mergeCell ref="A5:K5"/>
    <mergeCell ref="C66:D66"/>
    <mergeCell ref="C67:D67"/>
    <mergeCell ref="A7:F7"/>
    <mergeCell ref="H7:K7"/>
    <mergeCell ref="C62:D62"/>
    <mergeCell ref="C63:D63"/>
    <mergeCell ref="C64:D64"/>
    <mergeCell ref="C65:D65"/>
  </mergeCells>
  <pageMargins left="0.7" right="0.7" top="0.75" bottom="0.75" header="0.3" footer="0.3"/>
  <pageSetup paperSize="9" scale="78" orientation="portrait" r:id="rId1"/>
  <headerFooter>
    <oddFooter>&amp;LPrepared By:&amp;CChecked By:&amp;RApproved By:</oddFooter>
  </headerFooter>
  <rowBreaks count="1" manualBreakCount="1">
    <brk id="5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20" zoomScaleNormal="100" workbookViewId="0">
      <selection activeCell="B13" sqref="B13"/>
    </sheetView>
  </sheetViews>
  <sheetFormatPr defaultRowHeight="15" x14ac:dyDescent="0.25"/>
  <cols>
    <col min="1" max="1" width="6.28515625" customWidth="1"/>
    <col min="2" max="2" width="39.2851562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1" x14ac:dyDescent="0.25">
      <c r="A1" s="79" t="s">
        <v>0</v>
      </c>
      <c r="B1" s="79"/>
      <c r="C1" s="79"/>
      <c r="D1" s="79"/>
      <c r="E1" s="79"/>
      <c r="F1" s="79"/>
      <c r="G1" s="79"/>
      <c r="H1" s="79"/>
      <c r="I1" s="79"/>
      <c r="J1" s="79"/>
      <c r="K1" s="79"/>
    </row>
    <row r="2" spans="1:11" ht="25.5" x14ac:dyDescent="0.35">
      <c r="A2" s="80" t="s">
        <v>1</v>
      </c>
      <c r="B2" s="80"/>
      <c r="C2" s="80"/>
      <c r="D2" s="80"/>
      <c r="E2" s="80"/>
      <c r="F2" s="80"/>
      <c r="G2" s="80"/>
      <c r="H2" s="80"/>
      <c r="I2" s="80"/>
      <c r="J2" s="80"/>
      <c r="K2" s="80"/>
    </row>
    <row r="3" spans="1:11" s="17" customFormat="1" x14ac:dyDescent="0.25">
      <c r="A3" s="75" t="s">
        <v>2</v>
      </c>
      <c r="B3" s="75"/>
      <c r="C3" s="75"/>
      <c r="D3" s="75"/>
      <c r="E3" s="75"/>
      <c r="F3" s="75"/>
      <c r="G3" s="75"/>
      <c r="H3" s="75"/>
      <c r="I3" s="75"/>
      <c r="J3" s="75"/>
      <c r="K3" s="75"/>
    </row>
    <row r="4" spans="1:11" s="17" customFormat="1" x14ac:dyDescent="0.25">
      <c r="A4" s="75" t="s">
        <v>3</v>
      </c>
      <c r="B4" s="75"/>
      <c r="C4" s="75"/>
      <c r="D4" s="75"/>
      <c r="E4" s="75"/>
      <c r="F4" s="75"/>
      <c r="G4" s="75"/>
      <c r="H4" s="75"/>
      <c r="I4" s="75"/>
      <c r="J4" s="75"/>
      <c r="K4" s="75"/>
    </row>
    <row r="5" spans="1:11" ht="18.75" x14ac:dyDescent="0.3">
      <c r="A5" s="81" t="s">
        <v>36</v>
      </c>
      <c r="B5" s="81"/>
      <c r="C5" s="81"/>
      <c r="D5" s="81"/>
      <c r="E5" s="81"/>
      <c r="F5" s="81"/>
      <c r="G5" s="81"/>
      <c r="H5" s="81"/>
      <c r="I5" s="81"/>
      <c r="J5" s="81"/>
      <c r="K5" s="81"/>
    </row>
    <row r="6" spans="1:11" ht="18.75" x14ac:dyDescent="0.3">
      <c r="A6" s="46" t="s">
        <v>37</v>
      </c>
      <c r="B6" s="46"/>
      <c r="C6" s="77" t="e">
        <f>F29</f>
        <v>#REF!</v>
      </c>
      <c r="D6" s="78"/>
      <c r="E6" s="47"/>
      <c r="F6" s="46"/>
      <c r="G6" s="46"/>
      <c r="H6" s="46" t="s">
        <v>38</v>
      </c>
      <c r="I6" s="46"/>
      <c r="J6" s="77" t="e">
        <f>I29</f>
        <v>#REF!</v>
      </c>
      <c r="K6" s="78"/>
    </row>
    <row r="7" spans="1:11" x14ac:dyDescent="0.25">
      <c r="A7" s="48" t="s">
        <v>39</v>
      </c>
      <c r="B7" s="48"/>
      <c r="C7" s="48"/>
      <c r="D7" s="48"/>
      <c r="F7" s="82"/>
      <c r="G7" s="82"/>
      <c r="I7" s="83" t="s">
        <v>40</v>
      </c>
      <c r="J7" s="83"/>
      <c r="K7" s="83"/>
    </row>
    <row r="8" spans="1:11" ht="15.75" x14ac:dyDescent="0.25">
      <c r="A8" s="71" t="str">
        <f>Estimate!A6</f>
        <v>Project:- कालीमस्ट मन्दिर निर्माण</v>
      </c>
      <c r="B8" s="71"/>
      <c r="C8" s="71"/>
      <c r="D8" s="71"/>
      <c r="E8" s="71"/>
      <c r="F8" s="71"/>
      <c r="I8" s="84" t="s">
        <v>49</v>
      </c>
      <c r="J8" s="84"/>
      <c r="K8" s="84"/>
    </row>
    <row r="9" spans="1:11" x14ac:dyDescent="0.25">
      <c r="A9" s="85" t="str">
        <f>Estimate!A7</f>
        <v>Location:- Shankharapur Municipality 9</v>
      </c>
      <c r="B9" s="85"/>
      <c r="C9" s="85"/>
      <c r="D9" s="85"/>
      <c r="E9" s="85"/>
      <c r="F9" s="85"/>
      <c r="I9" s="84" t="s">
        <v>50</v>
      </c>
      <c r="J9" s="84"/>
      <c r="K9" s="84"/>
    </row>
    <row r="11" spans="1:11" x14ac:dyDescent="0.25">
      <c r="A11" s="87" t="s">
        <v>41</v>
      </c>
      <c r="B11" s="87" t="s">
        <v>42</v>
      </c>
      <c r="C11" s="87" t="s">
        <v>15</v>
      </c>
      <c r="D11" s="88" t="s">
        <v>43</v>
      </c>
      <c r="E11" s="88"/>
      <c r="F11" s="88"/>
      <c r="G11" s="88" t="s">
        <v>44</v>
      </c>
      <c r="H11" s="88"/>
      <c r="I11" s="88"/>
      <c r="J11" s="87" t="s">
        <v>45</v>
      </c>
      <c r="K11" s="86" t="s">
        <v>46</v>
      </c>
    </row>
    <row r="12" spans="1:11" x14ac:dyDescent="0.25">
      <c r="A12" s="87"/>
      <c r="B12" s="87"/>
      <c r="C12" s="87"/>
      <c r="D12" s="49" t="s">
        <v>47</v>
      </c>
      <c r="E12" s="49" t="s">
        <v>16</v>
      </c>
      <c r="F12" s="49" t="s">
        <v>17</v>
      </c>
      <c r="G12" s="49" t="s">
        <v>47</v>
      </c>
      <c r="H12" s="49" t="s">
        <v>16</v>
      </c>
      <c r="I12" s="49" t="s">
        <v>17</v>
      </c>
      <c r="J12" s="87"/>
      <c r="K12" s="86"/>
    </row>
    <row r="13" spans="1:11" s="17" customFormat="1" ht="31.5" x14ac:dyDescent="0.25">
      <c r="A13" s="60">
        <f>Estimate!A45</f>
        <v>3</v>
      </c>
      <c r="B13" s="53" t="str">
        <f>Estimate!B45</f>
        <v>d]lzgsf] k|of]u u/L ;'k/ :6«Sr/df l;d]G6 s+lqm6 ug]{ sfd -!M!=%M#_</v>
      </c>
      <c r="C13" s="50" t="str">
        <f>Estimate!H53</f>
        <v>m3</v>
      </c>
      <c r="D13" s="50">
        <f>Estimate!G53</f>
        <v>10.0150520647497</v>
      </c>
      <c r="E13" s="50">
        <f>Estimate!I53</f>
        <v>13568.9</v>
      </c>
      <c r="F13" s="50">
        <f>D13*E13</f>
        <v>135893.23996138221</v>
      </c>
      <c r="G13" s="50" t="e">
        <f>#REF!</f>
        <v>#REF!</v>
      </c>
      <c r="H13" s="50" t="e">
        <f>#REF!</f>
        <v>#REF!</v>
      </c>
      <c r="I13" s="50" t="e">
        <f>G13*H13</f>
        <v>#REF!</v>
      </c>
      <c r="J13" s="51" t="e">
        <f>I13-F13</f>
        <v>#REF!</v>
      </c>
      <c r="K13" s="52"/>
    </row>
    <row r="14" spans="1:11" s="17" customFormat="1" ht="15.75" x14ac:dyDescent="0.25">
      <c r="A14" s="60"/>
      <c r="B14" s="58" t="str">
        <f>Estimate!B54</f>
        <v>VAT calculation</v>
      </c>
      <c r="C14" s="50"/>
      <c r="D14" s="50"/>
      <c r="E14" s="50"/>
      <c r="F14" s="50">
        <f>Estimate!J54</f>
        <v>12400.096653761584</v>
      </c>
      <c r="G14" s="50"/>
      <c r="H14" s="50"/>
      <c r="I14" s="50" t="e">
        <f>#REF!</f>
        <v>#REF!</v>
      </c>
      <c r="J14" s="51" t="e">
        <f>I14-F14</f>
        <v>#REF!</v>
      </c>
      <c r="K14" s="52"/>
    </row>
    <row r="15" spans="1:11" s="17" customFormat="1" x14ac:dyDescent="0.25">
      <c r="A15" s="25"/>
      <c r="B15" s="28"/>
      <c r="C15" s="50"/>
      <c r="D15" s="50"/>
      <c r="E15" s="50"/>
      <c r="F15" s="50"/>
      <c r="G15" s="50"/>
      <c r="H15" s="50"/>
      <c r="I15" s="50"/>
      <c r="J15" s="51"/>
      <c r="K15" s="52"/>
    </row>
    <row r="16" spans="1:11" s="17" customFormat="1" ht="31.5" x14ac:dyDescent="0.25">
      <c r="A16" s="60">
        <f>Estimate!A9</f>
        <v>1</v>
      </c>
      <c r="B16" s="53" t="str">
        <f>Estimate!B9</f>
        <v>kmnfd]sf] kfOk / KnfOaf]8{af6 kmdf{ agfpg] sfd</v>
      </c>
      <c r="C16" s="50" t="str">
        <f>Estimate!H17</f>
        <v>m2</v>
      </c>
      <c r="D16" s="50">
        <f>Estimate!G17</f>
        <v>88.774680461917129</v>
      </c>
      <c r="E16" s="50">
        <f>Estimate!I17</f>
        <v>915.42</v>
      </c>
      <c r="F16" s="50">
        <f>D16*E16</f>
        <v>81266.117988448168</v>
      </c>
      <c r="G16" s="50" t="e">
        <f>#REF!</f>
        <v>#REF!</v>
      </c>
      <c r="H16" s="50" t="e">
        <f>#REF!</f>
        <v>#REF!</v>
      </c>
      <c r="I16" s="50" t="e">
        <f>G16*H16</f>
        <v>#REF!</v>
      </c>
      <c r="J16" s="51" t="e">
        <f>I16-F16</f>
        <v>#REF!</v>
      </c>
      <c r="K16" s="52"/>
    </row>
    <row r="17" spans="1:13" s="17" customFormat="1" ht="15.75" x14ac:dyDescent="0.25">
      <c r="A17" s="60"/>
      <c r="B17" s="58" t="str">
        <f>Estimate!B18</f>
        <v>VAT calculation</v>
      </c>
      <c r="C17" s="50"/>
      <c r="D17" s="50"/>
      <c r="E17" s="50"/>
      <c r="F17" s="50">
        <f>Estimate!J18</f>
        <v>5404.2679547508551</v>
      </c>
      <c r="G17" s="50"/>
      <c r="H17" s="50"/>
      <c r="I17" s="50" t="e">
        <f>#REF!</f>
        <v>#REF!</v>
      </c>
      <c r="J17" s="51" t="e">
        <f>I17-F17</f>
        <v>#REF!</v>
      </c>
      <c r="K17" s="52"/>
    </row>
    <row r="18" spans="1:13" s="17" customFormat="1" x14ac:dyDescent="0.25">
      <c r="A18" s="25"/>
      <c r="B18" s="28"/>
      <c r="C18" s="50"/>
      <c r="D18" s="50"/>
      <c r="E18" s="50"/>
      <c r="F18" s="50"/>
      <c r="G18" s="50"/>
      <c r="H18" s="50"/>
      <c r="I18" s="50"/>
      <c r="J18" s="51"/>
      <c r="K18" s="52"/>
    </row>
    <row r="19" spans="1:13" s="17" customFormat="1" ht="31.5" x14ac:dyDescent="0.25">
      <c r="A19" s="60">
        <f>Estimate!A20</f>
        <v>2</v>
      </c>
      <c r="B19" s="53" t="str">
        <f>Estimate!B20</f>
        <v>cf/=;L=;L= nflu kmnfd] 808L sf6\g], df]8\g] #) dL6/ ;Dd</v>
      </c>
      <c r="C19" s="50" t="str">
        <f>Estimate!H42</f>
        <v>MT</v>
      </c>
      <c r="D19" s="50">
        <f>Estimate!G42</f>
        <v>1.037623498707485</v>
      </c>
      <c r="E19" s="50">
        <f>Estimate!I42</f>
        <v>131940</v>
      </c>
      <c r="F19" s="50">
        <f>D19*E19</f>
        <v>136904.04441946559</v>
      </c>
      <c r="G19" s="50" t="e">
        <f>#REF!</f>
        <v>#REF!</v>
      </c>
      <c r="H19" s="50" t="e">
        <f>#REF!</f>
        <v>#REF!</v>
      </c>
      <c r="I19" s="50" t="e">
        <f>G19*H19</f>
        <v>#REF!</v>
      </c>
      <c r="J19" s="51" t="e">
        <f>I19-F19</f>
        <v>#REF!</v>
      </c>
      <c r="K19" s="52"/>
    </row>
    <row r="20" spans="1:13" s="17" customFormat="1" ht="15.75" x14ac:dyDescent="0.25">
      <c r="A20" s="60"/>
      <c r="B20" s="58" t="str">
        <f>Estimate!B43</f>
        <v>VAT calculation</v>
      </c>
      <c r="C20" s="50"/>
      <c r="D20" s="50"/>
      <c r="E20" s="50"/>
      <c r="F20" s="50">
        <f>Estimate!J43</f>
        <v>14325.430023155539</v>
      </c>
      <c r="G20" s="50"/>
      <c r="H20" s="50"/>
      <c r="I20" s="50" t="e">
        <f>#REF!</f>
        <v>#REF!</v>
      </c>
      <c r="J20" s="51" t="e">
        <f>I20-F20</f>
        <v>#REF!</v>
      </c>
      <c r="K20" s="52"/>
    </row>
    <row r="21" spans="1:13" s="17" customFormat="1" x14ac:dyDescent="0.25">
      <c r="A21" s="25"/>
      <c r="B21" s="28"/>
      <c r="C21" s="50"/>
      <c r="D21" s="50"/>
      <c r="E21" s="50"/>
      <c r="F21" s="50"/>
      <c r="G21" s="50"/>
      <c r="H21" s="50"/>
      <c r="I21" s="50"/>
      <c r="J21" s="51"/>
      <c r="K21" s="52"/>
    </row>
    <row r="22" spans="1:13" s="17" customFormat="1" ht="15.75" x14ac:dyDescent="0.25">
      <c r="A22" s="60" t="e">
        <f>Estimate!#REF!</f>
        <v>#REF!</v>
      </c>
      <c r="B22" s="53" t="e">
        <f>Estimate!#REF!</f>
        <v>#REF!</v>
      </c>
      <c r="C22" s="50" t="e">
        <f>Estimate!#REF!</f>
        <v>#REF!</v>
      </c>
      <c r="D22" s="50" t="e">
        <f>Estimate!#REF!</f>
        <v>#REF!</v>
      </c>
      <c r="E22" s="50" t="e">
        <f>Estimate!#REF!</f>
        <v>#REF!</v>
      </c>
      <c r="F22" s="50" t="e">
        <f>D22*E22</f>
        <v>#REF!</v>
      </c>
      <c r="G22" s="50" t="e">
        <f>#REF!</f>
        <v>#REF!</v>
      </c>
      <c r="H22" s="50" t="e">
        <f>#REF!</f>
        <v>#REF!</v>
      </c>
      <c r="I22" s="50" t="e">
        <f>G22*H22</f>
        <v>#REF!</v>
      </c>
      <c r="J22" s="51" t="e">
        <f>I22-F22</f>
        <v>#REF!</v>
      </c>
      <c r="K22" s="52"/>
    </row>
    <row r="23" spans="1:13" s="17" customFormat="1" ht="15.75" x14ac:dyDescent="0.25">
      <c r="A23" s="60"/>
      <c r="B23" s="58" t="e">
        <f>Estimate!#REF!</f>
        <v>#REF!</v>
      </c>
      <c r="C23" s="50"/>
      <c r="D23" s="50"/>
      <c r="E23" s="50"/>
      <c r="F23" s="50" t="e">
        <f>Estimate!#REF!</f>
        <v>#REF!</v>
      </c>
      <c r="G23" s="50"/>
      <c r="H23" s="50"/>
      <c r="I23" s="50" t="e">
        <f>#REF!</f>
        <v>#REF!</v>
      </c>
      <c r="J23" s="51" t="e">
        <f>I23-F23</f>
        <v>#REF!</v>
      </c>
      <c r="K23" s="52"/>
    </row>
    <row r="24" spans="1:13" s="17" customFormat="1" x14ac:dyDescent="0.25">
      <c r="A24" s="25"/>
      <c r="B24" s="28"/>
      <c r="C24" s="50"/>
      <c r="D24" s="50"/>
      <c r="E24" s="50"/>
      <c r="F24" s="50"/>
      <c r="G24" s="50"/>
      <c r="H24" s="50"/>
      <c r="I24" s="50"/>
      <c r="J24" s="51"/>
      <c r="K24" s="52"/>
      <c r="M24" s="61"/>
    </row>
    <row r="25" spans="1:13" s="17" customFormat="1" ht="15.75" x14ac:dyDescent="0.25">
      <c r="A25" s="60">
        <f>Estimate!A56</f>
        <v>4</v>
      </c>
      <c r="B25" s="53" t="str">
        <f>Estimate!B56</f>
        <v>Provisional sum for lab test</v>
      </c>
      <c r="C25" s="50" t="str">
        <f>Estimate!H56</f>
        <v>PS</v>
      </c>
      <c r="D25" s="50">
        <f>Estimate!G56</f>
        <v>1</v>
      </c>
      <c r="E25" s="50">
        <f>Estimate!I56</f>
        <v>5000</v>
      </c>
      <c r="F25" s="50">
        <f>D25*E25</f>
        <v>5000</v>
      </c>
      <c r="G25" s="50" t="e">
        <f>#REF!</f>
        <v>#REF!</v>
      </c>
      <c r="H25" s="50" t="e">
        <f>#REF!</f>
        <v>#REF!</v>
      </c>
      <c r="I25" s="50" t="e">
        <f>G25*H25</f>
        <v>#REF!</v>
      </c>
      <c r="J25" s="51" t="e">
        <f>I25-F25</f>
        <v>#REF!</v>
      </c>
      <c r="K25" s="52"/>
    </row>
    <row r="26" spans="1:13" s="17" customFormat="1" x14ac:dyDescent="0.25">
      <c r="A26" s="25"/>
      <c r="B26" s="28"/>
      <c r="C26" s="50"/>
      <c r="D26" s="50"/>
      <c r="E26" s="50"/>
      <c r="F26" s="50"/>
      <c r="G26" s="50"/>
      <c r="H26" s="50"/>
      <c r="I26" s="50"/>
      <c r="J26" s="51"/>
      <c r="K26" s="52"/>
    </row>
    <row r="27" spans="1:13" s="17" customFormat="1" x14ac:dyDescent="0.25">
      <c r="A27" s="60">
        <f>Estimate!A58</f>
        <v>5</v>
      </c>
      <c r="B27" s="54" t="str">
        <f>Estimate!B58</f>
        <v>Information board (सुचना पाटि)</v>
      </c>
      <c r="C27" s="50" t="str">
        <f>Estimate!H58</f>
        <v>no.</v>
      </c>
      <c r="D27" s="50">
        <f>Estimate!G58</f>
        <v>1</v>
      </c>
      <c r="E27" s="50">
        <f>Estimate!I58</f>
        <v>500</v>
      </c>
      <c r="F27" s="50">
        <f>D27*E27</f>
        <v>500</v>
      </c>
      <c r="G27" s="50" t="e">
        <f>#REF!</f>
        <v>#REF!</v>
      </c>
      <c r="H27" s="50" t="e">
        <f>#REF!</f>
        <v>#REF!</v>
      </c>
      <c r="I27" s="50" t="e">
        <f>G27*H27</f>
        <v>#REF!</v>
      </c>
      <c r="J27" s="51" t="e">
        <f>I27-F27</f>
        <v>#REF!</v>
      </c>
      <c r="K27" s="52"/>
    </row>
    <row r="28" spans="1:13" s="17" customFormat="1" x14ac:dyDescent="0.25">
      <c r="A28" s="28"/>
      <c r="B28" s="28"/>
      <c r="C28" s="50"/>
      <c r="D28" s="50"/>
      <c r="E28" s="50"/>
      <c r="F28" s="50"/>
      <c r="G28" s="50"/>
      <c r="H28" s="50"/>
      <c r="I28" s="50"/>
      <c r="J28" s="51"/>
      <c r="K28" s="52"/>
    </row>
    <row r="29" spans="1:13" x14ac:dyDescent="0.25">
      <c r="A29" s="29"/>
      <c r="B29" s="55" t="s">
        <v>48</v>
      </c>
      <c r="C29" s="55"/>
      <c r="D29" s="56"/>
      <c r="E29" s="56"/>
      <c r="F29" s="56" t="e">
        <f>SUM(F13:F27)</f>
        <v>#REF!</v>
      </c>
      <c r="G29" s="56"/>
      <c r="H29" s="56"/>
      <c r="I29" s="56" t="e">
        <f>SUM(I13:I27)</f>
        <v>#REF!</v>
      </c>
      <c r="J29" s="57" t="e">
        <f>I29-F29</f>
        <v>#REF!</v>
      </c>
      <c r="K29" s="29"/>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Estimate</vt:lpstr>
      <vt:lpstr>WCR</vt:lpstr>
      <vt:lpstr>WCR!Print_Area</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2025-02-05T06:33:32Z</dcterms:modified>
</cp:coreProperties>
</file>