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081-082\ofc\estimates\estimate for pahiro\"/>
    </mc:Choice>
  </mc:AlternateContent>
  <bookViews>
    <workbookView xWindow="-120" yWindow="-120" windowWidth="20730" windowHeight="11160" activeTab="2"/>
  </bookViews>
  <sheets>
    <sheet name="new" sheetId="18" r:id="rId1"/>
    <sheet name="WCR" sheetId="6" r:id="rId2"/>
    <sheet name="V" sheetId="22" r:id="rId3"/>
    <sheet name="M" sheetId="23" r:id="rId4"/>
  </sheets>
  <externalReferences>
    <externalReference r:id="rId5"/>
    <externalReference r:id="rId6"/>
    <externalReference r:id="rId7"/>
    <externalReference r:id="rId8"/>
    <externalReference r:id="rId9"/>
    <externalReference r:id="rId10"/>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3">[6]Abstract!$B$169</definedName>
    <definedName name="description_6">[2]Abstract!$B$172</definedName>
    <definedName name="description_784">[2]Abstract!$B$300</definedName>
    <definedName name="excavator">[1]Equipment_Rate!$J$19</definedName>
    <definedName name="generator">[1]Equipment_Rate!$J$20</definedName>
    <definedName name="_xlnm.Print_Area" localSheetId="3">M!$A$1:$K$69</definedName>
    <definedName name="_xlnm.Print_Area" localSheetId="0">new!$A$1:$K$69</definedName>
    <definedName name="_xlnm.Print_Area" localSheetId="2">V!$A$1:$K$69</definedName>
    <definedName name="_xlnm.Print_Area" localSheetId="1">WCR!$A$1:$K$43</definedName>
    <definedName name="_xlnm.Print_Titles" localSheetId="3">M!$1:$8</definedName>
    <definedName name="_xlnm.Print_Titles" localSheetId="0">new!$1:$8</definedName>
    <definedName name="_xlnm.Print_Titles" localSheetId="2">V!$1:$8</definedName>
    <definedName name="_xlnm.Print_Titles" localSheetId="1">WCR!$1:$12</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22" l="1"/>
  <c r="G38" i="22"/>
  <c r="G45" i="22"/>
  <c r="C69" i="23" l="1"/>
  <c r="C68" i="23"/>
  <c r="G60" i="23"/>
  <c r="J60" i="23" s="1"/>
  <c r="I58" i="23"/>
  <c r="G57" i="23"/>
  <c r="G58" i="23" s="1"/>
  <c r="J58" i="23" s="1"/>
  <c r="G53" i="23"/>
  <c r="G54" i="23" s="1"/>
  <c r="J54" i="23" s="1"/>
  <c r="J55" i="23" s="1"/>
  <c r="G49" i="23"/>
  <c r="G50" i="23" s="1"/>
  <c r="F44" i="23"/>
  <c r="D44" i="23"/>
  <c r="G44" i="23" s="1"/>
  <c r="F43" i="23"/>
  <c r="E43" i="23"/>
  <c r="G43" i="23" s="1"/>
  <c r="D43" i="23"/>
  <c r="F42" i="23"/>
  <c r="G42" i="23" s="1"/>
  <c r="D42" i="23"/>
  <c r="F37" i="23"/>
  <c r="G37" i="23" s="1"/>
  <c r="D37" i="23"/>
  <c r="F36" i="23"/>
  <c r="D36" i="23"/>
  <c r="G36" i="23" s="1"/>
  <c r="D35" i="23"/>
  <c r="G35" i="23" s="1"/>
  <c r="G38" i="23" s="1"/>
  <c r="I31" i="23"/>
  <c r="F30" i="23"/>
  <c r="G30" i="23" s="1"/>
  <c r="F29" i="23"/>
  <c r="G29" i="23" s="1"/>
  <c r="G31" i="23" s="1"/>
  <c r="D29" i="23"/>
  <c r="M25" i="23"/>
  <c r="G24" i="23"/>
  <c r="G25" i="23" s="1"/>
  <c r="M20" i="23"/>
  <c r="G20" i="23"/>
  <c r="J21" i="23" s="1"/>
  <c r="G19" i="23"/>
  <c r="F14" i="23"/>
  <c r="G14" i="23" s="1"/>
  <c r="G15" i="23" s="1"/>
  <c r="G11" i="23"/>
  <c r="J11" i="23" s="1"/>
  <c r="G10" i="23"/>
  <c r="A6" i="23"/>
  <c r="A6" i="22"/>
  <c r="I58" i="22"/>
  <c r="G41" i="6"/>
  <c r="H41" i="6"/>
  <c r="E41" i="6"/>
  <c r="H39" i="6"/>
  <c r="G39" i="6"/>
  <c r="E39" i="6"/>
  <c r="D39" i="6"/>
  <c r="C39" i="6"/>
  <c r="B39" i="6"/>
  <c r="A39" i="6"/>
  <c r="H36" i="6"/>
  <c r="E36" i="6"/>
  <c r="C36" i="6"/>
  <c r="B37" i="6"/>
  <c r="B36" i="6"/>
  <c r="A36" i="6"/>
  <c r="H33" i="6"/>
  <c r="E33" i="6"/>
  <c r="C33" i="6"/>
  <c r="B34" i="6"/>
  <c r="B33" i="6"/>
  <c r="A33" i="6"/>
  <c r="H30" i="6"/>
  <c r="E30" i="6"/>
  <c r="C30" i="6"/>
  <c r="B31" i="6"/>
  <c r="B30" i="6"/>
  <c r="A30" i="6"/>
  <c r="H27" i="6"/>
  <c r="E27" i="6"/>
  <c r="C27" i="6"/>
  <c r="B28" i="6"/>
  <c r="B27" i="6"/>
  <c r="A27" i="6"/>
  <c r="C24" i="6"/>
  <c r="B25" i="6"/>
  <c r="B24" i="6"/>
  <c r="A24" i="6"/>
  <c r="M26" i="6"/>
  <c r="M29" i="6"/>
  <c r="M32" i="6"/>
  <c r="M35" i="6"/>
  <c r="M38" i="6"/>
  <c r="H21" i="6"/>
  <c r="E21" i="6"/>
  <c r="C21" i="6"/>
  <c r="A21" i="6"/>
  <c r="H18" i="6"/>
  <c r="G18" i="6"/>
  <c r="E18" i="6"/>
  <c r="C18" i="6"/>
  <c r="B22" i="6"/>
  <c r="B21" i="6"/>
  <c r="B19" i="6"/>
  <c r="B18" i="6"/>
  <c r="A18" i="6"/>
  <c r="H15" i="6"/>
  <c r="E15" i="6"/>
  <c r="C15" i="6"/>
  <c r="B15" i="6"/>
  <c r="B16" i="6"/>
  <c r="A15" i="6"/>
  <c r="H13" i="6"/>
  <c r="E13" i="6"/>
  <c r="C13" i="6"/>
  <c r="B13" i="6"/>
  <c r="A13" i="6"/>
  <c r="A9" i="6"/>
  <c r="A8" i="6"/>
  <c r="C69" i="22"/>
  <c r="C68" i="22"/>
  <c r="G60" i="22"/>
  <c r="J60" i="22" s="1"/>
  <c r="G57" i="22"/>
  <c r="G58" i="22" s="1"/>
  <c r="J58" i="22" s="1"/>
  <c r="G53" i="22"/>
  <c r="G54" i="22" s="1"/>
  <c r="G49" i="22"/>
  <c r="G50" i="22" s="1"/>
  <c r="G44" i="22"/>
  <c r="F44" i="22"/>
  <c r="D44" i="22"/>
  <c r="G43" i="22"/>
  <c r="F43" i="22"/>
  <c r="E43" i="22"/>
  <c r="D43" i="22"/>
  <c r="G42" i="22"/>
  <c r="G30" i="6" s="1"/>
  <c r="F42" i="22"/>
  <c r="D42" i="22"/>
  <c r="F37" i="22"/>
  <c r="D37" i="22"/>
  <c r="G37" i="22" s="1"/>
  <c r="G36" i="22"/>
  <c r="F36" i="22"/>
  <c r="D36" i="22"/>
  <c r="G35" i="22"/>
  <c r="D35" i="22"/>
  <c r="I31" i="22"/>
  <c r="H24" i="6" s="1"/>
  <c r="F30" i="22"/>
  <c r="G30" i="22" s="1"/>
  <c r="G29" i="22"/>
  <c r="F29" i="22"/>
  <c r="D29" i="22"/>
  <c r="M25" i="22"/>
  <c r="G24" i="22"/>
  <c r="G25" i="22" s="1"/>
  <c r="M20" i="22"/>
  <c r="G19" i="22"/>
  <c r="G20" i="22" s="1"/>
  <c r="F14" i="22"/>
  <c r="G14" i="22" s="1"/>
  <c r="G15" i="22" s="1"/>
  <c r="G15" i="6" s="1"/>
  <c r="G10" i="22"/>
  <c r="G11" i="22" s="1"/>
  <c r="J11" i="22" s="1"/>
  <c r="F30" i="18"/>
  <c r="F29" i="18"/>
  <c r="M25" i="18"/>
  <c r="G24" i="18"/>
  <c r="G25" i="18" s="1"/>
  <c r="J26" i="18" s="1"/>
  <c r="F22" i="6" s="1"/>
  <c r="G10" i="18"/>
  <c r="G11" i="18" s="1"/>
  <c r="J11" i="18" s="1"/>
  <c r="M20" i="18"/>
  <c r="G57" i="18"/>
  <c r="G58" i="18" s="1"/>
  <c r="J58" i="18" s="1"/>
  <c r="F44" i="18"/>
  <c r="D44" i="18"/>
  <c r="G53" i="18"/>
  <c r="G54" i="18" s="1"/>
  <c r="D36" i="6" s="1"/>
  <c r="F36" i="6" s="1"/>
  <c r="G49" i="18"/>
  <c r="G50" i="18" s="1"/>
  <c r="D33" i="6" s="1"/>
  <c r="F33" i="6" s="1"/>
  <c r="F43" i="18"/>
  <c r="F42" i="18"/>
  <c r="D42" i="18"/>
  <c r="D43" i="18"/>
  <c r="E43" i="18"/>
  <c r="D37" i="18"/>
  <c r="F37" i="18"/>
  <c r="D36" i="18"/>
  <c r="F36" i="18"/>
  <c r="J38" i="23" l="1"/>
  <c r="J39" i="23"/>
  <c r="J51" i="23"/>
  <c r="J50" i="23"/>
  <c r="J32" i="23"/>
  <c r="J31" i="23"/>
  <c r="J16" i="23"/>
  <c r="J15" i="23"/>
  <c r="J25" i="23"/>
  <c r="J26" i="23"/>
  <c r="G45" i="23"/>
  <c r="J20" i="23"/>
  <c r="J26" i="22"/>
  <c r="I22" i="6" s="1"/>
  <c r="J25" i="22"/>
  <c r="G21" i="6"/>
  <c r="J51" i="22"/>
  <c r="I34" i="6" s="1"/>
  <c r="G33" i="6"/>
  <c r="I33" i="6" s="1"/>
  <c r="J54" i="22"/>
  <c r="J55" i="22" s="1"/>
  <c r="I37" i="6" s="1"/>
  <c r="G36" i="6"/>
  <c r="I36" i="6" s="1"/>
  <c r="J36" i="6" s="1"/>
  <c r="G24" i="6"/>
  <c r="I24" i="6" s="1"/>
  <c r="G13" i="6"/>
  <c r="D13" i="6"/>
  <c r="D21" i="6"/>
  <c r="I30" i="6"/>
  <c r="J33" i="6"/>
  <c r="J21" i="22"/>
  <c r="I19" i="6" s="1"/>
  <c r="J20" i="22"/>
  <c r="J46" i="22"/>
  <c r="I31" i="6" s="1"/>
  <c r="J45" i="22"/>
  <c r="G27" i="6"/>
  <c r="I27" i="6" s="1"/>
  <c r="J16" i="22"/>
  <c r="I16" i="6" s="1"/>
  <c r="J15" i="22"/>
  <c r="J50" i="22"/>
  <c r="J25" i="18"/>
  <c r="G36" i="18"/>
  <c r="G44" i="18"/>
  <c r="G43" i="18"/>
  <c r="G37" i="18"/>
  <c r="G42" i="18"/>
  <c r="J46" i="23" l="1"/>
  <c r="J45" i="23"/>
  <c r="J62" i="23" s="1"/>
  <c r="C64" i="23" s="1"/>
  <c r="J31" i="22"/>
  <c r="J32" i="22"/>
  <c r="I25" i="6" s="1"/>
  <c r="J38" i="22"/>
  <c r="J39" i="22"/>
  <c r="I28" i="6" s="1"/>
  <c r="G45" i="18"/>
  <c r="D30" i="6" s="1"/>
  <c r="F30" i="6" s="1"/>
  <c r="J30" i="6" s="1"/>
  <c r="J46" i="18"/>
  <c r="F31" i="6" s="1"/>
  <c r="J31" i="6" s="1"/>
  <c r="J50" i="18"/>
  <c r="J51" i="18"/>
  <c r="F34" i="6" s="1"/>
  <c r="J34" i="6" s="1"/>
  <c r="J45" i="18"/>
  <c r="C66" i="23" l="1"/>
  <c r="E66" i="23" s="1"/>
  <c r="E67" i="23" s="1"/>
  <c r="J62" i="22"/>
  <c r="C64" i="22" s="1"/>
  <c r="C66" i="22" l="1"/>
  <c r="C67" i="22" s="1"/>
  <c r="C67" i="23"/>
  <c r="E66" i="22"/>
  <c r="E67" i="22" s="1"/>
  <c r="D35" i="18" l="1"/>
  <c r="D29" i="18"/>
  <c r="I31" i="18"/>
  <c r="E24" i="6" s="1"/>
  <c r="G30" i="18"/>
  <c r="G29" i="18" l="1"/>
  <c r="G31" i="18" s="1"/>
  <c r="D24" i="6" s="1"/>
  <c r="F24" i="6" s="1"/>
  <c r="J24" i="6" s="1"/>
  <c r="G35" i="18" l="1"/>
  <c r="G38" i="18" s="1"/>
  <c r="D27" i="6" s="1"/>
  <c r="F27" i="6" s="1"/>
  <c r="J27" i="6" s="1"/>
  <c r="J39" i="18" l="1"/>
  <c r="F28" i="6" s="1"/>
  <c r="J28" i="6" s="1"/>
  <c r="J54" i="18"/>
  <c r="J55" i="18" s="1"/>
  <c r="F37" i="6" s="1"/>
  <c r="J37" i="6" s="1"/>
  <c r="J38" i="18" l="1"/>
  <c r="J32" i="18"/>
  <c r="F25" i="6" s="1"/>
  <c r="J25" i="6" s="1"/>
  <c r="G19" i="18"/>
  <c r="G20" i="18" s="1"/>
  <c r="F14" i="18"/>
  <c r="J21" i="18" l="1"/>
  <c r="F19" i="6" s="1"/>
  <c r="D18" i="6"/>
  <c r="J31" i="18"/>
  <c r="J20" i="18"/>
  <c r="C41" i="6" l="1"/>
  <c r="B41" i="6"/>
  <c r="A41" i="6"/>
  <c r="M40" i="6"/>
  <c r="M23" i="6"/>
  <c r="M20" i="6"/>
  <c r="I18" i="6" l="1"/>
  <c r="C69" i="18"/>
  <c r="C68" i="18"/>
  <c r="G60" i="18"/>
  <c r="G14" i="18"/>
  <c r="G15" i="18" s="1"/>
  <c r="J16" i="18" l="1"/>
  <c r="F16" i="6" s="1"/>
  <c r="D15" i="6"/>
  <c r="J60" i="18"/>
  <c r="D41" i="6"/>
  <c r="C66" i="18"/>
  <c r="J15" i="18"/>
  <c r="I21" i="6" l="1"/>
  <c r="F18" i="6"/>
  <c r="J18" i="6" s="1"/>
  <c r="I39" i="6"/>
  <c r="J19" i="6"/>
  <c r="F21" i="6" l="1"/>
  <c r="J21" i="6" s="1"/>
  <c r="J22" i="6"/>
  <c r="F39" i="6" l="1"/>
  <c r="J39" i="6" s="1"/>
  <c r="J62" i="18"/>
  <c r="C64" i="18" l="1"/>
  <c r="C67" i="18" l="1"/>
  <c r="E66" i="18"/>
  <c r="E67" i="18" s="1"/>
  <c r="F15" i="6" l="1"/>
  <c r="J16" i="6"/>
  <c r="I15" i="6"/>
  <c r="J15" i="6" l="1"/>
  <c r="M17" i="6" l="1"/>
  <c r="I41" i="6" l="1"/>
  <c r="I13" i="6"/>
  <c r="F41" i="6" l="1"/>
  <c r="J41" i="6" s="1"/>
  <c r="F13" i="6" l="1"/>
  <c r="M13" i="6" l="1"/>
  <c r="J13" i="6"/>
  <c r="I43" i="6" l="1"/>
  <c r="J6" i="6" l="1"/>
  <c r="F43" i="6" l="1"/>
  <c r="J43" i="6" l="1"/>
  <c r="C6" i="6" l="1"/>
</calcChain>
</file>

<file path=xl/sharedStrings.xml><?xml version="1.0" encoding="utf-8"?>
<sst xmlns="http://schemas.openxmlformats.org/spreadsheetml/2006/main" count="266" uniqueCount="68">
  <si>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</si>
  <si>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</si>
  <si>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</si>
  <si>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</si>
  <si>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</si>
  <si>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</si>
  <si>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</si>
  <si>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</si>
  <si>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</si>
  <si>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</si>
  <si>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</si>
  <si>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</si>
  <si>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</si>
  <si>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</si>
  <si>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</si>
  <si>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</si>
  <si>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</si>
  <si>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</si>
  <si>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</si>
  <si>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</si>
  <si>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</si>
  <si>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</si>
  <si>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</si>
  <si>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</si>
  <si>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</si>
  <si>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</si>
  <si>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</si>
  <si>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Budget allocated</t>
  </si>
  <si>
    <t>Municipal payment</t>
  </si>
  <si>
    <t>User Contribution</t>
  </si>
  <si>
    <t xml:space="preserve">Contingencies </t>
  </si>
  <si>
    <t xml:space="preserve">Maintanince </t>
  </si>
  <si>
    <t>Total Estimated</t>
  </si>
  <si>
    <t>Location:- Shankharapur Municipality 9</t>
  </si>
  <si>
    <t>cum</t>
  </si>
  <si>
    <t>Information board</t>
  </si>
  <si>
    <t>no.</t>
  </si>
  <si>
    <t>VAT 13% for material</t>
  </si>
  <si>
    <t>Sub-total</t>
  </si>
  <si>
    <t>Providing and laying of Plain/Reinforced Cement Concrete in Foundation complete as per Drawing and Technical Specifications, PCC Grade M 15</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</si>
  <si>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</si>
  <si>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-For roadside drain</t>
  </si>
  <si>
    <t>Detail Quantity Measurement Sheet</t>
  </si>
  <si>
    <t>Total Valuated</t>
  </si>
  <si>
    <t>Detail Valuated Sheet</t>
  </si>
  <si>
    <t xml:space="preserve">Work Started : </t>
  </si>
  <si>
    <t xml:space="preserve">Work Finished:       </t>
  </si>
  <si>
    <t xml:space="preserve">F.Y.: 2081/082     </t>
  </si>
  <si>
    <t xml:space="preserve">Date:                     </t>
  </si>
  <si>
    <t>Providing and Laying Reinforced cement concrete NP3 Flush jointed pipe for culverts including fixing with cement mortar 1:2 as per Drawing and Technical Specifications., 450 mm  internal dia.</t>
  </si>
  <si>
    <t>rm</t>
  </si>
  <si>
    <t>-For hume pipe laying</t>
  </si>
  <si>
    <t>e'O{+tNnfdf lrDgL e§fsf] O{+6fsf] uf/f] l;d]G6 d;nf -!M^_ df</t>
  </si>
  <si>
    <t>-For roadside drain mangaal</t>
  </si>
  <si>
    <t>-For road</t>
  </si>
  <si>
    <t>Providing and laying  granular sub-base   without compaction on prepared surface, mixing  , complete as per Drawing and Technical Specifications., By Mechanical means</t>
  </si>
  <si>
    <t xml:space="preserve"> </t>
  </si>
  <si>
    <t>Round manhole cover medium 450mm (22")</t>
  </si>
  <si>
    <t>-deduction for hume pipe opening</t>
  </si>
  <si>
    <t>-Roadside drain wall</t>
  </si>
  <si>
    <t>Random Rubble Masonry, Providing and laying of Stone Masonry Work in Cement Mortar 1:6 in Foundation complete as per Drawing and Technical Specifications.</t>
  </si>
  <si>
    <t>PS</t>
  </si>
  <si>
    <t>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t>
  </si>
  <si>
    <t>Providing and Laying Reinforced cement concrete NP3 Flush jointed pipe for culverts including fixing with cement mortar 1:2 as per Drawing and Technical Specifications., 300 mm  internal dia.</t>
  </si>
  <si>
    <t>Provisional sum for unforseen works</t>
  </si>
  <si>
    <t>F.Y:2081/2082</t>
  </si>
  <si>
    <t>Date:2081/05/02</t>
  </si>
  <si>
    <t>Project:- Pasikhel pahiro roktham kaarya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</si>
</sst>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0" fontId="15" fillId="0" borderId="0"/>
    <xf numFmtId="43" fontId="15" fillId="0" borderId="0" applyFont="0" applyFill="0" applyBorder="0" applyAlignment="0" applyProtection="0"/>
    <xf numFmtId="0" fontId="15" fillId="0" borderId="0"/>
    <xf numFmtId="0" fontId="15" fillId="0" borderId="0"/>
    <xf numFmtId="0" fontId="15" fillId="0" borderId="0"/>
    <xf numFmtId="0" fontId="15" fillId="0" borderId="0"/>
  </cellStyleXfs>
  <cellXfs count="77">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2" fillId="0" borderId="1" xfId="0" applyFont="1" applyBorder="1" applyAlignment="1"/>
    <xf numFmtId="1" fontId="14" fillId="0" borderId="1" xfId="0" applyNumberFormat="1" applyFont="1" applyBorder="1" applyAlignment="1">
      <alignment vertical="center" wrapText="1"/>
    </xf>
    <xf numFmtId="0" fontId="2" fillId="0" borderId="1" xfId="0" applyFont="1" applyBorder="1" applyAlignment="1">
      <alignment vertical="center"/>
    </xf>
    <xf numFmtId="164" fontId="13" fillId="0" borderId="1" xfId="1" applyNumberFormat="1" applyFont="1" applyFill="1" applyBorder="1" applyAlignment="1">
      <alignment vertical="center"/>
    </xf>
    <xf numFmtId="0" fontId="14" fillId="0" borderId="1" xfId="0" applyFont="1" applyBorder="1" applyAlignment="1">
      <alignment vertical="center" wrapText="1"/>
    </xf>
    <xf numFmtId="1" fontId="13" fillId="0" borderId="1" xfId="0" applyNumberFormat="1" applyFont="1" applyFill="1" applyBorder="1" applyAlignment="1">
      <alignment vertical="center" wrapText="1"/>
    </xf>
    <xf numFmtId="1" fontId="13" fillId="0" borderId="1" xfId="0" quotePrefix="1" applyNumberFormat="1" applyFont="1" applyFill="1" applyBorder="1" applyAlignment="1">
      <alignment horizontal="right" vertical="center" wrapText="1"/>
    </xf>
    <xf numFmtId="1" fontId="14" fillId="0" borderId="1" xfId="0" applyNumberFormat="1" applyFont="1" applyBorder="1" applyAlignment="1">
      <alignment horizontal="right" vertical="center" wrapText="1"/>
    </xf>
    <xf numFmtId="1" fontId="14" fillId="0" borderId="1" xfId="0" quotePrefix="1" applyNumberFormat="1" applyFont="1" applyBorder="1" applyAlignment="1">
      <alignment horizontal="right" vertical="center" wrapText="1"/>
    </xf>
    <xf numFmtId="2" fontId="2" fillId="0" borderId="1" xfId="1" applyNumberFormat="1" applyFont="1" applyBorder="1" applyAlignment="1">
      <alignment vertical="center"/>
    </xf>
    <xf numFmtId="0" fontId="17" fillId="3" borderId="1" xfId="0" applyFont="1" applyFill="1" applyBorder="1" applyAlignment="1">
      <alignment wrapText="1"/>
    </xf>
    <xf numFmtId="0" fontId="16"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0" fontId="6" fillId="0" borderId="0" xfId="0" applyFont="1" applyAlignment="1"/>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9">
          <cell r="B169" t="str">
            <v>Providing and laying of Plain/Reinforced Cement Concrete in Foundation complete as per Drawing and Technical Specifications, PCC Grade M 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zoomScaleNormal="100" zoomScaleSheetLayoutView="80" workbookViewId="0">
      <selection activeCell="A7" sqref="A7:F7"/>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s>
  <sheetData>
    <row r="1" spans="1:11" s="1" customFormat="1" x14ac:dyDescent="0.25">
      <c r="A1" s="54" t="s">
        <v>0</v>
      </c>
      <c r="B1" s="54"/>
      <c r="C1" s="54"/>
      <c r="D1" s="54"/>
      <c r="E1" s="54"/>
      <c r="F1" s="54"/>
      <c r="G1" s="54"/>
      <c r="H1" s="54"/>
      <c r="I1" s="54"/>
      <c r="J1" s="54"/>
      <c r="K1" s="54"/>
    </row>
    <row r="2" spans="1:11" s="1" customFormat="1" ht="22.5" x14ac:dyDescent="0.25">
      <c r="A2" s="55" t="s">
        <v>1</v>
      </c>
      <c r="B2" s="55"/>
      <c r="C2" s="55"/>
      <c r="D2" s="55"/>
      <c r="E2" s="55"/>
      <c r="F2" s="55"/>
      <c r="G2" s="55"/>
      <c r="H2" s="55"/>
      <c r="I2" s="55"/>
      <c r="J2" s="55"/>
      <c r="K2" s="55"/>
    </row>
    <row r="3" spans="1:11" s="1" customFormat="1" x14ac:dyDescent="0.25">
      <c r="A3" s="56" t="s">
        <v>2</v>
      </c>
      <c r="B3" s="56"/>
      <c r="C3" s="56"/>
      <c r="D3" s="56"/>
      <c r="E3" s="56"/>
      <c r="F3" s="56"/>
      <c r="G3" s="56"/>
      <c r="H3" s="56"/>
      <c r="I3" s="56"/>
      <c r="J3" s="56"/>
      <c r="K3" s="56"/>
    </row>
    <row r="4" spans="1:11" s="1" customFormat="1" x14ac:dyDescent="0.25">
      <c r="A4" s="56" t="s">
        <v>3</v>
      </c>
      <c r="B4" s="56"/>
      <c r="C4" s="56"/>
      <c r="D4" s="56"/>
      <c r="E4" s="56"/>
      <c r="F4" s="56"/>
      <c r="G4" s="56"/>
      <c r="H4" s="56"/>
      <c r="I4" s="56"/>
      <c r="J4" s="56"/>
      <c r="K4" s="56"/>
    </row>
    <row r="5" spans="1:11" ht="18.75" x14ac:dyDescent="0.3">
      <c r="A5" s="57" t="s">
        <v>4</v>
      </c>
      <c r="B5" s="57"/>
      <c r="C5" s="57"/>
      <c r="D5" s="57"/>
      <c r="E5" s="57"/>
      <c r="F5" s="57"/>
      <c r="G5" s="57"/>
      <c r="H5" s="57"/>
      <c r="I5" s="57"/>
      <c r="J5" s="57"/>
      <c r="K5" s="57"/>
    </row>
    <row r="6" spans="1:11" ht="18.75" x14ac:dyDescent="0.3">
      <c r="A6" s="52" t="s">
        <v>67</v>
      </c>
      <c r="B6" s="52"/>
      <c r="C6" s="52"/>
      <c r="D6" s="52"/>
      <c r="E6" s="52"/>
      <c r="F6" s="52"/>
      <c r="G6" s="52"/>
      <c r="H6" s="53" t="s">
        <v>47</v>
      </c>
      <c r="I6" s="53"/>
      <c r="J6" s="53"/>
      <c r="K6" s="53"/>
    </row>
    <row r="7" spans="1:11" ht="15.75" x14ac:dyDescent="0.25">
      <c r="A7" s="60" t="s">
        <v>33</v>
      </c>
      <c r="B7" s="60"/>
      <c r="C7" s="60"/>
      <c r="D7" s="60"/>
      <c r="E7" s="60"/>
      <c r="F7" s="60"/>
      <c r="G7" s="2"/>
      <c r="H7" s="53" t="s">
        <v>48</v>
      </c>
      <c r="I7" s="53"/>
      <c r="J7" s="53"/>
      <c r="K7" s="53"/>
    </row>
    <row r="8" spans="1:11" ht="15" customHeight="1" x14ac:dyDescent="0.25">
      <c r="A8" s="3" t="s">
        <v>5</v>
      </c>
      <c r="B8" s="24" t="s">
        <v>6</v>
      </c>
      <c r="C8" s="3" t="s">
        <v>7</v>
      </c>
      <c r="D8" s="25" t="s">
        <v>8</v>
      </c>
      <c r="E8" s="25" t="s">
        <v>9</v>
      </c>
      <c r="F8" s="25" t="s">
        <v>10</v>
      </c>
      <c r="G8" s="25" t="s">
        <v>11</v>
      </c>
      <c r="H8" s="3" t="s">
        <v>12</v>
      </c>
      <c r="I8" s="25" t="s">
        <v>13</v>
      </c>
      <c r="J8" s="25" t="s">
        <v>14</v>
      </c>
      <c r="K8" s="26" t="s">
        <v>15</v>
      </c>
    </row>
    <row r="9" spans="1:11" ht="150" x14ac:dyDescent="0.25">
      <c r="A9" s="28">
        <v>1</v>
      </c>
      <c r="B9" s="46" t="s">
        <v>62</v>
      </c>
      <c r="C9" s="31"/>
      <c r="D9" s="30"/>
      <c r="E9" s="31"/>
      <c r="F9" s="31"/>
      <c r="G9" s="33"/>
      <c r="H9" s="32"/>
      <c r="I9" s="33"/>
      <c r="J9" s="39"/>
      <c r="K9" s="31"/>
    </row>
    <row r="10" spans="1:11" x14ac:dyDescent="0.25">
      <c r="A10" s="43"/>
      <c r="B10" s="49" t="s">
        <v>41</v>
      </c>
      <c r="C10" s="44">
        <v>1</v>
      </c>
      <c r="D10" s="30">
        <v>20</v>
      </c>
      <c r="E10" s="31">
        <v>0.4</v>
      </c>
      <c r="F10" s="31">
        <v>0.2</v>
      </c>
      <c r="G10" s="40">
        <f>PRODUCT(C10:F10)</f>
        <v>1.6</v>
      </c>
      <c r="H10" s="32"/>
      <c r="I10" s="33"/>
      <c r="J10" s="33"/>
      <c r="K10" s="31"/>
    </row>
    <row r="11" spans="1:11" x14ac:dyDescent="0.25">
      <c r="A11" s="28"/>
      <c r="B11" s="34" t="s">
        <v>38</v>
      </c>
      <c r="C11" s="31"/>
      <c r="D11" s="30"/>
      <c r="E11" s="31"/>
      <c r="F11" s="31"/>
      <c r="G11" s="33">
        <f>SUM(G10:G10)</f>
        <v>1.6</v>
      </c>
      <c r="H11" s="32" t="s">
        <v>34</v>
      </c>
      <c r="I11" s="33">
        <v>736.88</v>
      </c>
      <c r="J11" s="39">
        <f>G11*I11</f>
        <v>1179.008</v>
      </c>
      <c r="K11" s="31"/>
    </row>
    <row r="12" spans="1:11" x14ac:dyDescent="0.25">
      <c r="A12" s="28"/>
      <c r="B12" s="46"/>
      <c r="C12" s="31"/>
      <c r="D12" s="30"/>
      <c r="E12" s="31"/>
      <c r="F12" s="31"/>
      <c r="G12" s="33"/>
      <c r="H12" s="32"/>
      <c r="I12" s="33"/>
      <c r="J12" s="39"/>
      <c r="K12" s="31"/>
    </row>
    <row r="13" spans="1:11" ht="156" customHeight="1" x14ac:dyDescent="0.25">
      <c r="A13" s="28">
        <v>2</v>
      </c>
      <c r="B13" s="46" t="s">
        <v>40</v>
      </c>
      <c r="C13" s="17"/>
      <c r="D13" s="17"/>
      <c r="E13" s="17"/>
      <c r="F13" s="17"/>
      <c r="G13" s="43"/>
      <c r="H13" s="32"/>
      <c r="I13" s="33"/>
      <c r="J13" s="33"/>
      <c r="K13" s="31"/>
    </row>
    <row r="14" spans="1:11" x14ac:dyDescent="0.25">
      <c r="A14" s="43"/>
      <c r="B14" s="49" t="s">
        <v>51</v>
      </c>
      <c r="C14" s="44">
        <v>10</v>
      </c>
      <c r="D14" s="30">
        <v>2.5</v>
      </c>
      <c r="E14" s="31">
        <v>0.75</v>
      </c>
      <c r="F14" s="31">
        <f>23/12/3.281</f>
        <v>0.58417149243116939</v>
      </c>
      <c r="G14" s="40">
        <f>PRODUCT(C14:F14)</f>
        <v>10.953215483084426</v>
      </c>
      <c r="H14" s="32"/>
      <c r="I14" s="33"/>
      <c r="J14" s="33"/>
      <c r="K14" s="31"/>
    </row>
    <row r="15" spans="1:11" x14ac:dyDescent="0.25">
      <c r="A15" s="28"/>
      <c r="B15" s="34" t="s">
        <v>38</v>
      </c>
      <c r="C15" s="31"/>
      <c r="D15" s="30"/>
      <c r="E15" s="31"/>
      <c r="F15" s="31"/>
      <c r="G15" s="33">
        <f>SUM(G14:G14)</f>
        <v>10.953215483084426</v>
      </c>
      <c r="H15" s="32" t="s">
        <v>34</v>
      </c>
      <c r="I15" s="33">
        <v>64.63</v>
      </c>
      <c r="J15" s="39">
        <f>G15*I15</f>
        <v>707.90631667174637</v>
      </c>
      <c r="K15" s="31"/>
    </row>
    <row r="16" spans="1:11" x14ac:dyDescent="0.25">
      <c r="A16" s="28"/>
      <c r="B16" s="34" t="s">
        <v>37</v>
      </c>
      <c r="C16" s="31"/>
      <c r="D16" s="30"/>
      <c r="E16" s="31"/>
      <c r="F16" s="31"/>
      <c r="G16" s="33"/>
      <c r="H16" s="32"/>
      <c r="I16" s="33"/>
      <c r="J16" s="39">
        <f>0.13*G15*19284/360</f>
        <v>76.274541552372256</v>
      </c>
      <c r="K16" s="31"/>
    </row>
    <row r="17" spans="1:13" x14ac:dyDescent="0.25">
      <c r="A17" s="28"/>
      <c r="B17" s="34"/>
      <c r="C17" s="31"/>
      <c r="D17" s="30"/>
      <c r="E17" s="31"/>
      <c r="F17" s="31"/>
      <c r="G17" s="33"/>
      <c r="H17" s="32"/>
      <c r="I17" s="33"/>
      <c r="J17" s="39"/>
      <c r="K17" s="31"/>
    </row>
    <row r="18" spans="1:13" ht="105" x14ac:dyDescent="0.25">
      <c r="A18" s="28">
        <v>3</v>
      </c>
      <c r="B18" s="45" t="s">
        <v>49</v>
      </c>
      <c r="C18" s="29"/>
      <c r="D18" s="30"/>
      <c r="E18" s="31"/>
      <c r="F18" s="31"/>
      <c r="G18" s="33"/>
      <c r="H18" s="32"/>
      <c r="I18" s="33"/>
      <c r="J18" s="50"/>
      <c r="K18" s="31"/>
    </row>
    <row r="19" spans="1:13" x14ac:dyDescent="0.25">
      <c r="A19" s="43"/>
      <c r="B19" s="49" t="s">
        <v>41</v>
      </c>
      <c r="C19" s="44">
        <v>10</v>
      </c>
      <c r="D19" s="30">
        <v>2.5</v>
      </c>
      <c r="E19" s="31"/>
      <c r="F19" s="31"/>
      <c r="G19" s="40">
        <f>PRODUCT(C19:F19)</f>
        <v>25</v>
      </c>
      <c r="H19" s="32"/>
      <c r="I19" s="33"/>
      <c r="J19" s="33"/>
      <c r="K19" s="31"/>
    </row>
    <row r="20" spans="1:13" x14ac:dyDescent="0.25">
      <c r="A20" s="28"/>
      <c r="B20" s="34" t="s">
        <v>38</v>
      </c>
      <c r="C20" s="31"/>
      <c r="D20" s="30"/>
      <c r="E20" s="31"/>
      <c r="F20" s="31"/>
      <c r="G20" s="33">
        <f>SUM(G19:G19)</f>
        <v>25</v>
      </c>
      <c r="H20" s="32" t="s">
        <v>50</v>
      </c>
      <c r="I20" s="33">
        <v>5144.96</v>
      </c>
      <c r="J20" s="39">
        <f>G20*I20</f>
        <v>128624</v>
      </c>
      <c r="K20" s="31"/>
      <c r="M20">
        <f>I20*2.5</f>
        <v>12862.4</v>
      </c>
    </row>
    <row r="21" spans="1:13" x14ac:dyDescent="0.25">
      <c r="A21" s="28"/>
      <c r="B21" s="34" t="s">
        <v>37</v>
      </c>
      <c r="C21" s="31"/>
      <c r="D21" s="30"/>
      <c r="E21" s="31"/>
      <c r="F21" s="31"/>
      <c r="G21" s="33"/>
      <c r="H21" s="32"/>
      <c r="I21" s="33"/>
      <c r="J21" s="39">
        <f>0.13*G20*57364.6/12.5</f>
        <v>14914.795999999998</v>
      </c>
      <c r="K21" s="31"/>
    </row>
    <row r="22" spans="1:13" x14ac:dyDescent="0.25">
      <c r="A22" s="28"/>
      <c r="B22" s="34"/>
      <c r="C22" s="31"/>
      <c r="D22" s="30"/>
      <c r="E22" s="31"/>
      <c r="F22" s="31"/>
      <c r="G22" s="33"/>
      <c r="H22" s="32"/>
      <c r="I22" s="33"/>
      <c r="J22" s="39"/>
      <c r="K22" s="31"/>
    </row>
    <row r="23" spans="1:13" ht="105" x14ac:dyDescent="0.25">
      <c r="A23" s="28">
        <v>4</v>
      </c>
      <c r="B23" s="45" t="s">
        <v>63</v>
      </c>
      <c r="C23" s="29"/>
      <c r="D23" s="30"/>
      <c r="E23" s="31"/>
      <c r="F23" s="31"/>
      <c r="G23" s="33"/>
      <c r="H23" s="32"/>
      <c r="I23" s="33"/>
      <c r="J23" s="50"/>
      <c r="K23" s="31"/>
    </row>
    <row r="24" spans="1:13" x14ac:dyDescent="0.25">
      <c r="A24" s="43"/>
      <c r="B24" s="49" t="s">
        <v>41</v>
      </c>
      <c r="C24" s="44">
        <v>1</v>
      </c>
      <c r="D24" s="30">
        <v>2.5</v>
      </c>
      <c r="E24" s="31"/>
      <c r="F24" s="31"/>
      <c r="G24" s="40">
        <f>PRODUCT(C24:F24)</f>
        <v>2.5</v>
      </c>
      <c r="H24" s="32"/>
      <c r="I24" s="33"/>
      <c r="J24" s="33"/>
      <c r="K24" s="31"/>
    </row>
    <row r="25" spans="1:13" x14ac:dyDescent="0.25">
      <c r="A25" s="28"/>
      <c r="B25" s="34" t="s">
        <v>38</v>
      </c>
      <c r="C25" s="31"/>
      <c r="D25" s="30"/>
      <c r="E25" s="31"/>
      <c r="F25" s="31"/>
      <c r="G25" s="33">
        <f>SUM(G24:G24)</f>
        <v>2.5</v>
      </c>
      <c r="H25" s="32" t="s">
        <v>50</v>
      </c>
      <c r="I25" s="33">
        <v>3697.12</v>
      </c>
      <c r="J25" s="39">
        <f>G25*I25</f>
        <v>9242.7999999999993</v>
      </c>
      <c r="K25" s="31"/>
      <c r="M25">
        <f>I25*2.5</f>
        <v>9242.7999999999993</v>
      </c>
    </row>
    <row r="26" spans="1:13" x14ac:dyDescent="0.25">
      <c r="A26" s="28"/>
      <c r="B26" s="34" t="s">
        <v>37</v>
      </c>
      <c r="C26" s="31"/>
      <c r="D26" s="30"/>
      <c r="E26" s="31"/>
      <c r="F26" s="31"/>
      <c r="G26" s="33"/>
      <c r="H26" s="32"/>
      <c r="I26" s="33"/>
      <c r="J26" s="39">
        <f>0.13*G25*40214.2/12.5</f>
        <v>1045.5691999999999</v>
      </c>
      <c r="K26" s="31"/>
    </row>
    <row r="27" spans="1:13" x14ac:dyDescent="0.25">
      <c r="A27" s="28"/>
      <c r="B27" s="34"/>
      <c r="C27" s="31"/>
      <c r="D27" s="30"/>
      <c r="E27" s="31"/>
      <c r="F27" s="31"/>
      <c r="G27" s="33"/>
      <c r="H27" s="32"/>
      <c r="I27" s="33"/>
      <c r="J27" s="39"/>
      <c r="K27" s="31"/>
    </row>
    <row r="28" spans="1:13" ht="90" customHeight="1" x14ac:dyDescent="0.25">
      <c r="A28" s="28">
        <v>5</v>
      </c>
      <c r="B28" s="45" t="s">
        <v>55</v>
      </c>
      <c r="C28" s="31"/>
      <c r="D28" s="30"/>
      <c r="E28" s="31"/>
      <c r="F28" s="31"/>
      <c r="G28" s="33"/>
      <c r="H28" s="32"/>
      <c r="I28" s="33"/>
      <c r="J28" s="39"/>
      <c r="K28" s="31"/>
    </row>
    <row r="29" spans="1:13" ht="15" customHeight="1" x14ac:dyDescent="0.25">
      <c r="A29" s="43"/>
      <c r="B29" s="49" t="s">
        <v>54</v>
      </c>
      <c r="C29" s="44">
        <v>1</v>
      </c>
      <c r="D29" s="30">
        <f>10*2.5-7.5</f>
        <v>17.5</v>
      </c>
      <c r="E29" s="31">
        <v>2</v>
      </c>
      <c r="F29" s="31">
        <f>1/3.2808</f>
        <v>0.30480370641306997</v>
      </c>
      <c r="G29" s="40">
        <f>PRODUCT(C29:F29)</f>
        <v>10.668129724457449</v>
      </c>
      <c r="H29" s="32"/>
      <c r="I29" s="33"/>
      <c r="J29" s="33"/>
      <c r="K29" s="31"/>
    </row>
    <row r="30" spans="1:13" ht="15" customHeight="1" x14ac:dyDescent="0.25">
      <c r="A30" s="43"/>
      <c r="B30" s="49"/>
      <c r="C30" s="44">
        <v>1</v>
      </c>
      <c r="D30" s="30">
        <v>7.5</v>
      </c>
      <c r="E30" s="31">
        <v>1.46</v>
      </c>
      <c r="F30" s="31">
        <f>1/3.2808</f>
        <v>0.30480370641306997</v>
      </c>
      <c r="G30" s="40">
        <f>PRODUCT(C30:F30)</f>
        <v>3.3376005852231159</v>
      </c>
      <c r="H30" s="32"/>
      <c r="I30" s="33"/>
      <c r="J30" s="33"/>
      <c r="K30" s="31"/>
    </row>
    <row r="31" spans="1:13" x14ac:dyDescent="0.25">
      <c r="A31" s="28"/>
      <c r="B31" s="34" t="s">
        <v>38</v>
      </c>
      <c r="C31" s="31"/>
      <c r="D31" s="30"/>
      <c r="E31" s="31"/>
      <c r="F31" s="31"/>
      <c r="G31" s="33">
        <f>SUM(G29:G30)</f>
        <v>14.005730309680565</v>
      </c>
      <c r="H31" s="32" t="s">
        <v>34</v>
      </c>
      <c r="I31" s="33">
        <f>3244.12/1.15</f>
        <v>2820.9739130434782</v>
      </c>
      <c r="J31" s="39">
        <f>G31*I31</f>
        <v>39509.799836731232</v>
      </c>
      <c r="K31" s="31"/>
    </row>
    <row r="32" spans="1:13" x14ac:dyDescent="0.25">
      <c r="A32" s="28"/>
      <c r="B32" s="34" t="s">
        <v>37</v>
      </c>
      <c r="C32" s="31"/>
      <c r="D32" s="30"/>
      <c r="E32" s="31"/>
      <c r="F32" s="31"/>
      <c r="G32" s="33"/>
      <c r="H32" s="32"/>
      <c r="I32" s="33"/>
      <c r="J32" s="39">
        <f>0.13*G31*826398.72/300</f>
        <v>5015.5376269202634</v>
      </c>
      <c r="K32" s="31"/>
    </row>
    <row r="33" spans="1:11" x14ac:dyDescent="0.25">
      <c r="A33" s="28"/>
      <c r="B33" s="34"/>
      <c r="C33" s="31"/>
      <c r="D33" s="30"/>
      <c r="E33" s="31"/>
      <c r="F33" s="31"/>
      <c r="G33" s="33"/>
      <c r="H33" s="32"/>
      <c r="I33" s="33"/>
      <c r="J33" s="39"/>
      <c r="K33" s="31"/>
    </row>
    <row r="34" spans="1:11" ht="30.75" x14ac:dyDescent="0.25">
      <c r="A34" s="28">
        <v>6</v>
      </c>
      <c r="B34" s="51" t="s">
        <v>52</v>
      </c>
      <c r="C34" s="31"/>
      <c r="D34" s="30"/>
      <c r="E34" s="31"/>
      <c r="F34" s="31"/>
      <c r="G34" s="33"/>
      <c r="H34" s="32"/>
      <c r="I34" s="33" t="s">
        <v>56</v>
      </c>
      <c r="J34" s="39"/>
      <c r="K34" s="31"/>
    </row>
    <row r="35" spans="1:11" x14ac:dyDescent="0.25">
      <c r="A35" s="43"/>
      <c r="B35" s="49" t="s">
        <v>53</v>
      </c>
      <c r="C35" s="44">
        <v>1</v>
      </c>
      <c r="D35" s="30">
        <f>1.03+1.03+(1-0.23*2)*2</f>
        <v>3.14</v>
      </c>
      <c r="E35" s="31">
        <v>0.23</v>
      </c>
      <c r="F35" s="31">
        <v>0.6</v>
      </c>
      <c r="G35" s="40">
        <f>PRODUCT(C35:F35)</f>
        <v>0.43332000000000004</v>
      </c>
      <c r="H35" s="32"/>
      <c r="I35" s="33"/>
      <c r="J35" s="33"/>
      <c r="K35" s="31"/>
    </row>
    <row r="36" spans="1:11" x14ac:dyDescent="0.25">
      <c r="A36" s="43"/>
      <c r="B36" s="49" t="s">
        <v>58</v>
      </c>
      <c r="C36" s="44">
        <v>-1</v>
      </c>
      <c r="D36" s="30">
        <f>(0.3+5/12/3.281)</f>
        <v>0.42699380270242815</v>
      </c>
      <c r="E36" s="4">
        <v>0.23</v>
      </c>
      <c r="F36" s="31">
        <f>PI()</f>
        <v>3.1415926535897931</v>
      </c>
      <c r="G36" s="40">
        <f>C36*(F36*(D36*D36)/4)*E36</f>
        <v>-3.2935242161652237E-2</v>
      </c>
      <c r="H36" s="32"/>
      <c r="I36" s="33"/>
      <c r="J36" s="33"/>
      <c r="K36" s="31"/>
    </row>
    <row r="37" spans="1:11" x14ac:dyDescent="0.25">
      <c r="A37" s="43"/>
      <c r="B37" s="49"/>
      <c r="C37" s="44">
        <v>-1</v>
      </c>
      <c r="D37" s="30">
        <f>(0.45+5/12/3.281)</f>
        <v>0.57699380270242817</v>
      </c>
      <c r="E37" s="4">
        <v>0.23</v>
      </c>
      <c r="F37" s="31">
        <f>PI()</f>
        <v>3.1415926535897931</v>
      </c>
      <c r="G37" s="40">
        <f>C37*(F37*(D37*D37)/4)*E37</f>
        <v>-6.0139527898530026E-2</v>
      </c>
      <c r="H37" s="32"/>
      <c r="I37" s="33"/>
      <c r="J37" s="33"/>
      <c r="K37" s="31"/>
    </row>
    <row r="38" spans="1:11" x14ac:dyDescent="0.25">
      <c r="A38" s="28"/>
      <c r="B38" s="34" t="s">
        <v>38</v>
      </c>
      <c r="C38" s="31"/>
      <c r="D38" s="30" t="s">
        <v>56</v>
      </c>
      <c r="E38" s="4"/>
      <c r="F38" s="31"/>
      <c r="G38" s="33">
        <f>SUM(G35:G37)</f>
        <v>0.34024522993981776</v>
      </c>
      <c r="H38" s="32" t="s">
        <v>34</v>
      </c>
      <c r="I38" s="33">
        <v>14362.76</v>
      </c>
      <c r="J38" s="39">
        <f>G38*I38</f>
        <v>4886.8605787704173</v>
      </c>
      <c r="K38" s="31"/>
    </row>
    <row r="39" spans="1:11" x14ac:dyDescent="0.25">
      <c r="A39" s="28"/>
      <c r="B39" s="34" t="s">
        <v>37</v>
      </c>
      <c r="C39" s="31"/>
      <c r="D39" s="30"/>
      <c r="E39" s="31"/>
      <c r="F39" s="31"/>
      <c r="G39" s="33"/>
      <c r="H39" s="32"/>
      <c r="I39" s="33"/>
      <c r="J39" s="39">
        <f>0.13*G38*10311.74</f>
        <v>456.10764515935017</v>
      </c>
      <c r="K39" s="31"/>
    </row>
    <row r="40" spans="1:11" x14ac:dyDescent="0.25">
      <c r="A40" s="28"/>
      <c r="B40" s="34"/>
      <c r="C40" s="31"/>
      <c r="D40" s="30"/>
      <c r="E40" s="31"/>
      <c r="F40" s="31"/>
      <c r="G40" s="33"/>
      <c r="H40" s="32"/>
      <c r="I40" s="33"/>
      <c r="J40" s="39"/>
      <c r="K40" s="31"/>
    </row>
    <row r="41" spans="1:11" s="1" customFormat="1" ht="77.25" customHeight="1" x14ac:dyDescent="0.25">
      <c r="A41" s="28">
        <v>7</v>
      </c>
      <c r="B41" s="45" t="s">
        <v>39</v>
      </c>
      <c r="C41" s="31"/>
      <c r="D41" s="30"/>
      <c r="E41" s="31"/>
      <c r="F41" s="31"/>
      <c r="G41" s="33"/>
      <c r="H41" s="32"/>
      <c r="I41" s="33"/>
      <c r="J41" s="39"/>
      <c r="K41" s="31"/>
    </row>
    <row r="42" spans="1:11" x14ac:dyDescent="0.25">
      <c r="A42" s="43"/>
      <c r="B42" s="49" t="s">
        <v>53</v>
      </c>
      <c r="C42" s="44">
        <v>1</v>
      </c>
      <c r="D42" s="30">
        <f>1.03</f>
        <v>1.03</v>
      </c>
      <c r="E42" s="31">
        <v>1</v>
      </c>
      <c r="F42" s="31">
        <f>1.5/12/3.281</f>
        <v>3.8098140810728431E-2</v>
      </c>
      <c r="G42" s="40">
        <f>PRODUCT(C42:F42)</f>
        <v>3.9241085035050284E-2</v>
      </c>
      <c r="H42" s="32"/>
      <c r="I42" s="33"/>
      <c r="J42" s="33"/>
      <c r="K42" s="31"/>
    </row>
    <row r="43" spans="1:11" x14ac:dyDescent="0.25">
      <c r="A43" s="43"/>
      <c r="B43" s="49" t="s">
        <v>58</v>
      </c>
      <c r="C43" s="44">
        <v>-1</v>
      </c>
      <c r="D43" s="30">
        <f>(23/12/3.281)</f>
        <v>0.58417149243116939</v>
      </c>
      <c r="E43" s="31">
        <f>PI()</f>
        <v>3.1415926535897931</v>
      </c>
      <c r="F43" s="31">
        <f>1.5/12/3.281</f>
        <v>3.8098140810728431E-2</v>
      </c>
      <c r="G43" s="40">
        <f>C43*(E43*(D43*D43)/4)*F43</f>
        <v>-1.021114358608829E-2</v>
      </c>
      <c r="H43" s="32"/>
      <c r="I43" s="33"/>
      <c r="J43" s="33"/>
      <c r="K43" s="31"/>
    </row>
    <row r="44" spans="1:11" x14ac:dyDescent="0.25">
      <c r="A44" s="43"/>
      <c r="B44" s="49"/>
      <c r="C44" s="44">
        <v>1</v>
      </c>
      <c r="D44" s="30">
        <f>1.03</f>
        <v>1.03</v>
      </c>
      <c r="E44" s="31">
        <v>1</v>
      </c>
      <c r="F44" s="31">
        <f>2/12/3.281</f>
        <v>5.0797521080971242E-2</v>
      </c>
      <c r="G44" s="40">
        <f>PRODUCT(C44:F44)</f>
        <v>5.2321446713400381E-2</v>
      </c>
      <c r="H44" s="32"/>
      <c r="I44" s="33"/>
      <c r="J44" s="33"/>
      <c r="K44" s="31"/>
    </row>
    <row r="45" spans="1:11" x14ac:dyDescent="0.25">
      <c r="A45" s="28"/>
      <c r="B45" s="34" t="s">
        <v>38</v>
      </c>
      <c r="C45" s="31"/>
      <c r="D45" s="30" t="s">
        <v>56</v>
      </c>
      <c r="E45" s="31"/>
      <c r="F45" s="31"/>
      <c r="G45" s="33">
        <f>SUM(G42:G44)</f>
        <v>8.135138816236237E-2</v>
      </c>
      <c r="H45" s="32" t="s">
        <v>34</v>
      </c>
      <c r="I45" s="33">
        <v>11219.5</v>
      </c>
      <c r="J45" s="39">
        <f>G45*I45</f>
        <v>912.72189948762457</v>
      </c>
      <c r="K45" s="31"/>
    </row>
    <row r="46" spans="1:11" x14ac:dyDescent="0.25">
      <c r="A46" s="28"/>
      <c r="B46" s="34" t="s">
        <v>37</v>
      </c>
      <c r="C46" s="31"/>
      <c r="D46" s="30"/>
      <c r="E46" s="31"/>
      <c r="F46" s="31"/>
      <c r="G46" s="33"/>
      <c r="H46" s="32"/>
      <c r="I46" s="33"/>
      <c r="J46" s="39">
        <f>0.13*G45*(114907.3+6472.8)/15</f>
        <v>85.578476795815121</v>
      </c>
      <c r="K46" s="31"/>
    </row>
    <row r="47" spans="1:11" x14ac:dyDescent="0.25">
      <c r="A47" s="28"/>
      <c r="B47" s="34"/>
      <c r="C47" s="31"/>
      <c r="D47" s="30"/>
      <c r="E47" s="31"/>
      <c r="F47" s="31"/>
      <c r="G47" s="33"/>
      <c r="H47" s="32"/>
      <c r="I47" s="33"/>
      <c r="J47" s="39"/>
      <c r="K47" s="31"/>
    </row>
    <row r="48" spans="1:11" s="1" customFormat="1" ht="90" customHeight="1" x14ac:dyDescent="0.25">
      <c r="A48" s="28">
        <v>8</v>
      </c>
      <c r="B48" s="45" t="s">
        <v>60</v>
      </c>
      <c r="C48" s="31"/>
      <c r="D48" s="30"/>
      <c r="E48" s="31"/>
      <c r="F48" s="31"/>
      <c r="G48" s="33"/>
      <c r="H48" s="32"/>
      <c r="I48" s="33"/>
      <c r="J48" s="39"/>
      <c r="K48" s="31"/>
    </row>
    <row r="49" spans="1:11" ht="15" customHeight="1" x14ac:dyDescent="0.25">
      <c r="A49" s="28"/>
      <c r="B49" s="47" t="s">
        <v>59</v>
      </c>
      <c r="C49" s="31">
        <v>1</v>
      </c>
      <c r="D49" s="30">
        <v>1.5</v>
      </c>
      <c r="E49" s="31">
        <v>0.35</v>
      </c>
      <c r="F49" s="31">
        <v>0.45</v>
      </c>
      <c r="G49" s="40">
        <f>PRODUCT(C49:F49)</f>
        <v>0.23624999999999996</v>
      </c>
      <c r="H49" s="32"/>
      <c r="I49" s="33"/>
      <c r="J49" s="39"/>
      <c r="K49" s="31"/>
    </row>
    <row r="50" spans="1:11" ht="15" customHeight="1" x14ac:dyDescent="0.25">
      <c r="A50" s="28"/>
      <c r="B50" s="34" t="s">
        <v>38</v>
      </c>
      <c r="C50" s="31"/>
      <c r="D50" s="30" t="s">
        <v>56</v>
      </c>
      <c r="E50" s="31"/>
      <c r="F50" s="31"/>
      <c r="G50" s="33">
        <f>SUM(G49)</f>
        <v>0.23624999999999996</v>
      </c>
      <c r="H50" s="32" t="s">
        <v>34</v>
      </c>
      <c r="I50" s="33">
        <v>9709.43</v>
      </c>
      <c r="J50" s="39">
        <f>G50*I50</f>
        <v>2293.8528374999996</v>
      </c>
      <c r="K50" s="31"/>
    </row>
    <row r="51" spans="1:11" x14ac:dyDescent="0.25">
      <c r="A51" s="28"/>
      <c r="B51" s="34" t="s">
        <v>37</v>
      </c>
      <c r="C51" s="31"/>
      <c r="D51" s="30"/>
      <c r="E51" s="31"/>
      <c r="F51" s="31"/>
      <c r="G51" s="33"/>
      <c r="H51" s="32"/>
      <c r="I51" s="33"/>
      <c r="J51" s="39">
        <f>0.13*G50*27092.1/5</f>
        <v>166.41322424999998</v>
      </c>
      <c r="K51" s="31"/>
    </row>
    <row r="52" spans="1:11" x14ac:dyDescent="0.25">
      <c r="A52" s="28"/>
      <c r="B52" s="34"/>
      <c r="C52" s="31"/>
      <c r="D52" s="30"/>
      <c r="E52" s="31"/>
      <c r="F52" s="31"/>
      <c r="G52" s="33"/>
      <c r="H52" s="32"/>
      <c r="I52" s="33"/>
      <c r="J52" s="39"/>
      <c r="K52" s="31"/>
    </row>
    <row r="53" spans="1:11" ht="30" x14ac:dyDescent="0.25">
      <c r="A53" s="28">
        <v>9</v>
      </c>
      <c r="B53" s="46" t="s">
        <v>57</v>
      </c>
      <c r="C53" s="31">
        <v>1</v>
      </c>
      <c r="D53" s="30"/>
      <c r="E53" s="31"/>
      <c r="F53" s="31"/>
      <c r="G53" s="40">
        <f>PRODUCT(C53:F53)</f>
        <v>1</v>
      </c>
      <c r="H53" s="32"/>
      <c r="I53" s="33"/>
      <c r="J53" s="39"/>
      <c r="K53" s="31"/>
    </row>
    <row r="54" spans="1:11" x14ac:dyDescent="0.25">
      <c r="A54" s="28"/>
      <c r="B54" s="34" t="s">
        <v>38</v>
      </c>
      <c r="C54" s="31"/>
      <c r="D54" s="30"/>
      <c r="E54" s="31"/>
      <c r="F54" s="31"/>
      <c r="G54" s="33">
        <f>SUM(G53:G53)</f>
        <v>1</v>
      </c>
      <c r="H54" s="32" t="s">
        <v>36</v>
      </c>
      <c r="I54" s="33">
        <v>4487</v>
      </c>
      <c r="J54" s="39">
        <f>G54*I54</f>
        <v>4487</v>
      </c>
      <c r="K54" s="31"/>
    </row>
    <row r="55" spans="1:11" x14ac:dyDescent="0.25">
      <c r="A55" s="28"/>
      <c r="B55" s="34" t="s">
        <v>37</v>
      </c>
      <c r="C55" s="31"/>
      <c r="D55" s="30"/>
      <c r="E55" s="31"/>
      <c r="F55" s="31"/>
      <c r="G55" s="33"/>
      <c r="H55" s="32"/>
      <c r="I55" s="33"/>
      <c r="J55" s="39">
        <f>0.13*J54</f>
        <v>583.31000000000006</v>
      </c>
      <c r="K55" s="31"/>
    </row>
    <row r="56" spans="1:11" x14ac:dyDescent="0.25">
      <c r="A56" s="28"/>
      <c r="B56" s="34"/>
      <c r="C56" s="31"/>
      <c r="D56" s="30"/>
      <c r="E56" s="31"/>
      <c r="F56" s="31"/>
      <c r="G56" s="33"/>
      <c r="H56" s="32"/>
      <c r="I56" s="33"/>
      <c r="J56" s="39"/>
      <c r="K56" s="31"/>
    </row>
    <row r="57" spans="1:11" ht="30" x14ac:dyDescent="0.25">
      <c r="A57" s="28">
        <v>10</v>
      </c>
      <c r="B57" s="46" t="s">
        <v>64</v>
      </c>
      <c r="C57" s="31">
        <v>1</v>
      </c>
      <c r="D57" s="30"/>
      <c r="E57" s="31"/>
      <c r="F57" s="31"/>
      <c r="G57" s="40">
        <f>PRODUCT(C57:F57)</f>
        <v>1</v>
      </c>
      <c r="H57" s="32"/>
      <c r="I57" s="33"/>
      <c r="J57" s="39"/>
      <c r="K57" s="31"/>
    </row>
    <row r="58" spans="1:11" x14ac:dyDescent="0.25">
      <c r="A58" s="28"/>
      <c r="B58" s="34" t="s">
        <v>38</v>
      </c>
      <c r="C58" s="31"/>
      <c r="D58" s="30"/>
      <c r="E58" s="31"/>
      <c r="F58" s="31"/>
      <c r="G58" s="33">
        <f>SUM(G57:G57)</f>
        <v>1</v>
      </c>
      <c r="H58" s="32" t="s">
        <v>61</v>
      </c>
      <c r="I58" s="33">
        <v>40000</v>
      </c>
      <c r="J58" s="39">
        <f>G58*I58</f>
        <v>40000</v>
      </c>
      <c r="K58" s="31"/>
    </row>
    <row r="59" spans="1:11" x14ac:dyDescent="0.25">
      <c r="A59" s="28"/>
      <c r="B59" s="34"/>
      <c r="C59" s="31"/>
      <c r="D59" s="30"/>
      <c r="E59" s="31"/>
      <c r="F59" s="31"/>
      <c r="G59" s="33"/>
      <c r="H59" s="32"/>
      <c r="I59" s="33"/>
      <c r="J59" s="39"/>
      <c r="K59" s="31"/>
    </row>
    <row r="60" spans="1:11" x14ac:dyDescent="0.25">
      <c r="A60" s="28">
        <v>11</v>
      </c>
      <c r="B60" s="41" t="s">
        <v>35</v>
      </c>
      <c r="C60" s="29">
        <v>1</v>
      </c>
      <c r="D60" s="30"/>
      <c r="E60" s="31"/>
      <c r="F60" s="31"/>
      <c r="G60" s="39">
        <f>PRODUCT(C60:F60)</f>
        <v>1</v>
      </c>
      <c r="H60" s="32" t="s">
        <v>36</v>
      </c>
      <c r="I60" s="33">
        <v>500</v>
      </c>
      <c r="J60" s="8">
        <f>G60*I60</f>
        <v>500</v>
      </c>
      <c r="K60" s="31"/>
    </row>
    <row r="61" spans="1:11" x14ac:dyDescent="0.25">
      <c r="A61" s="10"/>
      <c r="B61" s="27"/>
      <c r="C61" s="9"/>
      <c r="D61" s="7"/>
      <c r="E61" s="7"/>
      <c r="F61" s="7"/>
      <c r="G61" s="8"/>
      <c r="H61" s="8"/>
      <c r="I61" s="8"/>
      <c r="J61" s="8"/>
      <c r="K61" s="4"/>
    </row>
    <row r="62" spans="1:11" x14ac:dyDescent="0.25">
      <c r="A62" s="10"/>
      <c r="B62" s="27" t="s">
        <v>17</v>
      </c>
      <c r="C62" s="9"/>
      <c r="D62" s="7"/>
      <c r="E62" s="7"/>
      <c r="F62" s="7"/>
      <c r="G62" s="8"/>
      <c r="H62" s="8"/>
      <c r="I62" s="8"/>
      <c r="J62" s="8">
        <f>SUM(J18:J61)</f>
        <v>252724.34732561468</v>
      </c>
      <c r="K62" s="4"/>
    </row>
    <row r="64" spans="1:11" s="1" customFormat="1" x14ac:dyDescent="0.25">
      <c r="B64" s="17" t="s">
        <v>32</v>
      </c>
      <c r="C64" s="58">
        <f>J62</f>
        <v>252724.34732561468</v>
      </c>
      <c r="D64" s="59"/>
      <c r="E64" s="15">
        <v>100</v>
      </c>
      <c r="F64" s="19"/>
      <c r="G64" s="20"/>
      <c r="H64" s="19"/>
      <c r="I64" s="21"/>
      <c r="J64" s="22"/>
      <c r="K64" s="23"/>
    </row>
    <row r="65" spans="2:5" x14ac:dyDescent="0.25">
      <c r="B65" s="17" t="s">
        <v>27</v>
      </c>
      <c r="C65" s="61">
        <v>225000</v>
      </c>
      <c r="D65" s="62"/>
      <c r="E65" s="15"/>
    </row>
    <row r="66" spans="2:5" x14ac:dyDescent="0.25">
      <c r="B66" s="17" t="s">
        <v>28</v>
      </c>
      <c r="C66" s="61">
        <f>C65-C68-C69</f>
        <v>213750</v>
      </c>
      <c r="D66" s="62"/>
      <c r="E66" s="15">
        <f>C66/C64*100</f>
        <v>84.578317151453788</v>
      </c>
    </row>
    <row r="67" spans="2:5" x14ac:dyDescent="0.25">
      <c r="B67" s="17" t="s">
        <v>29</v>
      </c>
      <c r="C67" s="63">
        <f>C64-C66</f>
        <v>38974.347325614683</v>
      </c>
      <c r="D67" s="63"/>
      <c r="E67" s="15">
        <f>100-E66</f>
        <v>15.421682848546212</v>
      </c>
    </row>
    <row r="68" spans="2:5" x14ac:dyDescent="0.25">
      <c r="B68" s="17" t="s">
        <v>30</v>
      </c>
      <c r="C68" s="58">
        <f>C65*0.03</f>
        <v>6750</v>
      </c>
      <c r="D68" s="59"/>
      <c r="E68" s="15">
        <v>3</v>
      </c>
    </row>
    <row r="69" spans="2:5" x14ac:dyDescent="0.25">
      <c r="B69" s="17" t="s">
        <v>31</v>
      </c>
      <c r="C69" s="58">
        <f>C65*0.02</f>
        <v>4500</v>
      </c>
      <c r="D69" s="59"/>
      <c r="E69" s="15">
        <v>2</v>
      </c>
    </row>
  </sheetData>
  <mergeCells count="15">
    <mergeCell ref="C68:D68"/>
    <mergeCell ref="C69:D69"/>
    <mergeCell ref="A7:F7"/>
    <mergeCell ref="H7:K7"/>
    <mergeCell ref="C64:D64"/>
    <mergeCell ref="C65:D65"/>
    <mergeCell ref="C66:D66"/>
    <mergeCell ref="C67:D67"/>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34" zoomScaleNormal="100" workbookViewId="0">
      <selection activeCell="G42" sqref="G42"/>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66" t="s">
        <v>0</v>
      </c>
      <c r="B1" s="66"/>
      <c r="C1" s="66"/>
      <c r="D1" s="66"/>
      <c r="E1" s="66"/>
      <c r="F1" s="66"/>
      <c r="G1" s="66"/>
      <c r="H1" s="66"/>
      <c r="I1" s="66"/>
      <c r="J1" s="66"/>
      <c r="K1" s="66"/>
    </row>
    <row r="2" spans="1:13" ht="25.5" x14ac:dyDescent="0.35">
      <c r="A2" s="67" t="s">
        <v>1</v>
      </c>
      <c r="B2" s="67"/>
      <c r="C2" s="67"/>
      <c r="D2" s="67"/>
      <c r="E2" s="67"/>
      <c r="F2" s="67"/>
      <c r="G2" s="67"/>
      <c r="H2" s="67"/>
      <c r="I2" s="67"/>
      <c r="J2" s="67"/>
      <c r="K2" s="67"/>
    </row>
    <row r="3" spans="1:13" s="1" customFormat="1" x14ac:dyDescent="0.25">
      <c r="A3" s="56" t="s">
        <v>2</v>
      </c>
      <c r="B3" s="56"/>
      <c r="C3" s="56"/>
      <c r="D3" s="56"/>
      <c r="E3" s="56"/>
      <c r="F3" s="56"/>
      <c r="G3" s="56"/>
      <c r="H3" s="56"/>
      <c r="I3" s="56"/>
      <c r="J3" s="56"/>
      <c r="K3" s="56"/>
    </row>
    <row r="4" spans="1:13" s="1" customFormat="1" x14ac:dyDescent="0.25">
      <c r="A4" s="56" t="s">
        <v>3</v>
      </c>
      <c r="B4" s="56"/>
      <c r="C4" s="56"/>
      <c r="D4" s="56"/>
      <c r="E4" s="56"/>
      <c r="F4" s="56"/>
      <c r="G4" s="56"/>
      <c r="H4" s="56"/>
      <c r="I4" s="56"/>
      <c r="J4" s="56"/>
      <c r="K4" s="56"/>
    </row>
    <row r="5" spans="1:13" ht="18.75" x14ac:dyDescent="0.3">
      <c r="A5" s="68" t="s">
        <v>18</v>
      </c>
      <c r="B5" s="68"/>
      <c r="C5" s="68"/>
      <c r="D5" s="68"/>
      <c r="E5" s="68"/>
      <c r="F5" s="68"/>
      <c r="G5" s="68"/>
      <c r="H5" s="68"/>
      <c r="I5" s="68"/>
      <c r="J5" s="68"/>
      <c r="K5" s="68"/>
    </row>
    <row r="6" spans="1:13" ht="18.75" x14ac:dyDescent="0.3">
      <c r="A6" s="11" t="s">
        <v>19</v>
      </c>
      <c r="B6" s="11"/>
      <c r="C6" s="64">
        <f>F43</f>
        <v>254687.53618383879</v>
      </c>
      <c r="D6" s="65"/>
      <c r="E6" s="12"/>
      <c r="F6" s="11"/>
      <c r="G6" s="11"/>
      <c r="H6" s="11" t="s">
        <v>20</v>
      </c>
      <c r="I6" s="11"/>
      <c r="J6" s="64">
        <f>I43</f>
        <v>244779.4861838388</v>
      </c>
      <c r="K6" s="65"/>
    </row>
    <row r="7" spans="1:13" x14ac:dyDescent="0.25">
      <c r="A7" s="35" t="s">
        <v>45</v>
      </c>
      <c r="B7" s="13"/>
      <c r="C7" s="13"/>
      <c r="D7" s="13"/>
      <c r="F7" s="72"/>
      <c r="G7" s="72"/>
      <c r="I7" s="73" t="s">
        <v>46</v>
      </c>
      <c r="J7" s="73"/>
      <c r="K7" s="73"/>
    </row>
    <row r="8" spans="1:13" ht="15.75" x14ac:dyDescent="0.25">
      <c r="A8" s="71" t="str">
        <f>new!A6</f>
        <v>Project:- Pasikhel pahiro roktham kaarya</v>
      </c>
      <c r="B8" s="71"/>
      <c r="C8" s="71"/>
      <c r="D8" s="71"/>
      <c r="E8" s="71"/>
      <c r="F8" s="71"/>
      <c r="I8" s="74" t="s">
        <v>65</v>
      </c>
      <c r="J8" s="74"/>
      <c r="K8" s="74"/>
    </row>
    <row r="9" spans="1:13" ht="15.75" x14ac:dyDescent="0.25">
      <c r="A9" s="71" t="str">
        <f>new!A7</f>
        <v>Location:- Shankharapur Municipality 9</v>
      </c>
      <c r="B9" s="71"/>
      <c r="C9" s="71"/>
      <c r="D9" s="71"/>
      <c r="E9" s="71"/>
      <c r="F9" s="71"/>
      <c r="I9" s="74" t="s">
        <v>66</v>
      </c>
      <c r="J9" s="74"/>
      <c r="K9" s="74"/>
    </row>
    <row r="11" spans="1:13" x14ac:dyDescent="0.25">
      <c r="A11" s="69" t="s">
        <v>21</v>
      </c>
      <c r="B11" s="69" t="s">
        <v>22</v>
      </c>
      <c r="C11" s="69" t="s">
        <v>12</v>
      </c>
      <c r="D11" s="75" t="s">
        <v>23</v>
      </c>
      <c r="E11" s="75"/>
      <c r="F11" s="75"/>
      <c r="G11" s="75" t="s">
        <v>24</v>
      </c>
      <c r="H11" s="75"/>
      <c r="I11" s="75"/>
      <c r="J11" s="69" t="s">
        <v>25</v>
      </c>
      <c r="K11" s="70" t="s">
        <v>15</v>
      </c>
    </row>
    <row r="12" spans="1:13" x14ac:dyDescent="0.25">
      <c r="A12" s="69"/>
      <c r="B12" s="69"/>
      <c r="C12" s="69"/>
      <c r="D12" s="14" t="s">
        <v>26</v>
      </c>
      <c r="E12" s="14" t="s">
        <v>13</v>
      </c>
      <c r="F12" s="14" t="s">
        <v>14</v>
      </c>
      <c r="G12" s="14" t="s">
        <v>26</v>
      </c>
      <c r="H12" s="14" t="s">
        <v>13</v>
      </c>
      <c r="I12" s="14" t="s">
        <v>14</v>
      </c>
      <c r="J12" s="69"/>
      <c r="K12" s="70"/>
    </row>
    <row r="13" spans="1:13" s="1" customFormat="1" ht="120" x14ac:dyDescent="0.25">
      <c r="A13" s="36">
        <f>new!A9</f>
        <v>1</v>
      </c>
      <c r="B13" s="42" t="str">
        <f>new!B9</f>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
      <c r="C13" s="15" t="str">
        <f>new!H11</f>
        <v>cum</v>
      </c>
      <c r="D13" s="15">
        <f>new!G11</f>
        <v>1.6</v>
      </c>
      <c r="E13" s="15">
        <f>new!I11</f>
        <v>736.88</v>
      </c>
      <c r="F13" s="15">
        <f>D13*E13</f>
        <v>1179.008</v>
      </c>
      <c r="G13" s="15">
        <f>V!G11</f>
        <v>1.6</v>
      </c>
      <c r="H13" s="15">
        <f>V!I11</f>
        <v>736.88</v>
      </c>
      <c r="I13" s="15">
        <f>G13*H13</f>
        <v>1179.008</v>
      </c>
      <c r="J13" s="37">
        <f>I13-F13</f>
        <v>0</v>
      </c>
      <c r="K13" s="18"/>
      <c r="M13" s="1">
        <f t="shared" ref="M13:M17" si="0">1.25*F13</f>
        <v>1473.76</v>
      </c>
    </row>
    <row r="14" spans="1:13" s="1" customFormat="1" x14ac:dyDescent="0.25">
      <c r="A14" s="36"/>
      <c r="B14" s="42"/>
      <c r="C14" s="15"/>
      <c r="D14" s="15"/>
      <c r="E14" s="15"/>
      <c r="F14" s="15"/>
      <c r="G14" s="15"/>
      <c r="H14" s="15"/>
      <c r="I14" s="15"/>
      <c r="J14" s="37"/>
      <c r="K14" s="18"/>
    </row>
    <row r="15" spans="1:13" s="1" customFormat="1" ht="75" x14ac:dyDescent="0.25">
      <c r="A15" s="36">
        <f>new!A13</f>
        <v>2</v>
      </c>
      <c r="B15" s="42" t="str">
        <f>new!B13</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5" s="15" t="str">
        <f>new!H15</f>
        <v>cum</v>
      </c>
      <c r="D15" s="15">
        <f>new!G15</f>
        <v>10.953215483084426</v>
      </c>
      <c r="E15" s="15">
        <f>new!I15</f>
        <v>64.63</v>
      </c>
      <c r="F15" s="15">
        <f>D15*E15</f>
        <v>707.90631667174637</v>
      </c>
      <c r="G15" s="15">
        <f>V!G15</f>
        <v>10.953215483084426</v>
      </c>
      <c r="H15" s="15">
        <f>V!I15</f>
        <v>64.63</v>
      </c>
      <c r="I15" s="15">
        <f>G15*H15</f>
        <v>707.90631667174637</v>
      </c>
      <c r="J15" s="37">
        <f>I15-F15</f>
        <v>0</v>
      </c>
      <c r="K15" s="18"/>
    </row>
    <row r="16" spans="1:13" s="1" customFormat="1" x14ac:dyDescent="0.25">
      <c r="A16" s="36"/>
      <c r="B16" s="48" t="str">
        <f>new!B16</f>
        <v>VAT 13% for material</v>
      </c>
      <c r="C16" s="15"/>
      <c r="D16" s="15"/>
      <c r="E16" s="15"/>
      <c r="F16" s="15">
        <f>new!J16</f>
        <v>76.274541552372256</v>
      </c>
      <c r="G16" s="15"/>
      <c r="H16" s="15"/>
      <c r="I16" s="15">
        <f>V!J16</f>
        <v>76.274541552372256</v>
      </c>
      <c r="J16" s="37">
        <f>I16-F16</f>
        <v>0</v>
      </c>
      <c r="K16" s="18"/>
    </row>
    <row r="17" spans="1:13" s="1" customFormat="1" x14ac:dyDescent="0.25">
      <c r="A17" s="36"/>
      <c r="B17" s="42"/>
      <c r="C17" s="15"/>
      <c r="D17" s="15"/>
      <c r="E17" s="15"/>
      <c r="F17" s="15"/>
      <c r="G17" s="15"/>
      <c r="H17" s="15"/>
      <c r="I17" s="15"/>
      <c r="J17" s="37"/>
      <c r="K17" s="18"/>
      <c r="M17" s="1">
        <f t="shared" si="0"/>
        <v>0</v>
      </c>
    </row>
    <row r="18" spans="1:13" s="1" customFormat="1" ht="60" x14ac:dyDescent="0.25">
      <c r="A18" s="36">
        <f>new!A18</f>
        <v>3</v>
      </c>
      <c r="B18" s="42" t="str">
        <f>new!B18</f>
        <v>Providing and Laying Reinforced cement concrete NP3 Flush jointed pipe for culverts including fixing with cement mortar 1:2 as per Drawing and Technical Specifications., 450 mm  internal dia.</v>
      </c>
      <c r="C18" s="15" t="str">
        <f>new!H20</f>
        <v>rm</v>
      </c>
      <c r="D18" s="15">
        <f>new!G20</f>
        <v>25</v>
      </c>
      <c r="E18" s="15">
        <f>new!I20</f>
        <v>5144.96</v>
      </c>
      <c r="F18" s="15">
        <f>D18*E18</f>
        <v>128624</v>
      </c>
      <c r="G18" s="15">
        <f>V!G20</f>
        <v>25</v>
      </c>
      <c r="H18" s="15">
        <f>V!I20</f>
        <v>5144.96</v>
      </c>
      <c r="I18" s="15">
        <f>G18*H18</f>
        <v>128624</v>
      </c>
      <c r="J18" s="37">
        <f>I18-F18</f>
        <v>0</v>
      </c>
      <c r="K18" s="18"/>
    </row>
    <row r="19" spans="1:13" s="1" customFormat="1" x14ac:dyDescent="0.25">
      <c r="A19" s="36"/>
      <c r="B19" s="48" t="str">
        <f>new!B21</f>
        <v>VAT 13% for material</v>
      </c>
      <c r="C19" s="15"/>
      <c r="D19" s="15"/>
      <c r="E19" s="15"/>
      <c r="F19" s="15">
        <f>new!J21</f>
        <v>14914.795999999998</v>
      </c>
      <c r="G19" s="15"/>
      <c r="H19" s="15"/>
      <c r="I19" s="15">
        <f>V!J21</f>
        <v>14914.795999999998</v>
      </c>
      <c r="J19" s="37">
        <f>I19-F19</f>
        <v>0</v>
      </c>
      <c r="K19" s="18"/>
    </row>
    <row r="20" spans="1:13" s="1" customFormat="1" x14ac:dyDescent="0.25">
      <c r="A20" s="36"/>
      <c r="B20" s="42"/>
      <c r="C20" s="15"/>
      <c r="D20" s="15"/>
      <c r="E20" s="15"/>
      <c r="F20" s="15"/>
      <c r="G20" s="15"/>
      <c r="H20" s="15"/>
      <c r="I20" s="15"/>
      <c r="J20" s="37"/>
      <c r="K20" s="18"/>
      <c r="M20" s="1">
        <f t="shared" ref="M20" si="1">1.25*F20</f>
        <v>0</v>
      </c>
    </row>
    <row r="21" spans="1:13" s="1" customFormat="1" ht="60" x14ac:dyDescent="0.25">
      <c r="A21" s="36">
        <f>new!A23</f>
        <v>4</v>
      </c>
      <c r="B21" s="42" t="str">
        <f>new!B23</f>
        <v>Providing and Laying Reinforced cement concrete NP3 Flush jointed pipe for culverts including fixing with cement mortar 1:2 as per Drawing and Technical Specifications., 300 mm  internal dia.</v>
      </c>
      <c r="C21" s="15" t="str">
        <f>new!H25</f>
        <v>rm</v>
      </c>
      <c r="D21" s="15">
        <f>new!G25</f>
        <v>2.5</v>
      </c>
      <c r="E21" s="15">
        <f>new!I25</f>
        <v>3697.12</v>
      </c>
      <c r="F21" s="15">
        <f>D21*E21</f>
        <v>9242.7999999999993</v>
      </c>
      <c r="G21" s="15">
        <f>V!G25</f>
        <v>2.5</v>
      </c>
      <c r="H21" s="15">
        <f>V!I25</f>
        <v>3697.12</v>
      </c>
      <c r="I21" s="15">
        <f>G21*H21</f>
        <v>9242.7999999999993</v>
      </c>
      <c r="J21" s="37">
        <f>I21-F21</f>
        <v>0</v>
      </c>
      <c r="K21" s="18"/>
    </row>
    <row r="22" spans="1:13" s="1" customFormat="1" x14ac:dyDescent="0.25">
      <c r="A22" s="36"/>
      <c r="B22" s="48" t="str">
        <f>new!B26</f>
        <v>VAT 13% for material</v>
      </c>
      <c r="C22" s="15"/>
      <c r="D22" s="15"/>
      <c r="E22" s="15"/>
      <c r="F22" s="15">
        <f>new!J26</f>
        <v>1045.5691999999999</v>
      </c>
      <c r="G22" s="15"/>
      <c r="H22" s="15"/>
      <c r="I22" s="15">
        <f>V!J26</f>
        <v>1045.5691999999999</v>
      </c>
      <c r="J22" s="37">
        <f>I22-F22</f>
        <v>0</v>
      </c>
      <c r="K22" s="18"/>
    </row>
    <row r="23" spans="1:13" s="1" customFormat="1" x14ac:dyDescent="0.25">
      <c r="A23" s="36"/>
      <c r="B23" s="42"/>
      <c r="C23" s="15"/>
      <c r="D23" s="15"/>
      <c r="E23" s="15"/>
      <c r="F23" s="15"/>
      <c r="G23" s="15"/>
      <c r="H23" s="15"/>
      <c r="I23" s="15"/>
      <c r="J23" s="37"/>
      <c r="K23" s="18"/>
      <c r="M23" s="1">
        <f t="shared" ref="M23" si="2">1.25*F23</f>
        <v>0</v>
      </c>
    </row>
    <row r="24" spans="1:13" s="1" customFormat="1" ht="75" x14ac:dyDescent="0.25">
      <c r="A24" s="36">
        <f>new!A28</f>
        <v>5</v>
      </c>
      <c r="B24" s="42" t="str">
        <f>new!B28</f>
        <v>Providing and laying  granular sub-base   without compaction on prepared surface, mixing  , complete as per Drawing and Technical Specifications., By Mechanical means</v>
      </c>
      <c r="C24" s="15" t="str">
        <f>new!H31</f>
        <v>cum</v>
      </c>
      <c r="D24" s="15">
        <f>new!G31</f>
        <v>14.005730309680565</v>
      </c>
      <c r="E24" s="15">
        <f>new!I31</f>
        <v>2820.9739130434782</v>
      </c>
      <c r="F24" s="15">
        <f>D24*E24</f>
        <v>39509.799836731232</v>
      </c>
      <c r="G24" s="15">
        <f>V!G31</f>
        <v>14.005730309680565</v>
      </c>
      <c r="H24" s="15">
        <f>V!I31</f>
        <v>2820.9739130434782</v>
      </c>
      <c r="I24" s="15">
        <f>G24*H24</f>
        <v>39509.799836731232</v>
      </c>
      <c r="J24" s="37">
        <f>I24-F24</f>
        <v>0</v>
      </c>
      <c r="K24" s="18"/>
    </row>
    <row r="25" spans="1:13" s="1" customFormat="1" x14ac:dyDescent="0.25">
      <c r="A25" s="36"/>
      <c r="B25" s="48" t="str">
        <f>new!B32</f>
        <v>VAT 13% for material</v>
      </c>
      <c r="C25" s="15"/>
      <c r="D25" s="15"/>
      <c r="E25" s="15"/>
      <c r="F25" s="15">
        <f>new!J32</f>
        <v>5015.5376269202634</v>
      </c>
      <c r="G25" s="15"/>
      <c r="H25" s="15"/>
      <c r="I25" s="15">
        <f>V!J32</f>
        <v>5015.5376269202634</v>
      </c>
      <c r="J25" s="37">
        <f>I25-F25</f>
        <v>0</v>
      </c>
      <c r="K25" s="18"/>
    </row>
    <row r="26" spans="1:13" s="1" customFormat="1" x14ac:dyDescent="0.25">
      <c r="A26" s="36"/>
      <c r="B26" s="42"/>
      <c r="C26" s="15"/>
      <c r="D26" s="15"/>
      <c r="E26" s="15"/>
      <c r="F26" s="15"/>
      <c r="G26" s="15"/>
      <c r="H26" s="15"/>
      <c r="I26" s="15"/>
      <c r="J26" s="37"/>
      <c r="K26" s="18"/>
      <c r="M26" s="1">
        <f t="shared" ref="M26" si="3">1.25*F26</f>
        <v>0</v>
      </c>
    </row>
    <row r="27" spans="1:13" s="1" customFormat="1" ht="30" x14ac:dyDescent="0.2">
      <c r="A27" s="36">
        <f>new!A34</f>
        <v>6</v>
      </c>
      <c r="B27" s="51" t="str">
        <f>new!B34</f>
        <v>e'O{+tNnfdf lrDgL e§fsf] O{+6fsf] uf/f] l;d]G6 d;nf -!M^_ df</v>
      </c>
      <c r="C27" s="15" t="str">
        <f>new!H38</f>
        <v>cum</v>
      </c>
      <c r="D27" s="15">
        <f>new!G38</f>
        <v>0.34024522993981776</v>
      </c>
      <c r="E27" s="15">
        <f>new!I38</f>
        <v>14362.76</v>
      </c>
      <c r="F27" s="15">
        <f>D27*E27</f>
        <v>4886.8605787704173</v>
      </c>
      <c r="G27" s="15">
        <f>V!G38</f>
        <v>0.34024522993981776</v>
      </c>
      <c r="H27" s="15">
        <f>V!I38</f>
        <v>14362.76</v>
      </c>
      <c r="I27" s="15">
        <f>G27*H27</f>
        <v>4886.8605787704173</v>
      </c>
      <c r="J27" s="37">
        <f>I27-F27</f>
        <v>0</v>
      </c>
      <c r="K27" s="18"/>
    </row>
    <row r="28" spans="1:13" s="1" customFormat="1" x14ac:dyDescent="0.25">
      <c r="A28" s="36"/>
      <c r="B28" s="48" t="str">
        <f>new!B39</f>
        <v>VAT 13% for material</v>
      </c>
      <c r="C28" s="15"/>
      <c r="D28" s="15"/>
      <c r="E28" s="15"/>
      <c r="F28" s="15">
        <f>new!J39</f>
        <v>456.10764515935017</v>
      </c>
      <c r="G28" s="15"/>
      <c r="H28" s="15"/>
      <c r="I28" s="15">
        <f>V!J39</f>
        <v>456.10764515935017</v>
      </c>
      <c r="J28" s="37">
        <f>I28-F28</f>
        <v>0</v>
      </c>
      <c r="K28" s="18"/>
    </row>
    <row r="29" spans="1:13" s="1" customFormat="1" x14ac:dyDescent="0.25">
      <c r="A29" s="36"/>
      <c r="B29" s="42"/>
      <c r="C29" s="15"/>
      <c r="D29" s="15"/>
      <c r="E29" s="15"/>
      <c r="F29" s="15"/>
      <c r="G29" s="15"/>
      <c r="H29" s="15"/>
      <c r="I29" s="15"/>
      <c r="J29" s="37"/>
      <c r="K29" s="18"/>
      <c r="M29" s="1">
        <f t="shared" ref="M29" si="4">1.25*F29</f>
        <v>0</v>
      </c>
    </row>
    <row r="30" spans="1:13" s="1" customFormat="1" ht="60" x14ac:dyDescent="0.25">
      <c r="A30" s="36">
        <f>new!A41</f>
        <v>7</v>
      </c>
      <c r="B30" s="42" t="str">
        <f>new!B41</f>
        <v>Providing and laying of Plain/Reinforced Cement Concrete in Foundation complete as per Drawing and Technical Specifications, PCC Grade M 15</v>
      </c>
      <c r="C30" s="15" t="str">
        <f>new!H45</f>
        <v>cum</v>
      </c>
      <c r="D30" s="15">
        <f>new!G45</f>
        <v>8.135138816236237E-2</v>
      </c>
      <c r="E30" s="15">
        <f>new!I45</f>
        <v>11219.5</v>
      </c>
      <c r="F30" s="15">
        <f>D30*E30</f>
        <v>912.72189948762457</v>
      </c>
      <c r="G30" s="15">
        <f>V!G45</f>
        <v>8.135138816236237E-2</v>
      </c>
      <c r="H30" s="15">
        <f>V!I45</f>
        <v>11219.5</v>
      </c>
      <c r="I30" s="15">
        <f>G30*H30</f>
        <v>912.72189948762457</v>
      </c>
      <c r="J30" s="37">
        <f>I30-F30</f>
        <v>0</v>
      </c>
      <c r="K30" s="18"/>
    </row>
    <row r="31" spans="1:13" s="1" customFormat="1" x14ac:dyDescent="0.25">
      <c r="A31" s="36"/>
      <c r="B31" s="48" t="str">
        <f>new!B46</f>
        <v>VAT 13% for material</v>
      </c>
      <c r="C31" s="15"/>
      <c r="D31" s="15"/>
      <c r="E31" s="15"/>
      <c r="F31" s="15">
        <f>new!J46</f>
        <v>85.578476795815121</v>
      </c>
      <c r="G31" s="15"/>
      <c r="H31" s="15"/>
      <c r="I31" s="15">
        <f>V!J46</f>
        <v>85.578476795815121</v>
      </c>
      <c r="J31" s="37">
        <f>I31-F31</f>
        <v>0</v>
      </c>
      <c r="K31" s="18"/>
    </row>
    <row r="32" spans="1:13" s="1" customFormat="1" x14ac:dyDescent="0.25">
      <c r="A32" s="36"/>
      <c r="B32" s="42"/>
      <c r="C32" s="15"/>
      <c r="D32" s="15"/>
      <c r="E32" s="15"/>
      <c r="F32" s="15"/>
      <c r="G32" s="15"/>
      <c r="H32" s="15"/>
      <c r="I32" s="15"/>
      <c r="J32" s="37"/>
      <c r="K32" s="18"/>
      <c r="M32" s="1">
        <f t="shared" ref="M32" si="5">1.25*F32</f>
        <v>0</v>
      </c>
    </row>
    <row r="33" spans="1:13" s="1" customFormat="1" ht="75" x14ac:dyDescent="0.25">
      <c r="A33" s="36">
        <f>new!A48</f>
        <v>8</v>
      </c>
      <c r="B33" s="42" t="str">
        <f>new!B48</f>
        <v>Random Rubble Masonry, Providing and laying of Stone Masonry Work in Cement Mortar 1:6 in Foundation complete as per Drawing and Technical Specifications.</v>
      </c>
      <c r="C33" s="15" t="str">
        <f>new!H50</f>
        <v>cum</v>
      </c>
      <c r="D33" s="15">
        <f>new!G50</f>
        <v>0.23624999999999996</v>
      </c>
      <c r="E33" s="15">
        <f>new!I50</f>
        <v>9709.43</v>
      </c>
      <c r="F33" s="15">
        <f>D33*E33</f>
        <v>2293.8528374999996</v>
      </c>
      <c r="G33" s="15">
        <f>V!G50</f>
        <v>0.23624999999999996</v>
      </c>
      <c r="H33" s="15">
        <f>V!I50</f>
        <v>9709.43</v>
      </c>
      <c r="I33" s="15">
        <f>G33*H33</f>
        <v>2293.8528374999996</v>
      </c>
      <c r="J33" s="37">
        <f>I33-F33</f>
        <v>0</v>
      </c>
      <c r="K33" s="18"/>
    </row>
    <row r="34" spans="1:13" s="1" customFormat="1" x14ac:dyDescent="0.25">
      <c r="A34" s="36"/>
      <c r="B34" s="48" t="str">
        <f>new!B51</f>
        <v>VAT 13% for material</v>
      </c>
      <c r="C34" s="15"/>
      <c r="D34" s="15"/>
      <c r="E34" s="15"/>
      <c r="F34" s="15">
        <f>new!J51</f>
        <v>166.41322424999998</v>
      </c>
      <c r="G34" s="15"/>
      <c r="H34" s="15"/>
      <c r="I34" s="15">
        <f>V!J51</f>
        <v>166.41322424999998</v>
      </c>
      <c r="J34" s="37">
        <f>I34-F34</f>
        <v>0</v>
      </c>
      <c r="K34" s="18"/>
    </row>
    <row r="35" spans="1:13" s="1" customFormat="1" x14ac:dyDescent="0.25">
      <c r="A35" s="36"/>
      <c r="B35" s="42"/>
      <c r="C35" s="15"/>
      <c r="D35" s="15"/>
      <c r="E35" s="15"/>
      <c r="F35" s="15"/>
      <c r="G35" s="15"/>
      <c r="H35" s="15"/>
      <c r="I35" s="15"/>
      <c r="J35" s="37"/>
      <c r="K35" s="18"/>
      <c r="M35" s="1">
        <f t="shared" ref="M35" si="6">1.25*F35</f>
        <v>0</v>
      </c>
    </row>
    <row r="36" spans="1:13" s="1" customFormat="1" ht="30" x14ac:dyDescent="0.25">
      <c r="A36" s="36">
        <f>new!A53</f>
        <v>9</v>
      </c>
      <c r="B36" s="42" t="str">
        <f>new!B53</f>
        <v>Round manhole cover medium 450mm (22")</v>
      </c>
      <c r="C36" s="15" t="str">
        <f>new!H54</f>
        <v>no.</v>
      </c>
      <c r="D36" s="15">
        <f>new!G54</f>
        <v>1</v>
      </c>
      <c r="E36" s="15">
        <f>new!I54</f>
        <v>4487</v>
      </c>
      <c r="F36" s="15">
        <f>D36*E36</f>
        <v>4487</v>
      </c>
      <c r="G36" s="15">
        <f>V!G54</f>
        <v>1</v>
      </c>
      <c r="H36" s="15">
        <f>V!I54</f>
        <v>4487</v>
      </c>
      <c r="I36" s="15">
        <f>G36*H36</f>
        <v>4487</v>
      </c>
      <c r="J36" s="37">
        <f>I36-F36</f>
        <v>0</v>
      </c>
      <c r="K36" s="18"/>
    </row>
    <row r="37" spans="1:13" s="1" customFormat="1" x14ac:dyDescent="0.25">
      <c r="A37" s="36"/>
      <c r="B37" s="48" t="str">
        <f>new!B55</f>
        <v>VAT 13% for material</v>
      </c>
      <c r="C37" s="15"/>
      <c r="D37" s="15"/>
      <c r="E37" s="15"/>
      <c r="F37" s="15">
        <f>new!J55</f>
        <v>583.31000000000006</v>
      </c>
      <c r="G37" s="15"/>
      <c r="H37" s="15"/>
      <c r="I37" s="15">
        <f>V!J55</f>
        <v>583.31000000000006</v>
      </c>
      <c r="J37" s="37">
        <f>I37-F37</f>
        <v>0</v>
      </c>
      <c r="K37" s="18"/>
    </row>
    <row r="38" spans="1:13" s="1" customFormat="1" x14ac:dyDescent="0.25">
      <c r="A38" s="36"/>
      <c r="B38" s="42"/>
      <c r="C38" s="15"/>
      <c r="D38" s="15"/>
      <c r="E38" s="15"/>
      <c r="F38" s="15"/>
      <c r="G38" s="15"/>
      <c r="H38" s="15"/>
      <c r="I38" s="15"/>
      <c r="J38" s="37"/>
      <c r="K38" s="18"/>
      <c r="M38" s="1">
        <f t="shared" ref="M38" si="7">1.25*F38</f>
        <v>0</v>
      </c>
    </row>
    <row r="39" spans="1:13" s="1" customFormat="1" x14ac:dyDescent="0.25">
      <c r="A39" s="36">
        <f>new!A57</f>
        <v>10</v>
      </c>
      <c r="B39" s="42" t="str">
        <f>new!B57</f>
        <v>Provisional sum for unforseen works</v>
      </c>
      <c r="C39" s="15" t="str">
        <f>new!H58</f>
        <v>PS</v>
      </c>
      <c r="D39" s="15">
        <f>new!G58</f>
        <v>1</v>
      </c>
      <c r="E39" s="15">
        <f>new!I58</f>
        <v>40000</v>
      </c>
      <c r="F39" s="15">
        <f>D39*E39</f>
        <v>40000</v>
      </c>
      <c r="G39" s="15">
        <f>V!G58</f>
        <v>1</v>
      </c>
      <c r="H39" s="15">
        <f>V!I58</f>
        <v>30591.95</v>
      </c>
      <c r="I39" s="15">
        <f>G39*H39</f>
        <v>30591.95</v>
      </c>
      <c r="J39" s="37">
        <f>I39-F39</f>
        <v>-9408.0499999999993</v>
      </c>
      <c r="K39" s="18"/>
    </row>
    <row r="40" spans="1:13" s="1" customFormat="1" x14ac:dyDescent="0.25">
      <c r="A40" s="36"/>
      <c r="B40" s="42"/>
      <c r="C40" s="15"/>
      <c r="D40" s="15"/>
      <c r="E40" s="15"/>
      <c r="F40" s="15"/>
      <c r="G40" s="15"/>
      <c r="H40" s="15"/>
      <c r="I40" s="15"/>
      <c r="J40" s="37"/>
      <c r="K40" s="18"/>
      <c r="M40" s="1">
        <f t="shared" ref="M40" si="8">1.25*F40</f>
        <v>0</v>
      </c>
    </row>
    <row r="41" spans="1:13" s="1" customFormat="1" x14ac:dyDescent="0.25">
      <c r="A41" s="42">
        <f>new!A60</f>
        <v>11</v>
      </c>
      <c r="B41" s="42" t="str">
        <f>new!B60</f>
        <v>Information board</v>
      </c>
      <c r="C41" s="15" t="str">
        <f>new!H60</f>
        <v>no.</v>
      </c>
      <c r="D41" s="15">
        <f>new!G60</f>
        <v>1</v>
      </c>
      <c r="E41" s="15">
        <f>new!I60</f>
        <v>500</v>
      </c>
      <c r="F41" s="15">
        <f>D41*E41</f>
        <v>500</v>
      </c>
      <c r="G41" s="15">
        <f>V!G60</f>
        <v>0</v>
      </c>
      <c r="H41" s="15">
        <f>V!I60</f>
        <v>500</v>
      </c>
      <c r="I41" s="15">
        <f>G41*H41</f>
        <v>0</v>
      </c>
      <c r="J41" s="37">
        <f>I41-F41</f>
        <v>-500</v>
      </c>
      <c r="K41" s="18"/>
    </row>
    <row r="42" spans="1:13" s="1" customFormat="1" x14ac:dyDescent="0.25">
      <c r="A42" s="38"/>
      <c r="B42" s="38"/>
      <c r="C42" s="15"/>
      <c r="D42" s="15"/>
      <c r="E42" s="15"/>
      <c r="F42" s="15"/>
      <c r="G42" s="15"/>
      <c r="H42" s="15"/>
      <c r="I42" s="15"/>
      <c r="J42" s="37"/>
      <c r="K42" s="18"/>
    </row>
    <row r="43" spans="1:13" x14ac:dyDescent="0.25">
      <c r="A43" s="4"/>
      <c r="B43" s="5" t="s">
        <v>16</v>
      </c>
      <c r="C43" s="5"/>
      <c r="D43" s="8"/>
      <c r="E43" s="8"/>
      <c r="F43" s="8">
        <f>SUM(F13:F42)</f>
        <v>254687.53618383879</v>
      </c>
      <c r="G43" s="8"/>
      <c r="H43" s="8"/>
      <c r="I43" s="8">
        <f>SUM(I13:I42)</f>
        <v>244779.4861838388</v>
      </c>
      <c r="J43" s="16">
        <f>I43-F43</f>
        <v>-9908.0499999999884</v>
      </c>
      <c r="K43" s="4"/>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Er. Prakash Singh Saud</oddFooter>
  </headerFooter>
  <rowBreaks count="1" manualBreakCount="1">
    <brk id="20"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tabSelected="1" topLeftCell="A49" zoomScaleNormal="100" zoomScaleSheetLayoutView="80" workbookViewId="0">
      <selection activeCell="G32" sqref="G32"/>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s>
  <sheetData>
    <row r="1" spans="1:11" s="1" customFormat="1" x14ac:dyDescent="0.25">
      <c r="A1" s="54" t="s">
        <v>0</v>
      </c>
      <c r="B1" s="54"/>
      <c r="C1" s="54"/>
      <c r="D1" s="54"/>
      <c r="E1" s="54"/>
      <c r="F1" s="54"/>
      <c r="G1" s="54"/>
      <c r="H1" s="54"/>
      <c r="I1" s="54"/>
      <c r="J1" s="54"/>
      <c r="K1" s="54"/>
    </row>
    <row r="2" spans="1:11" s="1" customFormat="1" ht="22.5" x14ac:dyDescent="0.25">
      <c r="A2" s="55" t="s">
        <v>1</v>
      </c>
      <c r="B2" s="55"/>
      <c r="C2" s="55"/>
      <c r="D2" s="55"/>
      <c r="E2" s="55"/>
      <c r="F2" s="55"/>
      <c r="G2" s="55"/>
      <c r="H2" s="55"/>
      <c r="I2" s="55"/>
      <c r="J2" s="55"/>
      <c r="K2" s="55"/>
    </row>
    <row r="3" spans="1:11" s="1" customFormat="1" x14ac:dyDescent="0.25">
      <c r="A3" s="56" t="s">
        <v>2</v>
      </c>
      <c r="B3" s="56"/>
      <c r="C3" s="56"/>
      <c r="D3" s="56"/>
      <c r="E3" s="56"/>
      <c r="F3" s="56"/>
      <c r="G3" s="56"/>
      <c r="H3" s="56"/>
      <c r="I3" s="56"/>
      <c r="J3" s="56"/>
      <c r="K3" s="56"/>
    </row>
    <row r="4" spans="1:11" s="1" customFormat="1" x14ac:dyDescent="0.25">
      <c r="A4" s="56" t="s">
        <v>3</v>
      </c>
      <c r="B4" s="56"/>
      <c r="C4" s="56"/>
      <c r="D4" s="56"/>
      <c r="E4" s="56"/>
      <c r="F4" s="56"/>
      <c r="G4" s="56"/>
      <c r="H4" s="56"/>
      <c r="I4" s="56"/>
      <c r="J4" s="56"/>
      <c r="K4" s="56"/>
    </row>
    <row r="5" spans="1:11" ht="18.75" x14ac:dyDescent="0.3">
      <c r="A5" s="57" t="s">
        <v>44</v>
      </c>
      <c r="B5" s="57"/>
      <c r="C5" s="57"/>
      <c r="D5" s="57"/>
      <c r="E5" s="57"/>
      <c r="F5" s="57"/>
      <c r="G5" s="57"/>
      <c r="H5" s="57"/>
      <c r="I5" s="57"/>
      <c r="J5" s="57"/>
      <c r="K5" s="57"/>
    </row>
    <row r="6" spans="1:11" ht="18.75" x14ac:dyDescent="0.3">
      <c r="A6" s="52" t="str">
        <f>new!A6</f>
        <v>Project:- Pasikhel pahiro roktham kaarya</v>
      </c>
      <c r="B6" s="52"/>
      <c r="C6" s="52"/>
      <c r="D6" s="52"/>
      <c r="E6" s="52"/>
      <c r="F6" s="52"/>
      <c r="G6" s="52"/>
      <c r="H6" s="53" t="s">
        <v>47</v>
      </c>
      <c r="I6" s="53"/>
      <c r="J6" s="53"/>
      <c r="K6" s="53"/>
    </row>
    <row r="7" spans="1:11" ht="15.75" x14ac:dyDescent="0.25">
      <c r="A7" s="60" t="s">
        <v>33</v>
      </c>
      <c r="B7" s="60"/>
      <c r="C7" s="60"/>
      <c r="D7" s="60"/>
      <c r="E7" s="60"/>
      <c r="F7" s="60"/>
      <c r="G7" s="2"/>
      <c r="H7" s="53" t="s">
        <v>48</v>
      </c>
      <c r="I7" s="53"/>
      <c r="J7" s="53"/>
      <c r="K7" s="53"/>
    </row>
    <row r="8" spans="1:11" ht="15" customHeight="1" x14ac:dyDescent="0.25">
      <c r="A8" s="3" t="s">
        <v>5</v>
      </c>
      <c r="B8" s="24" t="s">
        <v>6</v>
      </c>
      <c r="C8" s="3" t="s">
        <v>7</v>
      </c>
      <c r="D8" s="25" t="s">
        <v>8</v>
      </c>
      <c r="E8" s="25" t="s">
        <v>9</v>
      </c>
      <c r="F8" s="25" t="s">
        <v>10</v>
      </c>
      <c r="G8" s="25" t="s">
        <v>11</v>
      </c>
      <c r="H8" s="3" t="s">
        <v>12</v>
      </c>
      <c r="I8" s="25" t="s">
        <v>13</v>
      </c>
      <c r="J8" s="25" t="s">
        <v>14</v>
      </c>
      <c r="K8" s="26" t="s">
        <v>15</v>
      </c>
    </row>
    <row r="9" spans="1:11" ht="150" x14ac:dyDescent="0.25">
      <c r="A9" s="28">
        <v>1</v>
      </c>
      <c r="B9" s="46" t="s">
        <v>62</v>
      </c>
      <c r="C9" s="31"/>
      <c r="D9" s="30"/>
      <c r="E9" s="31"/>
      <c r="F9" s="31"/>
      <c r="G9" s="33"/>
      <c r="H9" s="32"/>
      <c r="I9" s="33"/>
      <c r="J9" s="39"/>
      <c r="K9" s="31"/>
    </row>
    <row r="10" spans="1:11" x14ac:dyDescent="0.25">
      <c r="A10" s="43"/>
      <c r="B10" s="49" t="s">
        <v>41</v>
      </c>
      <c r="C10" s="44">
        <v>1</v>
      </c>
      <c r="D10" s="30">
        <v>20</v>
      </c>
      <c r="E10" s="31">
        <v>0.4</v>
      </c>
      <c r="F10" s="31">
        <v>0.2</v>
      </c>
      <c r="G10" s="40">
        <f>PRODUCT(C10:F10)</f>
        <v>1.6</v>
      </c>
      <c r="H10" s="32"/>
      <c r="I10" s="33"/>
      <c r="J10" s="33"/>
      <c r="K10" s="31"/>
    </row>
    <row r="11" spans="1:11" x14ac:dyDescent="0.25">
      <c r="A11" s="28"/>
      <c r="B11" s="34" t="s">
        <v>38</v>
      </c>
      <c r="C11" s="31"/>
      <c r="D11" s="30"/>
      <c r="E11" s="31"/>
      <c r="F11" s="31"/>
      <c r="G11" s="33">
        <f>SUM(G10:G10)</f>
        <v>1.6</v>
      </c>
      <c r="H11" s="32" t="s">
        <v>34</v>
      </c>
      <c r="I11" s="33">
        <v>736.88</v>
      </c>
      <c r="J11" s="39">
        <f>G11*I11</f>
        <v>1179.008</v>
      </c>
      <c r="K11" s="31"/>
    </row>
    <row r="12" spans="1:11" x14ac:dyDescent="0.25">
      <c r="A12" s="28"/>
      <c r="B12" s="46"/>
      <c r="C12" s="31"/>
      <c r="D12" s="30"/>
      <c r="E12" s="31"/>
      <c r="F12" s="31"/>
      <c r="G12" s="33"/>
      <c r="H12" s="32"/>
      <c r="I12" s="33"/>
      <c r="J12" s="39"/>
      <c r="K12" s="31"/>
    </row>
    <row r="13" spans="1:11" ht="156" customHeight="1" x14ac:dyDescent="0.25">
      <c r="A13" s="28">
        <v>2</v>
      </c>
      <c r="B13" s="46" t="s">
        <v>40</v>
      </c>
      <c r="C13" s="17"/>
      <c r="D13" s="17"/>
      <c r="E13" s="17"/>
      <c r="F13" s="17"/>
      <c r="G13" s="43"/>
      <c r="H13" s="32"/>
      <c r="I13" s="33"/>
      <c r="J13" s="33"/>
      <c r="K13" s="31"/>
    </row>
    <row r="14" spans="1:11" x14ac:dyDescent="0.25">
      <c r="A14" s="43"/>
      <c r="B14" s="49" t="s">
        <v>51</v>
      </c>
      <c r="C14" s="44">
        <v>10</v>
      </c>
      <c r="D14" s="30">
        <v>2.5</v>
      </c>
      <c r="E14" s="31">
        <v>0.75</v>
      </c>
      <c r="F14" s="31">
        <f>23/12/3.281</f>
        <v>0.58417149243116939</v>
      </c>
      <c r="G14" s="40">
        <f>PRODUCT(C14:F14)</f>
        <v>10.953215483084426</v>
      </c>
      <c r="H14" s="32"/>
      <c r="I14" s="33"/>
      <c r="J14" s="33"/>
      <c r="K14" s="31"/>
    </row>
    <row r="15" spans="1:11" x14ac:dyDescent="0.25">
      <c r="A15" s="28"/>
      <c r="B15" s="34" t="s">
        <v>38</v>
      </c>
      <c r="C15" s="31"/>
      <c r="D15" s="30"/>
      <c r="E15" s="31"/>
      <c r="F15" s="31"/>
      <c r="G15" s="33">
        <f>SUM(G14:G14)</f>
        <v>10.953215483084426</v>
      </c>
      <c r="H15" s="32" t="s">
        <v>34</v>
      </c>
      <c r="I15" s="33">
        <v>64.63</v>
      </c>
      <c r="J15" s="39">
        <f>G15*I15</f>
        <v>707.90631667174637</v>
      </c>
      <c r="K15" s="31"/>
    </row>
    <row r="16" spans="1:11" x14ac:dyDescent="0.25">
      <c r="A16" s="28"/>
      <c r="B16" s="34" t="s">
        <v>37</v>
      </c>
      <c r="C16" s="31"/>
      <c r="D16" s="30"/>
      <c r="E16" s="31"/>
      <c r="F16" s="31"/>
      <c r="G16" s="33"/>
      <c r="H16" s="32"/>
      <c r="I16" s="33"/>
      <c r="J16" s="39">
        <f>0.13*G15*19284/360</f>
        <v>76.274541552372256</v>
      </c>
      <c r="K16" s="31"/>
    </row>
    <row r="17" spans="1:13" x14ac:dyDescent="0.25">
      <c r="A17" s="28"/>
      <c r="B17" s="34"/>
      <c r="C17" s="31"/>
      <c r="D17" s="30"/>
      <c r="E17" s="31"/>
      <c r="F17" s="31"/>
      <c r="G17" s="33"/>
      <c r="H17" s="32"/>
      <c r="I17" s="33"/>
      <c r="J17" s="39"/>
      <c r="K17" s="31"/>
    </row>
    <row r="18" spans="1:13" ht="105" x14ac:dyDescent="0.25">
      <c r="A18" s="28">
        <v>3</v>
      </c>
      <c r="B18" s="45" t="s">
        <v>49</v>
      </c>
      <c r="C18" s="29"/>
      <c r="D18" s="30"/>
      <c r="E18" s="31"/>
      <c r="F18" s="31"/>
      <c r="G18" s="33"/>
      <c r="H18" s="32"/>
      <c r="I18" s="33"/>
      <c r="J18" s="50"/>
      <c r="K18" s="31"/>
    </row>
    <row r="19" spans="1:13" x14ac:dyDescent="0.25">
      <c r="A19" s="43"/>
      <c r="B19" s="49" t="s">
        <v>41</v>
      </c>
      <c r="C19" s="44">
        <v>10</v>
      </c>
      <c r="D19" s="30">
        <v>2.5</v>
      </c>
      <c r="E19" s="31"/>
      <c r="F19" s="31"/>
      <c r="G19" s="40">
        <f>PRODUCT(C19:F19)</f>
        <v>25</v>
      </c>
      <c r="H19" s="32"/>
      <c r="I19" s="33"/>
      <c r="J19" s="33"/>
      <c r="K19" s="31"/>
    </row>
    <row r="20" spans="1:13" x14ac:dyDescent="0.25">
      <c r="A20" s="28"/>
      <c r="B20" s="34" t="s">
        <v>38</v>
      </c>
      <c r="C20" s="31"/>
      <c r="D20" s="30"/>
      <c r="E20" s="31"/>
      <c r="F20" s="31"/>
      <c r="G20" s="33">
        <f>SUM(G19:G19)</f>
        <v>25</v>
      </c>
      <c r="H20" s="32" t="s">
        <v>50</v>
      </c>
      <c r="I20" s="33">
        <v>5144.96</v>
      </c>
      <c r="J20" s="39">
        <f>G20*I20</f>
        <v>128624</v>
      </c>
      <c r="K20" s="31"/>
      <c r="M20">
        <f>I20*2.5</f>
        <v>12862.4</v>
      </c>
    </row>
    <row r="21" spans="1:13" x14ac:dyDescent="0.25">
      <c r="A21" s="28"/>
      <c r="B21" s="34" t="s">
        <v>37</v>
      </c>
      <c r="C21" s="31"/>
      <c r="D21" s="30"/>
      <c r="E21" s="31"/>
      <c r="F21" s="31"/>
      <c r="G21" s="33"/>
      <c r="H21" s="32"/>
      <c r="I21" s="33"/>
      <c r="J21" s="39">
        <f>0.13*G20*57364.6/12.5</f>
        <v>14914.795999999998</v>
      </c>
      <c r="K21" s="31"/>
    </row>
    <row r="22" spans="1:13" x14ac:dyDescent="0.25">
      <c r="A22" s="28"/>
      <c r="B22" s="34"/>
      <c r="C22" s="31"/>
      <c r="D22" s="30"/>
      <c r="E22" s="31"/>
      <c r="F22" s="31"/>
      <c r="G22" s="33"/>
      <c r="H22" s="32"/>
      <c r="I22" s="33"/>
      <c r="J22" s="39"/>
      <c r="K22" s="31"/>
    </row>
    <row r="23" spans="1:13" ht="105" x14ac:dyDescent="0.25">
      <c r="A23" s="28">
        <v>4</v>
      </c>
      <c r="B23" s="45" t="s">
        <v>63</v>
      </c>
      <c r="C23" s="29"/>
      <c r="D23" s="30"/>
      <c r="E23" s="31"/>
      <c r="F23" s="31"/>
      <c r="G23" s="33"/>
      <c r="H23" s="32"/>
      <c r="I23" s="33"/>
      <c r="J23" s="50"/>
      <c r="K23" s="31"/>
    </row>
    <row r="24" spans="1:13" x14ac:dyDescent="0.25">
      <c r="A24" s="43"/>
      <c r="B24" s="49" t="s">
        <v>41</v>
      </c>
      <c r="C24" s="44">
        <v>1</v>
      </c>
      <c r="D24" s="30">
        <v>2.5</v>
      </c>
      <c r="E24" s="31"/>
      <c r="F24" s="31"/>
      <c r="G24" s="40">
        <f>PRODUCT(C24:F24)</f>
        <v>2.5</v>
      </c>
      <c r="H24" s="32"/>
      <c r="I24" s="33"/>
      <c r="J24" s="33"/>
      <c r="K24" s="31"/>
    </row>
    <row r="25" spans="1:13" x14ac:dyDescent="0.25">
      <c r="A25" s="28"/>
      <c r="B25" s="34" t="s">
        <v>38</v>
      </c>
      <c r="C25" s="31"/>
      <c r="D25" s="30"/>
      <c r="E25" s="31"/>
      <c r="F25" s="31"/>
      <c r="G25" s="33">
        <f>SUM(G24:G24)</f>
        <v>2.5</v>
      </c>
      <c r="H25" s="32" t="s">
        <v>50</v>
      </c>
      <c r="I25" s="33">
        <v>3697.12</v>
      </c>
      <c r="J25" s="39">
        <f>G25*I25</f>
        <v>9242.7999999999993</v>
      </c>
      <c r="K25" s="31"/>
      <c r="M25">
        <f>I25*2.5</f>
        <v>9242.7999999999993</v>
      </c>
    </row>
    <row r="26" spans="1:13" x14ac:dyDescent="0.25">
      <c r="A26" s="28"/>
      <c r="B26" s="34" t="s">
        <v>37</v>
      </c>
      <c r="C26" s="31"/>
      <c r="D26" s="30"/>
      <c r="E26" s="31"/>
      <c r="F26" s="31"/>
      <c r="G26" s="33"/>
      <c r="H26" s="32"/>
      <c r="I26" s="33"/>
      <c r="J26" s="39">
        <f>0.13*G25*40214.2/12.5</f>
        <v>1045.5691999999999</v>
      </c>
      <c r="K26" s="31"/>
    </row>
    <row r="27" spans="1:13" x14ac:dyDescent="0.25">
      <c r="A27" s="28"/>
      <c r="B27" s="34"/>
      <c r="C27" s="31"/>
      <c r="D27" s="30"/>
      <c r="E27" s="31"/>
      <c r="F27" s="31"/>
      <c r="G27" s="33"/>
      <c r="H27" s="32"/>
      <c r="I27" s="33"/>
      <c r="J27" s="39"/>
      <c r="K27" s="31"/>
    </row>
    <row r="28" spans="1:13" ht="90" customHeight="1" x14ac:dyDescent="0.25">
      <c r="A28" s="28">
        <v>5</v>
      </c>
      <c r="B28" s="45" t="s">
        <v>55</v>
      </c>
      <c r="C28" s="31"/>
      <c r="D28" s="30"/>
      <c r="E28" s="31"/>
      <c r="F28" s="31"/>
      <c r="G28" s="33"/>
      <c r="H28" s="32"/>
      <c r="I28" s="33"/>
      <c r="J28" s="39"/>
      <c r="K28" s="31"/>
    </row>
    <row r="29" spans="1:13" ht="15" customHeight="1" x14ac:dyDescent="0.25">
      <c r="A29" s="43"/>
      <c r="B29" s="49" t="s">
        <v>54</v>
      </c>
      <c r="C29" s="44">
        <v>1</v>
      </c>
      <c r="D29" s="30">
        <f>10*2.5-7.5</f>
        <v>17.5</v>
      </c>
      <c r="E29" s="31">
        <v>2</v>
      </c>
      <c r="F29" s="31">
        <f>1/3.2808</f>
        <v>0.30480370641306997</v>
      </c>
      <c r="G29" s="40">
        <f>PRODUCT(C29:F29)</f>
        <v>10.668129724457449</v>
      </c>
      <c r="H29" s="32"/>
      <c r="I29" s="33"/>
      <c r="J29" s="33"/>
      <c r="K29" s="31"/>
    </row>
    <row r="30" spans="1:13" ht="15" customHeight="1" x14ac:dyDescent="0.25">
      <c r="A30" s="43"/>
      <c r="B30" s="49"/>
      <c r="C30" s="44">
        <v>1</v>
      </c>
      <c r="D30" s="30">
        <v>7.5</v>
      </c>
      <c r="E30" s="31">
        <v>1.46</v>
      </c>
      <c r="F30" s="31">
        <f>1/3.2808</f>
        <v>0.30480370641306997</v>
      </c>
      <c r="G30" s="40">
        <f>PRODUCT(C30:F30)</f>
        <v>3.3376005852231159</v>
      </c>
      <c r="H30" s="32"/>
      <c r="I30" s="33"/>
      <c r="J30" s="33"/>
      <c r="K30" s="31"/>
    </row>
    <row r="31" spans="1:13" x14ac:dyDescent="0.25">
      <c r="A31" s="28"/>
      <c r="B31" s="34" t="s">
        <v>38</v>
      </c>
      <c r="C31" s="31"/>
      <c r="D31" s="30"/>
      <c r="E31" s="31"/>
      <c r="F31" s="31"/>
      <c r="G31" s="33">
        <f>SUM(G29:G30)</f>
        <v>14.005730309680565</v>
      </c>
      <c r="H31" s="32" t="s">
        <v>34</v>
      </c>
      <c r="I31" s="33">
        <f>3244.12/1.15</f>
        <v>2820.9739130434782</v>
      </c>
      <c r="J31" s="39">
        <f>G31*I31</f>
        <v>39509.799836731232</v>
      </c>
      <c r="K31" s="31"/>
    </row>
    <row r="32" spans="1:13" x14ac:dyDescent="0.25">
      <c r="A32" s="28"/>
      <c r="B32" s="34" t="s">
        <v>37</v>
      </c>
      <c r="C32" s="31"/>
      <c r="D32" s="30"/>
      <c r="E32" s="31"/>
      <c r="F32" s="31"/>
      <c r="G32" s="33"/>
      <c r="H32" s="32"/>
      <c r="I32" s="33"/>
      <c r="J32" s="39">
        <f>0.13*G31*826398.72/300</f>
        <v>5015.5376269202634</v>
      </c>
      <c r="K32" s="31"/>
    </row>
    <row r="33" spans="1:11" x14ac:dyDescent="0.25">
      <c r="A33" s="28"/>
      <c r="B33" s="34"/>
      <c r="C33" s="31"/>
      <c r="D33" s="30"/>
      <c r="E33" s="31"/>
      <c r="F33" s="31"/>
      <c r="G33" s="33"/>
      <c r="H33" s="32"/>
      <c r="I33" s="33"/>
      <c r="J33" s="39"/>
      <c r="K33" s="31"/>
    </row>
    <row r="34" spans="1:11" ht="30.75" x14ac:dyDescent="0.25">
      <c r="A34" s="28">
        <v>6</v>
      </c>
      <c r="B34" s="51" t="s">
        <v>52</v>
      </c>
      <c r="C34" s="31"/>
      <c r="D34" s="30"/>
      <c r="E34" s="31"/>
      <c r="F34" s="31"/>
      <c r="G34" s="33"/>
      <c r="H34" s="32"/>
      <c r="I34" s="33" t="s">
        <v>56</v>
      </c>
      <c r="J34" s="39"/>
      <c r="K34" s="31"/>
    </row>
    <row r="35" spans="1:11" x14ac:dyDescent="0.25">
      <c r="A35" s="43"/>
      <c r="B35" s="49" t="s">
        <v>53</v>
      </c>
      <c r="C35" s="44">
        <v>1</v>
      </c>
      <c r="D35" s="30">
        <f>1.03+1.03+(1-0.23*2)*2</f>
        <v>3.14</v>
      </c>
      <c r="E35" s="31">
        <v>0.23</v>
      </c>
      <c r="F35" s="31">
        <v>0.6</v>
      </c>
      <c r="G35" s="40">
        <f>PRODUCT(C35:F35)</f>
        <v>0.43332000000000004</v>
      </c>
      <c r="H35" s="32"/>
      <c r="I35" s="33"/>
      <c r="J35" s="33"/>
      <c r="K35" s="31"/>
    </row>
    <row r="36" spans="1:11" x14ac:dyDescent="0.25">
      <c r="A36" s="43"/>
      <c r="B36" s="49" t="s">
        <v>58</v>
      </c>
      <c r="C36" s="44">
        <v>-1</v>
      </c>
      <c r="D36" s="30">
        <f>(0.3+5/12/3.281)</f>
        <v>0.42699380270242815</v>
      </c>
      <c r="E36" s="4">
        <v>0.23</v>
      </c>
      <c r="F36" s="31">
        <f>PI()</f>
        <v>3.1415926535897931</v>
      </c>
      <c r="G36" s="40">
        <f>C36*(F36*(D36*D36)/4)*E36</f>
        <v>-3.2935242161652237E-2</v>
      </c>
      <c r="H36" s="32"/>
      <c r="I36" s="33"/>
      <c r="J36" s="33"/>
      <c r="K36" s="31"/>
    </row>
    <row r="37" spans="1:11" x14ac:dyDescent="0.25">
      <c r="A37" s="43"/>
      <c r="B37" s="49"/>
      <c r="C37" s="44">
        <v>-1</v>
      </c>
      <c r="D37" s="30">
        <f>(0.45+5/12/3.281)</f>
        <v>0.57699380270242817</v>
      </c>
      <c r="E37" s="4">
        <v>0.23</v>
      </c>
      <c r="F37" s="31">
        <f>PI()</f>
        <v>3.1415926535897931</v>
      </c>
      <c r="G37" s="40">
        <f>C37*(F37*(D37*D37)/4)*E37</f>
        <v>-6.0139527898530026E-2</v>
      </c>
      <c r="H37" s="32"/>
      <c r="I37" s="33"/>
      <c r="J37" s="33"/>
      <c r="K37" s="31"/>
    </row>
    <row r="38" spans="1:11" x14ac:dyDescent="0.25">
      <c r="A38" s="28"/>
      <c r="B38" s="34" t="s">
        <v>38</v>
      </c>
      <c r="C38" s="31"/>
      <c r="D38" s="30" t="s">
        <v>56</v>
      </c>
      <c r="E38" s="4"/>
      <c r="F38" s="31"/>
      <c r="G38" s="33">
        <f>SUM(G35:G37)</f>
        <v>0.34024522993981776</v>
      </c>
      <c r="H38" s="32" t="s">
        <v>34</v>
      </c>
      <c r="I38" s="33">
        <v>14362.76</v>
      </c>
      <c r="J38" s="39">
        <f>G38*I38</f>
        <v>4886.8605787704173</v>
      </c>
      <c r="K38" s="31"/>
    </row>
    <row r="39" spans="1:11" x14ac:dyDescent="0.25">
      <c r="A39" s="28"/>
      <c r="B39" s="34" t="s">
        <v>37</v>
      </c>
      <c r="C39" s="31"/>
      <c r="D39" s="30"/>
      <c r="E39" s="31"/>
      <c r="F39" s="31"/>
      <c r="G39" s="33"/>
      <c r="H39" s="32"/>
      <c r="I39" s="33"/>
      <c r="J39" s="39">
        <f>0.13*G38*10311.74</f>
        <v>456.10764515935017</v>
      </c>
      <c r="K39" s="31"/>
    </row>
    <row r="40" spans="1:11" x14ac:dyDescent="0.25">
      <c r="A40" s="28"/>
      <c r="B40" s="34"/>
      <c r="C40" s="31"/>
      <c r="D40" s="30"/>
      <c r="E40" s="31"/>
      <c r="F40" s="31"/>
      <c r="G40" s="33"/>
      <c r="H40" s="32"/>
      <c r="I40" s="33"/>
      <c r="J40" s="39"/>
      <c r="K40" s="31"/>
    </row>
    <row r="41" spans="1:11" s="1" customFormat="1" ht="77.25" customHeight="1" x14ac:dyDescent="0.25">
      <c r="A41" s="28">
        <v>7</v>
      </c>
      <c r="B41" s="45" t="s">
        <v>39</v>
      </c>
      <c r="C41" s="31"/>
      <c r="D41" s="30"/>
      <c r="E41" s="31"/>
      <c r="F41" s="31"/>
      <c r="G41" s="33"/>
      <c r="H41" s="32"/>
      <c r="I41" s="33"/>
      <c r="J41" s="39"/>
      <c r="K41" s="31"/>
    </row>
    <row r="42" spans="1:11" x14ac:dyDescent="0.25">
      <c r="A42" s="43"/>
      <c r="B42" s="49" t="s">
        <v>53</v>
      </c>
      <c r="C42" s="44">
        <v>1</v>
      </c>
      <c r="D42" s="30">
        <f>1.03</f>
        <v>1.03</v>
      </c>
      <c r="E42" s="31">
        <v>1</v>
      </c>
      <c r="F42" s="31">
        <f>1.5/12/3.281</f>
        <v>3.8098140810728431E-2</v>
      </c>
      <c r="G42" s="40">
        <f>PRODUCT(C42:F42)</f>
        <v>3.9241085035050284E-2</v>
      </c>
      <c r="H42" s="32"/>
      <c r="I42" s="33"/>
      <c r="J42" s="33"/>
      <c r="K42" s="31"/>
    </row>
    <row r="43" spans="1:11" x14ac:dyDescent="0.25">
      <c r="A43" s="43"/>
      <c r="B43" s="49" t="s">
        <v>58</v>
      </c>
      <c r="C43" s="44">
        <v>-1</v>
      </c>
      <c r="D43" s="30">
        <f>(23/12/3.281)</f>
        <v>0.58417149243116939</v>
      </c>
      <c r="E43" s="31">
        <f>PI()</f>
        <v>3.1415926535897931</v>
      </c>
      <c r="F43" s="31">
        <f>1.5/12/3.281</f>
        <v>3.8098140810728431E-2</v>
      </c>
      <c r="G43" s="40">
        <f>C43*(E43*(D43*D43)/4)*F43</f>
        <v>-1.021114358608829E-2</v>
      </c>
      <c r="H43" s="32"/>
      <c r="I43" s="33"/>
      <c r="J43" s="33"/>
      <c r="K43" s="31"/>
    </row>
    <row r="44" spans="1:11" x14ac:dyDescent="0.25">
      <c r="A44" s="43"/>
      <c r="B44" s="49"/>
      <c r="C44" s="44">
        <v>1</v>
      </c>
      <c r="D44" s="30">
        <f>1.03</f>
        <v>1.03</v>
      </c>
      <c r="E44" s="31">
        <v>1</v>
      </c>
      <c r="F44" s="31">
        <f>2/12/3.281</f>
        <v>5.0797521080971242E-2</v>
      </c>
      <c r="G44" s="40">
        <f>PRODUCT(C44:F44)</f>
        <v>5.2321446713400381E-2</v>
      </c>
      <c r="H44" s="32"/>
      <c r="I44" s="33"/>
      <c r="J44" s="33"/>
      <c r="K44" s="31"/>
    </row>
    <row r="45" spans="1:11" x14ac:dyDescent="0.25">
      <c r="A45" s="28"/>
      <c r="B45" s="34" t="s">
        <v>38</v>
      </c>
      <c r="C45" s="31"/>
      <c r="D45" s="30" t="s">
        <v>56</v>
      </c>
      <c r="E45" s="31"/>
      <c r="F45" s="31"/>
      <c r="G45" s="33">
        <f>SUM(G42:G44)</f>
        <v>8.135138816236237E-2</v>
      </c>
      <c r="H45" s="32" t="s">
        <v>34</v>
      </c>
      <c r="I45" s="33">
        <v>11219.5</v>
      </c>
      <c r="J45" s="39">
        <f>G45*I45</f>
        <v>912.72189948762457</v>
      </c>
      <c r="K45" s="31"/>
    </row>
    <row r="46" spans="1:11" x14ac:dyDescent="0.25">
      <c r="A46" s="28"/>
      <c r="B46" s="34" t="s">
        <v>37</v>
      </c>
      <c r="C46" s="31"/>
      <c r="D46" s="30"/>
      <c r="E46" s="31"/>
      <c r="F46" s="31"/>
      <c r="G46" s="33"/>
      <c r="H46" s="32"/>
      <c r="I46" s="33"/>
      <c r="J46" s="39">
        <f>0.13*G45*(114907.3+6472.8)/15</f>
        <v>85.578476795815121</v>
      </c>
      <c r="K46" s="31"/>
    </row>
    <row r="47" spans="1:11" x14ac:dyDescent="0.25">
      <c r="A47" s="28"/>
      <c r="B47" s="34"/>
      <c r="C47" s="31"/>
      <c r="D47" s="30"/>
      <c r="E47" s="31"/>
      <c r="F47" s="31"/>
      <c r="G47" s="33"/>
      <c r="H47" s="32"/>
      <c r="I47" s="33"/>
      <c r="J47" s="39"/>
      <c r="K47" s="31"/>
    </row>
    <row r="48" spans="1:11" s="1" customFormat="1" ht="90" customHeight="1" x14ac:dyDescent="0.25">
      <c r="A48" s="28">
        <v>8</v>
      </c>
      <c r="B48" s="45" t="s">
        <v>60</v>
      </c>
      <c r="C48" s="31"/>
      <c r="D48" s="30"/>
      <c r="E48" s="31"/>
      <c r="F48" s="31"/>
      <c r="G48" s="33"/>
      <c r="H48" s="32"/>
      <c r="I48" s="33"/>
      <c r="J48" s="39"/>
      <c r="K48" s="31"/>
    </row>
    <row r="49" spans="1:11" ht="15" customHeight="1" x14ac:dyDescent="0.25">
      <c r="A49" s="28"/>
      <c r="B49" s="47" t="s">
        <v>59</v>
      </c>
      <c r="C49" s="31">
        <v>1</v>
      </c>
      <c r="D49" s="30">
        <v>1.5</v>
      </c>
      <c r="E49" s="31">
        <v>0.35</v>
      </c>
      <c r="F49" s="31">
        <v>0.45</v>
      </c>
      <c r="G49" s="40">
        <f>PRODUCT(C49:F49)</f>
        <v>0.23624999999999996</v>
      </c>
      <c r="H49" s="32"/>
      <c r="I49" s="33"/>
      <c r="J49" s="39"/>
      <c r="K49" s="31"/>
    </row>
    <row r="50" spans="1:11" ht="15" customHeight="1" x14ac:dyDescent="0.25">
      <c r="A50" s="28"/>
      <c r="B50" s="34" t="s">
        <v>38</v>
      </c>
      <c r="C50" s="31"/>
      <c r="D50" s="30" t="s">
        <v>56</v>
      </c>
      <c r="E50" s="31"/>
      <c r="F50" s="31"/>
      <c r="G50" s="33">
        <f>SUM(G49)</f>
        <v>0.23624999999999996</v>
      </c>
      <c r="H50" s="32" t="s">
        <v>34</v>
      </c>
      <c r="I50" s="33">
        <v>9709.43</v>
      </c>
      <c r="J50" s="39">
        <f>G50*I50</f>
        <v>2293.8528374999996</v>
      </c>
      <c r="K50" s="31"/>
    </row>
    <row r="51" spans="1:11" x14ac:dyDescent="0.25">
      <c r="A51" s="28"/>
      <c r="B51" s="34" t="s">
        <v>37</v>
      </c>
      <c r="C51" s="31"/>
      <c r="D51" s="30"/>
      <c r="E51" s="31"/>
      <c r="F51" s="31"/>
      <c r="G51" s="33"/>
      <c r="H51" s="32"/>
      <c r="I51" s="33"/>
      <c r="J51" s="39">
        <f>0.13*G50*27092.1/5</f>
        <v>166.41322424999998</v>
      </c>
      <c r="K51" s="31"/>
    </row>
    <row r="52" spans="1:11" x14ac:dyDescent="0.25">
      <c r="A52" s="28"/>
      <c r="B52" s="34"/>
      <c r="C52" s="31"/>
      <c r="D52" s="30"/>
      <c r="E52" s="31"/>
      <c r="F52" s="31"/>
      <c r="G52" s="33"/>
      <c r="H52" s="32"/>
      <c r="I52" s="33"/>
      <c r="J52" s="39"/>
      <c r="K52" s="31"/>
    </row>
    <row r="53" spans="1:11" ht="30" x14ac:dyDescent="0.25">
      <c r="A53" s="28">
        <v>9</v>
      </c>
      <c r="B53" s="46" t="s">
        <v>57</v>
      </c>
      <c r="C53" s="31">
        <v>1</v>
      </c>
      <c r="D53" s="30"/>
      <c r="E53" s="31"/>
      <c r="F53" s="31"/>
      <c r="G53" s="40">
        <f>PRODUCT(C53:F53)</f>
        <v>1</v>
      </c>
      <c r="H53" s="32"/>
      <c r="I53" s="33"/>
      <c r="J53" s="39"/>
      <c r="K53" s="31"/>
    </row>
    <row r="54" spans="1:11" x14ac:dyDescent="0.25">
      <c r="A54" s="28"/>
      <c r="B54" s="34" t="s">
        <v>38</v>
      </c>
      <c r="C54" s="31"/>
      <c r="D54" s="30"/>
      <c r="E54" s="31"/>
      <c r="F54" s="31"/>
      <c r="G54" s="33">
        <f>SUM(G53:G53)</f>
        <v>1</v>
      </c>
      <c r="H54" s="32" t="s">
        <v>36</v>
      </c>
      <c r="I54" s="33">
        <v>4487</v>
      </c>
      <c r="J54" s="39">
        <f>G54*I54</f>
        <v>4487</v>
      </c>
      <c r="K54" s="31"/>
    </row>
    <row r="55" spans="1:11" x14ac:dyDescent="0.25">
      <c r="A55" s="28"/>
      <c r="B55" s="34" t="s">
        <v>37</v>
      </c>
      <c r="C55" s="31"/>
      <c r="D55" s="30"/>
      <c r="E55" s="31"/>
      <c r="F55" s="31"/>
      <c r="G55" s="33"/>
      <c r="H55" s="32"/>
      <c r="I55" s="33"/>
      <c r="J55" s="39">
        <f>0.13*J54</f>
        <v>583.31000000000006</v>
      </c>
      <c r="K55" s="31"/>
    </row>
    <row r="56" spans="1:11" x14ac:dyDescent="0.25">
      <c r="A56" s="28"/>
      <c r="B56" s="34"/>
      <c r="C56" s="31"/>
      <c r="D56" s="30"/>
      <c r="E56" s="31"/>
      <c r="F56" s="31"/>
      <c r="G56" s="33"/>
      <c r="H56" s="32"/>
      <c r="I56" s="33"/>
      <c r="J56" s="39"/>
      <c r="K56" s="31"/>
    </row>
    <row r="57" spans="1:11" ht="30" x14ac:dyDescent="0.25">
      <c r="A57" s="28">
        <v>10</v>
      </c>
      <c r="B57" s="46" t="s">
        <v>64</v>
      </c>
      <c r="C57" s="31">
        <v>1</v>
      </c>
      <c r="D57" s="30"/>
      <c r="E57" s="31"/>
      <c r="F57" s="31"/>
      <c r="G57" s="40">
        <f>PRODUCT(C57:F57)</f>
        <v>1</v>
      </c>
      <c r="H57" s="32"/>
      <c r="I57" s="33"/>
      <c r="J57" s="39"/>
      <c r="K57" s="31"/>
    </row>
    <row r="58" spans="1:11" x14ac:dyDescent="0.25">
      <c r="A58" s="28"/>
      <c r="B58" s="34" t="s">
        <v>38</v>
      </c>
      <c r="C58" s="31"/>
      <c r="D58" s="30"/>
      <c r="E58" s="31"/>
      <c r="F58" s="31"/>
      <c r="G58" s="33">
        <f>SUM(G57:G57)</f>
        <v>1</v>
      </c>
      <c r="H58" s="32" t="s">
        <v>61</v>
      </c>
      <c r="I58" s="33">
        <f>28689.95+309+177*9</f>
        <v>30591.95</v>
      </c>
      <c r="J58" s="39">
        <f>G58*I58</f>
        <v>30591.95</v>
      </c>
      <c r="K58" s="31"/>
    </row>
    <row r="59" spans="1:11" x14ac:dyDescent="0.25">
      <c r="A59" s="28"/>
      <c r="B59" s="34"/>
      <c r="C59" s="31"/>
      <c r="D59" s="30"/>
      <c r="E59" s="31"/>
      <c r="F59" s="31"/>
      <c r="G59" s="33"/>
      <c r="H59" s="32"/>
      <c r="I59" s="33"/>
      <c r="J59" s="39"/>
      <c r="K59" s="31"/>
    </row>
    <row r="60" spans="1:11" x14ac:dyDescent="0.25">
      <c r="A60" s="28">
        <v>11</v>
      </c>
      <c r="B60" s="41" t="s">
        <v>35</v>
      </c>
      <c r="C60" s="29">
        <v>0</v>
      </c>
      <c r="D60" s="30"/>
      <c r="E60" s="31"/>
      <c r="F60" s="31"/>
      <c r="G60" s="39">
        <f>PRODUCT(C60:F60)</f>
        <v>0</v>
      </c>
      <c r="H60" s="32" t="s">
        <v>36</v>
      </c>
      <c r="I60" s="33">
        <v>500</v>
      </c>
      <c r="J60" s="8">
        <f>G60*I60</f>
        <v>0</v>
      </c>
      <c r="K60" s="31"/>
    </row>
    <row r="61" spans="1:11" x14ac:dyDescent="0.25">
      <c r="A61" s="10"/>
      <c r="B61" s="27"/>
      <c r="C61" s="9"/>
      <c r="D61" s="7"/>
      <c r="E61" s="7"/>
      <c r="F61" s="7"/>
      <c r="G61" s="8"/>
      <c r="H61" s="8"/>
      <c r="I61" s="8"/>
      <c r="J61" s="8"/>
      <c r="K61" s="4"/>
    </row>
    <row r="62" spans="1:11" x14ac:dyDescent="0.25">
      <c r="A62" s="10"/>
      <c r="B62" s="27" t="s">
        <v>17</v>
      </c>
      <c r="C62" s="9"/>
      <c r="D62" s="7"/>
      <c r="E62" s="7"/>
      <c r="F62" s="7"/>
      <c r="G62" s="8"/>
      <c r="H62" s="8"/>
      <c r="I62" s="8"/>
      <c r="J62" s="8">
        <f>SUM(J18:J61)</f>
        <v>242816.29732561469</v>
      </c>
      <c r="K62" s="4"/>
    </row>
    <row r="64" spans="1:11" s="1" customFormat="1" x14ac:dyDescent="0.25">
      <c r="B64" s="17" t="s">
        <v>43</v>
      </c>
      <c r="C64" s="58">
        <f>J62</f>
        <v>242816.29732561469</v>
      </c>
      <c r="D64" s="59"/>
      <c r="E64" s="15">
        <v>100</v>
      </c>
      <c r="F64" s="19"/>
      <c r="G64" s="20"/>
      <c r="H64" s="19"/>
      <c r="I64" s="21"/>
      <c r="J64" s="22"/>
      <c r="K64" s="23"/>
    </row>
    <row r="65" spans="2:5" x14ac:dyDescent="0.25">
      <c r="B65" s="17" t="s">
        <v>27</v>
      </c>
      <c r="C65" s="61">
        <v>150000</v>
      </c>
      <c r="D65" s="62"/>
      <c r="E65" s="15"/>
    </row>
    <row r="66" spans="2:5" x14ac:dyDescent="0.25">
      <c r="B66" s="17" t="s">
        <v>28</v>
      </c>
      <c r="C66" s="61">
        <f>84.58%*C64</f>
        <v>205374.02427800492</v>
      </c>
      <c r="D66" s="62"/>
      <c r="E66" s="15">
        <f>C66/C64*100</f>
        <v>84.58</v>
      </c>
    </row>
    <row r="67" spans="2:5" x14ac:dyDescent="0.25">
      <c r="B67" s="17" t="s">
        <v>29</v>
      </c>
      <c r="C67" s="63">
        <f>C64-C66</f>
        <v>37442.273047609779</v>
      </c>
      <c r="D67" s="63"/>
      <c r="E67" s="15">
        <f>100-E66</f>
        <v>15.420000000000002</v>
      </c>
    </row>
    <row r="68" spans="2:5" x14ac:dyDescent="0.25">
      <c r="B68" s="17" t="s">
        <v>30</v>
      </c>
      <c r="C68" s="58">
        <f>C65*0.03</f>
        <v>4500</v>
      </c>
      <c r="D68" s="59"/>
      <c r="E68" s="15">
        <v>3</v>
      </c>
    </row>
    <row r="69" spans="2:5" x14ac:dyDescent="0.25">
      <c r="B69" s="17" t="s">
        <v>31</v>
      </c>
      <c r="C69" s="58">
        <f>C65*0.02</f>
        <v>3000</v>
      </c>
      <c r="D69" s="59"/>
      <c r="E69" s="15">
        <v>2</v>
      </c>
    </row>
  </sheetData>
  <mergeCells count="15">
    <mergeCell ref="A6:G6"/>
    <mergeCell ref="H6:K6"/>
    <mergeCell ref="A1:K1"/>
    <mergeCell ref="A2:K2"/>
    <mergeCell ref="A3:K3"/>
    <mergeCell ref="A4:K4"/>
    <mergeCell ref="A5:K5"/>
    <mergeCell ref="C68:D68"/>
    <mergeCell ref="C69:D69"/>
    <mergeCell ref="A7:F7"/>
    <mergeCell ref="H7:K7"/>
    <mergeCell ref="C64:D64"/>
    <mergeCell ref="C65:D65"/>
    <mergeCell ref="C66:D66"/>
    <mergeCell ref="C67:D67"/>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topLeftCell="A47" zoomScaleNormal="100" zoomScaleSheetLayoutView="80" workbookViewId="0">
      <selection activeCell="N7" sqref="N7"/>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hidden="1" customWidth="1"/>
    <col min="10" max="10" width="10.5703125" style="6" hidden="1" customWidth="1"/>
    <col min="11" max="11" width="9.85546875" bestFit="1" customWidth="1"/>
  </cols>
  <sheetData>
    <row r="1" spans="1:11" s="1" customFormat="1" x14ac:dyDescent="0.25">
      <c r="A1" s="54" t="s">
        <v>0</v>
      </c>
      <c r="B1" s="54"/>
      <c r="C1" s="54"/>
      <c r="D1" s="54"/>
      <c r="E1" s="54"/>
      <c r="F1" s="54"/>
      <c r="G1" s="54"/>
      <c r="H1" s="54"/>
      <c r="I1" s="54"/>
      <c r="J1" s="54"/>
      <c r="K1" s="54"/>
    </row>
    <row r="2" spans="1:11" s="1" customFormat="1" ht="22.5" x14ac:dyDescent="0.25">
      <c r="A2" s="55" t="s">
        <v>1</v>
      </c>
      <c r="B2" s="55"/>
      <c r="C2" s="55"/>
      <c r="D2" s="55"/>
      <c r="E2" s="55"/>
      <c r="F2" s="55"/>
      <c r="G2" s="55"/>
      <c r="H2" s="55"/>
      <c r="I2" s="55"/>
      <c r="J2" s="55"/>
      <c r="K2" s="55"/>
    </row>
    <row r="3" spans="1:11" s="1" customFormat="1" x14ac:dyDescent="0.25">
      <c r="A3" s="56" t="s">
        <v>2</v>
      </c>
      <c r="B3" s="56"/>
      <c r="C3" s="56"/>
      <c r="D3" s="56"/>
      <c r="E3" s="56"/>
      <c r="F3" s="56"/>
      <c r="G3" s="56"/>
      <c r="H3" s="56"/>
      <c r="I3" s="56"/>
      <c r="J3" s="56"/>
      <c r="K3" s="56"/>
    </row>
    <row r="4" spans="1:11" s="1" customFormat="1" x14ac:dyDescent="0.25">
      <c r="A4" s="56" t="s">
        <v>3</v>
      </c>
      <c r="B4" s="56"/>
      <c r="C4" s="56"/>
      <c r="D4" s="56"/>
      <c r="E4" s="56"/>
      <c r="F4" s="56"/>
      <c r="G4" s="56"/>
      <c r="H4" s="56"/>
      <c r="I4" s="56"/>
      <c r="J4" s="56"/>
      <c r="K4" s="56"/>
    </row>
    <row r="5" spans="1:11" ht="18.75" x14ac:dyDescent="0.3">
      <c r="A5" s="57" t="s">
        <v>42</v>
      </c>
      <c r="B5" s="57"/>
      <c r="C5" s="57"/>
      <c r="D5" s="57"/>
      <c r="E5" s="57"/>
      <c r="F5" s="57"/>
      <c r="G5" s="57"/>
      <c r="H5" s="57"/>
      <c r="I5" s="57"/>
      <c r="J5" s="57"/>
      <c r="K5" s="57"/>
    </row>
    <row r="6" spans="1:11" ht="18.75" x14ac:dyDescent="0.3">
      <c r="A6" s="52" t="str">
        <f>new!A6</f>
        <v>Project:- Pasikhel pahiro roktham kaarya</v>
      </c>
      <c r="B6" s="52"/>
      <c r="C6" s="52"/>
      <c r="D6" s="52"/>
      <c r="E6" s="52"/>
      <c r="F6" s="52"/>
      <c r="G6" s="52"/>
      <c r="H6" s="76" t="s">
        <v>47</v>
      </c>
      <c r="I6" s="76"/>
      <c r="J6" s="76"/>
      <c r="K6" s="76"/>
    </row>
    <row r="7" spans="1:11" ht="15.75" x14ac:dyDescent="0.25">
      <c r="A7" s="60" t="s">
        <v>33</v>
      </c>
      <c r="B7" s="60"/>
      <c r="C7" s="60"/>
      <c r="D7" s="60"/>
      <c r="E7" s="60"/>
      <c r="F7" s="60"/>
      <c r="G7" s="2"/>
      <c r="H7" s="76" t="s">
        <v>48</v>
      </c>
      <c r="I7" s="76"/>
      <c r="J7" s="76"/>
      <c r="K7" s="76"/>
    </row>
    <row r="8" spans="1:11" ht="15" customHeight="1" x14ac:dyDescent="0.25">
      <c r="A8" s="3" t="s">
        <v>5</v>
      </c>
      <c r="B8" s="24" t="s">
        <v>6</v>
      </c>
      <c r="C8" s="3" t="s">
        <v>7</v>
      </c>
      <c r="D8" s="25" t="s">
        <v>8</v>
      </c>
      <c r="E8" s="25" t="s">
        <v>9</v>
      </c>
      <c r="F8" s="25" t="s">
        <v>10</v>
      </c>
      <c r="G8" s="25" t="s">
        <v>11</v>
      </c>
      <c r="H8" s="3" t="s">
        <v>12</v>
      </c>
      <c r="I8" s="25" t="s">
        <v>13</v>
      </c>
      <c r="J8" s="25" t="s">
        <v>14</v>
      </c>
      <c r="K8" s="26" t="s">
        <v>15</v>
      </c>
    </row>
    <row r="9" spans="1:11" ht="150" x14ac:dyDescent="0.25">
      <c r="A9" s="28">
        <v>1</v>
      </c>
      <c r="B9" s="46" t="s">
        <v>62</v>
      </c>
      <c r="C9" s="31"/>
      <c r="D9" s="30"/>
      <c r="E9" s="31"/>
      <c r="F9" s="31"/>
      <c r="G9" s="33"/>
      <c r="H9" s="32"/>
      <c r="I9" s="33"/>
      <c r="J9" s="39"/>
      <c r="K9" s="31"/>
    </row>
    <row r="10" spans="1:11" x14ac:dyDescent="0.25">
      <c r="A10" s="43"/>
      <c r="B10" s="49" t="s">
        <v>41</v>
      </c>
      <c r="C10" s="44">
        <v>1</v>
      </c>
      <c r="D10" s="30">
        <v>20</v>
      </c>
      <c r="E10" s="31">
        <v>0.4</v>
      </c>
      <c r="F10" s="31">
        <v>0.2</v>
      </c>
      <c r="G10" s="40">
        <f>PRODUCT(C10:F10)</f>
        <v>1.6</v>
      </c>
      <c r="H10" s="32"/>
      <c r="I10" s="33"/>
      <c r="J10" s="33"/>
      <c r="K10" s="31"/>
    </row>
    <row r="11" spans="1:11" x14ac:dyDescent="0.25">
      <c r="A11" s="28"/>
      <c r="B11" s="34" t="s">
        <v>38</v>
      </c>
      <c r="C11" s="31"/>
      <c r="D11" s="30"/>
      <c r="E11" s="31"/>
      <c r="F11" s="31"/>
      <c r="G11" s="33">
        <f>SUM(G10:G10)</f>
        <v>1.6</v>
      </c>
      <c r="H11" s="32" t="s">
        <v>34</v>
      </c>
      <c r="I11" s="33">
        <v>736.88</v>
      </c>
      <c r="J11" s="39">
        <f>G11*I11</f>
        <v>1179.008</v>
      </c>
      <c r="K11" s="31"/>
    </row>
    <row r="12" spans="1:11" x14ac:dyDescent="0.25">
      <c r="A12" s="28"/>
      <c r="B12" s="46"/>
      <c r="C12" s="31"/>
      <c r="D12" s="30"/>
      <c r="E12" s="31"/>
      <c r="F12" s="31"/>
      <c r="G12" s="33"/>
      <c r="H12" s="32"/>
      <c r="I12" s="33"/>
      <c r="J12" s="39"/>
      <c r="K12" s="31"/>
    </row>
    <row r="13" spans="1:11" ht="156" customHeight="1" x14ac:dyDescent="0.25">
      <c r="A13" s="28">
        <v>2</v>
      </c>
      <c r="B13" s="46" t="s">
        <v>40</v>
      </c>
      <c r="C13" s="17"/>
      <c r="D13" s="17"/>
      <c r="E13" s="17"/>
      <c r="F13" s="17"/>
      <c r="G13" s="43"/>
      <c r="H13" s="32"/>
      <c r="I13" s="33"/>
      <c r="J13" s="33"/>
      <c r="K13" s="31"/>
    </row>
    <row r="14" spans="1:11" x14ac:dyDescent="0.25">
      <c r="A14" s="43"/>
      <c r="B14" s="49" t="s">
        <v>51</v>
      </c>
      <c r="C14" s="44">
        <v>10</v>
      </c>
      <c r="D14" s="30">
        <v>2.5</v>
      </c>
      <c r="E14" s="31">
        <v>0.75</v>
      </c>
      <c r="F14" s="31">
        <f>23/12/3.281</f>
        <v>0.58417149243116939</v>
      </c>
      <c r="G14" s="40">
        <f>PRODUCT(C14:F14)</f>
        <v>10.953215483084426</v>
      </c>
      <c r="H14" s="32"/>
      <c r="I14" s="33"/>
      <c r="J14" s="33"/>
      <c r="K14" s="31"/>
    </row>
    <row r="15" spans="1:11" x14ac:dyDescent="0.25">
      <c r="A15" s="28"/>
      <c r="B15" s="34" t="s">
        <v>38</v>
      </c>
      <c r="C15" s="31"/>
      <c r="D15" s="30"/>
      <c r="E15" s="31"/>
      <c r="F15" s="31"/>
      <c r="G15" s="33">
        <f>SUM(G14:G14)</f>
        <v>10.953215483084426</v>
      </c>
      <c r="H15" s="32" t="s">
        <v>34</v>
      </c>
      <c r="I15" s="33">
        <v>64.63</v>
      </c>
      <c r="J15" s="39">
        <f>G15*I15</f>
        <v>707.90631667174637</v>
      </c>
      <c r="K15" s="31"/>
    </row>
    <row r="16" spans="1:11" hidden="1" x14ac:dyDescent="0.25">
      <c r="A16" s="28"/>
      <c r="B16" s="34" t="s">
        <v>37</v>
      </c>
      <c r="C16" s="31"/>
      <c r="D16" s="30"/>
      <c r="E16" s="31"/>
      <c r="F16" s="31"/>
      <c r="G16" s="33"/>
      <c r="H16" s="32"/>
      <c r="I16" s="33"/>
      <c r="J16" s="39">
        <f>0.13*G15*19284/360</f>
        <v>76.274541552372256</v>
      </c>
      <c r="K16" s="31"/>
    </row>
    <row r="17" spans="1:13" x14ac:dyDescent="0.25">
      <c r="A17" s="28"/>
      <c r="B17" s="34"/>
      <c r="C17" s="31"/>
      <c r="D17" s="30"/>
      <c r="E17" s="31"/>
      <c r="F17" s="31"/>
      <c r="G17" s="33"/>
      <c r="H17" s="32"/>
      <c r="I17" s="33"/>
      <c r="J17" s="39"/>
      <c r="K17" s="31"/>
    </row>
    <row r="18" spans="1:13" ht="105" x14ac:dyDescent="0.25">
      <c r="A18" s="28">
        <v>3</v>
      </c>
      <c r="B18" s="45" t="s">
        <v>49</v>
      </c>
      <c r="C18" s="29"/>
      <c r="D18" s="30"/>
      <c r="E18" s="31"/>
      <c r="F18" s="31"/>
      <c r="G18" s="33"/>
      <c r="H18" s="32"/>
      <c r="I18" s="33"/>
      <c r="J18" s="50"/>
      <c r="K18" s="31"/>
    </row>
    <row r="19" spans="1:13" x14ac:dyDescent="0.25">
      <c r="A19" s="43"/>
      <c r="B19" s="49" t="s">
        <v>41</v>
      </c>
      <c r="C19" s="44">
        <v>10</v>
      </c>
      <c r="D19" s="30">
        <v>2.5</v>
      </c>
      <c r="E19" s="31"/>
      <c r="F19" s="31"/>
      <c r="G19" s="40">
        <f>PRODUCT(C19:F19)</f>
        <v>25</v>
      </c>
      <c r="H19" s="32"/>
      <c r="I19" s="33"/>
      <c r="J19" s="33"/>
      <c r="K19" s="31"/>
    </row>
    <row r="20" spans="1:13" x14ac:dyDescent="0.25">
      <c r="A20" s="28"/>
      <c r="B20" s="34" t="s">
        <v>38</v>
      </c>
      <c r="C20" s="31"/>
      <c r="D20" s="30"/>
      <c r="E20" s="31"/>
      <c r="F20" s="31"/>
      <c r="G20" s="33">
        <f>SUM(G19:G19)</f>
        <v>25</v>
      </c>
      <c r="H20" s="32" t="s">
        <v>50</v>
      </c>
      <c r="I20" s="33">
        <v>5144.96</v>
      </c>
      <c r="J20" s="39">
        <f>G20*I20</f>
        <v>128624</v>
      </c>
      <c r="K20" s="31"/>
      <c r="M20">
        <f>I20*2.5</f>
        <v>12862.4</v>
      </c>
    </row>
    <row r="21" spans="1:13" hidden="1" x14ac:dyDescent="0.25">
      <c r="A21" s="28"/>
      <c r="B21" s="34" t="s">
        <v>37</v>
      </c>
      <c r="C21" s="31"/>
      <c r="D21" s="30"/>
      <c r="E21" s="31"/>
      <c r="F21" s="31"/>
      <c r="G21" s="33"/>
      <c r="H21" s="32"/>
      <c r="I21" s="33"/>
      <c r="J21" s="39">
        <f>0.13*G20*57364.6/12.5</f>
        <v>14914.795999999998</v>
      </c>
      <c r="K21" s="31"/>
    </row>
    <row r="22" spans="1:13" x14ac:dyDescent="0.25">
      <c r="A22" s="28"/>
      <c r="B22" s="34"/>
      <c r="C22" s="31"/>
      <c r="D22" s="30"/>
      <c r="E22" s="31"/>
      <c r="F22" s="31"/>
      <c r="G22" s="33"/>
      <c r="H22" s="32"/>
      <c r="I22" s="33"/>
      <c r="J22" s="39"/>
      <c r="K22" s="31"/>
    </row>
    <row r="23" spans="1:13" ht="105" x14ac:dyDescent="0.25">
      <c r="A23" s="28">
        <v>4</v>
      </c>
      <c r="B23" s="45" t="s">
        <v>63</v>
      </c>
      <c r="C23" s="29"/>
      <c r="D23" s="30"/>
      <c r="E23" s="31"/>
      <c r="F23" s="31"/>
      <c r="G23" s="33"/>
      <c r="H23" s="32"/>
      <c r="I23" s="33"/>
      <c r="J23" s="50"/>
      <c r="K23" s="31"/>
    </row>
    <row r="24" spans="1:13" x14ac:dyDescent="0.25">
      <c r="A24" s="43"/>
      <c r="B24" s="49" t="s">
        <v>41</v>
      </c>
      <c r="C24" s="44">
        <v>1</v>
      </c>
      <c r="D24" s="30">
        <v>2.5</v>
      </c>
      <c r="E24" s="31"/>
      <c r="F24" s="31"/>
      <c r="G24" s="40">
        <f>PRODUCT(C24:F24)</f>
        <v>2.5</v>
      </c>
      <c r="H24" s="32"/>
      <c r="I24" s="33"/>
      <c r="J24" s="33"/>
      <c r="K24" s="31"/>
    </row>
    <row r="25" spans="1:13" x14ac:dyDescent="0.25">
      <c r="A25" s="28"/>
      <c r="B25" s="34" t="s">
        <v>38</v>
      </c>
      <c r="C25" s="31"/>
      <c r="D25" s="30"/>
      <c r="E25" s="31"/>
      <c r="F25" s="31"/>
      <c r="G25" s="33">
        <f>SUM(G24:G24)</f>
        <v>2.5</v>
      </c>
      <c r="H25" s="32" t="s">
        <v>50</v>
      </c>
      <c r="I25" s="33">
        <v>3697.12</v>
      </c>
      <c r="J25" s="39">
        <f>G25*I25</f>
        <v>9242.7999999999993</v>
      </c>
      <c r="K25" s="31"/>
      <c r="M25">
        <f>I25*2.5</f>
        <v>9242.7999999999993</v>
      </c>
    </row>
    <row r="26" spans="1:13" hidden="1" x14ac:dyDescent="0.25">
      <c r="A26" s="28"/>
      <c r="B26" s="34" t="s">
        <v>37</v>
      </c>
      <c r="C26" s="31"/>
      <c r="D26" s="30"/>
      <c r="E26" s="31"/>
      <c r="F26" s="31"/>
      <c r="G26" s="33"/>
      <c r="H26" s="32"/>
      <c r="I26" s="33"/>
      <c r="J26" s="39">
        <f>0.13*G25*40214.2/12.5</f>
        <v>1045.5691999999999</v>
      </c>
      <c r="K26" s="31"/>
    </row>
    <row r="27" spans="1:13" x14ac:dyDescent="0.25">
      <c r="A27" s="28"/>
      <c r="B27" s="34"/>
      <c r="C27" s="31"/>
      <c r="D27" s="30"/>
      <c r="E27" s="31"/>
      <c r="F27" s="31"/>
      <c r="G27" s="33"/>
      <c r="H27" s="32"/>
      <c r="I27" s="33"/>
      <c r="J27" s="39"/>
      <c r="K27" s="31"/>
    </row>
    <row r="28" spans="1:13" ht="90" customHeight="1" x14ac:dyDescent="0.25">
      <c r="A28" s="28">
        <v>5</v>
      </c>
      <c r="B28" s="45" t="s">
        <v>55</v>
      </c>
      <c r="C28" s="31"/>
      <c r="D28" s="30"/>
      <c r="E28" s="31"/>
      <c r="F28" s="31"/>
      <c r="G28" s="33"/>
      <c r="H28" s="32"/>
      <c r="I28" s="33"/>
      <c r="J28" s="39"/>
      <c r="K28" s="31"/>
    </row>
    <row r="29" spans="1:13" ht="15" customHeight="1" x14ac:dyDescent="0.25">
      <c r="A29" s="43"/>
      <c r="B29" s="49" t="s">
        <v>54</v>
      </c>
      <c r="C29" s="44">
        <v>1</v>
      </c>
      <c r="D29" s="30">
        <f>10*2.5-7.5</f>
        <v>17.5</v>
      </c>
      <c r="E29" s="31">
        <v>2</v>
      </c>
      <c r="F29" s="31">
        <f>1/3.2808</f>
        <v>0.30480370641306997</v>
      </c>
      <c r="G29" s="40">
        <f>PRODUCT(C29:F29)</f>
        <v>10.668129724457449</v>
      </c>
      <c r="H29" s="32"/>
      <c r="I29" s="33"/>
      <c r="J29" s="33"/>
      <c r="K29" s="31"/>
    </row>
    <row r="30" spans="1:13" ht="15" customHeight="1" x14ac:dyDescent="0.25">
      <c r="A30" s="43"/>
      <c r="B30" s="49"/>
      <c r="C30" s="44">
        <v>1</v>
      </c>
      <c r="D30" s="30">
        <v>7.5</v>
      </c>
      <c r="E30" s="31">
        <v>1.46</v>
      </c>
      <c r="F30" s="31">
        <f>1/3.2808</f>
        <v>0.30480370641306997</v>
      </c>
      <c r="G30" s="40">
        <f>PRODUCT(C30:F30)</f>
        <v>3.3376005852231159</v>
      </c>
      <c r="H30" s="32"/>
      <c r="I30" s="33"/>
      <c r="J30" s="33"/>
      <c r="K30" s="31"/>
    </row>
    <row r="31" spans="1:13" x14ac:dyDescent="0.25">
      <c r="A31" s="28"/>
      <c r="B31" s="34" t="s">
        <v>38</v>
      </c>
      <c r="C31" s="31"/>
      <c r="D31" s="30"/>
      <c r="E31" s="31"/>
      <c r="F31" s="31"/>
      <c r="G31" s="33">
        <f>SUM(G29:G30)</f>
        <v>14.005730309680565</v>
      </c>
      <c r="H31" s="32" t="s">
        <v>34</v>
      </c>
      <c r="I31" s="33">
        <f>3244.12/1.15</f>
        <v>2820.9739130434782</v>
      </c>
      <c r="J31" s="39">
        <f>G31*I31</f>
        <v>39509.799836731232</v>
      </c>
      <c r="K31" s="31"/>
    </row>
    <row r="32" spans="1:13" hidden="1" x14ac:dyDescent="0.25">
      <c r="A32" s="28"/>
      <c r="B32" s="34" t="s">
        <v>37</v>
      </c>
      <c r="C32" s="31"/>
      <c r="D32" s="30"/>
      <c r="E32" s="31"/>
      <c r="F32" s="31"/>
      <c r="G32" s="33"/>
      <c r="H32" s="32"/>
      <c r="I32" s="33"/>
      <c r="J32" s="39">
        <f>0.13*G31*826398.72/300</f>
        <v>5015.5376269202634</v>
      </c>
      <c r="K32" s="31"/>
    </row>
    <row r="33" spans="1:11" x14ac:dyDescent="0.25">
      <c r="A33" s="28"/>
      <c r="B33" s="34"/>
      <c r="C33" s="31"/>
      <c r="D33" s="30"/>
      <c r="E33" s="31"/>
      <c r="F33" s="31"/>
      <c r="G33" s="33"/>
      <c r="H33" s="32"/>
      <c r="I33" s="33"/>
      <c r="J33" s="39"/>
      <c r="K33" s="31"/>
    </row>
    <row r="34" spans="1:11" ht="30.75" x14ac:dyDescent="0.25">
      <c r="A34" s="28">
        <v>6</v>
      </c>
      <c r="B34" s="51" t="s">
        <v>52</v>
      </c>
      <c r="C34" s="31"/>
      <c r="D34" s="30"/>
      <c r="E34" s="31"/>
      <c r="F34" s="31"/>
      <c r="G34" s="33"/>
      <c r="H34" s="32"/>
      <c r="I34" s="33" t="s">
        <v>56</v>
      </c>
      <c r="J34" s="39"/>
      <c r="K34" s="31"/>
    </row>
    <row r="35" spans="1:11" x14ac:dyDescent="0.25">
      <c r="A35" s="43"/>
      <c r="B35" s="49" t="s">
        <v>53</v>
      </c>
      <c r="C35" s="44">
        <v>1</v>
      </c>
      <c r="D35" s="30">
        <f>1.03+1.03+(1-0.23*2)*2</f>
        <v>3.14</v>
      </c>
      <c r="E35" s="31">
        <v>0.23</v>
      </c>
      <c r="F35" s="31">
        <v>0.6</v>
      </c>
      <c r="G35" s="40">
        <f>PRODUCT(C35:F35)</f>
        <v>0.43332000000000004</v>
      </c>
      <c r="H35" s="32"/>
      <c r="I35" s="33"/>
      <c r="J35" s="33"/>
      <c r="K35" s="31"/>
    </row>
    <row r="36" spans="1:11" x14ac:dyDescent="0.25">
      <c r="A36" s="43"/>
      <c r="B36" s="49" t="s">
        <v>58</v>
      </c>
      <c r="C36" s="44">
        <v>-1</v>
      </c>
      <c r="D36" s="30">
        <f>(0.3+5/12/3.281)</f>
        <v>0.42699380270242815</v>
      </c>
      <c r="E36" s="4">
        <v>0.23</v>
      </c>
      <c r="F36" s="31">
        <f>PI()</f>
        <v>3.1415926535897931</v>
      </c>
      <c r="G36" s="40">
        <f>C36*(F36*(D36*D36)/4)*E36</f>
        <v>-3.2935242161652237E-2</v>
      </c>
      <c r="H36" s="32"/>
      <c r="I36" s="33"/>
      <c r="J36" s="33"/>
      <c r="K36" s="31"/>
    </row>
    <row r="37" spans="1:11" x14ac:dyDescent="0.25">
      <c r="A37" s="43"/>
      <c r="B37" s="49"/>
      <c r="C37" s="44">
        <v>-1</v>
      </c>
      <c r="D37" s="30">
        <f>(0.45+5/12/3.281)</f>
        <v>0.57699380270242817</v>
      </c>
      <c r="E37" s="4">
        <v>0.23</v>
      </c>
      <c r="F37" s="31">
        <f>PI()</f>
        <v>3.1415926535897931</v>
      </c>
      <c r="G37" s="40">
        <f>C37*(F37*(D37*D37)/4)*E37</f>
        <v>-6.0139527898530026E-2</v>
      </c>
      <c r="H37" s="32"/>
      <c r="I37" s="33"/>
      <c r="J37" s="33"/>
      <c r="K37" s="31"/>
    </row>
    <row r="38" spans="1:11" x14ac:dyDescent="0.25">
      <c r="A38" s="28"/>
      <c r="B38" s="34" t="s">
        <v>38</v>
      </c>
      <c r="C38" s="31"/>
      <c r="D38" s="30" t="s">
        <v>56</v>
      </c>
      <c r="E38" s="4"/>
      <c r="F38" s="31"/>
      <c r="G38" s="33">
        <f>SUM(G35:G37)</f>
        <v>0.34024522993981776</v>
      </c>
      <c r="H38" s="32" t="s">
        <v>34</v>
      </c>
      <c r="I38" s="33">
        <v>14362.76</v>
      </c>
      <c r="J38" s="39">
        <f>G38*I38</f>
        <v>4886.8605787704173</v>
      </c>
      <c r="K38" s="31"/>
    </row>
    <row r="39" spans="1:11" hidden="1" x14ac:dyDescent="0.25">
      <c r="A39" s="28"/>
      <c r="B39" s="34" t="s">
        <v>37</v>
      </c>
      <c r="C39" s="31"/>
      <c r="D39" s="30"/>
      <c r="E39" s="31"/>
      <c r="F39" s="31"/>
      <c r="G39" s="33"/>
      <c r="H39" s="32"/>
      <c r="I39" s="33"/>
      <c r="J39" s="39">
        <f>0.13*G38*10311.74</f>
        <v>456.10764515935017</v>
      </c>
      <c r="K39" s="31"/>
    </row>
    <row r="40" spans="1:11" x14ac:dyDescent="0.25">
      <c r="A40" s="28"/>
      <c r="B40" s="34"/>
      <c r="C40" s="31"/>
      <c r="D40" s="30"/>
      <c r="E40" s="31"/>
      <c r="F40" s="31"/>
      <c r="G40" s="33"/>
      <c r="H40" s="32"/>
      <c r="I40" s="33"/>
      <c r="J40" s="39"/>
      <c r="K40" s="31"/>
    </row>
    <row r="41" spans="1:11" s="1" customFormat="1" ht="77.25" customHeight="1" x14ac:dyDescent="0.25">
      <c r="A41" s="28">
        <v>7</v>
      </c>
      <c r="B41" s="45" t="s">
        <v>39</v>
      </c>
      <c r="C41" s="31"/>
      <c r="D41" s="30"/>
      <c r="E41" s="31"/>
      <c r="F41" s="31"/>
      <c r="G41" s="33"/>
      <c r="H41" s="32"/>
      <c r="I41" s="33"/>
      <c r="J41" s="39"/>
      <c r="K41" s="31"/>
    </row>
    <row r="42" spans="1:11" x14ac:dyDescent="0.25">
      <c r="A42" s="43"/>
      <c r="B42" s="49" t="s">
        <v>53</v>
      </c>
      <c r="C42" s="44">
        <v>1</v>
      </c>
      <c r="D42" s="30">
        <f>1.03</f>
        <v>1.03</v>
      </c>
      <c r="E42" s="31">
        <v>1</v>
      </c>
      <c r="F42" s="31">
        <f>1.5/12/3.281</f>
        <v>3.8098140810728431E-2</v>
      </c>
      <c r="G42" s="40">
        <f>PRODUCT(C42:F42)</f>
        <v>3.9241085035050284E-2</v>
      </c>
      <c r="H42" s="32"/>
      <c r="I42" s="33"/>
      <c r="J42" s="33"/>
      <c r="K42" s="31"/>
    </row>
    <row r="43" spans="1:11" x14ac:dyDescent="0.25">
      <c r="A43" s="43"/>
      <c r="B43" s="49" t="s">
        <v>58</v>
      </c>
      <c r="C43" s="44">
        <v>-1</v>
      </c>
      <c r="D43" s="30">
        <f>(23/12/3.281)</f>
        <v>0.58417149243116939</v>
      </c>
      <c r="E43" s="31">
        <f>PI()</f>
        <v>3.1415926535897931</v>
      </c>
      <c r="F43" s="31">
        <f>1.5/12/3.281</f>
        <v>3.8098140810728431E-2</v>
      </c>
      <c r="G43" s="40">
        <f>C43*(E43*(D43*D43)/4)*F43</f>
        <v>-1.021114358608829E-2</v>
      </c>
      <c r="H43" s="32"/>
      <c r="I43" s="33"/>
      <c r="J43" s="33"/>
      <c r="K43" s="31"/>
    </row>
    <row r="44" spans="1:11" x14ac:dyDescent="0.25">
      <c r="A44" s="43"/>
      <c r="B44" s="49"/>
      <c r="C44" s="44">
        <v>1</v>
      </c>
      <c r="D44" s="30">
        <f>1.03</f>
        <v>1.03</v>
      </c>
      <c r="E44" s="31">
        <v>1</v>
      </c>
      <c r="F44" s="31">
        <f>2/12/3.281</f>
        <v>5.0797521080971242E-2</v>
      </c>
      <c r="G44" s="40">
        <f>PRODUCT(C44:F44)</f>
        <v>5.2321446713400381E-2</v>
      </c>
      <c r="H44" s="32"/>
      <c r="I44" s="33"/>
      <c r="J44" s="33"/>
      <c r="K44" s="31"/>
    </row>
    <row r="45" spans="1:11" x14ac:dyDescent="0.25">
      <c r="A45" s="28"/>
      <c r="B45" s="34" t="s">
        <v>38</v>
      </c>
      <c r="C45" s="31"/>
      <c r="D45" s="30" t="s">
        <v>56</v>
      </c>
      <c r="E45" s="31"/>
      <c r="F45" s="31"/>
      <c r="G45" s="33">
        <f>SUM(G42:G44)</f>
        <v>8.135138816236237E-2</v>
      </c>
      <c r="H45" s="32" t="s">
        <v>34</v>
      </c>
      <c r="I45" s="33">
        <v>11219.5</v>
      </c>
      <c r="J45" s="39">
        <f>G45*I45</f>
        <v>912.72189948762457</v>
      </c>
      <c r="K45" s="31"/>
    </row>
    <row r="46" spans="1:11" hidden="1" x14ac:dyDescent="0.25">
      <c r="A46" s="28"/>
      <c r="B46" s="34" t="s">
        <v>37</v>
      </c>
      <c r="C46" s="31"/>
      <c r="D46" s="30"/>
      <c r="E46" s="31"/>
      <c r="F46" s="31"/>
      <c r="G46" s="33"/>
      <c r="H46" s="32"/>
      <c r="I46" s="33"/>
      <c r="J46" s="39">
        <f>0.13*G45*(114907.3+6472.8)/15</f>
        <v>85.578476795815121</v>
      </c>
      <c r="K46" s="31"/>
    </row>
    <row r="47" spans="1:11" x14ac:dyDescent="0.25">
      <c r="A47" s="28"/>
      <c r="B47" s="34"/>
      <c r="C47" s="31"/>
      <c r="D47" s="30"/>
      <c r="E47" s="31"/>
      <c r="F47" s="31"/>
      <c r="G47" s="33"/>
      <c r="H47" s="32"/>
      <c r="I47" s="33"/>
      <c r="J47" s="39"/>
      <c r="K47" s="31"/>
    </row>
    <row r="48" spans="1:11" s="1" customFormat="1" ht="90" customHeight="1" x14ac:dyDescent="0.25">
      <c r="A48" s="28">
        <v>8</v>
      </c>
      <c r="B48" s="45" t="s">
        <v>60</v>
      </c>
      <c r="C48" s="31"/>
      <c r="D48" s="30"/>
      <c r="E48" s="31"/>
      <c r="F48" s="31"/>
      <c r="G48" s="33"/>
      <c r="H48" s="32"/>
      <c r="I48" s="33"/>
      <c r="J48" s="39"/>
      <c r="K48" s="31"/>
    </row>
    <row r="49" spans="1:11" ht="15" customHeight="1" x14ac:dyDescent="0.25">
      <c r="A49" s="28"/>
      <c r="B49" s="47" t="s">
        <v>59</v>
      </c>
      <c r="C49" s="31">
        <v>1</v>
      </c>
      <c r="D49" s="30">
        <v>1.5</v>
      </c>
      <c r="E49" s="31">
        <v>0.35</v>
      </c>
      <c r="F49" s="31">
        <v>0.45</v>
      </c>
      <c r="G49" s="40">
        <f>PRODUCT(C49:F49)</f>
        <v>0.23624999999999996</v>
      </c>
      <c r="H49" s="32"/>
      <c r="I49" s="33"/>
      <c r="J49" s="39"/>
      <c r="K49" s="31"/>
    </row>
    <row r="50" spans="1:11" ht="15" customHeight="1" x14ac:dyDescent="0.25">
      <c r="A50" s="28"/>
      <c r="B50" s="34" t="s">
        <v>38</v>
      </c>
      <c r="C50" s="31"/>
      <c r="D50" s="30" t="s">
        <v>56</v>
      </c>
      <c r="E50" s="31"/>
      <c r="F50" s="31"/>
      <c r="G50" s="33">
        <f>SUM(G49)</f>
        <v>0.23624999999999996</v>
      </c>
      <c r="H50" s="32" t="s">
        <v>34</v>
      </c>
      <c r="I50" s="33">
        <v>9709.43</v>
      </c>
      <c r="J50" s="39">
        <f>G50*I50</f>
        <v>2293.8528374999996</v>
      </c>
      <c r="K50" s="31"/>
    </row>
    <row r="51" spans="1:11" hidden="1" x14ac:dyDescent="0.25">
      <c r="A51" s="28"/>
      <c r="B51" s="34" t="s">
        <v>37</v>
      </c>
      <c r="C51" s="31"/>
      <c r="D51" s="30"/>
      <c r="E51" s="31"/>
      <c r="F51" s="31"/>
      <c r="G51" s="33"/>
      <c r="H51" s="32"/>
      <c r="I51" s="33"/>
      <c r="J51" s="39">
        <f>0.13*G50*27092.1/5</f>
        <v>166.41322424999998</v>
      </c>
      <c r="K51" s="31"/>
    </row>
    <row r="52" spans="1:11" x14ac:dyDescent="0.25">
      <c r="A52" s="28"/>
      <c r="B52" s="34"/>
      <c r="C52" s="31"/>
      <c r="D52" s="30"/>
      <c r="E52" s="31"/>
      <c r="F52" s="31"/>
      <c r="G52" s="33"/>
      <c r="H52" s="32"/>
      <c r="I52" s="33"/>
      <c r="J52" s="39"/>
      <c r="K52" s="31"/>
    </row>
    <row r="53" spans="1:11" ht="30" x14ac:dyDescent="0.25">
      <c r="A53" s="28">
        <v>9</v>
      </c>
      <c r="B53" s="46" t="s">
        <v>57</v>
      </c>
      <c r="C53" s="31">
        <v>1</v>
      </c>
      <c r="D53" s="30"/>
      <c r="E53" s="31"/>
      <c r="F53" s="31"/>
      <c r="G53" s="40">
        <f>PRODUCT(C53:F53)</f>
        <v>1</v>
      </c>
      <c r="H53" s="32"/>
      <c r="I53" s="33"/>
      <c r="J53" s="39"/>
      <c r="K53" s="31"/>
    </row>
    <row r="54" spans="1:11" x14ac:dyDescent="0.25">
      <c r="A54" s="28"/>
      <c r="B54" s="34" t="s">
        <v>38</v>
      </c>
      <c r="C54" s="31"/>
      <c r="D54" s="30"/>
      <c r="E54" s="31"/>
      <c r="F54" s="31"/>
      <c r="G54" s="33">
        <f>SUM(G53:G53)</f>
        <v>1</v>
      </c>
      <c r="H54" s="32" t="s">
        <v>36</v>
      </c>
      <c r="I54" s="33">
        <v>4487</v>
      </c>
      <c r="J54" s="39">
        <f>G54*I54</f>
        <v>4487</v>
      </c>
      <c r="K54" s="31"/>
    </row>
    <row r="55" spans="1:11" hidden="1" x14ac:dyDescent="0.25">
      <c r="A55" s="28"/>
      <c r="B55" s="34" t="s">
        <v>37</v>
      </c>
      <c r="C55" s="31"/>
      <c r="D55" s="30"/>
      <c r="E55" s="31"/>
      <c r="F55" s="31"/>
      <c r="G55" s="33"/>
      <c r="H55" s="32"/>
      <c r="I55" s="33"/>
      <c r="J55" s="39">
        <f>0.13*J54</f>
        <v>583.31000000000006</v>
      </c>
      <c r="K55" s="31"/>
    </row>
    <row r="56" spans="1:11" x14ac:dyDescent="0.25">
      <c r="A56" s="28"/>
      <c r="B56" s="34"/>
      <c r="C56" s="31"/>
      <c r="D56" s="30"/>
      <c r="E56" s="31"/>
      <c r="F56" s="31"/>
      <c r="G56" s="33"/>
      <c r="H56" s="32"/>
      <c r="I56" s="33"/>
      <c r="J56" s="39"/>
      <c r="K56" s="31"/>
    </row>
    <row r="57" spans="1:11" ht="30" x14ac:dyDescent="0.25">
      <c r="A57" s="28">
        <v>10</v>
      </c>
      <c r="B57" s="46" t="s">
        <v>64</v>
      </c>
      <c r="C57" s="31">
        <v>1</v>
      </c>
      <c r="D57" s="30"/>
      <c r="E57" s="31"/>
      <c r="F57" s="31"/>
      <c r="G57" s="40">
        <f>PRODUCT(C57:F57)</f>
        <v>1</v>
      </c>
      <c r="H57" s="32"/>
      <c r="I57" s="33"/>
      <c r="J57" s="39"/>
      <c r="K57" s="31"/>
    </row>
    <row r="58" spans="1:11" x14ac:dyDescent="0.25">
      <c r="A58" s="28"/>
      <c r="B58" s="34" t="s">
        <v>38</v>
      </c>
      <c r="C58" s="31"/>
      <c r="D58" s="30"/>
      <c r="E58" s="31"/>
      <c r="F58" s="31"/>
      <c r="G58" s="33">
        <f>SUM(G57:G57)</f>
        <v>1</v>
      </c>
      <c r="H58" s="32" t="s">
        <v>61</v>
      </c>
      <c r="I58" s="33">
        <f>28689.95+309+177*9</f>
        <v>30591.95</v>
      </c>
      <c r="J58" s="39">
        <f>G58*I58</f>
        <v>30591.95</v>
      </c>
      <c r="K58" s="31"/>
    </row>
    <row r="59" spans="1:11" x14ac:dyDescent="0.25">
      <c r="A59" s="28"/>
      <c r="B59" s="34"/>
      <c r="C59" s="31"/>
      <c r="D59" s="30"/>
      <c r="E59" s="31"/>
      <c r="F59" s="31"/>
      <c r="G59" s="33"/>
      <c r="H59" s="32"/>
      <c r="I59" s="33"/>
      <c r="J59" s="39"/>
      <c r="K59" s="31"/>
    </row>
    <row r="60" spans="1:11" x14ac:dyDescent="0.25">
      <c r="A60" s="28">
        <v>11</v>
      </c>
      <c r="B60" s="41" t="s">
        <v>35</v>
      </c>
      <c r="C60" s="29">
        <v>0</v>
      </c>
      <c r="D60" s="30"/>
      <c r="E60" s="31"/>
      <c r="F60" s="31"/>
      <c r="G60" s="39">
        <f>PRODUCT(C60:F60)</f>
        <v>0</v>
      </c>
      <c r="H60" s="32" t="s">
        <v>36</v>
      </c>
      <c r="I60" s="33">
        <v>500</v>
      </c>
      <c r="J60" s="8">
        <f>G60*I60</f>
        <v>0</v>
      </c>
      <c r="K60" s="31"/>
    </row>
    <row r="61" spans="1:11" x14ac:dyDescent="0.25">
      <c r="A61" s="10"/>
      <c r="B61" s="27"/>
      <c r="C61" s="9"/>
      <c r="D61" s="7"/>
      <c r="E61" s="7"/>
      <c r="F61" s="7"/>
      <c r="G61" s="8"/>
      <c r="H61" s="8"/>
      <c r="I61" s="8"/>
      <c r="J61" s="8"/>
      <c r="K61" s="4"/>
    </row>
    <row r="62" spans="1:11" x14ac:dyDescent="0.25">
      <c r="A62" s="10"/>
      <c r="B62" s="27" t="s">
        <v>17</v>
      </c>
      <c r="C62" s="9"/>
      <c r="D62" s="7"/>
      <c r="E62" s="7"/>
      <c r="F62" s="7"/>
      <c r="G62" s="8"/>
      <c r="H62" s="8"/>
      <c r="I62" s="8"/>
      <c r="J62" s="8">
        <f>SUM(J18:J61)</f>
        <v>242816.29732561469</v>
      </c>
      <c r="K62" s="4"/>
    </row>
    <row r="64" spans="1:11" s="1" customFormat="1" hidden="1" x14ac:dyDescent="0.25">
      <c r="B64" s="17" t="s">
        <v>43</v>
      </c>
      <c r="C64" s="58">
        <f>J62</f>
        <v>242816.29732561469</v>
      </c>
      <c r="D64" s="59"/>
      <c r="E64" s="15">
        <v>100</v>
      </c>
      <c r="F64" s="19"/>
      <c r="G64" s="20"/>
      <c r="H64" s="19"/>
      <c r="I64" s="21"/>
      <c r="J64" s="22"/>
      <c r="K64" s="23"/>
    </row>
    <row r="65" spans="2:5" hidden="1" x14ac:dyDescent="0.25">
      <c r="B65" s="17" t="s">
        <v>27</v>
      </c>
      <c r="C65" s="61">
        <v>150000</v>
      </c>
      <c r="D65" s="62"/>
      <c r="E65" s="15"/>
    </row>
    <row r="66" spans="2:5" hidden="1" x14ac:dyDescent="0.25">
      <c r="B66" s="17" t="s">
        <v>28</v>
      </c>
      <c r="C66" s="61">
        <f>84.58%*C64</f>
        <v>205374.02427800492</v>
      </c>
      <c r="D66" s="62"/>
      <c r="E66" s="15">
        <f>C66/C64*100</f>
        <v>84.58</v>
      </c>
    </row>
    <row r="67" spans="2:5" hidden="1" x14ac:dyDescent="0.25">
      <c r="B67" s="17" t="s">
        <v>29</v>
      </c>
      <c r="C67" s="63">
        <f>C64-C66</f>
        <v>37442.273047609779</v>
      </c>
      <c r="D67" s="63"/>
      <c r="E67" s="15">
        <f>100-E66</f>
        <v>15.420000000000002</v>
      </c>
    </row>
    <row r="68" spans="2:5" hidden="1" x14ac:dyDescent="0.25">
      <c r="B68" s="17" t="s">
        <v>30</v>
      </c>
      <c r="C68" s="58">
        <f>C65*0.03</f>
        <v>4500</v>
      </c>
      <c r="D68" s="59"/>
      <c r="E68" s="15">
        <v>3</v>
      </c>
    </row>
    <row r="69" spans="2:5" hidden="1" x14ac:dyDescent="0.25">
      <c r="B69" s="17" t="s">
        <v>31</v>
      </c>
      <c r="C69" s="58">
        <f>C65*0.02</f>
        <v>3000</v>
      </c>
      <c r="D69" s="59"/>
      <c r="E69" s="15">
        <v>2</v>
      </c>
    </row>
  </sheetData>
  <mergeCells count="15">
    <mergeCell ref="A6:G6"/>
    <mergeCell ref="H6:K6"/>
    <mergeCell ref="A1:K1"/>
    <mergeCell ref="A2:K2"/>
    <mergeCell ref="A3:K3"/>
    <mergeCell ref="A4:K4"/>
    <mergeCell ref="A5:K5"/>
    <mergeCell ref="C68:D68"/>
    <mergeCell ref="C69:D69"/>
    <mergeCell ref="A7:F7"/>
    <mergeCell ref="H7:K7"/>
    <mergeCell ref="C64:D64"/>
    <mergeCell ref="C65:D65"/>
    <mergeCell ref="C66:D66"/>
    <mergeCell ref="C67:D67"/>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new</vt:lpstr>
      <vt:lpstr>WCR</vt:lpstr>
      <vt:lpstr>V</vt:lpstr>
      <vt:lpstr>M</vt:lpstr>
      <vt:lpstr>M!Print_Area</vt:lpstr>
      <vt:lpstr>new!Print_Area</vt:lpstr>
      <vt:lpstr>V!Print_Area</vt:lpstr>
      <vt:lpstr>WCR!Print_Area</vt:lpstr>
      <vt:lpstr>M!Print_Titles</vt:lpstr>
      <vt:lpstr>new!Print_Titles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2024-06-30T09:07:17Z</cp:lastPrinted>
  <dcterms:created xsi:type="dcterms:W3CDTF">2015-06-05T18:17:20Z</dcterms:created>
  <dcterms:modified xsi:type="dcterms:W3CDTF">2024-09-24T07:19:28Z</dcterms:modified>
</cp:coreProperties>
</file>