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ard office aayojana 2\budget estimate\last moment\completed\लाकिला गणेश मन्दिर निर्माण\New folder\"/>
    </mc:Choice>
  </mc:AlternateContent>
  <bookViews>
    <workbookView xWindow="-120" yWindow="-120" windowWidth="20730" windowHeight="11160" activeTab="2"/>
  </bookViews>
  <sheets>
    <sheet name="FINAL (3)" sheetId="13" r:id="rId1"/>
    <sheet name="WCR" sheetId="15" r:id="rId2"/>
    <sheet name="valuated" sheetId="14"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 localSheetId="1">[2]Abstract!$B$18</definedName>
    <definedName name="description_124">#REF!</definedName>
    <definedName name="description_2">[3]Abstract!$B$168</definedName>
    <definedName name="description_247">[1]Abstract!$B$22</definedName>
    <definedName name="description_261">[4]Abstract!$B$33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description_784">[3]Abstract!$B$300</definedName>
    <definedName name="_xlnm.Print_Area" localSheetId="0">'FINAL (3)'!$A$1:$K$165</definedName>
    <definedName name="_xlnm.Print_Area" localSheetId="2">valuated!$A$1:$K$214</definedName>
    <definedName name="_xlnm.Print_Area" localSheetId="1">WCR!$A$1:$K$52</definedName>
    <definedName name="_xlnm.Print_Titles" localSheetId="0">'FINAL (3)'!$1:$8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9" i="14" l="1"/>
  <c r="G140" i="14" l="1"/>
  <c r="D124" i="14"/>
  <c r="D107" i="14"/>
  <c r="C99" i="14"/>
  <c r="C100" i="14"/>
  <c r="D93" i="14"/>
  <c r="F43" i="14"/>
  <c r="F48" i="14"/>
  <c r="F50" i="14"/>
  <c r="E88" i="14"/>
  <c r="D88" i="14"/>
  <c r="G88" i="14" s="1"/>
  <c r="F75" i="14"/>
  <c r="F69" i="14"/>
  <c r="F58" i="14"/>
  <c r="F49" i="14"/>
  <c r="D52" i="14"/>
  <c r="F52" i="14"/>
  <c r="F39" i="14"/>
  <c r="D11" i="14"/>
  <c r="E11" i="14"/>
  <c r="E21" i="14"/>
  <c r="D21" i="14"/>
  <c r="E15" i="14"/>
  <c r="D15" i="14"/>
  <c r="E42" i="14"/>
  <c r="E38" i="14"/>
  <c r="D38" i="14"/>
  <c r="E34" i="14"/>
  <c r="F145" i="14"/>
  <c r="D66" i="14" l="1"/>
  <c r="M66" i="14"/>
  <c r="D42" i="14"/>
  <c r="F27" i="14" l="1"/>
  <c r="E43" i="14" l="1"/>
  <c r="D43" i="14"/>
  <c r="D77" i="14"/>
  <c r="N77" i="14"/>
  <c r="E77" i="14"/>
  <c r="H50" i="15" l="1"/>
  <c r="H48" i="15"/>
  <c r="C50" i="15"/>
  <c r="E50" i="15"/>
  <c r="D50" i="15"/>
  <c r="E48" i="15"/>
  <c r="D48" i="15"/>
  <c r="C48" i="15"/>
  <c r="B50" i="15"/>
  <c r="A50" i="15"/>
  <c r="B48" i="15"/>
  <c r="A48" i="15"/>
  <c r="F46" i="15"/>
  <c r="M46" i="15" s="1"/>
  <c r="E45" i="15"/>
  <c r="D45" i="15"/>
  <c r="F45" i="15" s="1"/>
  <c r="M45" i="15" s="1"/>
  <c r="C45" i="15"/>
  <c r="B46" i="15"/>
  <c r="B45" i="15"/>
  <c r="A45" i="15"/>
  <c r="H42" i="15"/>
  <c r="F43" i="15"/>
  <c r="M43" i="15" s="1"/>
  <c r="E42" i="15"/>
  <c r="D42" i="15"/>
  <c r="F42" i="15" s="1"/>
  <c r="M42" i="15" s="1"/>
  <c r="C42" i="15"/>
  <c r="B43" i="15"/>
  <c r="B42" i="15"/>
  <c r="A42" i="15"/>
  <c r="F40" i="15"/>
  <c r="M40" i="15" s="1"/>
  <c r="E39" i="15"/>
  <c r="D39" i="15"/>
  <c r="C39" i="15"/>
  <c r="B40" i="15"/>
  <c r="B39" i="15"/>
  <c r="A39" i="15"/>
  <c r="F37" i="15"/>
  <c r="M37" i="15" s="1"/>
  <c r="E36" i="15"/>
  <c r="D36" i="15"/>
  <c r="C36" i="15"/>
  <c r="B37" i="15"/>
  <c r="B36" i="15"/>
  <c r="A36" i="15"/>
  <c r="J109" i="13"/>
  <c r="F34" i="15"/>
  <c r="H33" i="15"/>
  <c r="E33" i="15"/>
  <c r="D33" i="15"/>
  <c r="C33" i="15"/>
  <c r="B34" i="15"/>
  <c r="B33" i="15"/>
  <c r="A33" i="15"/>
  <c r="H30" i="15"/>
  <c r="F31" i="15"/>
  <c r="M31" i="15" s="1"/>
  <c r="E30" i="15"/>
  <c r="D30" i="15"/>
  <c r="C30" i="15"/>
  <c r="B31" i="15"/>
  <c r="B30" i="15"/>
  <c r="A30" i="15"/>
  <c r="D115" i="14"/>
  <c r="C115" i="14"/>
  <c r="H27" i="15"/>
  <c r="F28" i="15"/>
  <c r="M28" i="15" s="1"/>
  <c r="E27" i="15"/>
  <c r="D27" i="15"/>
  <c r="C27" i="15"/>
  <c r="B28" i="15"/>
  <c r="B27" i="15"/>
  <c r="A27" i="15"/>
  <c r="H24" i="15"/>
  <c r="F25" i="15"/>
  <c r="M25" i="15" s="1"/>
  <c r="E24" i="15"/>
  <c r="D24" i="15"/>
  <c r="C24" i="15"/>
  <c r="B25" i="15"/>
  <c r="B24" i="15"/>
  <c r="A24" i="15"/>
  <c r="M34" i="15"/>
  <c r="H21" i="15"/>
  <c r="F22" i="15"/>
  <c r="E21" i="15"/>
  <c r="D21" i="15"/>
  <c r="B22" i="15"/>
  <c r="C21" i="15"/>
  <c r="B21" i="15"/>
  <c r="A21" i="15"/>
  <c r="H18" i="15"/>
  <c r="F19" i="15"/>
  <c r="E18" i="15"/>
  <c r="D18" i="15"/>
  <c r="C18" i="15"/>
  <c r="B19" i="15"/>
  <c r="B18" i="15"/>
  <c r="A18" i="15"/>
  <c r="H15" i="15"/>
  <c r="F16" i="15"/>
  <c r="E15" i="15"/>
  <c r="D15" i="15"/>
  <c r="C15" i="15"/>
  <c r="B16" i="15"/>
  <c r="B15" i="15"/>
  <c r="A15" i="15"/>
  <c r="H13" i="15"/>
  <c r="E13" i="15"/>
  <c r="F39" i="15" l="1"/>
  <c r="M39" i="15" s="1"/>
  <c r="F36" i="15"/>
  <c r="M36" i="15" s="1"/>
  <c r="F30" i="15"/>
  <c r="M30" i="15" s="1"/>
  <c r="F33" i="15"/>
  <c r="M33" i="15" s="1"/>
  <c r="F27" i="15"/>
  <c r="M27" i="15" s="1"/>
  <c r="F24" i="15"/>
  <c r="M24" i="15" s="1"/>
  <c r="D13" i="15" l="1"/>
  <c r="F13" i="15" s="1"/>
  <c r="C13" i="15"/>
  <c r="A13" i="15"/>
  <c r="I9" i="15"/>
  <c r="A9" i="15"/>
  <c r="A8" i="15"/>
  <c r="F50" i="15"/>
  <c r="M50" i="15" s="1"/>
  <c r="M22" i="15"/>
  <c r="F21" i="15"/>
  <c r="M21" i="15" s="1"/>
  <c r="M19" i="15"/>
  <c r="F18" i="15"/>
  <c r="M18" i="15" s="1"/>
  <c r="M16" i="15"/>
  <c r="F15" i="15"/>
  <c r="M15" i="15" s="1"/>
  <c r="F48" i="15" l="1"/>
  <c r="M48" i="15" s="1"/>
  <c r="M13" i="15"/>
  <c r="F52" i="15" l="1"/>
  <c r="C6" i="15"/>
  <c r="N130" i="14"/>
  <c r="D125" i="14"/>
  <c r="F125" i="14" s="1"/>
  <c r="G125" i="14" s="1"/>
  <c r="C125" i="14"/>
  <c r="C124" i="14"/>
  <c r="E125" i="14"/>
  <c r="C121" i="14"/>
  <c r="C120" i="14"/>
  <c r="D110" i="14"/>
  <c r="C110" i="14"/>
  <c r="F110" i="14" s="1"/>
  <c r="G110" i="14" s="1"/>
  <c r="E110" i="14"/>
  <c r="E109" i="14"/>
  <c r="D109" i="14"/>
  <c r="C109" i="14"/>
  <c r="C118" i="14"/>
  <c r="C113" i="14"/>
  <c r="C112" i="14"/>
  <c r="C105" i="14"/>
  <c r="C106" i="14"/>
  <c r="D101" i="14"/>
  <c r="N101" i="14"/>
  <c r="C95" i="14"/>
  <c r="D95" i="14"/>
  <c r="E51" i="14"/>
  <c r="D86" i="14"/>
  <c r="M51" i="14"/>
  <c r="F82" i="14"/>
  <c r="D81" i="14"/>
  <c r="F80" i="14"/>
  <c r="D79" i="14"/>
  <c r="F79" i="14"/>
  <c r="F73" i="14"/>
  <c r="F72" i="14"/>
  <c r="F71" i="14"/>
  <c r="N72" i="14"/>
  <c r="O72" i="14" s="1"/>
  <c r="N71" i="14"/>
  <c r="O71" i="14" s="1"/>
  <c r="D71" i="14"/>
  <c r="D70" i="14"/>
  <c r="G70" i="14" s="1"/>
  <c r="F66" i="14"/>
  <c r="F65" i="14"/>
  <c r="D65" i="14"/>
  <c r="F64" i="14"/>
  <c r="G64" i="14" s="1"/>
  <c r="D62" i="14"/>
  <c r="N63" i="14"/>
  <c r="N61" i="14"/>
  <c r="D61" i="14"/>
  <c r="F109" i="14" l="1"/>
  <c r="G109" i="14" s="1"/>
  <c r="G65" i="14"/>
  <c r="G79" i="14"/>
  <c r="D60" i="14"/>
  <c r="M61" i="14"/>
  <c r="D59" i="14"/>
  <c r="G59" i="14" s="1"/>
  <c r="E87" i="14"/>
  <c r="D87" i="14"/>
  <c r="G86" i="14"/>
  <c r="E85" i="14"/>
  <c r="D85" i="14"/>
  <c r="E83" i="14"/>
  <c r="D83" i="14"/>
  <c r="D84" i="14" s="1"/>
  <c r="G84" i="14" s="1"/>
  <c r="O82" i="14"/>
  <c r="M82" i="14"/>
  <c r="N82" i="14" s="1"/>
  <c r="D82" i="14"/>
  <c r="F81" i="14"/>
  <c r="G81" i="14" s="1"/>
  <c r="D80" i="14"/>
  <c r="G80" i="14" s="1"/>
  <c r="M77" i="14"/>
  <c r="E74" i="14"/>
  <c r="D74" i="14"/>
  <c r="D75" i="14" s="1"/>
  <c r="G75" i="14" s="1"/>
  <c r="D73" i="14"/>
  <c r="G73" i="14" s="1"/>
  <c r="M72" i="14"/>
  <c r="D72" i="14"/>
  <c r="M71" i="14"/>
  <c r="G71" i="14"/>
  <c r="E68" i="14"/>
  <c r="D68" i="14"/>
  <c r="M63" i="14"/>
  <c r="F63" i="14"/>
  <c r="O62" i="14"/>
  <c r="M62" i="14"/>
  <c r="N62" i="14" s="1"/>
  <c r="F62" i="14"/>
  <c r="G62" i="14" s="1"/>
  <c r="G61" i="14"/>
  <c r="Q60" i="14"/>
  <c r="R60" i="14" s="1"/>
  <c r="M60" i="14"/>
  <c r="Q59" i="14"/>
  <c r="R59" i="14" s="1"/>
  <c r="P59" i="14"/>
  <c r="O59" i="14"/>
  <c r="M59" i="14"/>
  <c r="N59" i="14" s="1"/>
  <c r="D58" i="14"/>
  <c r="E50" i="14"/>
  <c r="D50" i="14"/>
  <c r="D48" i="14"/>
  <c r="M48" i="14"/>
  <c r="N48" i="14" s="1"/>
  <c r="O48" i="14"/>
  <c r="N43" i="14"/>
  <c r="M43" i="14"/>
  <c r="M40" i="14"/>
  <c r="M39" i="14"/>
  <c r="M36" i="14"/>
  <c r="O35" i="14"/>
  <c r="O33" i="14"/>
  <c r="E32" i="14"/>
  <c r="G68" i="14" l="1"/>
  <c r="D69" i="14"/>
  <c r="G69" i="14" s="1"/>
  <c r="G50" i="14"/>
  <c r="G60" i="14"/>
  <c r="G77" i="14"/>
  <c r="G58" i="14"/>
  <c r="G74" i="14"/>
  <c r="G83" i="14"/>
  <c r="G85" i="14"/>
  <c r="G72" i="14"/>
  <c r="G87" i="14"/>
  <c r="G66" i="14"/>
  <c r="G63" i="14"/>
  <c r="G82" i="14"/>
  <c r="Q30" i="14"/>
  <c r="R30" i="14" s="1"/>
  <c r="Q28" i="14"/>
  <c r="R28" i="14" s="1"/>
  <c r="E27" i="14"/>
  <c r="M15" i="14"/>
  <c r="M30" i="14"/>
  <c r="G24" i="15" l="1"/>
  <c r="I24" i="15" s="1"/>
  <c r="M87" i="14"/>
  <c r="E105" i="14"/>
  <c r="D100" i="14"/>
  <c r="M101" i="14"/>
  <c r="D98" i="14"/>
  <c r="C98" i="14"/>
  <c r="P28" i="14"/>
  <c r="O28" i="14"/>
  <c r="E132" i="14"/>
  <c r="E133" i="14"/>
  <c r="E134" i="14"/>
  <c r="E135" i="14"/>
  <c r="E136" i="14"/>
  <c r="E137" i="14"/>
  <c r="E138" i="14"/>
  <c r="E131" i="14"/>
  <c r="C134" i="14"/>
  <c r="C135" i="14"/>
  <c r="C136" i="14"/>
  <c r="C137" i="14"/>
  <c r="C138" i="14"/>
  <c r="D138" i="14"/>
  <c r="D137" i="14"/>
  <c r="D136" i="14"/>
  <c r="D135" i="14"/>
  <c r="D134" i="14"/>
  <c r="D133" i="14"/>
  <c r="C133" i="14"/>
  <c r="C132" i="14"/>
  <c r="D132" i="14"/>
  <c r="D131" i="14"/>
  <c r="D128" i="14"/>
  <c r="C129" i="14"/>
  <c r="D127" i="14"/>
  <c r="C127" i="14"/>
  <c r="C126" i="14"/>
  <c r="E127" i="14"/>
  <c r="D126" i="14"/>
  <c r="E126" i="14"/>
  <c r="E124" i="14"/>
  <c r="D129" i="14"/>
  <c r="E129" i="14"/>
  <c r="N128" i="14"/>
  <c r="E128" i="14"/>
  <c r="C128" i="14"/>
  <c r="C122" i="14"/>
  <c r="C123" i="14"/>
  <c r="D122" i="14"/>
  <c r="D120" i="14"/>
  <c r="D121" i="14"/>
  <c r="D119" i="14"/>
  <c r="D94" i="14"/>
  <c r="E117" i="14"/>
  <c r="E118" i="14"/>
  <c r="D118" i="14"/>
  <c r="D117" i="14"/>
  <c r="C117" i="14"/>
  <c r="M115" i="14"/>
  <c r="J24" i="15" l="1"/>
  <c r="F138" i="14"/>
  <c r="G138" i="14" s="1"/>
  <c r="F133" i="14"/>
  <c r="G133" i="14" s="1"/>
  <c r="F137" i="14"/>
  <c r="G137" i="14" s="1"/>
  <c r="F135" i="14"/>
  <c r="G135" i="14" s="1"/>
  <c r="F124" i="14"/>
  <c r="G124" i="14" s="1"/>
  <c r="F127" i="14"/>
  <c r="G127" i="14" s="1"/>
  <c r="F136" i="14"/>
  <c r="G136" i="14" s="1"/>
  <c r="F134" i="14"/>
  <c r="G134" i="14" s="1"/>
  <c r="F126" i="14"/>
  <c r="G126" i="14" s="1"/>
  <c r="F118" i="14"/>
  <c r="G118" i="14" s="1"/>
  <c r="F117" i="14"/>
  <c r="G117" i="14" s="1"/>
  <c r="F129" i="14"/>
  <c r="G129" i="14" s="1"/>
  <c r="F128" i="14"/>
  <c r="G128" i="14" s="1"/>
  <c r="C116" i="14" l="1"/>
  <c r="E116" i="14"/>
  <c r="D116" i="14"/>
  <c r="E113" i="14"/>
  <c r="C108" i="14"/>
  <c r="N108" i="14"/>
  <c r="E108" i="14"/>
  <c r="D108" i="14"/>
  <c r="M107" i="14"/>
  <c r="N107" i="14" s="1"/>
  <c r="O107" i="14" s="1"/>
  <c r="E107" i="14"/>
  <c r="C107" i="14"/>
  <c r="D106" i="14"/>
  <c r="D105" i="14"/>
  <c r="D112" i="14" s="1"/>
  <c r="E106" i="14"/>
  <c r="D103" i="14"/>
  <c r="M98" i="14"/>
  <c r="D113" i="14" l="1"/>
  <c r="F113" i="14" s="1"/>
  <c r="G113" i="14" s="1"/>
  <c r="F107" i="14"/>
  <c r="G107" i="14" s="1"/>
  <c r="F106" i="14"/>
  <c r="G106" i="14" s="1"/>
  <c r="F108" i="14"/>
  <c r="G108" i="14" s="1"/>
  <c r="M99" i="14"/>
  <c r="E101" i="14"/>
  <c r="F101" i="14" s="1"/>
  <c r="G101" i="14" s="1"/>
  <c r="C97" i="14"/>
  <c r="C96" i="14"/>
  <c r="C94" i="14"/>
  <c r="E94" i="14"/>
  <c r="E95" i="14"/>
  <c r="D97" i="14"/>
  <c r="M130" i="14"/>
  <c r="M131" i="14" s="1"/>
  <c r="G51" i="14"/>
  <c r="E52" i="14"/>
  <c r="E49" i="14"/>
  <c r="D49" i="14"/>
  <c r="E48" i="14"/>
  <c r="D47" i="14"/>
  <c r="G47" i="14" s="1"/>
  <c r="D46" i="14"/>
  <c r="G46" i="14" s="1"/>
  <c r="D45" i="14"/>
  <c r="G45" i="14" s="1"/>
  <c r="D40" i="14"/>
  <c r="D36" i="14"/>
  <c r="D32" i="14"/>
  <c r="F105" i="14" s="1"/>
  <c r="G105" i="14" s="1"/>
  <c r="M34" i="14"/>
  <c r="F34" i="14"/>
  <c r="F33" i="14"/>
  <c r="M33" i="14"/>
  <c r="N33" i="14" s="1"/>
  <c r="E31" i="14"/>
  <c r="D31" i="14"/>
  <c r="E30" i="14"/>
  <c r="G30" i="14" s="1"/>
  <c r="D27" i="14"/>
  <c r="G42" i="14" l="1"/>
  <c r="F95" i="14"/>
  <c r="G95" i="14" s="1"/>
  <c r="G49" i="14"/>
  <c r="F94" i="14"/>
  <c r="G94" i="14" s="1"/>
  <c r="G34" i="14"/>
  <c r="G48" i="14"/>
  <c r="G36" i="14"/>
  <c r="G52" i="14"/>
  <c r="G31" i="14"/>
  <c r="E97" i="14"/>
  <c r="F97" i="14" s="1"/>
  <c r="G97" i="14" s="1"/>
  <c r="E96" i="14"/>
  <c r="D96" i="14"/>
  <c r="F96" i="14" l="1"/>
  <c r="G96" i="14" s="1"/>
  <c r="C93" i="14"/>
  <c r="C212" i="14"/>
  <c r="C211" i="14"/>
  <c r="G203" i="14"/>
  <c r="I199" i="14"/>
  <c r="D198" i="14"/>
  <c r="G198" i="14" s="1"/>
  <c r="D197" i="14"/>
  <c r="G197" i="14" s="1"/>
  <c r="D196" i="14"/>
  <c r="G196" i="14" s="1"/>
  <c r="G194" i="14"/>
  <c r="I191" i="14"/>
  <c r="H45" i="15" s="1"/>
  <c r="C190" i="14"/>
  <c r="B190" i="14"/>
  <c r="F189" i="14"/>
  <c r="D189" i="14"/>
  <c r="D183" i="14"/>
  <c r="G183" i="14" s="1"/>
  <c r="G184" i="14" s="1"/>
  <c r="G42" i="15" s="1"/>
  <c r="I42" i="15" s="1"/>
  <c r="J42" i="15" s="1"/>
  <c r="I179" i="14"/>
  <c r="H39" i="15" s="1"/>
  <c r="F178" i="14"/>
  <c r="D178" i="14"/>
  <c r="I174" i="14"/>
  <c r="H36" i="15" s="1"/>
  <c r="C173" i="14"/>
  <c r="B173" i="14"/>
  <c r="F172" i="14"/>
  <c r="F188" i="14" s="1"/>
  <c r="D172" i="14"/>
  <c r="D188" i="14" s="1"/>
  <c r="C172" i="14"/>
  <c r="B172" i="14"/>
  <c r="F171" i="14"/>
  <c r="D171" i="14"/>
  <c r="C171" i="14"/>
  <c r="B171" i="14"/>
  <c r="E166" i="14"/>
  <c r="D166" i="14"/>
  <c r="C165" i="14"/>
  <c r="B165" i="14"/>
  <c r="D164" i="14"/>
  <c r="C164" i="14"/>
  <c r="B164" i="14"/>
  <c r="F163" i="14"/>
  <c r="F165" i="14" s="1"/>
  <c r="C163" i="14"/>
  <c r="B163" i="14"/>
  <c r="F162" i="14"/>
  <c r="G162" i="14" s="1"/>
  <c r="G161" i="14"/>
  <c r="F160" i="14"/>
  <c r="D160" i="14"/>
  <c r="D163" i="14" s="1"/>
  <c r="F155" i="14"/>
  <c r="G155" i="14" s="1"/>
  <c r="F154" i="14"/>
  <c r="D154" i="14"/>
  <c r="F153" i="14"/>
  <c r="D153" i="14"/>
  <c r="F152" i="14"/>
  <c r="F173" i="14" s="1"/>
  <c r="F190" i="14" s="1"/>
  <c r="D152" i="14"/>
  <c r="D165" i="14" s="1"/>
  <c r="G151" i="14"/>
  <c r="F150" i="14"/>
  <c r="D150" i="14"/>
  <c r="D145" i="14"/>
  <c r="B132" i="14"/>
  <c r="B131" i="14"/>
  <c r="E123" i="14"/>
  <c r="D123" i="14"/>
  <c r="N122" i="14"/>
  <c r="E122" i="14"/>
  <c r="E121" i="14"/>
  <c r="E120" i="14"/>
  <c r="E119" i="14"/>
  <c r="C119" i="14"/>
  <c r="N115" i="14"/>
  <c r="O115" i="14" s="1"/>
  <c r="P115" i="14" s="1"/>
  <c r="E115" i="14"/>
  <c r="E112" i="14"/>
  <c r="N112" i="14"/>
  <c r="N104" i="14"/>
  <c r="E104" i="14"/>
  <c r="D104" i="14"/>
  <c r="M103" i="14"/>
  <c r="N103" i="14" s="1"/>
  <c r="O103" i="14" s="1"/>
  <c r="E103" i="14"/>
  <c r="C103" i="14"/>
  <c r="N99" i="14"/>
  <c r="O99" i="14" s="1"/>
  <c r="E99" i="14"/>
  <c r="D99" i="14"/>
  <c r="E98" i="14"/>
  <c r="E100" i="14"/>
  <c r="M93" i="14"/>
  <c r="O93" i="14" s="1"/>
  <c r="E93" i="14"/>
  <c r="B93" i="14"/>
  <c r="M92" i="14"/>
  <c r="N92" i="14" s="1"/>
  <c r="N91" i="14"/>
  <c r="D41" i="14"/>
  <c r="F35" i="14"/>
  <c r="G32" i="14"/>
  <c r="B32" i="14"/>
  <c r="M28" i="14"/>
  <c r="N28" i="14" s="1"/>
  <c r="G28" i="14"/>
  <c r="C21" i="14"/>
  <c r="B21" i="14"/>
  <c r="E16" i="14"/>
  <c r="D16" i="14"/>
  <c r="B15" i="14"/>
  <c r="C11" i="14"/>
  <c r="J194" i="14" l="1"/>
  <c r="G48" i="15"/>
  <c r="I48" i="15" s="1"/>
  <c r="J48" i="15" s="1"/>
  <c r="J203" i="14"/>
  <c r="G50" i="15"/>
  <c r="I50" i="15" s="1"/>
  <c r="J50" i="15" s="1"/>
  <c r="G178" i="14"/>
  <c r="G43" i="14"/>
  <c r="G164" i="14"/>
  <c r="F120" i="14"/>
  <c r="G120" i="14" s="1"/>
  <c r="F104" i="14"/>
  <c r="G104" i="14" s="1"/>
  <c r="G166" i="14"/>
  <c r="G150" i="14"/>
  <c r="G153" i="14"/>
  <c r="F121" i="14"/>
  <c r="G121" i="14" s="1"/>
  <c r="F123" i="14"/>
  <c r="G123" i="14" s="1"/>
  <c r="G145" i="14"/>
  <c r="G146" i="14" s="1"/>
  <c r="G154" i="14"/>
  <c r="G38" i="14"/>
  <c r="G16" i="14"/>
  <c r="F100" i="14"/>
  <c r="G100" i="14" s="1"/>
  <c r="G163" i="14"/>
  <c r="G199" i="14"/>
  <c r="J200" i="14" s="1"/>
  <c r="F98" i="14"/>
  <c r="G98" i="14" s="1"/>
  <c r="G165" i="14"/>
  <c r="G189" i="14"/>
  <c r="F119" i="14"/>
  <c r="G119" i="14" s="1"/>
  <c r="F122" i="14"/>
  <c r="G122" i="14" s="1"/>
  <c r="G160" i="14"/>
  <c r="G171" i="14"/>
  <c r="G172" i="14"/>
  <c r="G33" i="14"/>
  <c r="F116" i="14"/>
  <c r="G116" i="14" s="1"/>
  <c r="G188" i="14"/>
  <c r="G15" i="14"/>
  <c r="G11" i="14"/>
  <c r="G12" i="14" s="1"/>
  <c r="G13" i="15" s="1"/>
  <c r="J185" i="14"/>
  <c r="I43" i="15" s="1"/>
  <c r="J43" i="15" s="1"/>
  <c r="J184" i="14"/>
  <c r="G35" i="14"/>
  <c r="G41" i="14"/>
  <c r="G39" i="14"/>
  <c r="N93" i="14"/>
  <c r="O91" i="14" s="1"/>
  <c r="P91" i="14" s="1"/>
  <c r="D173" i="14"/>
  <c r="D190" i="14" s="1"/>
  <c r="G190" i="14" s="1"/>
  <c r="G152" i="14"/>
  <c r="G29" i="14"/>
  <c r="G40" i="14"/>
  <c r="F99" i="14"/>
  <c r="G99" i="14" s="1"/>
  <c r="F103" i="14"/>
  <c r="G103" i="14" s="1"/>
  <c r="G156" i="14" l="1"/>
  <c r="G33" i="15" s="1"/>
  <c r="I33" i="15" s="1"/>
  <c r="J33" i="15" s="1"/>
  <c r="J147" i="14"/>
  <c r="I31" i="15" s="1"/>
  <c r="J31" i="15" s="1"/>
  <c r="G30" i="15"/>
  <c r="I30" i="15" s="1"/>
  <c r="J12" i="14"/>
  <c r="I13" i="15"/>
  <c r="G191" i="14"/>
  <c r="G45" i="15" s="1"/>
  <c r="I45" i="15" s="1"/>
  <c r="J45" i="15" s="1"/>
  <c r="G179" i="14"/>
  <c r="J180" i="14"/>
  <c r="I40" i="15" s="1"/>
  <c r="J40" i="15" s="1"/>
  <c r="G21" i="14"/>
  <c r="G22" i="14" s="1"/>
  <c r="G173" i="14"/>
  <c r="G167" i="14"/>
  <c r="J167" i="14" s="1"/>
  <c r="J146" i="14"/>
  <c r="J199" i="14"/>
  <c r="J157" i="14"/>
  <c r="I34" i="15" s="1"/>
  <c r="J34" i="15" s="1"/>
  <c r="G17" i="14"/>
  <c r="F93" i="14"/>
  <c r="G93" i="14" s="1"/>
  <c r="F115" i="14"/>
  <c r="G115" i="14" s="1"/>
  <c r="F131" i="14"/>
  <c r="G131" i="14" s="1"/>
  <c r="F132" i="14"/>
  <c r="G132" i="14" s="1"/>
  <c r="G27" i="14"/>
  <c r="I131" i="13"/>
  <c r="D130" i="13"/>
  <c r="F130" i="13"/>
  <c r="F123" i="13"/>
  <c r="D123" i="13"/>
  <c r="F141" i="13"/>
  <c r="D135" i="13"/>
  <c r="E118" i="13"/>
  <c r="D118" i="13"/>
  <c r="F115" i="13"/>
  <c r="F117" i="13" s="1"/>
  <c r="D112" i="13"/>
  <c r="F114" i="13"/>
  <c r="G114" i="13" s="1"/>
  <c r="G113" i="13"/>
  <c r="F112" i="13"/>
  <c r="C68" i="13"/>
  <c r="D68" i="13"/>
  <c r="E68" i="13"/>
  <c r="E67" i="13"/>
  <c r="D67" i="13"/>
  <c r="C67" i="13"/>
  <c r="F107" i="13"/>
  <c r="G107" i="13" s="1"/>
  <c r="F106" i="13"/>
  <c r="D106" i="13"/>
  <c r="F105" i="13"/>
  <c r="D105" i="13"/>
  <c r="F104" i="13"/>
  <c r="D104" i="13"/>
  <c r="D102" i="13"/>
  <c r="D97" i="13"/>
  <c r="D88" i="13"/>
  <c r="D87" i="13"/>
  <c r="C88" i="13" s="1"/>
  <c r="C86" i="13"/>
  <c r="C85" i="13"/>
  <c r="N87" i="13"/>
  <c r="N82" i="13"/>
  <c r="O82" i="13" s="1"/>
  <c r="P82" i="13" s="1"/>
  <c r="C79" i="13"/>
  <c r="C78" i="13"/>
  <c r="D79" i="13"/>
  <c r="D77" i="13"/>
  <c r="D76" i="13"/>
  <c r="M79" i="13"/>
  <c r="N80" i="13" s="1"/>
  <c r="D74" i="13"/>
  <c r="D73" i="13"/>
  <c r="N70" i="13"/>
  <c r="O70" i="13" s="1"/>
  <c r="D72" i="13"/>
  <c r="C74" i="13"/>
  <c r="C73" i="13"/>
  <c r="C49" i="13"/>
  <c r="C69" i="13"/>
  <c r="C61" i="13"/>
  <c r="E41" i="13"/>
  <c r="F37" i="13"/>
  <c r="E36" i="13"/>
  <c r="D56" i="13"/>
  <c r="J192" i="14" l="1"/>
  <c r="I46" i="15" s="1"/>
  <c r="J46" i="15" s="1"/>
  <c r="M146" i="14"/>
  <c r="N146" i="14" s="1"/>
  <c r="J179" i="14"/>
  <c r="G39" i="15"/>
  <c r="I39" i="15" s="1"/>
  <c r="J39" i="15" s="1"/>
  <c r="J23" i="14"/>
  <c r="I19" i="15" s="1"/>
  <c r="J19" i="15" s="1"/>
  <c r="G18" i="15"/>
  <c r="I18" i="15" s="1"/>
  <c r="J18" i="15" s="1"/>
  <c r="J18" i="14"/>
  <c r="I16" i="15" s="1"/>
  <c r="J16" i="15" s="1"/>
  <c r="G15" i="15"/>
  <c r="I15" i="15" s="1"/>
  <c r="J15" i="15" s="1"/>
  <c r="J30" i="15"/>
  <c r="J13" i="15"/>
  <c r="G174" i="14"/>
  <c r="J22" i="14"/>
  <c r="J191" i="14"/>
  <c r="J168" i="14"/>
  <c r="G53" i="14"/>
  <c r="M52" i="14"/>
  <c r="F112" i="14"/>
  <c r="G112" i="14" s="1"/>
  <c r="J156" i="14"/>
  <c r="J17" i="14"/>
  <c r="J89" i="14"/>
  <c r="G130" i="13"/>
  <c r="G112" i="13"/>
  <c r="F67" i="13"/>
  <c r="G67" i="13" s="1"/>
  <c r="D115" i="13"/>
  <c r="F68" i="13"/>
  <c r="G68" i="13" s="1"/>
  <c r="O79" i="13"/>
  <c r="N79" i="13"/>
  <c r="C50" i="13"/>
  <c r="B50" i="13"/>
  <c r="D41" i="13"/>
  <c r="D61" i="13" s="1"/>
  <c r="E40" i="13"/>
  <c r="D40" i="13"/>
  <c r="C38" i="13"/>
  <c r="D38" i="13"/>
  <c r="D39" i="13"/>
  <c r="D36" i="13"/>
  <c r="E35" i="13"/>
  <c r="D35" i="13"/>
  <c r="E31" i="13"/>
  <c r="D31" i="13"/>
  <c r="D71" i="13" s="1"/>
  <c r="B31" i="13"/>
  <c r="D30" i="13"/>
  <c r="D69" i="13" s="1"/>
  <c r="C97" i="13"/>
  <c r="F29" i="13"/>
  <c r="F49" i="13" s="1"/>
  <c r="D29" i="13"/>
  <c r="D49" i="13" s="1"/>
  <c r="M114" i="14" l="1"/>
  <c r="J175" i="14"/>
  <c r="I37" i="15" s="1"/>
  <c r="J37" i="15" s="1"/>
  <c r="G36" i="15"/>
  <c r="I36" i="15" s="1"/>
  <c r="J36" i="15" s="1"/>
  <c r="J174" i="14"/>
  <c r="G139" i="14"/>
  <c r="J53" i="14"/>
  <c r="G21" i="15"/>
  <c r="I21" i="15" s="1"/>
  <c r="J54" i="14"/>
  <c r="I22" i="15" s="1"/>
  <c r="J22" i="15" s="1"/>
  <c r="J90" i="14"/>
  <c r="I25" i="15" s="1"/>
  <c r="G131" i="13"/>
  <c r="J132" i="13" s="1"/>
  <c r="D89" i="13"/>
  <c r="C89" i="13"/>
  <c r="G49" i="13"/>
  <c r="C71" i="13"/>
  <c r="C80" i="13" s="1"/>
  <c r="D80" i="13"/>
  <c r="G38" i="13"/>
  <c r="G29" i="13"/>
  <c r="D34" i="13"/>
  <c r="D33" i="13"/>
  <c r="E11" i="13"/>
  <c r="E27" i="13" s="1"/>
  <c r="D11" i="13"/>
  <c r="D27" i="13" s="1"/>
  <c r="D66" i="13" s="1"/>
  <c r="C66" i="13" s="1"/>
  <c r="E16" i="13"/>
  <c r="D16" i="13"/>
  <c r="C11" i="13"/>
  <c r="J25" i="15" l="1"/>
  <c r="G141" i="14"/>
  <c r="J21" i="15"/>
  <c r="J131" i="13"/>
  <c r="D75" i="13"/>
  <c r="C77" i="13"/>
  <c r="D86" i="13"/>
  <c r="D85" i="13"/>
  <c r="J142" i="14" l="1"/>
  <c r="J141" i="14"/>
  <c r="J205" i="14" s="1"/>
  <c r="C207" i="14" s="1"/>
  <c r="G27" i="15"/>
  <c r="I27" i="15" s="1"/>
  <c r="N21" i="15"/>
  <c r="I28" i="15"/>
  <c r="C163" i="13"/>
  <c r="C162" i="13"/>
  <c r="G154" i="13"/>
  <c r="J154" i="13" s="1"/>
  <c r="I151" i="13"/>
  <c r="D150" i="13"/>
  <c r="G150" i="13" s="1"/>
  <c r="D149" i="13"/>
  <c r="G149" i="13" s="1"/>
  <c r="D148" i="13"/>
  <c r="G148" i="13" s="1"/>
  <c r="G146" i="13"/>
  <c r="J146" i="13" s="1"/>
  <c r="I143" i="13"/>
  <c r="C142" i="13"/>
  <c r="B142" i="13"/>
  <c r="D141" i="13"/>
  <c r="G135" i="13"/>
  <c r="G136" i="13" s="1"/>
  <c r="I126" i="13"/>
  <c r="D125" i="13"/>
  <c r="D142" i="13" s="1"/>
  <c r="C125" i="13"/>
  <c r="B125" i="13"/>
  <c r="F124" i="13"/>
  <c r="F140" i="13" s="1"/>
  <c r="D124" i="13"/>
  <c r="D140" i="13" s="1"/>
  <c r="C124" i="13"/>
  <c r="B124" i="13"/>
  <c r="C123" i="13"/>
  <c r="B123" i="13"/>
  <c r="D117" i="13"/>
  <c r="C117" i="13"/>
  <c r="B117" i="13"/>
  <c r="D116" i="13"/>
  <c r="C116" i="13"/>
  <c r="B116" i="13"/>
  <c r="C115" i="13"/>
  <c r="G115" i="13" s="1"/>
  <c r="B115" i="13"/>
  <c r="G106" i="13"/>
  <c r="F125" i="13"/>
  <c r="G103" i="13"/>
  <c r="F102" i="13"/>
  <c r="F97" i="13"/>
  <c r="E92" i="13"/>
  <c r="B92" i="13"/>
  <c r="E91" i="13"/>
  <c r="B91" i="13"/>
  <c r="E89" i="13"/>
  <c r="E88" i="13"/>
  <c r="E87" i="13"/>
  <c r="C87" i="13"/>
  <c r="E86" i="13"/>
  <c r="E85" i="13"/>
  <c r="E84" i="13"/>
  <c r="C84" i="13"/>
  <c r="E83" i="13"/>
  <c r="E82" i="13"/>
  <c r="E80" i="13"/>
  <c r="E79" i="13"/>
  <c r="E78" i="13"/>
  <c r="N77" i="13"/>
  <c r="E77" i="13"/>
  <c r="E76" i="13"/>
  <c r="C76" i="13"/>
  <c r="M75" i="13"/>
  <c r="N75" i="13" s="1"/>
  <c r="O75" i="13" s="1"/>
  <c r="E75" i="13"/>
  <c r="C75" i="13"/>
  <c r="E74" i="13"/>
  <c r="E73" i="13"/>
  <c r="M72" i="13"/>
  <c r="N72" i="13" s="1"/>
  <c r="O72" i="13" s="1"/>
  <c r="E72" i="13"/>
  <c r="E71" i="13"/>
  <c r="E70" i="13"/>
  <c r="D70" i="13"/>
  <c r="E69" i="13"/>
  <c r="B69" i="13"/>
  <c r="M66" i="13"/>
  <c r="N66" i="13" s="1"/>
  <c r="E66" i="13"/>
  <c r="B66" i="13"/>
  <c r="M65" i="13"/>
  <c r="N65" i="13" s="1"/>
  <c r="N64" i="13"/>
  <c r="E61" i="13"/>
  <c r="C92" i="13" s="1"/>
  <c r="C91" i="13"/>
  <c r="B61" i="13"/>
  <c r="B90" i="13" s="1"/>
  <c r="C60" i="13"/>
  <c r="B60" i="13"/>
  <c r="B89" i="13" s="1"/>
  <c r="F58" i="13"/>
  <c r="D58" i="13"/>
  <c r="B58" i="13"/>
  <c r="B87" i="13" s="1"/>
  <c r="D57" i="13"/>
  <c r="D59" i="13" s="1"/>
  <c r="C57" i="13"/>
  <c r="C59" i="13" s="1"/>
  <c r="B57" i="13"/>
  <c r="B84" i="13" s="1"/>
  <c r="C82" i="13"/>
  <c r="C56" i="13"/>
  <c r="B56" i="13"/>
  <c r="B81" i="13" s="1"/>
  <c r="E55" i="13"/>
  <c r="D55" i="13"/>
  <c r="C54" i="13"/>
  <c r="C118" i="13" s="1"/>
  <c r="B54" i="13"/>
  <c r="F53" i="13"/>
  <c r="C53" i="13"/>
  <c r="B53" i="13"/>
  <c r="B78" i="13" s="1"/>
  <c r="F52" i="13"/>
  <c r="C52" i="13"/>
  <c r="B52" i="13"/>
  <c r="D51" i="13"/>
  <c r="C51" i="13"/>
  <c r="C55" i="13" s="1"/>
  <c r="B51" i="13"/>
  <c r="F50" i="13"/>
  <c r="D48" i="13"/>
  <c r="C48" i="13"/>
  <c r="C72" i="13" s="1"/>
  <c r="F47" i="13"/>
  <c r="G41" i="13"/>
  <c r="E60" i="13"/>
  <c r="D60" i="13"/>
  <c r="C39" i="13"/>
  <c r="C58" i="13" s="1"/>
  <c r="F57" i="13"/>
  <c r="D84" i="13" s="1"/>
  <c r="G36" i="13"/>
  <c r="E54" i="13"/>
  <c r="G33" i="13"/>
  <c r="F32" i="13"/>
  <c r="B71" i="13"/>
  <c r="M28" i="13"/>
  <c r="N28" i="13" s="1"/>
  <c r="F28" i="13"/>
  <c r="G28" i="13" s="1"/>
  <c r="C21" i="13"/>
  <c r="C27" i="13" s="1"/>
  <c r="B21" i="13"/>
  <c r="B15" i="13"/>
  <c r="E21" i="13"/>
  <c r="D15" i="13"/>
  <c r="J27" i="15" l="1"/>
  <c r="I52" i="15"/>
  <c r="J52" i="15" s="1"/>
  <c r="C209" i="14"/>
  <c r="J28" i="15"/>
  <c r="G141" i="13"/>
  <c r="G123" i="13"/>
  <c r="F71" i="13"/>
  <c r="G71" i="13" s="1"/>
  <c r="G140" i="13"/>
  <c r="G37" i="13"/>
  <c r="G58" i="13"/>
  <c r="G102" i="13"/>
  <c r="G105" i="13"/>
  <c r="O66" i="13"/>
  <c r="O64" i="13" s="1"/>
  <c r="P64" i="13" s="1"/>
  <c r="F87" i="13"/>
  <c r="G87" i="13" s="1"/>
  <c r="D21" i="13"/>
  <c r="D47" i="13" s="1"/>
  <c r="F72" i="13"/>
  <c r="G72" i="13" s="1"/>
  <c r="G118" i="13"/>
  <c r="D83" i="13"/>
  <c r="F85" i="13"/>
  <c r="G85" i="13" s="1"/>
  <c r="F86" i="13"/>
  <c r="G86" i="13" s="1"/>
  <c r="G151" i="13"/>
  <c r="J151" i="13" s="1"/>
  <c r="F79" i="13"/>
  <c r="G79" i="13" s="1"/>
  <c r="G97" i="13"/>
  <c r="C160" i="13"/>
  <c r="G16" i="13"/>
  <c r="G39" i="13"/>
  <c r="G59" i="13"/>
  <c r="F73" i="13"/>
  <c r="G73" i="13" s="1"/>
  <c r="F74" i="13"/>
  <c r="G74" i="13" s="1"/>
  <c r="G116" i="13"/>
  <c r="G124" i="13"/>
  <c r="G61" i="13"/>
  <c r="F89" i="13"/>
  <c r="G89" i="13" s="1"/>
  <c r="D91" i="13"/>
  <c r="F91" i="13" s="1"/>
  <c r="G91" i="13" s="1"/>
  <c r="E15" i="13"/>
  <c r="G15" i="13" s="1"/>
  <c r="G31" i="13"/>
  <c r="G40" i="13"/>
  <c r="G60" i="13"/>
  <c r="F76" i="13"/>
  <c r="G76" i="13" s="1"/>
  <c r="F80" i="13"/>
  <c r="G80" i="13" s="1"/>
  <c r="F88" i="13"/>
  <c r="G88" i="13" s="1"/>
  <c r="F51" i="13"/>
  <c r="G51" i="13" s="1"/>
  <c r="G32" i="13"/>
  <c r="D54" i="13"/>
  <c r="G54" i="13" s="1"/>
  <c r="G35" i="13"/>
  <c r="D53" i="13"/>
  <c r="G34" i="13"/>
  <c r="J137" i="13"/>
  <c r="J136" i="13"/>
  <c r="C47" i="13"/>
  <c r="F142" i="13"/>
  <c r="G142" i="13" s="1"/>
  <c r="G125" i="13"/>
  <c r="D50" i="13"/>
  <c r="C70" i="13" s="1"/>
  <c r="G30" i="13"/>
  <c r="F84" i="13"/>
  <c r="G84" i="13" s="1"/>
  <c r="G57" i="13"/>
  <c r="F48" i="13"/>
  <c r="G48" i="13" s="1"/>
  <c r="D52" i="13"/>
  <c r="G52" i="13" s="1"/>
  <c r="G55" i="13"/>
  <c r="G104" i="13"/>
  <c r="E56" i="13"/>
  <c r="G56" i="13" s="1"/>
  <c r="D92" i="13"/>
  <c r="F92" i="13" s="1"/>
  <c r="G92" i="13" s="1"/>
  <c r="G11" i="13"/>
  <c r="G12" i="13" s="1"/>
  <c r="J12" i="13" s="1"/>
  <c r="G117" i="13"/>
  <c r="C210" i="14" l="1"/>
  <c r="M208" i="14"/>
  <c r="N208" i="14" s="1"/>
  <c r="N22" i="15"/>
  <c r="E209" i="14"/>
  <c r="E210" i="14" s="1"/>
  <c r="J6" i="15"/>
  <c r="G108" i="13"/>
  <c r="G143" i="13"/>
  <c r="G98" i="13"/>
  <c r="J99" i="13" s="1"/>
  <c r="G126" i="13"/>
  <c r="G119" i="13"/>
  <c r="J119" i="13" s="1"/>
  <c r="G53" i="13"/>
  <c r="D78" i="13"/>
  <c r="J152" i="13"/>
  <c r="J144" i="13"/>
  <c r="G27" i="13"/>
  <c r="G42" i="13" s="1"/>
  <c r="G17" i="13"/>
  <c r="J18" i="13" s="1"/>
  <c r="J98" i="13"/>
  <c r="J126" i="13"/>
  <c r="G21" i="13"/>
  <c r="G22" i="13" s="1"/>
  <c r="J22" i="13" s="1"/>
  <c r="F66" i="13"/>
  <c r="G66" i="13" s="1"/>
  <c r="G47" i="13"/>
  <c r="F70" i="13"/>
  <c r="G70" i="13" s="1"/>
  <c r="F77" i="13"/>
  <c r="G77" i="13" s="1"/>
  <c r="C83" i="13"/>
  <c r="F83" i="13" s="1"/>
  <c r="G83" i="13" s="1"/>
  <c r="D82" i="13"/>
  <c r="F82" i="13" s="1"/>
  <c r="G82" i="13" s="1"/>
  <c r="G50" i="13"/>
  <c r="G62" i="13" l="1"/>
  <c r="J62" i="13" s="1"/>
  <c r="J108" i="13"/>
  <c r="J143" i="13"/>
  <c r="J127" i="13"/>
  <c r="J120" i="13"/>
  <c r="J17" i="13"/>
  <c r="J23" i="13"/>
  <c r="F78" i="13"/>
  <c r="G78" i="13" s="1"/>
  <c r="J43" i="13"/>
  <c r="F69" i="13" l="1"/>
  <c r="G69" i="13" s="1"/>
  <c r="G93" i="13" s="1"/>
  <c r="F75" i="13"/>
  <c r="G75" i="13" s="1"/>
  <c r="J42" i="13"/>
  <c r="J63" i="13"/>
  <c r="J93" i="13" l="1"/>
  <c r="J94" i="13" l="1"/>
  <c r="J156" i="13" l="1"/>
  <c r="C158" i="13" s="1"/>
  <c r="C161" i="13" l="1"/>
  <c r="E160" i="13"/>
  <c r="E161" i="13" s="1"/>
</calcChain>
</file>

<file path=xl/comments1.xml><?xml version="1.0" encoding="utf-8"?>
<comments xmlns="http://schemas.openxmlformats.org/spreadsheetml/2006/main">
  <authors>
    <author>boom boom</author>
  </authors>
  <commentList>
    <comment ref="E36" authorId="0" shapeId="0">
      <text>
        <r>
          <rPr>
            <b/>
            <sz val="9"/>
            <color indexed="81"/>
            <rFont val="Tahoma"/>
          </rPr>
          <t>boom boom:</t>
        </r>
        <r>
          <rPr>
            <sz val="9"/>
            <color indexed="81"/>
            <rFont val="Tahoma"/>
          </rPr>
          <t xml:space="preserve">
(14.75+12.833)/2=13.833</t>
        </r>
      </text>
    </comment>
    <comment ref="C78" authorId="0" shapeId="0">
      <text>
        <r>
          <rPr>
            <b/>
            <sz val="9"/>
            <color indexed="81"/>
            <rFont val="Tahoma"/>
          </rPr>
          <t>boom boom:</t>
        </r>
        <r>
          <rPr>
            <sz val="9"/>
            <color indexed="81"/>
            <rFont val="Tahoma"/>
          </rPr>
          <t xml:space="preserve">
cranked extrra bar in bottom and top</t>
        </r>
      </text>
    </comment>
  </commentList>
</comments>
</file>

<file path=xl/comments2.xml><?xml version="1.0" encoding="utf-8"?>
<comments xmlns="http://schemas.openxmlformats.org/spreadsheetml/2006/main">
  <authors>
    <author>DELL</author>
  </authors>
  <commentList>
    <comment ref="D30" authorId="0" shapeId="0">
      <text>
        <r>
          <rPr>
            <b/>
            <sz val="9"/>
            <color indexed="81"/>
            <rFont val="Tahoma"/>
          </rPr>
          <t>DELL:</t>
        </r>
        <r>
          <rPr>
            <sz val="9"/>
            <color indexed="81"/>
            <rFont val="Tahoma"/>
          </rPr>
          <t xml:space="preserve">
need to be confirmed</t>
        </r>
      </text>
    </comment>
    <comment ref="E33" authorId="0" shapeId="0">
      <text>
        <r>
          <rPr>
            <b/>
            <sz val="9"/>
            <color indexed="81"/>
            <rFont val="Tahoma"/>
            <family val="2"/>
          </rPr>
          <t>DELL:</t>
        </r>
        <r>
          <rPr>
            <sz val="9"/>
            <color indexed="81"/>
            <rFont val="Tahoma"/>
            <family val="2"/>
          </rPr>
          <t xml:space="preserve">
need to be checked in field</t>
        </r>
      </text>
    </comment>
    <comment ref="D43" authorId="0" shapeId="0">
      <text>
        <r>
          <rPr>
            <b/>
            <sz val="9"/>
            <color indexed="81"/>
            <rFont val="Tahoma"/>
            <family val="2"/>
          </rPr>
          <t>DELL:</t>
        </r>
        <r>
          <rPr>
            <sz val="9"/>
            <color indexed="81"/>
            <rFont val="Tahoma"/>
            <family val="2"/>
          </rPr>
          <t xml:space="preserve">
(13.5+5)/2</t>
        </r>
      </text>
    </comment>
    <comment ref="D47" authorId="0" shapeId="0">
      <text>
        <r>
          <rPr>
            <b/>
            <sz val="9"/>
            <color indexed="81"/>
            <rFont val="Tahoma"/>
            <family val="2"/>
          </rPr>
          <t>DELL:</t>
        </r>
        <r>
          <rPr>
            <sz val="9"/>
            <color indexed="81"/>
            <rFont val="Tahoma"/>
            <family val="2"/>
          </rPr>
          <t xml:space="preserve">
need to be checked at field</t>
        </r>
      </text>
    </comment>
    <comment ref="D60" authorId="0" shapeId="0">
      <text>
        <r>
          <rPr>
            <b/>
            <sz val="9"/>
            <color indexed="81"/>
            <rFont val="Tahoma"/>
          </rPr>
          <t>DELL:</t>
        </r>
        <r>
          <rPr>
            <sz val="9"/>
            <color indexed="81"/>
            <rFont val="Tahoma"/>
          </rPr>
          <t xml:space="preserve">
need to be confirmed</t>
        </r>
      </text>
    </comment>
    <comment ref="D77" authorId="0" shapeId="0">
      <text>
        <r>
          <rPr>
            <b/>
            <sz val="9"/>
            <color indexed="81"/>
            <rFont val="Tahoma"/>
            <family val="2"/>
          </rPr>
          <t>DELL:</t>
        </r>
        <r>
          <rPr>
            <sz val="9"/>
            <color indexed="81"/>
            <rFont val="Tahoma"/>
            <family val="2"/>
          </rPr>
          <t xml:space="preserve">
(13.5+5)/2</t>
        </r>
      </text>
    </comment>
    <comment ref="F81" authorId="0" shapeId="0">
      <text>
        <r>
          <rPr>
            <b/>
            <sz val="9"/>
            <color indexed="81"/>
            <rFont val="Tahoma"/>
            <family val="2"/>
          </rPr>
          <t>DELL:</t>
        </r>
        <r>
          <rPr>
            <sz val="9"/>
            <color indexed="81"/>
            <rFont val="Tahoma"/>
            <family val="2"/>
          </rPr>
          <t xml:space="preserve">
need to be checked at field</t>
        </r>
      </text>
    </comment>
  </commentList>
</comments>
</file>

<file path=xl/sharedStrings.xml><?xml version="1.0" encoding="utf-8"?>
<sst xmlns="http://schemas.openxmlformats.org/spreadsheetml/2006/main" count="369" uniqueCount="133">
  <si>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</si>
  <si>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</si>
  <si>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</si>
  <si>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</si>
  <si>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</si>
  <si>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</si>
  <si>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</si>
  <si>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</si>
  <si>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</si>
  <si>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</si>
  <si>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</si>
  <si>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</si>
  <si>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</si>
  <si>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Remarks</t>
  </si>
  <si>
    <t>Grand Total</t>
  </si>
  <si>
    <t>Location:- Shankharapur Municipality 9</t>
  </si>
  <si>
    <t>cum</t>
  </si>
  <si>
    <t>Information board (सुचना पाटि)</t>
  </si>
  <si>
    <t>no.</t>
  </si>
  <si>
    <t>Sub-total</t>
  </si>
  <si>
    <t>A</t>
  </si>
  <si>
    <t>-VAT 13% for materials</t>
  </si>
  <si>
    <t>For Protection work</t>
  </si>
  <si>
    <t>-For foundation</t>
  </si>
  <si>
    <t xml:space="preserve">;'Vvf O{6f RofK6f] 5fKg] sfd </t>
  </si>
  <si>
    <t>sqm</t>
  </si>
  <si>
    <t>hu leQf kvf{ndf l;d]G6 s+lqm6 ug]{ sfd-lk=;L=;L= !M#M^_</t>
  </si>
  <si>
    <t>d]lzgsf] k|of]u u/L ;'k/ :6«Sr/df l;d]G6 s+lqm6 ug]{ sfd -!M!=%M#_</t>
  </si>
  <si>
    <t>-For footing</t>
  </si>
  <si>
    <t>-Rectangular portion</t>
  </si>
  <si>
    <t>-Neck column</t>
  </si>
  <si>
    <t>-Column</t>
  </si>
  <si>
    <t>-Beam</t>
  </si>
  <si>
    <t>-Slab</t>
  </si>
  <si>
    <t>kmnfd]sf] kfOk / KnfOaf]8{af6 kmdf{ agfpg] sfd</t>
  </si>
  <si>
    <t xml:space="preserve">cf/=;L=;L= nflu kmnfd] 808L sf6\g], df]8\g] #) dL6/ ;Dd </t>
  </si>
  <si>
    <t>Length (m)</t>
  </si>
  <si>
    <t>Unit weight (m)</t>
  </si>
  <si>
    <t>Total weight (kg)</t>
  </si>
  <si>
    <t>Total weight (M.T.)</t>
  </si>
  <si>
    <t>M.T</t>
  </si>
  <si>
    <t>-Extra bars</t>
  </si>
  <si>
    <t>-Stirrups</t>
  </si>
  <si>
    <t xml:space="preserve">e'O{+tNnfdf lrDgL e§fsf] O{+6fsf] uf/f] l;d]G6 d;nf -!M^_ df </t>
  </si>
  <si>
    <t xml:space="preserve">!@=% dL=dL= l;d]G6 afn'jf -!M$_ Knfi6/ </t>
  </si>
  <si>
    <t>-At Ground floor</t>
  </si>
  <si>
    <t>-At between lower and upper tie beam</t>
  </si>
  <si>
    <t>-For flooring</t>
  </si>
  <si>
    <t>Total Estimated</t>
  </si>
  <si>
    <t>Budget allocated</t>
  </si>
  <si>
    <t>Municipal payment</t>
  </si>
  <si>
    <t>User Contribution</t>
  </si>
  <si>
    <t xml:space="preserve">Contingencies </t>
  </si>
  <si>
    <t xml:space="preserve">Maintanince </t>
  </si>
  <si>
    <t>Rate</t>
  </si>
  <si>
    <t>Amount</t>
  </si>
  <si>
    <t>g/d k|sf/sf] Sn] / l;N6L df6f]df ;j} lsl;dsf] vGg] k'g]{ sfd</t>
  </si>
  <si>
    <t>-Inclined Surface</t>
  </si>
  <si>
    <t xml:space="preserve">e'O{+tNnfdf lrDgL e§fsf] O{+6fsf] uf/f] l;d]G6 d;nf -!M$_ df  </t>
  </si>
  <si>
    <t>-Deduction for window</t>
  </si>
  <si>
    <t>Traditional Brick (Small Dachi Appa) work in (1:1:2)  lime, surkhi, sand mortar</t>
  </si>
  <si>
    <t>VAT calculation</t>
  </si>
  <si>
    <t>11m</t>
  </si>
  <si>
    <t>22m</t>
  </si>
  <si>
    <t>total</t>
  </si>
  <si>
    <t>from centre</t>
  </si>
  <si>
    <t>hanumante</t>
  </si>
  <si>
    <t>20 gauge Brass plate making and fixing on roof</t>
  </si>
  <si>
    <t>PS</t>
  </si>
  <si>
    <t>Project:- लाकिला गणेश मन्दिर निर्माण</t>
  </si>
  <si>
    <t>-Upper plinth beam</t>
  </si>
  <si>
    <t>-Secondary beam</t>
  </si>
  <si>
    <t>-1st floor column</t>
  </si>
  <si>
    <t>-1st floor Inclined Surface</t>
  </si>
  <si>
    <t>-2nd floor beam</t>
  </si>
  <si>
    <t>-2nd floor slab</t>
  </si>
  <si>
    <t>-2nd floor inclined roof slab</t>
  </si>
  <si>
    <t>-1st floor slab</t>
  </si>
  <si>
    <t>-Deduction for column part</t>
  </si>
  <si>
    <t>-Slab doubly reinforcement</t>
  </si>
  <si>
    <t>-horizontal bars</t>
  </si>
  <si>
    <t>-vertical bars</t>
  </si>
  <si>
    <t>-Deduction for door</t>
  </si>
  <si>
    <t>-deduction for column beam intersection</t>
  </si>
  <si>
    <t>-At horizontal roof slab</t>
  </si>
  <si>
    <t>Provisional sum for lab test</t>
  </si>
  <si>
    <t xml:space="preserve">cu|fv sf7sf] rf}s; agfO hf]8\g] sfd </t>
  </si>
  <si>
    <t>Window</t>
  </si>
  <si>
    <t>Door</t>
  </si>
  <si>
    <t>Carved salwood Lattice (jali) of Carved Window and door  (second type) including wood</t>
  </si>
  <si>
    <t>Date: 2080/10/14</t>
  </si>
  <si>
    <t>F.Y.: 2080/81</t>
  </si>
  <si>
    <t>-Shear wall</t>
  </si>
  <si>
    <t>-1st floor beam</t>
  </si>
  <si>
    <t>-shear wall vertical bars</t>
  </si>
  <si>
    <t>-shear wall horizontal bars</t>
  </si>
  <si>
    <t>-At basement</t>
  </si>
  <si>
    <t xml:space="preserve">-Basement floor ceiling </t>
  </si>
  <si>
    <t>Traditional Nago Brick work in (1:1:2) lime,surkhi, sand mortar</t>
  </si>
  <si>
    <t>-At ground floor</t>
  </si>
  <si>
    <t xml:space="preserve">Note: </t>
  </si>
  <si>
    <t>All the dimensions are taken as per the direction/instruction of senior engineer and the design, dimensions and rates  should be first verified and approved by senior engineer of Shankharapur Municipality then only the estimate is authentic.</t>
  </si>
  <si>
    <t>-Shear wall footing</t>
  </si>
  <si>
    <t>-column</t>
  </si>
  <si>
    <t>-beam</t>
  </si>
  <si>
    <t>-slab</t>
  </si>
  <si>
    <t>-inclined slab</t>
  </si>
  <si>
    <t>-Ground floor slab</t>
  </si>
  <si>
    <t>- column stirrups</t>
  </si>
  <si>
    <t xml:space="preserve">-Column from1st floor to roof floor </t>
  </si>
  <si>
    <t>-2nd floor upper beam</t>
  </si>
  <si>
    <t>-2nd floor inclined slab</t>
  </si>
  <si>
    <t>-1st floor inclined slab</t>
  </si>
  <si>
    <t>-deduction for hollow part</t>
  </si>
  <si>
    <t>-deduction for beam</t>
  </si>
  <si>
    <t>-plinth beam</t>
  </si>
  <si>
    <t>-GF Beam</t>
  </si>
  <si>
    <t>Work Completion Report</t>
  </si>
  <si>
    <t>Total Estimated Amount:</t>
  </si>
  <si>
    <t>Total Valuated Amount :</t>
  </si>
  <si>
    <t>Work Started : 2080</t>
  </si>
  <si>
    <t>F.Y:2080/2081</t>
  </si>
  <si>
    <t>S.No.</t>
  </si>
  <si>
    <t>Description</t>
  </si>
  <si>
    <t>Estimated</t>
  </si>
  <si>
    <t>Valuated</t>
  </si>
  <si>
    <t>Difference</t>
  </si>
  <si>
    <t xml:space="preserve">Quantity </t>
  </si>
  <si>
    <t>Total</t>
  </si>
  <si>
    <t>Work Finished:2081</t>
  </si>
  <si>
    <t>slab edge</t>
  </si>
  <si>
    <t>top roof floor</t>
  </si>
  <si>
    <t>-wastage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</si>
</sst>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b/>
      <sz val="12"/>
      <name val="Preeti"/>
    </font>
    <font>
      <sz val="11"/>
      <color theme="1"/>
      <name val="Times New Roman"/>
      <family val="1"/>
    </font>
    <font>
      <sz val="11"/>
      <name val="Calibri"/>
      <family val="2"/>
      <scheme val="minor"/>
    </font>
    <font>
      <sz val="16"/>
      <name val="Preeti"/>
    </font>
    <font>
      <sz val="9"/>
      <color indexed="81"/>
      <name val="Tahoma"/>
    </font>
    <font>
      <b/>
      <sz val="9"/>
      <color indexed="81"/>
      <name val="Tahoma"/>
    </font>
    <font>
      <b/>
      <sz val="9"/>
      <color theme="1"/>
      <name val="Calibri"/>
      <family val="2"/>
      <scheme val="minor"/>
    </font>
    <font>
      <sz val="11"/>
      <color rgb="FFFF0000"/>
      <name val="Calibri"/>
      <family val="2"/>
      <scheme val="minor"/>
    </font>
    <font>
      <sz val="9"/>
      <color indexed="81"/>
      <name val="Tahoma"/>
      <family val="2"/>
    </font>
    <font>
      <b/>
      <sz val="9"/>
      <color indexed="81"/>
      <name val="Tahoma"/>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1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2" fillId="0" borderId="0" xfId="0" applyFont="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1" fontId="9" fillId="0" borderId="1" xfId="0" applyNumberFormat="1" applyFont="1" applyFill="1" applyBorder="1" applyAlignment="1">
      <alignment horizontal="right" vertical="center" wrapText="1"/>
    </xf>
    <xf numFmtId="2" fontId="2" fillId="0" borderId="1" xfId="0" applyNumberFormat="1" applyFont="1" applyBorder="1" applyAlignment="1">
      <alignment vertical="center"/>
    </xf>
    <xf numFmtId="2" fontId="2" fillId="0" borderId="1" xfId="1" applyNumberFormat="1" applyFont="1" applyBorder="1" applyAlignment="1">
      <alignment vertical="center"/>
    </xf>
    <xf numFmtId="164" fontId="0" fillId="0" borderId="1" xfId="0" applyNumberFormat="1" applyBorder="1" applyAlignment="1">
      <alignment vertical="center"/>
    </xf>
    <xf numFmtId="2" fontId="3"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alignment vertical="center"/>
    </xf>
    <xf numFmtId="0" fontId="0" fillId="0" borderId="1" xfId="0" quotePrefix="1" applyFont="1" applyBorder="1" applyAlignment="1">
      <alignment horizontal="right" vertical="center" wrapText="1"/>
    </xf>
    <xf numFmtId="0" fontId="2" fillId="0" borderId="1" xfId="0" applyFont="1" applyBorder="1" applyAlignment="1">
      <alignment horizontal="right" vertical="center" wrapText="1"/>
    </xf>
    <xf numFmtId="1" fontId="8" fillId="0" borderId="1" xfId="0" applyNumberFormat="1" applyFont="1" applyFill="1" applyBorder="1" applyAlignment="1"/>
    <xf numFmtId="0" fontId="0" fillId="0" borderId="1" xfId="0" applyBorder="1" applyAlignment="1"/>
    <xf numFmtId="0" fontId="2" fillId="0" borderId="1" xfId="0" applyFont="1" applyBorder="1" applyAlignment="1"/>
    <xf numFmtId="2" fontId="8" fillId="0" borderId="1" xfId="0" applyNumberFormat="1" applyFont="1" applyFill="1" applyBorder="1" applyAlignment="1"/>
    <xf numFmtId="2" fontId="8" fillId="0" borderId="1" xfId="1" applyNumberFormat="1" applyFont="1" applyFill="1" applyBorder="1" applyAlignment="1"/>
    <xf numFmtId="2" fontId="9" fillId="0" borderId="1" xfId="0" applyNumberFormat="1" applyFont="1" applyFill="1" applyBorder="1" applyAlignment="1"/>
    <xf numFmtId="0" fontId="0" fillId="0" borderId="0" xfId="0" applyAlignment="1"/>
    <xf numFmtId="0" fontId="10" fillId="2" borderId="1" xfId="0" applyFont="1" applyFill="1" applyBorder="1" applyAlignment="1">
      <alignment vertical="center" wrapText="1"/>
    </xf>
    <xf numFmtId="0" fontId="10" fillId="2" borderId="1" xfId="0" applyFont="1" applyFill="1" applyBorder="1" applyAlignment="1">
      <alignment wrapText="1"/>
    </xf>
    <xf numFmtId="0" fontId="0" fillId="0" borderId="1" xfId="0" quotePrefix="1" applyFont="1" applyBorder="1" applyAlignment="1">
      <alignment horizontal="center" vertical="center" wrapText="1"/>
    </xf>
    <xf numFmtId="2" fontId="0" fillId="0" borderId="1" xfId="0" applyNumberFormat="1" applyBorder="1" applyAlignment="1">
      <alignment vertical="center" wrapText="1"/>
    </xf>
    <xf numFmtId="1" fontId="8" fillId="0" borderId="1" xfId="0" applyNumberFormat="1" applyFont="1" applyFill="1" applyBorder="1" applyAlignment="1">
      <alignment vertical="center" wrapText="1"/>
    </xf>
    <xf numFmtId="0" fontId="0" fillId="0" borderId="0" xfId="0" applyBorder="1" applyAlignment="1"/>
    <xf numFmtId="0" fontId="0" fillId="0" borderId="0" xfId="0" applyBorder="1"/>
    <xf numFmtId="0" fontId="11" fillId="0" borderId="0" xfId="0" applyFont="1" applyAlignment="1">
      <alignment vertical="center"/>
    </xf>
    <xf numFmtId="0" fontId="11" fillId="0" borderId="0" xfId="0" applyFont="1"/>
    <xf numFmtId="0" fontId="11" fillId="0" borderId="0" xfId="0" applyFont="1" applyBorder="1"/>
    <xf numFmtId="0" fontId="11" fillId="0" borderId="0" xfId="0" applyFont="1" applyAlignment="1"/>
    <xf numFmtId="0" fontId="0" fillId="0" borderId="0" xfId="0" applyFont="1" applyAlignment="1">
      <alignment vertical="center"/>
    </xf>
    <xf numFmtId="0" fontId="0" fillId="0" borderId="0" xfId="0" applyFont="1"/>
    <xf numFmtId="0" fontId="0" fillId="0" borderId="0" xfId="0" applyFont="1" applyBorder="1"/>
    <xf numFmtId="0" fontId="0" fillId="0" borderId="0" xfId="0" applyFont="1" applyAlignment="1"/>
    <xf numFmtId="0" fontId="9" fillId="0" borderId="0" xfId="0" applyFont="1" applyBorder="1" applyAlignment="1"/>
    <xf numFmtId="0" fontId="12" fillId="0" borderId="0" xfId="0" applyFont="1" applyBorder="1" applyAlignment="1"/>
    <xf numFmtId="0" fontId="12" fillId="0" borderId="0" xfId="0" applyFont="1" applyBorder="1" applyAlignment="1">
      <alignment vertical="center"/>
    </xf>
    <xf numFmtId="0" fontId="9" fillId="0" borderId="0" xfId="0" applyFont="1" applyBorder="1" applyAlignment="1">
      <alignment vertical="center"/>
    </xf>
    <xf numFmtId="0" fontId="8" fillId="2" borderId="1" xfId="0" applyFont="1" applyFill="1" applyBorder="1" applyAlignment="1">
      <alignment vertical="center" wrapText="1"/>
    </xf>
    <xf numFmtId="0" fontId="0" fillId="0" borderId="1" xfId="0" applyBorder="1"/>
    <xf numFmtId="0" fontId="2" fillId="0" borderId="1" xfId="0" applyFont="1" applyBorder="1"/>
    <xf numFmtId="0" fontId="13" fillId="0" borderId="0" xfId="0" applyFont="1" applyBorder="1" applyAlignment="1"/>
    <xf numFmtId="0" fontId="0" fillId="0" borderId="1" xfId="0" quotePrefix="1" applyFont="1" applyBorder="1" applyAlignment="1">
      <alignment horizontal="right" wrapText="1"/>
    </xf>
    <xf numFmtId="2" fontId="2" fillId="0" borderId="1" xfId="0" applyNumberFormat="1" applyFont="1" applyBorder="1"/>
    <xf numFmtId="2" fontId="0" fillId="0" borderId="2" xfId="0" applyNumberFormat="1" applyBorder="1" applyAlignment="1">
      <alignment vertical="center"/>
    </xf>
    <xf numFmtId="2" fontId="9" fillId="0" borderId="0" xfId="0" applyNumberFormat="1" applyFont="1" applyBorder="1" applyAlignment="1"/>
    <xf numFmtId="2" fontId="0" fillId="0" borderId="2" xfId="0" applyNumberFormat="1" applyFill="1" applyBorder="1" applyAlignment="1">
      <alignment vertical="center"/>
    </xf>
    <xf numFmtId="0" fontId="16" fillId="0" borderId="0" xfId="0" applyFont="1" applyAlignment="1">
      <alignment vertical="top"/>
    </xf>
    <xf numFmtId="2" fontId="0" fillId="0" borderId="1" xfId="0" applyNumberFormat="1" applyFill="1" applyBorder="1" applyAlignment="1">
      <alignment vertical="center"/>
    </xf>
    <xf numFmtId="164" fontId="0" fillId="3" borderId="1" xfId="0" applyNumberFormat="1" applyFill="1" applyBorder="1" applyAlignment="1">
      <alignment vertical="center"/>
    </xf>
    <xf numFmtId="2" fontId="0" fillId="3" borderId="1" xfId="0" applyNumberFormat="1" applyFill="1" applyBorder="1" applyAlignment="1">
      <alignment vertical="center"/>
    </xf>
    <xf numFmtId="2" fontId="0" fillId="3" borderId="1" xfId="0" applyNumberFormat="1" applyFont="1" applyFill="1" applyBorder="1" applyAlignment="1">
      <alignment vertical="center"/>
    </xf>
    <xf numFmtId="0" fontId="0" fillId="3" borderId="1" xfId="0" quotePrefix="1" applyFont="1" applyFill="1" applyBorder="1" applyAlignment="1">
      <alignment horizontal="right" vertical="center" wrapText="1"/>
    </xf>
    <xf numFmtId="0" fontId="0" fillId="4" borderId="1" xfId="0" quotePrefix="1" applyFont="1" applyFill="1" applyBorder="1" applyAlignment="1">
      <alignment horizontal="right" vertical="center" wrapText="1"/>
    </xf>
    <xf numFmtId="165" fontId="0" fillId="0" borderId="1" xfId="0" applyNumberFormat="1" applyFont="1" applyBorder="1" applyAlignment="1">
      <alignment vertical="center"/>
    </xf>
    <xf numFmtId="0" fontId="0" fillId="0" borderId="1" xfId="0" quotePrefix="1" applyFont="1" applyFill="1" applyBorder="1" applyAlignment="1">
      <alignment horizontal="right" vertical="center" wrapText="1"/>
    </xf>
    <xf numFmtId="2" fontId="17" fillId="0" borderId="1" xfId="0" applyNumberFormat="1" applyFont="1" applyBorder="1" applyAlignment="1">
      <alignment vertical="center"/>
    </xf>
    <xf numFmtId="0" fontId="0" fillId="0" borderId="1" xfId="0" quotePrefix="1" applyFont="1" applyFill="1" applyBorder="1" applyAlignment="1">
      <alignment horizontal="center" vertical="center" wrapText="1"/>
    </xf>
    <xf numFmtId="2" fontId="12" fillId="0" borderId="1" xfId="0" applyNumberFormat="1" applyFont="1" applyFill="1" applyBorder="1" applyAlignment="1">
      <alignment vertical="center"/>
    </xf>
    <xf numFmtId="0" fontId="22" fillId="0" borderId="0" xfId="0" applyFont="1"/>
    <xf numFmtId="0" fontId="23" fillId="0" borderId="0" xfId="0" applyFont="1" applyAlignment="1">
      <alignment horizontal="center"/>
    </xf>
    <xf numFmtId="0" fontId="0" fillId="0" borderId="0" xfId="0" applyAlignment="1">
      <alignment horizontal="left"/>
    </xf>
    <xf numFmtId="0" fontId="0" fillId="5" borderId="1" xfId="0" applyFill="1" applyBorder="1"/>
    <xf numFmtId="1" fontId="11" fillId="0" borderId="1" xfId="0" applyNumberFormat="1" applyFont="1" applyBorder="1" applyAlignment="1">
      <alignment vertical="center"/>
    </xf>
    <xf numFmtId="1" fontId="11" fillId="0" borderId="1" xfId="0" applyNumberFormat="1" applyFont="1" applyBorder="1" applyAlignment="1">
      <alignment vertical="center" wrapText="1"/>
    </xf>
    <xf numFmtId="43" fontId="2" fillId="0" borderId="1" xfId="1" applyFont="1" applyBorder="1" applyAlignment="1">
      <alignment vertical="center"/>
    </xf>
    <xf numFmtId="0" fontId="0" fillId="0" borderId="1" xfId="0" applyBorder="1" applyAlignment="1">
      <alignment vertical="center" wrapText="1"/>
    </xf>
    <xf numFmtId="1" fontId="11" fillId="0" borderId="1" xfId="0" applyNumberFormat="1" applyFont="1" applyBorder="1" applyAlignment="1">
      <alignment horizontal="right" vertical="center" wrapText="1"/>
    </xf>
    <xf numFmtId="0" fontId="11" fillId="0" borderId="1" xfId="0" applyFont="1" applyBorder="1" applyAlignment="1">
      <alignment vertical="center"/>
    </xf>
    <xf numFmtId="0" fontId="2" fillId="0" borderId="1" xfId="0" applyFont="1" applyBorder="1" applyAlignment="1">
      <alignment horizontal="right"/>
    </xf>
    <xf numFmtId="43" fontId="2" fillId="0" borderId="1" xfId="1" applyFont="1" applyBorder="1"/>
    <xf numFmtId="0" fontId="16" fillId="0" borderId="0" xfId="0" applyFont="1" applyAlignment="1">
      <alignment vertical="top"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6" fillId="0" borderId="0" xfId="0" applyFont="1"/>
    <xf numFmtId="2" fontId="0" fillId="0" borderId="3" xfId="1" applyNumberFormat="1" applyFont="1" applyBorder="1" applyAlignment="1">
      <alignment horizontal="center" vertical="center"/>
    </xf>
    <xf numFmtId="2" fontId="0" fillId="0" borderId="4" xfId="1" applyNumberFormat="1" applyFont="1" applyBorder="1" applyAlignment="1">
      <alignment horizontal="center" vertical="center"/>
    </xf>
    <xf numFmtId="2" fontId="0" fillId="0" borderId="1" xfId="0" applyNumberFormat="1" applyBorder="1" applyAlignment="1">
      <alignment horizontal="center" vertical="center"/>
    </xf>
    <xf numFmtId="43" fontId="22" fillId="0" borderId="0" xfId="0" applyNumberFormat="1" applyFont="1" applyAlignment="1">
      <alignment horizontal="center"/>
    </xf>
    <xf numFmtId="0" fontId="22" fillId="0" borderId="0" xfId="0" applyFont="1" applyAlignment="1">
      <alignment horizontal="center"/>
    </xf>
    <xf numFmtId="0" fontId="3"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xf>
    <xf numFmtId="43" fontId="0" fillId="0" borderId="0" xfId="0" applyNumberFormat="1" applyAlignment="1">
      <alignment vertical="center"/>
    </xf>
    <xf numFmtId="2" fontId="11" fillId="0" borderId="0" xfId="0" applyNumberFormat="1" applyFont="1"/>
    <xf numFmtId="2" fontId="0" fillId="0" borderId="0" xfId="0" applyNumberFormat="1" applyFont="1"/>
    <xf numFmtId="2" fontId="0" fillId="0" borderId="0" xfId="0" applyNumberFormat="1"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8">
          <cell r="B168" t="str">
            <v>Providing and laying of Plain Cement Concrete M 10 ( or 1:3:6 for nominal mix) in Foundation complete as per Drawing and Technical Specifications., Manual Mixing</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zoomScale="90" zoomScaleNormal="90" zoomScaleSheetLayoutView="80" workbookViewId="0">
      <selection activeCell="B10" sqref="B10"/>
    </sheetView>
  </sheetViews>
  <sheetFormatPr defaultRowHeight="15" x14ac:dyDescent="0.25"/>
  <cols>
    <col min="1" max="1" width="4.42578125" style="5" customWidth="1"/>
    <col min="2" max="2" width="30.42578125" customWidth="1"/>
    <col min="3" max="3" width="5.5703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 style="46" bestFit="1" customWidth="1"/>
    <col min="14" max="14" width="9.5703125" style="50" bestFit="1" customWidth="1"/>
  </cols>
  <sheetData>
    <row r="1" spans="1:16" s="1" customFormat="1" x14ac:dyDescent="0.25">
      <c r="A1" s="93" t="s">
        <v>0</v>
      </c>
      <c r="B1" s="93"/>
      <c r="C1" s="93"/>
      <c r="D1" s="93"/>
      <c r="E1" s="93"/>
      <c r="F1" s="93"/>
      <c r="G1" s="93"/>
      <c r="H1" s="93"/>
      <c r="I1" s="93"/>
      <c r="J1" s="93"/>
      <c r="K1" s="93"/>
      <c r="M1" s="45"/>
      <c r="N1" s="49"/>
    </row>
    <row r="2" spans="1:16" s="1" customFormat="1" ht="22.5" x14ac:dyDescent="0.25">
      <c r="A2" s="94" t="s">
        <v>1</v>
      </c>
      <c r="B2" s="94"/>
      <c r="C2" s="94"/>
      <c r="D2" s="94"/>
      <c r="E2" s="94"/>
      <c r="F2" s="94"/>
      <c r="G2" s="94"/>
      <c r="H2" s="94"/>
      <c r="I2" s="94"/>
      <c r="J2" s="94"/>
      <c r="K2" s="94"/>
      <c r="M2" s="45"/>
      <c r="N2" s="49"/>
    </row>
    <row r="3" spans="1:16" s="1" customFormat="1" x14ac:dyDescent="0.25">
      <c r="A3" s="95" t="s">
        <v>2</v>
      </c>
      <c r="B3" s="95"/>
      <c r="C3" s="95"/>
      <c r="D3" s="95"/>
      <c r="E3" s="95"/>
      <c r="F3" s="95"/>
      <c r="G3" s="95"/>
      <c r="H3" s="95"/>
      <c r="I3" s="95"/>
      <c r="J3" s="95"/>
      <c r="K3" s="95"/>
      <c r="M3" s="45"/>
      <c r="N3" s="49"/>
    </row>
    <row r="4" spans="1:16" s="1" customFormat="1" x14ac:dyDescent="0.25">
      <c r="A4" s="95" t="s">
        <v>3</v>
      </c>
      <c r="B4" s="95"/>
      <c r="C4" s="95"/>
      <c r="D4" s="95"/>
      <c r="E4" s="95"/>
      <c r="F4" s="95"/>
      <c r="G4" s="95"/>
      <c r="H4" s="95"/>
      <c r="I4" s="95"/>
      <c r="J4" s="95"/>
      <c r="K4" s="95"/>
      <c r="M4" s="45"/>
      <c r="N4" s="49"/>
    </row>
    <row r="5" spans="1:16" ht="18.75" x14ac:dyDescent="0.3">
      <c r="A5" s="96" t="s">
        <v>4</v>
      </c>
      <c r="B5" s="96"/>
      <c r="C5" s="96"/>
      <c r="D5" s="96"/>
      <c r="E5" s="96"/>
      <c r="F5" s="96"/>
      <c r="G5" s="96"/>
      <c r="H5" s="96"/>
      <c r="I5" s="96"/>
      <c r="J5" s="96"/>
      <c r="K5" s="96"/>
    </row>
    <row r="6" spans="1:16" ht="15.75" x14ac:dyDescent="0.25">
      <c r="A6" s="91" t="s">
        <v>69</v>
      </c>
      <c r="B6" s="91"/>
      <c r="C6" s="91"/>
      <c r="D6" s="91"/>
      <c r="E6" s="91"/>
      <c r="F6" s="91"/>
      <c r="G6" s="2"/>
      <c r="H6" s="92" t="s">
        <v>91</v>
      </c>
      <c r="I6" s="92"/>
      <c r="J6" s="92"/>
      <c r="K6" s="92"/>
    </row>
    <row r="7" spans="1:16" ht="15.75" x14ac:dyDescent="0.25">
      <c r="A7" s="99" t="s">
        <v>15</v>
      </c>
      <c r="B7" s="99"/>
      <c r="C7" s="99"/>
      <c r="D7" s="99"/>
      <c r="E7" s="99"/>
      <c r="F7" s="99"/>
      <c r="G7" s="3"/>
      <c r="H7" s="92" t="s">
        <v>90</v>
      </c>
      <c r="I7" s="92"/>
      <c r="J7" s="92"/>
      <c r="K7" s="92"/>
    </row>
    <row r="8" spans="1:16" ht="15" customHeight="1" x14ac:dyDescent="0.25">
      <c r="A8" s="4" t="s">
        <v>5</v>
      </c>
      <c r="B8" s="13" t="s">
        <v>6</v>
      </c>
      <c r="C8" s="4" t="s">
        <v>7</v>
      </c>
      <c r="D8" s="14" t="s">
        <v>8</v>
      </c>
      <c r="E8" s="14" t="s">
        <v>9</v>
      </c>
      <c r="F8" s="14" t="s">
        <v>10</v>
      </c>
      <c r="G8" s="14" t="s">
        <v>11</v>
      </c>
      <c r="H8" s="4" t="s">
        <v>12</v>
      </c>
      <c r="I8" s="14" t="s">
        <v>54</v>
      </c>
      <c r="J8" s="14" t="s">
        <v>55</v>
      </c>
      <c r="K8" s="15" t="s">
        <v>13</v>
      </c>
    </row>
    <row r="9" spans="1:16" ht="15" customHeight="1" x14ac:dyDescent="0.25">
      <c r="A9" s="4" t="s">
        <v>20</v>
      </c>
      <c r="B9" s="13" t="s">
        <v>22</v>
      </c>
      <c r="C9" s="4"/>
      <c r="D9" s="14"/>
      <c r="E9" s="14"/>
      <c r="F9" s="14"/>
      <c r="G9" s="14"/>
      <c r="H9" s="4"/>
      <c r="I9" s="14"/>
      <c r="J9" s="14"/>
      <c r="K9" s="15"/>
    </row>
    <row r="10" spans="1:16" s="37" customFormat="1" ht="30.75" x14ac:dyDescent="0.25">
      <c r="A10" s="31">
        <v>1</v>
      </c>
      <c r="B10" s="39" t="s">
        <v>56</v>
      </c>
      <c r="C10" s="32"/>
      <c r="D10" s="32"/>
      <c r="E10" s="32"/>
      <c r="F10" s="32"/>
      <c r="G10" s="33"/>
      <c r="H10" s="34"/>
      <c r="I10" s="35"/>
      <c r="J10" s="35"/>
      <c r="K10" s="36"/>
      <c r="M10" s="53"/>
      <c r="N10" s="54"/>
      <c r="O10" s="43"/>
      <c r="P10" s="43"/>
    </row>
    <row r="11" spans="1:16" ht="15" customHeight="1" x14ac:dyDescent="0.25">
      <c r="A11" s="28"/>
      <c r="B11" s="29" t="s">
        <v>23</v>
      </c>
      <c r="C11" s="25">
        <f>2*0.5</f>
        <v>1</v>
      </c>
      <c r="D11" s="6">
        <f>9.25/3.281</f>
        <v>2.8192624199939043</v>
      </c>
      <c r="E11" s="6">
        <f>9.25/3.281</f>
        <v>2.8192624199939043</v>
      </c>
      <c r="F11" s="6">
        <v>1.5</v>
      </c>
      <c r="G11" s="27">
        <f>PRODUCT(C11:F11)</f>
        <v>11.922360889184828</v>
      </c>
      <c r="H11" s="23"/>
      <c r="I11" s="26"/>
      <c r="J11" s="24"/>
      <c r="K11" s="7"/>
      <c r="M11" s="47"/>
      <c r="N11" s="51"/>
      <c r="O11" s="44"/>
      <c r="P11" s="44"/>
    </row>
    <row r="12" spans="1:16" ht="15" customHeight="1" x14ac:dyDescent="0.25">
      <c r="A12" s="16"/>
      <c r="B12" s="29" t="s">
        <v>19</v>
      </c>
      <c r="C12" s="17"/>
      <c r="D12" s="18"/>
      <c r="E12" s="19"/>
      <c r="F12" s="19"/>
      <c r="G12" s="21">
        <f>SUM(G11:G11)</f>
        <v>11.922360889184828</v>
      </c>
      <c r="H12" s="20" t="s">
        <v>16</v>
      </c>
      <c r="I12" s="21">
        <v>648.9</v>
      </c>
      <c r="J12" s="23">
        <f>G12*I12</f>
        <v>7736.4199809920347</v>
      </c>
      <c r="K12" s="19"/>
      <c r="M12" s="53"/>
      <c r="N12" s="54"/>
      <c r="O12" s="44"/>
      <c r="P12" s="44"/>
    </row>
    <row r="13" spans="1:16" ht="15" customHeight="1" x14ac:dyDescent="0.25">
      <c r="A13" s="16"/>
      <c r="B13" s="29"/>
      <c r="C13" s="17"/>
      <c r="D13" s="18"/>
      <c r="E13" s="19"/>
      <c r="F13" s="19"/>
      <c r="G13" s="21"/>
      <c r="H13" s="20"/>
      <c r="I13" s="21"/>
      <c r="J13" s="23"/>
      <c r="K13" s="19"/>
      <c r="M13" s="53"/>
      <c r="N13" s="54"/>
      <c r="O13" s="44"/>
      <c r="P13" s="44"/>
    </row>
    <row r="14" spans="1:16" ht="15.75" x14ac:dyDescent="0.25">
      <c r="A14" s="28">
        <v>2</v>
      </c>
      <c r="B14" s="39" t="s">
        <v>24</v>
      </c>
      <c r="C14" s="25"/>
      <c r="D14" s="6"/>
      <c r="E14" s="6"/>
      <c r="F14" s="6"/>
      <c r="G14" s="27"/>
      <c r="H14" s="23"/>
      <c r="I14" s="26"/>
      <c r="J14" s="24"/>
      <c r="K14" s="7"/>
      <c r="M14" s="47"/>
      <c r="N14" s="51"/>
      <c r="O14" s="44"/>
      <c r="P14" s="44"/>
    </row>
    <row r="15" spans="1:16" ht="15" customHeight="1" x14ac:dyDescent="0.25">
      <c r="A15" s="28"/>
      <c r="B15" s="29" t="str">
        <f>B11</f>
        <v>-For foundation</v>
      </c>
      <c r="C15" s="25">
        <v>1</v>
      </c>
      <c r="D15" s="6">
        <f>D11</f>
        <v>2.8192624199939043</v>
      </c>
      <c r="E15" s="6">
        <f>E11</f>
        <v>2.8192624199939043</v>
      </c>
      <c r="F15" s="6"/>
      <c r="G15" s="27">
        <f t="shared" ref="G15:G16" si="0">PRODUCT(C15:F15)</f>
        <v>7.9482405927898858</v>
      </c>
      <c r="H15" s="23"/>
      <c r="I15" s="26"/>
      <c r="J15" s="24"/>
      <c r="K15" s="7"/>
      <c r="M15" s="47"/>
      <c r="N15" s="51"/>
      <c r="O15" s="44"/>
      <c r="P15" s="44"/>
    </row>
    <row r="16" spans="1:16" ht="15" customHeight="1" x14ac:dyDescent="0.25">
      <c r="A16" s="16"/>
      <c r="B16" s="29" t="s">
        <v>47</v>
      </c>
      <c r="C16" s="17">
        <v>1</v>
      </c>
      <c r="D16" s="6">
        <f>7.25/3.281</f>
        <v>2.2096921670222494</v>
      </c>
      <c r="E16" s="6">
        <f>7.25/3.281</f>
        <v>2.2096921670222494</v>
      </c>
      <c r="F16" s="63"/>
      <c r="G16" s="27">
        <f t="shared" si="0"/>
        <v>4.882739472999484</v>
      </c>
      <c r="H16" s="20"/>
      <c r="I16" s="21"/>
      <c r="J16" s="23"/>
      <c r="K16" s="19"/>
      <c r="M16" s="53"/>
      <c r="N16" s="54"/>
      <c r="O16" s="44"/>
      <c r="P16" s="44"/>
    </row>
    <row r="17" spans="1:16" ht="15" customHeight="1" x14ac:dyDescent="0.25">
      <c r="A17" s="28"/>
      <c r="B17" s="29" t="s">
        <v>19</v>
      </c>
      <c r="C17" s="25"/>
      <c r="D17" s="6"/>
      <c r="E17" s="6"/>
      <c r="F17" s="6"/>
      <c r="G17" s="23">
        <f>SUM(G15:G16)</f>
        <v>12.830980065789369</v>
      </c>
      <c r="H17" s="23" t="s">
        <v>25</v>
      </c>
      <c r="I17" s="26">
        <v>985.38</v>
      </c>
      <c r="J17" s="24">
        <f>G17*I17</f>
        <v>12643.391137227529</v>
      </c>
      <c r="K17" s="7"/>
      <c r="M17" s="47"/>
      <c r="N17" s="51"/>
      <c r="O17" s="44"/>
      <c r="P17" s="44"/>
    </row>
    <row r="18" spans="1:16" ht="15" customHeight="1" x14ac:dyDescent="0.25">
      <c r="A18" s="16"/>
      <c r="B18" s="29" t="s">
        <v>21</v>
      </c>
      <c r="C18" s="17"/>
      <c r="D18" s="18"/>
      <c r="E18" s="19"/>
      <c r="F18" s="19"/>
      <c r="G18" s="21"/>
      <c r="H18" s="20"/>
      <c r="I18" s="21"/>
      <c r="J18" s="23">
        <f>0.13*G17*(8353.81)/10</f>
        <v>1393.4384045840945</v>
      </c>
      <c r="K18" s="19"/>
      <c r="M18" s="53"/>
      <c r="N18" s="54"/>
    </row>
    <row r="19" spans="1:16" ht="15" customHeight="1" x14ac:dyDescent="0.25">
      <c r="A19" s="16"/>
      <c r="B19" s="29"/>
      <c r="C19" s="7"/>
      <c r="D19" s="6"/>
      <c r="E19" s="6"/>
      <c r="F19" s="6"/>
      <c r="G19" s="23"/>
      <c r="H19" s="28"/>
      <c r="I19" s="23"/>
      <c r="J19" s="23"/>
      <c r="K19" s="19"/>
      <c r="M19" s="53"/>
      <c r="N19" s="54"/>
    </row>
    <row r="20" spans="1:16" ht="30.75" x14ac:dyDescent="0.25">
      <c r="A20" s="16">
        <v>3</v>
      </c>
      <c r="B20" s="39" t="s">
        <v>26</v>
      </c>
      <c r="C20" s="7"/>
      <c r="D20" s="6"/>
      <c r="E20" s="6"/>
      <c r="F20" s="6"/>
      <c r="G20" s="23"/>
      <c r="H20" s="28"/>
      <c r="I20" s="23"/>
      <c r="J20" s="23"/>
      <c r="K20" s="19"/>
      <c r="M20" s="53"/>
      <c r="N20" s="54"/>
    </row>
    <row r="21" spans="1:16" ht="15" customHeight="1" x14ac:dyDescent="0.25">
      <c r="A21" s="28"/>
      <c r="B21" s="29" t="str">
        <f>B11</f>
        <v>-For foundation</v>
      </c>
      <c r="C21" s="25">
        <f>C15</f>
        <v>1</v>
      </c>
      <c r="D21" s="6">
        <f>D11</f>
        <v>2.8192624199939043</v>
      </c>
      <c r="E21" s="6">
        <f>E11</f>
        <v>2.8192624199939043</v>
      </c>
      <c r="F21" s="6">
        <v>7.4999999999999997E-2</v>
      </c>
      <c r="G21" s="27">
        <f>PRODUCT(C21:F21)</f>
        <v>0.59611804445924144</v>
      </c>
      <c r="H21" s="23"/>
      <c r="I21" s="26"/>
      <c r="J21" s="24"/>
      <c r="K21" s="7"/>
    </row>
    <row r="22" spans="1:16" ht="15" customHeight="1" x14ac:dyDescent="0.25">
      <c r="A22" s="28"/>
      <c r="B22" s="29" t="s">
        <v>19</v>
      </c>
      <c r="C22" s="25"/>
      <c r="D22" s="6"/>
      <c r="E22" s="6"/>
      <c r="F22" s="6"/>
      <c r="G22" s="23">
        <f>SUM(G21:G21)</f>
        <v>0.59611804445924144</v>
      </c>
      <c r="H22" s="23" t="s">
        <v>16</v>
      </c>
      <c r="I22" s="26">
        <v>12300.32</v>
      </c>
      <c r="J22" s="24">
        <f>G22*I22</f>
        <v>7332.4427046228966</v>
      </c>
      <c r="K22" s="7"/>
    </row>
    <row r="23" spans="1:16" ht="15" customHeight="1" x14ac:dyDescent="0.25">
      <c r="A23" s="16"/>
      <c r="B23" s="29" t="s">
        <v>21</v>
      </c>
      <c r="C23" s="17"/>
      <c r="D23" s="18"/>
      <c r="E23" s="19"/>
      <c r="F23" s="19"/>
      <c r="G23" s="21"/>
      <c r="H23" s="20"/>
      <c r="I23" s="21"/>
      <c r="J23" s="23">
        <f>0.13*G22*7500.33</f>
        <v>581.24066681186775</v>
      </c>
      <c r="K23" s="19"/>
      <c r="M23" s="53"/>
      <c r="N23" s="54"/>
    </row>
    <row r="24" spans="1:16" ht="15" customHeight="1" x14ac:dyDescent="0.25">
      <c r="A24" s="28"/>
      <c r="B24" s="29"/>
      <c r="C24" s="25"/>
      <c r="D24" s="6"/>
      <c r="E24" s="6"/>
      <c r="F24" s="6"/>
      <c r="G24" s="27"/>
      <c r="H24" s="23"/>
      <c r="I24" s="26"/>
      <c r="J24" s="24"/>
      <c r="K24" s="7"/>
    </row>
    <row r="25" spans="1:16" s="1" customFormat="1" ht="30" x14ac:dyDescent="0.25">
      <c r="A25" s="16">
        <v>4</v>
      </c>
      <c r="B25" s="38" t="s">
        <v>27</v>
      </c>
      <c r="C25" s="17"/>
      <c r="D25" s="18"/>
      <c r="E25" s="19"/>
      <c r="F25" s="19"/>
      <c r="G25" s="21"/>
      <c r="H25" s="20"/>
      <c r="I25" s="21"/>
      <c r="J25" s="23"/>
      <c r="K25" s="19"/>
      <c r="M25" s="56"/>
      <c r="N25" s="55"/>
    </row>
    <row r="26" spans="1:16" ht="15" customHeight="1" x14ac:dyDescent="0.25">
      <c r="A26" s="16"/>
      <c r="B26" s="40" t="s">
        <v>28</v>
      </c>
      <c r="C26" s="17"/>
      <c r="D26" s="18"/>
      <c r="E26" s="19"/>
      <c r="F26" s="19"/>
      <c r="G26" s="21"/>
      <c r="H26" s="20"/>
      <c r="I26" s="21"/>
      <c r="J26" s="23"/>
      <c r="K26" s="19"/>
      <c r="M26" s="53"/>
      <c r="N26" s="54"/>
    </row>
    <row r="27" spans="1:16" ht="15" customHeight="1" x14ac:dyDescent="0.25">
      <c r="A27" s="16"/>
      <c r="B27" s="29" t="s">
        <v>29</v>
      </c>
      <c r="C27" s="17">
        <f>C21</f>
        <v>1</v>
      </c>
      <c r="D27" s="6">
        <f>D11-0.15</f>
        <v>2.6692624199939043</v>
      </c>
      <c r="E27" s="6">
        <f>E11-0.15</f>
        <v>2.6692624199939043</v>
      </c>
      <c r="F27" s="6">
        <v>0.45</v>
      </c>
      <c r="G27" s="27">
        <f>PRODUCT(C27:F27)</f>
        <v>3.2062328400562716</v>
      </c>
      <c r="H27" s="20"/>
      <c r="I27" s="21"/>
      <c r="J27" s="23"/>
      <c r="K27" s="19"/>
      <c r="M27" s="53"/>
      <c r="N27" s="54"/>
    </row>
    <row r="28" spans="1:16" ht="15" customHeight="1" x14ac:dyDescent="0.25">
      <c r="A28" s="16"/>
      <c r="B28" s="29" t="s">
        <v>30</v>
      </c>
      <c r="C28" s="17">
        <v>4</v>
      </c>
      <c r="D28" s="6">
        <v>0.3</v>
      </c>
      <c r="E28" s="6">
        <v>0.3</v>
      </c>
      <c r="F28" s="63">
        <f>14.75/3.281</f>
        <v>4.495580615665955</v>
      </c>
      <c r="G28" s="27">
        <f t="shared" ref="G28:G41" si="1">PRODUCT(C28:F28)</f>
        <v>1.6184090216397438</v>
      </c>
      <c r="H28" s="20"/>
      <c r="I28" s="21"/>
      <c r="J28" s="23"/>
      <c r="K28" s="19"/>
      <c r="M28" s="53">
        <f>10/12</f>
        <v>0.83333333333333337</v>
      </c>
      <c r="N28" s="54">
        <f>M28/3.281</f>
        <v>0.25398760540485626</v>
      </c>
    </row>
    <row r="29" spans="1:16" ht="15" customHeight="1" x14ac:dyDescent="0.25">
      <c r="A29" s="16"/>
      <c r="B29" s="29" t="s">
        <v>92</v>
      </c>
      <c r="C29" s="17">
        <v>2</v>
      </c>
      <c r="D29" s="6">
        <f>6.75/3.281</f>
        <v>2.0572996037793354</v>
      </c>
      <c r="E29" s="6">
        <v>0.23</v>
      </c>
      <c r="F29" s="63">
        <f>14.75/3.281</f>
        <v>4.495580615665955</v>
      </c>
      <c r="G29" s="27">
        <f t="shared" si="1"/>
        <v>4.25442786090911</v>
      </c>
      <c r="H29" s="20"/>
      <c r="I29" s="21"/>
      <c r="J29" s="23"/>
      <c r="K29" s="19"/>
      <c r="M29" s="53"/>
      <c r="N29" s="54"/>
    </row>
    <row r="30" spans="1:16" x14ac:dyDescent="0.25">
      <c r="A30" s="16"/>
      <c r="B30" s="29" t="s">
        <v>70</v>
      </c>
      <c r="C30" s="17">
        <v>4</v>
      </c>
      <c r="D30" s="6">
        <f>(6.75+3+3)/3.28</f>
        <v>3.8871951219512195</v>
      </c>
      <c r="E30" s="6">
        <v>0.23</v>
      </c>
      <c r="F30" s="63">
        <v>0.23</v>
      </c>
      <c r="G30" s="27">
        <f t="shared" si="1"/>
        <v>0.82253048780487803</v>
      </c>
      <c r="H30" s="20"/>
      <c r="I30" s="21"/>
      <c r="J30" s="23"/>
      <c r="K30" s="19"/>
      <c r="M30" s="53"/>
      <c r="N30" s="54"/>
    </row>
    <row r="31" spans="1:16" ht="15" customHeight="1" x14ac:dyDescent="0.25">
      <c r="A31" s="16"/>
      <c r="B31" s="29" t="str">
        <f>CONCATENATE(B16,"  including peti")</f>
        <v>-For flooring  including peti</v>
      </c>
      <c r="C31" s="17">
        <v>1</v>
      </c>
      <c r="D31" s="6">
        <f>(8.75+3+3)/3.281</f>
        <v>4.495580615665955</v>
      </c>
      <c r="E31" s="6">
        <f>(8.75+3+3)/3.281</f>
        <v>4.495580615665955</v>
      </c>
      <c r="F31" s="63">
        <v>0.125</v>
      </c>
      <c r="G31" s="27">
        <f t="shared" si="1"/>
        <v>2.5262806339939359</v>
      </c>
      <c r="H31" s="20"/>
      <c r="I31" s="21"/>
      <c r="J31" s="23"/>
      <c r="K31" s="19"/>
      <c r="M31" s="53"/>
      <c r="N31" s="54"/>
    </row>
    <row r="32" spans="1:16" ht="15" customHeight="1" x14ac:dyDescent="0.25">
      <c r="A32" s="16"/>
      <c r="B32" s="29" t="s">
        <v>31</v>
      </c>
      <c r="C32" s="17">
        <v>4</v>
      </c>
      <c r="D32" s="6">
        <v>0.3</v>
      </c>
      <c r="E32" s="6">
        <v>0.3</v>
      </c>
      <c r="F32" s="63">
        <f>(8.917)/3.281</f>
        <v>2.7177689728741234</v>
      </c>
      <c r="G32" s="27">
        <f t="shared" si="1"/>
        <v>0.97839683023468438</v>
      </c>
      <c r="H32" s="20"/>
      <c r="I32" s="21"/>
      <c r="J32" s="23"/>
      <c r="K32" s="19"/>
      <c r="M32" s="53"/>
      <c r="N32" s="54"/>
    </row>
    <row r="33" spans="1:14" ht="15" customHeight="1" x14ac:dyDescent="0.25">
      <c r="A33" s="16"/>
      <c r="B33" s="29" t="s">
        <v>32</v>
      </c>
      <c r="C33" s="17">
        <v>4</v>
      </c>
      <c r="D33" s="6">
        <f>((6.75)/3.281)</f>
        <v>2.0572996037793354</v>
      </c>
      <c r="E33" s="6">
        <v>0.23</v>
      </c>
      <c r="F33" s="63">
        <v>0.23</v>
      </c>
      <c r="G33" s="27">
        <f t="shared" si="1"/>
        <v>0.43532459615970742</v>
      </c>
      <c r="H33" s="20"/>
      <c r="I33" s="21"/>
      <c r="J33" s="23"/>
      <c r="K33" s="19"/>
      <c r="M33" s="53"/>
      <c r="N33" s="54"/>
    </row>
    <row r="34" spans="1:14" ht="15" customHeight="1" x14ac:dyDescent="0.25">
      <c r="A34" s="16"/>
      <c r="B34" s="29" t="s">
        <v>71</v>
      </c>
      <c r="C34" s="17">
        <v>2</v>
      </c>
      <c r="D34" s="6">
        <f>((7.25)/3.281)</f>
        <v>2.2096921670222494</v>
      </c>
      <c r="E34" s="6">
        <v>0.23</v>
      </c>
      <c r="F34" s="63">
        <v>0.23</v>
      </c>
      <c r="G34" s="27">
        <f t="shared" si="1"/>
        <v>0.233785431270954</v>
      </c>
      <c r="H34" s="20"/>
      <c r="I34" s="21"/>
      <c r="J34" s="23"/>
      <c r="K34" s="19"/>
      <c r="M34" s="53"/>
      <c r="N34" s="54"/>
    </row>
    <row r="35" spans="1:14" ht="15" customHeight="1" x14ac:dyDescent="0.25">
      <c r="A35" s="16"/>
      <c r="B35" s="29" t="s">
        <v>77</v>
      </c>
      <c r="C35" s="17">
        <v>1</v>
      </c>
      <c r="D35" s="6">
        <f>(8.75+3+3)/3.281</f>
        <v>4.495580615665955</v>
      </c>
      <c r="E35" s="6">
        <f>(8.75+3+3)/3.281</f>
        <v>4.495580615665955</v>
      </c>
      <c r="F35" s="63">
        <v>0.125</v>
      </c>
      <c r="G35" s="27">
        <f t="shared" si="1"/>
        <v>2.5262806339939359</v>
      </c>
      <c r="H35" s="20"/>
      <c r="I35" s="21"/>
      <c r="J35" s="23"/>
      <c r="K35" s="19"/>
      <c r="M35" s="53"/>
      <c r="N35" s="54"/>
    </row>
    <row r="36" spans="1:14" ht="15" customHeight="1" x14ac:dyDescent="0.25">
      <c r="A36" s="16"/>
      <c r="B36" s="29" t="s">
        <v>73</v>
      </c>
      <c r="C36" s="17">
        <v>4</v>
      </c>
      <c r="D36" s="6">
        <f>(5.25+6.42)/2/3.281</f>
        <v>1.7784212130448034</v>
      </c>
      <c r="E36" s="6">
        <f>((13.833+5)/2)/3.281</f>
        <v>2.8700091435537942</v>
      </c>
      <c r="F36" s="63">
        <v>0.1</v>
      </c>
      <c r="G36" s="27">
        <f t="shared" si="1"/>
        <v>2.0416340570114464</v>
      </c>
      <c r="H36" s="20"/>
      <c r="I36" s="21"/>
      <c r="J36" s="23"/>
      <c r="K36" s="19"/>
      <c r="M36" s="53"/>
      <c r="N36" s="54"/>
    </row>
    <row r="37" spans="1:14" ht="15" customHeight="1" x14ac:dyDescent="0.25">
      <c r="A37" s="16"/>
      <c r="B37" s="29" t="s">
        <v>72</v>
      </c>
      <c r="C37" s="17">
        <v>4</v>
      </c>
      <c r="D37" s="6">
        <v>0.23</v>
      </c>
      <c r="E37" s="6">
        <v>0.23</v>
      </c>
      <c r="F37" s="63">
        <f>(3.5+3+0.333)/3.281</f>
        <v>2.082596769277659</v>
      </c>
      <c r="G37" s="27">
        <f t="shared" si="1"/>
        <v>0.44067747637915267</v>
      </c>
      <c r="H37" s="20"/>
      <c r="I37" s="21"/>
      <c r="J37" s="23"/>
      <c r="K37" s="19"/>
      <c r="M37" s="53"/>
      <c r="N37" s="54"/>
    </row>
    <row r="38" spans="1:14" ht="15" customHeight="1" x14ac:dyDescent="0.25">
      <c r="A38" s="16"/>
      <c r="B38" s="29" t="s">
        <v>93</v>
      </c>
      <c r="C38" s="17">
        <f>4</f>
        <v>4</v>
      </c>
      <c r="D38" s="6">
        <f>(5-0.75*2)/3.281</f>
        <v>1.0667479427003961</v>
      </c>
      <c r="E38" s="6">
        <v>0.23</v>
      </c>
      <c r="F38" s="63">
        <v>0.23</v>
      </c>
      <c r="G38" s="27">
        <f t="shared" ref="G38" si="2">PRODUCT(C38:F38)</f>
        <v>0.22572386467540384</v>
      </c>
      <c r="H38" s="20"/>
      <c r="I38" s="21"/>
      <c r="J38" s="23"/>
      <c r="K38" s="19"/>
      <c r="M38" s="53"/>
      <c r="N38" s="54"/>
    </row>
    <row r="39" spans="1:14" ht="15" customHeight="1" x14ac:dyDescent="0.25">
      <c r="A39" s="16"/>
      <c r="B39" s="29" t="s">
        <v>74</v>
      </c>
      <c r="C39" s="17">
        <f>4</f>
        <v>4</v>
      </c>
      <c r="D39" s="6">
        <f>(5-0.75*2)/3.281</f>
        <v>1.0667479427003961</v>
      </c>
      <c r="E39" s="6">
        <v>0.23</v>
      </c>
      <c r="F39" s="63">
        <v>0.23</v>
      </c>
      <c r="G39" s="27">
        <f t="shared" si="1"/>
        <v>0.22572386467540384</v>
      </c>
      <c r="H39" s="20"/>
      <c r="I39" s="21"/>
      <c r="J39" s="23"/>
      <c r="K39" s="19"/>
      <c r="M39" s="53"/>
      <c r="N39" s="54"/>
    </row>
    <row r="40" spans="1:14" ht="15" customHeight="1" x14ac:dyDescent="0.25">
      <c r="A40" s="16"/>
      <c r="B40" s="29" t="s">
        <v>75</v>
      </c>
      <c r="C40" s="17">
        <v>1</v>
      </c>
      <c r="D40" s="6">
        <f>(11+8.833)/2/3.281</f>
        <v>3.0224017067967082</v>
      </c>
      <c r="E40" s="6">
        <f>(11+8.833)/2/3.281</f>
        <v>3.0224017067967082</v>
      </c>
      <c r="F40" s="63">
        <v>0.1</v>
      </c>
      <c r="G40" s="27">
        <f>PRODUCT(C40:F40)</f>
        <v>0.91349120772476555</v>
      </c>
      <c r="H40" s="20"/>
      <c r="I40" s="21"/>
      <c r="J40" s="23"/>
      <c r="K40" s="19"/>
      <c r="M40" s="53"/>
      <c r="N40" s="54"/>
    </row>
    <row r="41" spans="1:14" ht="15" customHeight="1" x14ac:dyDescent="0.25">
      <c r="A41" s="16"/>
      <c r="B41" s="29" t="s">
        <v>76</v>
      </c>
      <c r="C41" s="17">
        <v>4</v>
      </c>
      <c r="D41" s="6">
        <f>(5.42+4.25)/2/3.281</f>
        <v>1.4736360865589759</v>
      </c>
      <c r="E41" s="6">
        <f>(1.5+9.42)/2/3.281</f>
        <v>1.664126790612618</v>
      </c>
      <c r="F41" s="63">
        <v>7.4999999999999997E-2</v>
      </c>
      <c r="G41" s="27">
        <f t="shared" si="1"/>
        <v>0.7356951873768981</v>
      </c>
      <c r="H41" s="20"/>
      <c r="I41" s="21"/>
      <c r="J41" s="23"/>
      <c r="K41" s="19"/>
      <c r="M41" s="53"/>
      <c r="N41" s="54"/>
    </row>
    <row r="42" spans="1:14" ht="15" customHeight="1" x14ac:dyDescent="0.25">
      <c r="A42" s="28"/>
      <c r="B42" s="29" t="s">
        <v>19</v>
      </c>
      <c r="C42" s="25"/>
      <c r="D42" s="6"/>
      <c r="E42" s="6"/>
      <c r="F42" s="6"/>
      <c r="G42" s="23">
        <f>SUM(G27:G41)</f>
        <v>21.184613993906297</v>
      </c>
      <c r="H42" s="23" t="s">
        <v>16</v>
      </c>
      <c r="I42" s="26">
        <v>14200.82</v>
      </c>
      <c r="J42" s="24">
        <f>G42*I42</f>
        <v>300838.89009694441</v>
      </c>
      <c r="K42" s="7"/>
    </row>
    <row r="43" spans="1:14" ht="15" customHeight="1" x14ac:dyDescent="0.25">
      <c r="A43" s="16"/>
      <c r="B43" s="29" t="s">
        <v>21</v>
      </c>
      <c r="C43" s="17"/>
      <c r="D43" s="18"/>
      <c r="E43" s="19"/>
      <c r="F43" s="19"/>
      <c r="G43" s="21"/>
      <c r="H43" s="20"/>
      <c r="I43" s="21"/>
      <c r="J43" s="23">
        <f>0.13*G42*10250.02</f>
        <v>28228.553226876527</v>
      </c>
      <c r="K43" s="19"/>
      <c r="M43" s="53"/>
      <c r="N43" s="54"/>
    </row>
    <row r="44" spans="1:14" ht="15" customHeight="1" x14ac:dyDescent="0.25">
      <c r="A44" s="16"/>
      <c r="B44" s="29"/>
      <c r="C44" s="17"/>
      <c r="D44" s="18"/>
      <c r="E44" s="19"/>
      <c r="F44" s="19"/>
      <c r="G44" s="21"/>
      <c r="H44" s="20"/>
      <c r="I44" s="21"/>
      <c r="J44" s="23"/>
      <c r="K44" s="19"/>
      <c r="M44" s="53"/>
      <c r="N44" s="54"/>
    </row>
    <row r="45" spans="1:14" ht="30" x14ac:dyDescent="0.25">
      <c r="A45" s="16">
        <v>5</v>
      </c>
      <c r="B45" s="38" t="s">
        <v>34</v>
      </c>
      <c r="C45" s="7"/>
      <c r="D45" s="6"/>
      <c r="E45" s="6"/>
      <c r="F45" s="6"/>
      <c r="G45" s="23"/>
      <c r="H45" s="28"/>
      <c r="I45" s="23"/>
      <c r="J45" s="23"/>
      <c r="K45" s="19"/>
      <c r="M45" s="53"/>
      <c r="N45" s="54"/>
    </row>
    <row r="46" spans="1:14" ht="15" customHeight="1" x14ac:dyDescent="0.25">
      <c r="A46" s="16"/>
      <c r="B46" s="40" t="s">
        <v>28</v>
      </c>
      <c r="C46" s="17"/>
      <c r="D46" s="18"/>
      <c r="E46" s="19"/>
      <c r="F46" s="19"/>
      <c r="G46" s="21"/>
      <c r="H46" s="20"/>
      <c r="I46" s="21"/>
      <c r="J46" s="23"/>
      <c r="K46" s="19"/>
      <c r="M46" s="53"/>
      <c r="N46" s="54"/>
    </row>
    <row r="47" spans="1:14" ht="15" customHeight="1" x14ac:dyDescent="0.25">
      <c r="A47" s="16"/>
      <c r="B47" s="29" t="s">
        <v>29</v>
      </c>
      <c r="C47" s="17">
        <f>C27</f>
        <v>1</v>
      </c>
      <c r="D47" s="6">
        <f>D27*4</f>
        <v>10.677049679975617</v>
      </c>
      <c r="E47" s="6"/>
      <c r="F47" s="6">
        <f>F27</f>
        <v>0.45</v>
      </c>
      <c r="G47" s="27">
        <f>PRODUCT(C47:F47)</f>
        <v>4.8046723559890276</v>
      </c>
      <c r="H47" s="20"/>
      <c r="I47" s="21"/>
      <c r="J47" s="23"/>
      <c r="K47" s="19"/>
      <c r="M47" s="53"/>
      <c r="N47" s="54"/>
    </row>
    <row r="48" spans="1:14" ht="15" customHeight="1" x14ac:dyDescent="0.25">
      <c r="A48" s="16"/>
      <c r="B48" s="29" t="s">
        <v>30</v>
      </c>
      <c r="C48" s="17">
        <f>C28</f>
        <v>4</v>
      </c>
      <c r="D48" s="6">
        <f>D28*4</f>
        <v>1.2</v>
      </c>
      <c r="E48" s="6"/>
      <c r="F48" s="63">
        <f>F28-(2.25/3.281)</f>
        <v>3.8098140810728429</v>
      </c>
      <c r="G48" s="27">
        <f t="shared" ref="G48:G61" si="3">PRODUCT(C48:F48)</f>
        <v>18.287107589149645</v>
      </c>
      <c r="H48" s="20"/>
      <c r="I48" s="21"/>
      <c r="J48" s="23"/>
      <c r="K48" s="19"/>
      <c r="M48" s="53"/>
      <c r="N48" s="54"/>
    </row>
    <row r="49" spans="1:16" ht="15" customHeight="1" x14ac:dyDescent="0.25">
      <c r="A49" s="16"/>
      <c r="B49" s="29" t="s">
        <v>92</v>
      </c>
      <c r="C49" s="17">
        <f>C29</f>
        <v>2</v>
      </c>
      <c r="D49" s="6">
        <f>D29</f>
        <v>2.0572996037793354</v>
      </c>
      <c r="E49" s="6"/>
      <c r="F49" s="63">
        <f>F29</f>
        <v>4.495580615665955</v>
      </c>
      <c r="G49" s="27">
        <f t="shared" si="3"/>
        <v>18.49751243873526</v>
      </c>
      <c r="H49" s="20"/>
      <c r="I49" s="21"/>
      <c r="J49" s="23"/>
      <c r="K49" s="19"/>
      <c r="M49" s="53"/>
      <c r="N49" s="54"/>
    </row>
    <row r="50" spans="1:16" x14ac:dyDescent="0.25">
      <c r="A50" s="16"/>
      <c r="B50" s="29" t="str">
        <f>B30</f>
        <v>-Upper plinth beam</v>
      </c>
      <c r="C50" s="17">
        <f>C30</f>
        <v>4</v>
      </c>
      <c r="D50" s="6">
        <f>D30</f>
        <v>3.8871951219512195</v>
      </c>
      <c r="E50" s="6"/>
      <c r="F50" s="63">
        <f>F30*2</f>
        <v>0.46</v>
      </c>
      <c r="G50" s="27">
        <f t="shared" si="3"/>
        <v>7.1524390243902438</v>
      </c>
      <c r="H50" s="20"/>
      <c r="I50" s="21"/>
      <c r="J50" s="23"/>
      <c r="K50" s="19"/>
      <c r="M50" s="53"/>
      <c r="N50" s="54"/>
    </row>
    <row r="51" spans="1:16" ht="15" customHeight="1" x14ac:dyDescent="0.25">
      <c r="A51" s="16"/>
      <c r="B51" s="29" t="str">
        <f t="shared" ref="B51:C54" si="4">B32</f>
        <v>-Column</v>
      </c>
      <c r="C51" s="17">
        <f t="shared" si="4"/>
        <v>4</v>
      </c>
      <c r="D51" s="6">
        <f>D32*4</f>
        <v>1.2</v>
      </c>
      <c r="E51" s="6"/>
      <c r="F51" s="65">
        <f>F32</f>
        <v>2.7177689728741234</v>
      </c>
      <c r="G51" s="27">
        <f t="shared" si="3"/>
        <v>13.045291069795793</v>
      </c>
      <c r="H51" s="20"/>
      <c r="I51" s="21"/>
      <c r="J51" s="23"/>
      <c r="K51" s="19"/>
      <c r="M51" s="53"/>
      <c r="N51" s="54"/>
    </row>
    <row r="52" spans="1:16" ht="15" customHeight="1" x14ac:dyDescent="0.25">
      <c r="A52" s="16"/>
      <c r="B52" s="29" t="str">
        <f t="shared" si="4"/>
        <v>-Beam</v>
      </c>
      <c r="C52" s="17">
        <f t="shared" si="4"/>
        <v>4</v>
      </c>
      <c r="D52" s="6">
        <f>D33</f>
        <v>2.0572996037793354</v>
      </c>
      <c r="E52" s="6"/>
      <c r="F52" s="63">
        <f>F33*2</f>
        <v>0.46</v>
      </c>
      <c r="G52" s="27">
        <f t="shared" si="3"/>
        <v>3.7854312709539775</v>
      </c>
      <c r="H52" s="20"/>
      <c r="I52" s="21"/>
      <c r="J52" s="23"/>
      <c r="K52" s="19"/>
      <c r="M52" s="53"/>
      <c r="N52" s="54"/>
    </row>
    <row r="53" spans="1:16" ht="15" customHeight="1" x14ac:dyDescent="0.25">
      <c r="A53" s="16"/>
      <c r="B53" s="29" t="str">
        <f t="shared" si="4"/>
        <v>-Secondary beam</v>
      </c>
      <c r="C53" s="17">
        <f t="shared" si="4"/>
        <v>2</v>
      </c>
      <c r="D53" s="6">
        <f>D34</f>
        <v>2.2096921670222494</v>
      </c>
      <c r="E53" s="6"/>
      <c r="F53" s="63">
        <f>F34*2</f>
        <v>0.46</v>
      </c>
      <c r="G53" s="27">
        <f t="shared" si="3"/>
        <v>2.0329167936604695</v>
      </c>
      <c r="H53" s="20"/>
      <c r="I53" s="21"/>
      <c r="J53" s="23"/>
      <c r="K53" s="19"/>
      <c r="M53" s="53"/>
      <c r="N53" s="54"/>
    </row>
    <row r="54" spans="1:16" ht="15" customHeight="1" x14ac:dyDescent="0.25">
      <c r="A54" s="16"/>
      <c r="B54" s="29" t="str">
        <f t="shared" si="4"/>
        <v>-1st floor slab</v>
      </c>
      <c r="C54" s="17">
        <f t="shared" si="4"/>
        <v>1</v>
      </c>
      <c r="D54" s="6">
        <f>D35</f>
        <v>4.495580615665955</v>
      </c>
      <c r="E54" s="67">
        <f>E35</f>
        <v>4.495580615665955</v>
      </c>
      <c r="F54" s="63"/>
      <c r="G54" s="27">
        <f t="shared" si="3"/>
        <v>20.210245071951487</v>
      </c>
      <c r="H54" s="20"/>
      <c r="I54" s="21"/>
      <c r="J54" s="23"/>
      <c r="K54" s="19"/>
      <c r="M54" s="53"/>
      <c r="N54" s="54"/>
    </row>
    <row r="55" spans="1:16" ht="15" customHeight="1" x14ac:dyDescent="0.25">
      <c r="A55" s="16"/>
      <c r="B55" s="29" t="s">
        <v>78</v>
      </c>
      <c r="C55" s="17">
        <f>-C51</f>
        <v>-4</v>
      </c>
      <c r="D55" s="6">
        <f>D32</f>
        <v>0.3</v>
      </c>
      <c r="E55" s="6">
        <f>E32</f>
        <v>0.3</v>
      </c>
      <c r="F55" s="63"/>
      <c r="G55" s="27">
        <f t="shared" si="3"/>
        <v>-0.36</v>
      </c>
      <c r="H55" s="20"/>
      <c r="I55" s="21"/>
      <c r="J55" s="23"/>
      <c r="K55" s="19"/>
      <c r="M55" s="53"/>
      <c r="N55" s="54"/>
    </row>
    <row r="56" spans="1:16" ht="15" customHeight="1" x14ac:dyDescent="0.25">
      <c r="A56" s="16"/>
      <c r="B56" s="29" t="str">
        <f>B36</f>
        <v>-1st floor Inclined Surface</v>
      </c>
      <c r="C56" s="17">
        <f>C36</f>
        <v>4</v>
      </c>
      <c r="D56" s="6">
        <f>5.25/3.281</f>
        <v>1.6001219140505942</v>
      </c>
      <c r="E56" s="6">
        <f>E36</f>
        <v>2.8700091435537942</v>
      </c>
      <c r="F56" s="63"/>
      <c r="G56" s="27">
        <f t="shared" si="3"/>
        <v>18.369458096504015</v>
      </c>
      <c r="H56" s="20"/>
      <c r="I56" s="21"/>
      <c r="J56" s="23"/>
      <c r="K56" s="19"/>
      <c r="M56" s="53"/>
      <c r="N56" s="54"/>
    </row>
    <row r="57" spans="1:16" ht="15" customHeight="1" x14ac:dyDescent="0.25">
      <c r="A57" s="16"/>
      <c r="B57" s="29" t="str">
        <f>B37</f>
        <v>-1st floor column</v>
      </c>
      <c r="C57" s="17">
        <f>C37</f>
        <v>4</v>
      </c>
      <c r="D57" s="6">
        <f>D37*4</f>
        <v>0.92</v>
      </c>
      <c r="E57" s="6"/>
      <c r="F57" s="63">
        <f>F37</f>
        <v>2.082596769277659</v>
      </c>
      <c r="G57" s="27">
        <f t="shared" si="3"/>
        <v>7.6639561109417853</v>
      </c>
      <c r="H57" s="20"/>
      <c r="I57" s="21"/>
      <c r="J57" s="23"/>
      <c r="K57" s="19"/>
      <c r="M57" s="53"/>
      <c r="N57" s="54"/>
    </row>
    <row r="58" spans="1:16" ht="15" customHeight="1" x14ac:dyDescent="0.25">
      <c r="A58" s="16"/>
      <c r="B58" s="29" t="str">
        <f>B39</f>
        <v>-2nd floor beam</v>
      </c>
      <c r="C58" s="17">
        <f>C39</f>
        <v>4</v>
      </c>
      <c r="D58" s="6">
        <f>D39</f>
        <v>1.0667479427003961</v>
      </c>
      <c r="E58" s="6"/>
      <c r="F58" s="63">
        <f>F39*2</f>
        <v>0.46</v>
      </c>
      <c r="G58" s="27">
        <f t="shared" si="3"/>
        <v>1.9628162145687289</v>
      </c>
      <c r="H58" s="20"/>
      <c r="I58" s="21"/>
      <c r="J58" s="23"/>
      <c r="K58" s="19"/>
      <c r="M58" s="53"/>
      <c r="N58" s="54"/>
    </row>
    <row r="59" spans="1:16" ht="30" x14ac:dyDescent="0.25">
      <c r="A59" s="16"/>
      <c r="B59" s="29" t="s">
        <v>83</v>
      </c>
      <c r="C59" s="17">
        <f>-C57</f>
        <v>-4</v>
      </c>
      <c r="D59" s="6">
        <f>D57</f>
        <v>0.92</v>
      </c>
      <c r="E59" s="6"/>
      <c r="F59" s="63">
        <v>0.23</v>
      </c>
      <c r="G59" s="27">
        <f t="shared" si="3"/>
        <v>-0.84640000000000004</v>
      </c>
      <c r="H59" s="20"/>
      <c r="I59" s="21"/>
      <c r="J59" s="23"/>
      <c r="K59" s="19"/>
      <c r="M59" s="53"/>
      <c r="N59" s="54"/>
    </row>
    <row r="60" spans="1:16" ht="15" customHeight="1" x14ac:dyDescent="0.25">
      <c r="A60" s="16"/>
      <c r="B60" s="29" t="str">
        <f t="shared" ref="B60:E61" si="5">B40</f>
        <v>-2nd floor slab</v>
      </c>
      <c r="C60" s="17">
        <f t="shared" si="5"/>
        <v>1</v>
      </c>
      <c r="D60" s="6">
        <f t="shared" si="5"/>
        <v>3.0224017067967082</v>
      </c>
      <c r="E60" s="6">
        <f t="shared" si="5"/>
        <v>3.0224017067967082</v>
      </c>
      <c r="F60" s="63"/>
      <c r="G60" s="27">
        <f t="shared" si="3"/>
        <v>9.1349120772476553</v>
      </c>
      <c r="H60" s="20"/>
      <c r="I60" s="21"/>
      <c r="J60" s="23"/>
      <c r="K60" s="19"/>
      <c r="M60" s="53"/>
      <c r="N60" s="54"/>
    </row>
    <row r="61" spans="1:16" ht="15" customHeight="1" x14ac:dyDescent="0.25">
      <c r="A61" s="16"/>
      <c r="B61" s="29" t="str">
        <f t="shared" si="5"/>
        <v>-2nd floor inclined roof slab</v>
      </c>
      <c r="C61" s="17">
        <f t="shared" si="5"/>
        <v>4</v>
      </c>
      <c r="D61" s="6">
        <f t="shared" si="5"/>
        <v>1.4736360865589759</v>
      </c>
      <c r="E61" s="6">
        <f t="shared" si="5"/>
        <v>1.664126790612618</v>
      </c>
      <c r="F61" s="63"/>
      <c r="G61" s="27">
        <f t="shared" si="3"/>
        <v>9.8092691650253077</v>
      </c>
      <c r="H61" s="20"/>
      <c r="I61" s="21"/>
      <c r="J61" s="23"/>
      <c r="K61" s="19"/>
      <c r="M61" s="53"/>
      <c r="N61" s="54"/>
    </row>
    <row r="62" spans="1:16" ht="15" customHeight="1" x14ac:dyDescent="0.25">
      <c r="A62" s="28"/>
      <c r="B62" s="29" t="s">
        <v>19</v>
      </c>
      <c r="C62" s="25"/>
      <c r="D62" s="6"/>
      <c r="E62" s="6"/>
      <c r="F62" s="6"/>
      <c r="G62" s="23">
        <f>SUM(G47:G61)</f>
        <v>133.54962727891342</v>
      </c>
      <c r="H62" s="23" t="s">
        <v>25</v>
      </c>
      <c r="I62" s="26">
        <v>905.97</v>
      </c>
      <c r="J62" s="24">
        <f>G62*I62</f>
        <v>120991.9558258772</v>
      </c>
      <c r="K62" s="7"/>
    </row>
    <row r="63" spans="1:16" ht="15" customHeight="1" x14ac:dyDescent="0.25">
      <c r="A63" s="16"/>
      <c r="B63" s="29" t="s">
        <v>21</v>
      </c>
      <c r="C63" s="17"/>
      <c r="D63" s="18"/>
      <c r="E63" s="19"/>
      <c r="F63" s="19"/>
      <c r="G63" s="21"/>
      <c r="H63" s="20"/>
      <c r="I63" s="21"/>
      <c r="J63" s="23">
        <f>0.13*G62*46827.87/100</f>
        <v>8129.9979601950363</v>
      </c>
      <c r="K63" s="19"/>
      <c r="M63" s="53"/>
      <c r="N63" s="54"/>
    </row>
    <row r="64" spans="1:16" ht="15" customHeight="1" x14ac:dyDescent="0.25">
      <c r="A64" s="16"/>
      <c r="B64" s="29"/>
      <c r="C64" s="17"/>
      <c r="D64" s="18"/>
      <c r="E64" s="19"/>
      <c r="F64" s="19"/>
      <c r="G64" s="21"/>
      <c r="H64" s="20"/>
      <c r="I64" s="21"/>
      <c r="J64" s="23"/>
      <c r="K64" s="19"/>
      <c r="M64" s="53"/>
      <c r="N64" s="54">
        <f>48*4</f>
        <v>192</v>
      </c>
      <c r="O64">
        <f>N65+N66+O66</f>
        <v>47.937267267267266</v>
      </c>
      <c r="P64">
        <f>O64*4</f>
        <v>191.74906906906907</v>
      </c>
    </row>
    <row r="65" spans="1:15" ht="45" x14ac:dyDescent="0.25">
      <c r="A65" s="16">
        <v>6</v>
      </c>
      <c r="B65" s="38" t="s">
        <v>35</v>
      </c>
      <c r="C65" s="7" t="s">
        <v>7</v>
      </c>
      <c r="D65" s="41" t="s">
        <v>36</v>
      </c>
      <c r="E65" s="41" t="s">
        <v>37</v>
      </c>
      <c r="F65" s="41" t="s">
        <v>38</v>
      </c>
      <c r="G65" s="41" t="s">
        <v>39</v>
      </c>
      <c r="H65" s="28"/>
      <c r="I65" s="23"/>
      <c r="J65" s="23"/>
      <c r="K65" s="19"/>
      <c r="M65" s="53">
        <f>16-0.75*3</f>
        <v>13.75</v>
      </c>
      <c r="N65" s="54">
        <f>M65/0.5</f>
        <v>27.5</v>
      </c>
    </row>
    <row r="66" spans="1:15" ht="15" customHeight="1" x14ac:dyDescent="0.25">
      <c r="A66" s="16"/>
      <c r="B66" s="29" t="str">
        <f>B46</f>
        <v>-For footing</v>
      </c>
      <c r="C66" s="17">
        <f>2*2*(TRUNC(((D66-0.1)/0.15),0)+1)</f>
        <v>72</v>
      </c>
      <c r="D66" s="18">
        <f>D27</f>
        <v>2.6692624199939043</v>
      </c>
      <c r="E66" s="19">
        <f>12*12/162</f>
        <v>0.88888888888888884</v>
      </c>
      <c r="F66" s="63">
        <f>PRODUCT(C66:E66)</f>
        <v>170.83279487960988</v>
      </c>
      <c r="G66" s="27">
        <f>F66/1000</f>
        <v>0.17083279487960987</v>
      </c>
      <c r="H66" s="20"/>
      <c r="I66" s="21"/>
      <c r="J66" s="23"/>
      <c r="K66" s="19"/>
      <c r="M66" s="53">
        <f>8.17/2</f>
        <v>4.085</v>
      </c>
      <c r="N66" s="54">
        <f>M66/0.333</f>
        <v>12.267267267267266</v>
      </c>
      <c r="O66">
        <f>M66/0.5</f>
        <v>8.17</v>
      </c>
    </row>
    <row r="67" spans="1:15" ht="15" customHeight="1" x14ac:dyDescent="0.25">
      <c r="A67" s="16"/>
      <c r="B67" s="29" t="s">
        <v>95</v>
      </c>
      <c r="C67" s="17">
        <f>2*TRUNC((16.25-0.17*2-0.75)/0.5,0)</f>
        <v>60</v>
      </c>
      <c r="D67" s="18">
        <f>(8.75+8.75+2+2)/3.281</f>
        <v>6.5528802194452904</v>
      </c>
      <c r="E67" s="6">
        <f>8*8/162</f>
        <v>0.39506172839506171</v>
      </c>
      <c r="F67" s="63">
        <f t="shared" ref="F67:F68" si="6">PRODUCT(C67:E67)</f>
        <v>155.32753112759207</v>
      </c>
      <c r="G67" s="27">
        <f t="shared" ref="G67:G68" si="7">F67/1000</f>
        <v>0.15532753112759207</v>
      </c>
      <c r="H67" s="20"/>
      <c r="I67" s="21"/>
      <c r="J67" s="23"/>
      <c r="K67" s="19"/>
      <c r="M67" s="53"/>
      <c r="N67" s="54"/>
    </row>
    <row r="68" spans="1:15" ht="15" customHeight="1" x14ac:dyDescent="0.25">
      <c r="A68" s="16"/>
      <c r="B68" s="29" t="s">
        <v>94</v>
      </c>
      <c r="C68" s="17">
        <f>2*2*TRUNC((6.75-0.17*2)/0.5,0)</f>
        <v>48</v>
      </c>
      <c r="D68" s="18">
        <f>(16.25-0.17*2+2+1.5)/3.281</f>
        <v>5.915879305089911</v>
      </c>
      <c r="E68" s="6">
        <f>10*10/162</f>
        <v>0.61728395061728392</v>
      </c>
      <c r="F68" s="63">
        <f t="shared" si="6"/>
        <v>175.28531274340477</v>
      </c>
      <c r="G68" s="27">
        <f t="shared" si="7"/>
        <v>0.17528531274340478</v>
      </c>
      <c r="H68" s="20"/>
      <c r="I68" s="21"/>
      <c r="J68" s="23"/>
      <c r="K68" s="19"/>
      <c r="M68" s="53"/>
      <c r="N68" s="54"/>
    </row>
    <row r="69" spans="1:15" x14ac:dyDescent="0.25">
      <c r="A69" s="16"/>
      <c r="B69" s="29" t="str">
        <f>B50</f>
        <v>-Upper plinth beam</v>
      </c>
      <c r="C69" s="17">
        <f>4*4</f>
        <v>16</v>
      </c>
      <c r="D69" s="6">
        <f>D30-0.1+0.15*2</f>
        <v>4.0871951219512193</v>
      </c>
      <c r="E69" s="6">
        <f>12*12/162</f>
        <v>0.88888888888888884</v>
      </c>
      <c r="F69" s="63">
        <f t="shared" ref="F69:F92" si="8">PRODUCT(C69:E69)</f>
        <v>58.128997289972894</v>
      </c>
      <c r="G69" s="27">
        <f t="shared" ref="G69:G92" si="9">F69/1000</f>
        <v>5.8128997289972895E-2</v>
      </c>
      <c r="H69" s="20"/>
      <c r="I69" s="21"/>
      <c r="J69" s="23"/>
      <c r="K69" s="19"/>
      <c r="M69" s="53"/>
      <c r="N69" s="54"/>
    </row>
    <row r="70" spans="1:15" ht="15" customHeight="1" x14ac:dyDescent="0.25">
      <c r="A70" s="16"/>
      <c r="B70" s="29" t="s">
        <v>42</v>
      </c>
      <c r="C70" s="17">
        <f>4*(TRUNC((((D50-0.1)/2))/0.1,0)+TRUNC((((D50-0.1)/2))/0.15,0))</f>
        <v>120</v>
      </c>
      <c r="D70" s="6">
        <f>(0.583*4+0.17+0.17)/3.281</f>
        <v>0.81438585797013097</v>
      </c>
      <c r="E70" s="6">
        <f>8*8/162</f>
        <v>0.39506172839506171</v>
      </c>
      <c r="F70" s="63">
        <f t="shared" si="8"/>
        <v>38.607922155621026</v>
      </c>
      <c r="G70" s="27">
        <f t="shared" si="9"/>
        <v>3.8607922155621026E-2</v>
      </c>
      <c r="H70" s="20"/>
      <c r="I70" s="21"/>
      <c r="J70" s="23"/>
      <c r="K70" s="19"/>
      <c r="M70" s="53"/>
      <c r="N70" s="54">
        <f>57*12</f>
        <v>684</v>
      </c>
      <c r="O70">
        <f>N70/1000*3.281</f>
        <v>2.2442040000000003</v>
      </c>
    </row>
    <row r="71" spans="1:15" x14ac:dyDescent="0.25">
      <c r="A71" s="16"/>
      <c r="B71" s="29" t="str">
        <f>B31</f>
        <v>-For flooring  including peti</v>
      </c>
      <c r="C71" s="17">
        <f>4*(TRUNC((D71-0.23*4)/0.15,0))</f>
        <v>92</v>
      </c>
      <c r="D71" s="6">
        <f>D31-0.1</f>
        <v>4.3955806156659554</v>
      </c>
      <c r="E71" s="6">
        <f>8*8/162</f>
        <v>0.39506172839506171</v>
      </c>
      <c r="F71" s="63">
        <f t="shared" si="8"/>
        <v>159.76036212988359</v>
      </c>
      <c r="G71" s="27">
        <f t="shared" si="9"/>
        <v>0.15976036212988359</v>
      </c>
      <c r="H71" s="20"/>
      <c r="I71" s="21"/>
      <c r="J71" s="23"/>
      <c r="K71" s="19"/>
      <c r="M71" s="53"/>
      <c r="N71" s="54"/>
    </row>
    <row r="72" spans="1:15" ht="15" customHeight="1" x14ac:dyDescent="0.25">
      <c r="A72" s="16"/>
      <c r="B72" s="29" t="s">
        <v>31</v>
      </c>
      <c r="C72" s="17">
        <f>C48*8</f>
        <v>32</v>
      </c>
      <c r="D72" s="6">
        <f>(23.667+2.25)/3.281</f>
        <v>7.899116123133191</v>
      </c>
      <c r="E72" s="6">
        <f>12*12/162</f>
        <v>0.88888888888888884</v>
      </c>
      <c r="F72" s="63">
        <f t="shared" si="8"/>
        <v>224.68596972467742</v>
      </c>
      <c r="G72" s="27">
        <f t="shared" si="9"/>
        <v>0.22468596972467741</v>
      </c>
      <c r="H72" s="20"/>
      <c r="I72" s="21"/>
      <c r="J72" s="23"/>
      <c r="K72" s="19"/>
      <c r="M72" s="53">
        <f>12*57</f>
        <v>684</v>
      </c>
      <c r="N72" s="54">
        <f>M72/1000</f>
        <v>0.68400000000000005</v>
      </c>
      <c r="O72">
        <f>N72*3.281</f>
        <v>2.2442040000000003</v>
      </c>
    </row>
    <row r="73" spans="1:15" ht="15" customHeight="1" x14ac:dyDescent="0.25">
      <c r="A73" s="16"/>
      <c r="B73" s="29" t="s">
        <v>42</v>
      </c>
      <c r="C73" s="17">
        <f>4*(TRUNC(((16-0.75)/3.281)/0.15,0)+1+(TRUNC(((((8.17-0.333)/2)/3.281)/0.1),0)+1+TRUNC(((((8.17-0.333)/2)/3.281)/0.15),0)))</f>
        <v>200</v>
      </c>
      <c r="D73" s="6">
        <f>(0.75*4+0.17+0.17)/3.281</f>
        <v>1.0179823224626636</v>
      </c>
      <c r="E73" s="6">
        <f>8*8/162</f>
        <v>0.39506172839506171</v>
      </c>
      <c r="F73" s="63">
        <f t="shared" si="8"/>
        <v>80.433171157543796</v>
      </c>
      <c r="G73" s="27">
        <f t="shared" si="9"/>
        <v>8.0433171157543795E-2</v>
      </c>
      <c r="H73" s="20"/>
      <c r="I73" s="21"/>
      <c r="J73" s="23"/>
      <c r="K73" s="19"/>
      <c r="M73" s="53"/>
      <c r="N73" s="54"/>
    </row>
    <row r="74" spans="1:15" ht="15" customHeight="1" x14ac:dyDescent="0.25">
      <c r="A74" s="16"/>
      <c r="B74" s="29"/>
      <c r="C74" s="17">
        <f>4*(TRUNC(((16-0.75)/3.281)/0.15,0)+1+(TRUNC(((((8.17-0.333)/2)/3.281)/0.1),0)+1+TRUNC(((((8.17-0.333)/2)/3.281)/0.15),0)))</f>
        <v>200</v>
      </c>
      <c r="D74" s="6">
        <f>(0.583*4+0.17+0.17)/3.281</f>
        <v>0.81438585797013097</v>
      </c>
      <c r="E74" s="6">
        <f>8*8/162</f>
        <v>0.39506172839506171</v>
      </c>
      <c r="F74" s="63">
        <f t="shared" si="8"/>
        <v>64.346536926035029</v>
      </c>
      <c r="G74" s="27">
        <f t="shared" si="9"/>
        <v>6.4346536926035022E-2</v>
      </c>
      <c r="H74" s="20"/>
      <c r="I74" s="21"/>
      <c r="J74" s="23"/>
      <c r="K74" s="19"/>
      <c r="M74" s="53"/>
      <c r="N74" s="54"/>
    </row>
    <row r="75" spans="1:15" ht="15" customHeight="1" x14ac:dyDescent="0.25">
      <c r="A75" s="16"/>
      <c r="B75" s="29" t="s">
        <v>32</v>
      </c>
      <c r="C75" s="17">
        <f>4*5</f>
        <v>20</v>
      </c>
      <c r="D75" s="6">
        <f>D33-0.1+0.15*2</f>
        <v>2.2572996037793351</v>
      </c>
      <c r="E75" s="6">
        <f t="shared" ref="E75:E76" si="10">12*12/162</f>
        <v>0.88888888888888884</v>
      </c>
      <c r="F75" s="63">
        <f t="shared" si="8"/>
        <v>40.129770733854848</v>
      </c>
      <c r="G75" s="27">
        <f t="shared" si="9"/>
        <v>4.0129770733854847E-2</v>
      </c>
      <c r="H75" s="20"/>
      <c r="I75" s="21"/>
      <c r="J75" s="23"/>
      <c r="K75" s="19"/>
      <c r="M75" s="53">
        <f>6.5*12</f>
        <v>78</v>
      </c>
      <c r="N75" s="54">
        <f>3*M75/8</f>
        <v>29.25</v>
      </c>
      <c r="O75">
        <f>N75/12</f>
        <v>2.4375</v>
      </c>
    </row>
    <row r="76" spans="1:15" ht="15" customHeight="1" x14ac:dyDescent="0.25">
      <c r="A76" s="16"/>
      <c r="B76" s="29" t="s">
        <v>41</v>
      </c>
      <c r="C76" s="17">
        <f>8</f>
        <v>8</v>
      </c>
      <c r="D76" s="6">
        <f>(7.75/4+(12*57/1000)*3.281+1)/3.281</f>
        <v>1.5793063090521182</v>
      </c>
      <c r="E76" s="6">
        <f t="shared" si="10"/>
        <v>0.88888888888888884</v>
      </c>
      <c r="F76" s="63">
        <f t="shared" si="8"/>
        <v>11.230622642148395</v>
      </c>
      <c r="G76" s="27">
        <f t="shared" si="9"/>
        <v>1.1230622642148396E-2</v>
      </c>
      <c r="H76" s="20"/>
      <c r="I76" s="21"/>
      <c r="J76" s="23"/>
      <c r="K76" s="19"/>
      <c r="M76" s="53"/>
      <c r="N76" s="54"/>
    </row>
    <row r="77" spans="1:15" ht="15" customHeight="1" x14ac:dyDescent="0.25">
      <c r="A77" s="16"/>
      <c r="B77" s="29" t="s">
        <v>42</v>
      </c>
      <c r="C77" s="17">
        <f>4*(TRUNC((((D33-0.1)/2))/0.1,0)+TRUNC((((D33-0.1)/2))/0.15,0))</f>
        <v>60</v>
      </c>
      <c r="D77" s="6">
        <f>(0.583*4+0.17+0.17)/3.281</f>
        <v>0.81438585797013097</v>
      </c>
      <c r="E77" s="6">
        <f>8*8/162</f>
        <v>0.39506172839506171</v>
      </c>
      <c r="F77" s="63">
        <f t="shared" si="8"/>
        <v>19.303961077810513</v>
      </c>
      <c r="G77" s="27">
        <f t="shared" si="9"/>
        <v>1.9303961077810513E-2</v>
      </c>
      <c r="H77" s="20"/>
      <c r="I77" s="21"/>
      <c r="J77" s="23"/>
      <c r="K77" s="19"/>
      <c r="M77" s="53"/>
      <c r="N77" s="54">
        <f>(12-0.75*4)/3.281</f>
        <v>2.7430661383724475</v>
      </c>
    </row>
    <row r="78" spans="1:15" ht="15" customHeight="1" x14ac:dyDescent="0.25">
      <c r="A78" s="16"/>
      <c r="B78" s="29" t="str">
        <f>B53</f>
        <v>-Secondary beam</v>
      </c>
      <c r="C78" s="17">
        <f>2*5</f>
        <v>10</v>
      </c>
      <c r="D78" s="6">
        <f>D53+((0.583+0.5)*2)/3.281</f>
        <v>2.8698567509905515</v>
      </c>
      <c r="E78" s="6">
        <f>12*12/162</f>
        <v>0.88888888888888884</v>
      </c>
      <c r="F78" s="63">
        <f t="shared" si="8"/>
        <v>25.509837786582679</v>
      </c>
      <c r="G78" s="27">
        <f t="shared" si="9"/>
        <v>2.5509837786582678E-2</v>
      </c>
      <c r="H78" s="20"/>
      <c r="I78" s="21"/>
      <c r="J78" s="23"/>
      <c r="K78" s="19"/>
      <c r="M78" s="53"/>
      <c r="N78" s="54"/>
    </row>
    <row r="79" spans="1:15" ht="15" customHeight="1" x14ac:dyDescent="0.25">
      <c r="A79" s="16"/>
      <c r="B79" s="29" t="s">
        <v>42</v>
      </c>
      <c r="C79" s="17">
        <f>2*TRUNC(((7.25-0.333-0.75*2)/0.333),0)</f>
        <v>32</v>
      </c>
      <c r="D79" s="6">
        <f>(0.583*4+0.17+0.17)/3.281</f>
        <v>0.81438585797013097</v>
      </c>
      <c r="E79" s="6">
        <f>8*8/162</f>
        <v>0.39506172839506171</v>
      </c>
      <c r="F79" s="63">
        <f t="shared" si="8"/>
        <v>10.295445908165606</v>
      </c>
      <c r="G79" s="27">
        <f t="shared" si="9"/>
        <v>1.0295445908165606E-2</v>
      </c>
      <c r="H79" s="20"/>
      <c r="I79" s="21"/>
      <c r="J79" s="23"/>
      <c r="K79" s="19"/>
      <c r="M79" s="53">
        <f>7.75/4</f>
        <v>1.9375</v>
      </c>
      <c r="N79" s="54">
        <f>M79+1-0.17+0.5</f>
        <v>3.2675000000000001</v>
      </c>
      <c r="O79">
        <f>(M79+M79)/3.281+0.3</f>
        <v>1.4810423651325815</v>
      </c>
    </row>
    <row r="80" spans="1:15" ht="15" customHeight="1" x14ac:dyDescent="0.25">
      <c r="A80" s="16"/>
      <c r="B80" s="29" t="s">
        <v>79</v>
      </c>
      <c r="C80" s="17">
        <f>C71</f>
        <v>92</v>
      </c>
      <c r="D80" s="6">
        <f>D71</f>
        <v>4.3955806156659554</v>
      </c>
      <c r="E80" s="6">
        <f>8*8/162</f>
        <v>0.39506172839506171</v>
      </c>
      <c r="F80" s="63">
        <f t="shared" si="8"/>
        <v>159.76036212988359</v>
      </c>
      <c r="G80" s="27">
        <f t="shared" si="9"/>
        <v>0.15976036212988359</v>
      </c>
      <c r="H80" s="20"/>
      <c r="I80" s="21"/>
      <c r="J80" s="23"/>
      <c r="K80" s="19"/>
      <c r="M80" s="53"/>
      <c r="N80" s="54">
        <f>(M79+(12*57/1000)*3.281+1)/3.281</f>
        <v>1.5793063090521182</v>
      </c>
    </row>
    <row r="81" spans="1:16" ht="15" customHeight="1" x14ac:dyDescent="0.25">
      <c r="A81" s="16"/>
      <c r="B81" s="29" t="str">
        <f>B56</f>
        <v>-1st floor Inclined Surface</v>
      </c>
      <c r="C81" s="17"/>
      <c r="D81" s="6"/>
      <c r="E81" s="6"/>
      <c r="F81" s="63"/>
      <c r="G81" s="27"/>
      <c r="H81" s="20"/>
      <c r="I81" s="21"/>
      <c r="J81" s="23"/>
      <c r="K81" s="19"/>
      <c r="M81" s="53"/>
      <c r="N81" s="54"/>
    </row>
    <row r="82" spans="1:16" ht="15" customHeight="1" x14ac:dyDescent="0.25">
      <c r="A82" s="16"/>
      <c r="B82" s="29" t="s">
        <v>80</v>
      </c>
      <c r="C82" s="17">
        <f>4*TRUNC(D56/0.15,0)</f>
        <v>40</v>
      </c>
      <c r="D82" s="6">
        <f>E56</f>
        <v>2.8700091435537942</v>
      </c>
      <c r="E82" s="6">
        <f>10*10/162</f>
        <v>0.61728395061728392</v>
      </c>
      <c r="F82" s="63">
        <f t="shared" si="8"/>
        <v>70.864423297624541</v>
      </c>
      <c r="G82" s="27">
        <f t="shared" si="9"/>
        <v>7.0864423297624546E-2</v>
      </c>
      <c r="H82" s="20"/>
      <c r="I82" s="21"/>
      <c r="J82" s="23"/>
      <c r="K82" s="19"/>
      <c r="M82" s="53"/>
      <c r="N82" s="54">
        <f>7.25-0.75*2</f>
        <v>5.75</v>
      </c>
      <c r="O82">
        <f>N82/0.333</f>
        <v>17.267267267267265</v>
      </c>
      <c r="P82">
        <f>O82*2</f>
        <v>34.534534534534529</v>
      </c>
    </row>
    <row r="83" spans="1:16" ht="15" customHeight="1" x14ac:dyDescent="0.25">
      <c r="A83" s="16"/>
      <c r="B83" s="29" t="s">
        <v>81</v>
      </c>
      <c r="C83" s="17">
        <f>4*TRUNC(E56/0.15,0)</f>
        <v>76</v>
      </c>
      <c r="D83" s="6">
        <f>D56</f>
        <v>1.6001219140505942</v>
      </c>
      <c r="E83" s="6">
        <f>10*10/162</f>
        <v>0.61728395061728392</v>
      </c>
      <c r="F83" s="63">
        <f t="shared" si="8"/>
        <v>75.067447819657502</v>
      </c>
      <c r="G83" s="27">
        <f t="shared" si="9"/>
        <v>7.5067447819657504E-2</v>
      </c>
      <c r="H83" s="20"/>
      <c r="I83" s="21"/>
      <c r="J83" s="23"/>
      <c r="K83" s="19"/>
      <c r="M83" s="53"/>
      <c r="N83" s="54"/>
    </row>
    <row r="84" spans="1:16" ht="15" customHeight="1" x14ac:dyDescent="0.25">
      <c r="A84" s="16"/>
      <c r="B84" s="29" t="str">
        <f>B57</f>
        <v>-1st floor column</v>
      </c>
      <c r="C84" s="17">
        <f>8*4</f>
        <v>32</v>
      </c>
      <c r="D84" s="6">
        <f>F57+0.684*2</f>
        <v>3.4505967692776593</v>
      </c>
      <c r="E84" s="6">
        <f>12*12/162</f>
        <v>0.88888888888888884</v>
      </c>
      <c r="F84" s="63">
        <f t="shared" si="8"/>
        <v>98.150308103897856</v>
      </c>
      <c r="G84" s="27">
        <f t="shared" si="9"/>
        <v>9.8150308103897854E-2</v>
      </c>
      <c r="H84" s="20"/>
      <c r="I84" s="21"/>
      <c r="J84" s="23"/>
      <c r="K84" s="19"/>
      <c r="M84" s="53"/>
      <c r="N84" s="54"/>
    </row>
    <row r="85" spans="1:16" ht="15" customHeight="1" x14ac:dyDescent="0.25">
      <c r="A85" s="16"/>
      <c r="B85" s="29" t="s">
        <v>42</v>
      </c>
      <c r="C85" s="17">
        <f>4*TRUNC((3.5+3-0.75*2-0.333)/0.333,0)</f>
        <v>56</v>
      </c>
      <c r="D85" s="6">
        <f>(0.583*4+0.17+0.17)/3.281</f>
        <v>0.81438585797013097</v>
      </c>
      <c r="E85" s="6">
        <f>8*8/162</f>
        <v>0.39506172839506171</v>
      </c>
      <c r="F85" s="63">
        <f t="shared" si="8"/>
        <v>18.017030339289811</v>
      </c>
      <c r="G85" s="27">
        <f t="shared" si="9"/>
        <v>1.8017030339289811E-2</v>
      </c>
      <c r="H85" s="20"/>
      <c r="I85" s="21"/>
      <c r="J85" s="23"/>
      <c r="K85" s="19"/>
      <c r="M85" s="53"/>
      <c r="N85" s="54"/>
    </row>
    <row r="86" spans="1:16" ht="15" customHeight="1" x14ac:dyDescent="0.25">
      <c r="A86" s="16"/>
      <c r="B86" s="29"/>
      <c r="C86" s="17">
        <f>4*TRUNC((3.5+3-0.75*2-0.333)/0.333,0)</f>
        <v>56</v>
      </c>
      <c r="D86" s="6">
        <f>(0.42*4+0.17+0.17)/3.281</f>
        <v>0.61566595550137149</v>
      </c>
      <c r="E86" s="6">
        <f>8*8/162</f>
        <v>0.39506172839506171</v>
      </c>
      <c r="F86" s="63">
        <f t="shared" si="8"/>
        <v>13.620659163684662</v>
      </c>
      <c r="G86" s="27">
        <f t="shared" si="9"/>
        <v>1.3620659163684662E-2</v>
      </c>
      <c r="H86" s="20"/>
      <c r="I86" s="21"/>
      <c r="J86" s="23"/>
      <c r="K86" s="19"/>
      <c r="M86" s="53"/>
      <c r="N86" s="54"/>
    </row>
    <row r="87" spans="1:16" ht="15" customHeight="1" x14ac:dyDescent="0.25">
      <c r="A87" s="16"/>
      <c r="B87" s="29" t="str">
        <f>B58</f>
        <v>-2nd floor beam</v>
      </c>
      <c r="C87" s="17">
        <f>4*4</f>
        <v>16</v>
      </c>
      <c r="D87" s="6">
        <f>(3.5+0.583*2)/3.281</f>
        <v>1.4221274001828712</v>
      </c>
      <c r="E87" s="6">
        <f>12*12/162</f>
        <v>0.88888888888888884</v>
      </c>
      <c r="F87" s="63">
        <f t="shared" si="8"/>
        <v>20.225811913711944</v>
      </c>
      <c r="G87" s="27">
        <f t="shared" si="9"/>
        <v>2.0225811913711943E-2</v>
      </c>
      <c r="H87" s="20"/>
      <c r="I87" s="21"/>
      <c r="J87" s="23"/>
      <c r="K87" s="19"/>
      <c r="M87" s="53"/>
      <c r="N87" s="54">
        <f>12*57/1000</f>
        <v>0.68400000000000005</v>
      </c>
    </row>
    <row r="88" spans="1:16" ht="15" customHeight="1" x14ac:dyDescent="0.25">
      <c r="A88" s="16"/>
      <c r="B88" s="29" t="s">
        <v>42</v>
      </c>
      <c r="C88" s="17">
        <f>4*TRUNC(((D87-0.1*2)/0.1),0)</f>
        <v>48</v>
      </c>
      <c r="D88" s="6">
        <f>(0.583*4+0.17+0.17)/3.281</f>
        <v>0.81438585797013097</v>
      </c>
      <c r="E88" s="6">
        <f>8*8/162</f>
        <v>0.39506172839506171</v>
      </c>
      <c r="F88" s="63">
        <f t="shared" si="8"/>
        <v>15.443168862248408</v>
      </c>
      <c r="G88" s="27">
        <f t="shared" si="9"/>
        <v>1.5443168862248408E-2</v>
      </c>
      <c r="H88" s="20"/>
      <c r="I88" s="21"/>
      <c r="J88" s="23"/>
      <c r="K88" s="19"/>
      <c r="M88" s="53"/>
      <c r="N88" s="54"/>
    </row>
    <row r="89" spans="1:16" ht="15" customHeight="1" x14ac:dyDescent="0.25">
      <c r="A89" s="16"/>
      <c r="B89" s="29" t="str">
        <f>B60</f>
        <v>-2nd floor slab</v>
      </c>
      <c r="C89" s="17">
        <f>2*(TRUNC((D40-0.23*2)/0.15,0))</f>
        <v>34</v>
      </c>
      <c r="D89" s="6">
        <f>D40</f>
        <v>3.0224017067967082</v>
      </c>
      <c r="E89" s="6">
        <f>10*10/162</f>
        <v>0.61728395061728392</v>
      </c>
      <c r="F89" s="63">
        <f t="shared" si="8"/>
        <v>63.433122241412391</v>
      </c>
      <c r="G89" s="27">
        <f t="shared" si="9"/>
        <v>6.3433122241412385E-2</v>
      </c>
      <c r="H89" s="20"/>
      <c r="I89" s="21"/>
      <c r="J89" s="23"/>
      <c r="K89" s="19"/>
      <c r="M89" s="53"/>
      <c r="N89" s="54"/>
    </row>
    <row r="90" spans="1:16" ht="15" customHeight="1" x14ac:dyDescent="0.25">
      <c r="A90" s="16"/>
      <c r="B90" s="29" t="str">
        <f>B61</f>
        <v>-2nd floor inclined roof slab</v>
      </c>
      <c r="D90" s="6"/>
      <c r="E90" s="6"/>
      <c r="F90" s="63"/>
      <c r="G90" s="27"/>
      <c r="H90" s="20"/>
      <c r="I90" s="21"/>
      <c r="J90" s="23"/>
      <c r="K90" s="19"/>
      <c r="M90" s="53"/>
      <c r="N90" s="54"/>
    </row>
    <row r="91" spans="1:16" ht="15" customHeight="1" x14ac:dyDescent="0.25">
      <c r="A91" s="16"/>
      <c r="B91" s="29" t="str">
        <f>B82</f>
        <v>-horizontal bars</v>
      </c>
      <c r="C91" s="17">
        <f>4*TRUNC(D61/0.15,0)</f>
        <v>36</v>
      </c>
      <c r="D91" s="6">
        <f>E61</f>
        <v>1.664126790612618</v>
      </c>
      <c r="E91" s="6">
        <f>10*10/162</f>
        <v>0.61728395061728392</v>
      </c>
      <c r="F91" s="63">
        <f t="shared" si="8"/>
        <v>36.980595346947069</v>
      </c>
      <c r="G91" s="27">
        <f t="shared" si="9"/>
        <v>3.6980595346947066E-2</v>
      </c>
      <c r="H91" s="20"/>
      <c r="I91" s="21"/>
      <c r="J91" s="23"/>
      <c r="K91" s="19"/>
      <c r="M91" s="53"/>
      <c r="N91" s="54"/>
    </row>
    <row r="92" spans="1:16" ht="15" customHeight="1" x14ac:dyDescent="0.25">
      <c r="A92" s="16"/>
      <c r="B92" s="29" t="str">
        <f>B83</f>
        <v>-vertical bars</v>
      </c>
      <c r="C92" s="17">
        <f>4*TRUNC(E61/0.15,0)</f>
        <v>44</v>
      </c>
      <c r="D92" s="6">
        <f>D61</f>
        <v>1.4736360865589759</v>
      </c>
      <c r="E92" s="6">
        <f>10*10/162</f>
        <v>0.61728395061728392</v>
      </c>
      <c r="F92" s="63">
        <f t="shared" si="8"/>
        <v>40.02468383246601</v>
      </c>
      <c r="G92" s="27">
        <f t="shared" si="9"/>
        <v>4.0024683832466011E-2</v>
      </c>
      <c r="H92" s="20"/>
      <c r="I92" s="21"/>
      <c r="J92" s="23"/>
      <c r="K92" s="19"/>
      <c r="M92" s="53"/>
      <c r="N92" s="54"/>
    </row>
    <row r="93" spans="1:16" ht="15" customHeight="1" x14ac:dyDescent="0.25">
      <c r="A93" s="28"/>
      <c r="B93" s="29" t="s">
        <v>19</v>
      </c>
      <c r="C93" s="25"/>
      <c r="D93" s="6"/>
      <c r="E93" s="6"/>
      <c r="F93" s="6"/>
      <c r="G93" s="23">
        <f>SUM(G66:G92)</f>
        <v>1.8454658493337268</v>
      </c>
      <c r="H93" s="23" t="s">
        <v>40</v>
      </c>
      <c r="I93" s="26">
        <v>130210</v>
      </c>
      <c r="J93" s="24">
        <f>G93*I93</f>
        <v>240298.10824174457</v>
      </c>
      <c r="K93" s="7"/>
    </row>
    <row r="94" spans="1:16" ht="15" customHeight="1" x14ac:dyDescent="0.25">
      <c r="A94" s="16"/>
      <c r="B94" s="29" t="s">
        <v>21</v>
      </c>
      <c r="C94" s="17"/>
      <c r="D94" s="18"/>
      <c r="E94" s="19"/>
      <c r="F94" s="19"/>
      <c r="G94" s="21"/>
      <c r="H94" s="20"/>
      <c r="I94" s="21"/>
      <c r="J94" s="23">
        <f>0.13*G93*105010</f>
        <v>25193.007949009505</v>
      </c>
      <c r="K94" s="19"/>
      <c r="N94" s="54"/>
    </row>
    <row r="95" spans="1:16" ht="15" customHeight="1" x14ac:dyDescent="0.25">
      <c r="A95" s="16"/>
      <c r="B95" s="29"/>
      <c r="C95" s="17"/>
      <c r="D95" s="18"/>
      <c r="E95" s="19"/>
      <c r="F95" s="19"/>
      <c r="G95" s="21"/>
      <c r="H95" s="20"/>
      <c r="I95" s="21"/>
      <c r="J95" s="23"/>
      <c r="K95" s="19"/>
      <c r="M95" s="53"/>
      <c r="N95" s="54"/>
    </row>
    <row r="96" spans="1:16" ht="30" x14ac:dyDescent="0.25">
      <c r="A96" s="16">
        <v>7</v>
      </c>
      <c r="B96" s="38" t="s">
        <v>43</v>
      </c>
      <c r="C96" s="17"/>
      <c r="D96" s="18"/>
      <c r="E96" s="19"/>
      <c r="F96" s="19"/>
      <c r="G96" s="21"/>
      <c r="H96" s="20"/>
      <c r="I96" s="21"/>
      <c r="J96" s="23"/>
      <c r="K96" s="19"/>
      <c r="M96" s="53"/>
      <c r="N96" s="54"/>
    </row>
    <row r="97" spans="1:14" ht="30" x14ac:dyDescent="0.25">
      <c r="A97" s="16"/>
      <c r="B97" s="29" t="s">
        <v>46</v>
      </c>
      <c r="C97" s="17">
        <f>2</f>
        <v>2</v>
      </c>
      <c r="D97" s="18">
        <f>6.75/3.281</f>
        <v>2.0572996037793354</v>
      </c>
      <c r="E97" s="19">
        <v>0.23</v>
      </c>
      <c r="F97" s="19">
        <f>12.5/3.281</f>
        <v>3.8098140810728434</v>
      </c>
      <c r="G97" s="27">
        <f>PRODUCT(C97:F97)</f>
        <v>3.6054473397534834</v>
      </c>
      <c r="H97" s="20"/>
      <c r="I97" s="21"/>
      <c r="J97" s="23"/>
      <c r="K97" s="19"/>
      <c r="M97" s="53"/>
      <c r="N97" s="54"/>
    </row>
    <row r="98" spans="1:14" ht="15" customHeight="1" x14ac:dyDescent="0.25">
      <c r="A98" s="28"/>
      <c r="B98" s="29" t="s">
        <v>19</v>
      </c>
      <c r="C98" s="25"/>
      <c r="D98" s="6"/>
      <c r="E98" s="6"/>
      <c r="F98" s="6"/>
      <c r="G98" s="23">
        <f>SUM(G97:G97)</f>
        <v>3.6054473397534834</v>
      </c>
      <c r="H98" s="23" t="s">
        <v>16</v>
      </c>
      <c r="I98" s="26">
        <v>14520.78</v>
      </c>
      <c r="J98" s="24">
        <f>G98*I98</f>
        <v>52353.907622145591</v>
      </c>
      <c r="K98" s="7"/>
    </row>
    <row r="99" spans="1:14" ht="15" customHeight="1" x14ac:dyDescent="0.25">
      <c r="A99" s="16"/>
      <c r="B99" s="29" t="s">
        <v>21</v>
      </c>
      <c r="C99" s="17"/>
      <c r="D99" s="18"/>
      <c r="E99" s="19"/>
      <c r="F99" s="19"/>
      <c r="G99" s="21"/>
      <c r="H99" s="20"/>
      <c r="I99" s="21"/>
      <c r="J99" s="23">
        <f>0.13*G98*10560.79</f>
        <v>4949.9283874553757</v>
      </c>
      <c r="K99" s="19"/>
      <c r="M99" s="53"/>
      <c r="N99" s="54"/>
    </row>
    <row r="100" spans="1:14" ht="15" customHeight="1" x14ac:dyDescent="0.25">
      <c r="A100" s="16"/>
      <c r="B100" s="29"/>
      <c r="C100" s="17"/>
      <c r="D100" s="18"/>
      <c r="E100" s="19"/>
      <c r="F100" s="19"/>
      <c r="G100" s="21"/>
      <c r="H100" s="20"/>
      <c r="I100" s="21"/>
      <c r="J100" s="23"/>
      <c r="K100" s="19"/>
      <c r="M100" s="53"/>
      <c r="N100" s="54"/>
    </row>
    <row r="101" spans="1:14" ht="30" x14ac:dyDescent="0.25">
      <c r="A101" s="16">
        <v>8</v>
      </c>
      <c r="B101" s="38" t="s">
        <v>58</v>
      </c>
      <c r="C101" s="17"/>
      <c r="D101" s="18"/>
      <c r="E101" s="19"/>
      <c r="F101" s="19"/>
      <c r="G101" s="21"/>
      <c r="H101" s="20"/>
      <c r="I101" s="21"/>
      <c r="J101" s="23"/>
      <c r="K101" s="19"/>
      <c r="M101" s="53"/>
      <c r="N101" s="54"/>
    </row>
    <row r="102" spans="1:14" ht="15" customHeight="1" x14ac:dyDescent="0.25">
      <c r="A102" s="16"/>
      <c r="B102" s="29" t="s">
        <v>45</v>
      </c>
      <c r="C102" s="17">
        <v>4</v>
      </c>
      <c r="D102" s="18">
        <f>6.75/3.281</f>
        <v>2.0572996037793354</v>
      </c>
      <c r="E102" s="19">
        <v>0.1</v>
      </c>
      <c r="F102" s="19">
        <f>8.17/3.281</f>
        <v>2.4900944833892105</v>
      </c>
      <c r="G102" s="27">
        <f>PRODUCT(C102:F102)</f>
        <v>2.0491481576198929</v>
      </c>
      <c r="H102" s="20"/>
      <c r="I102" s="21"/>
      <c r="J102" s="23"/>
      <c r="K102" s="19"/>
      <c r="M102" s="53"/>
      <c r="N102" s="54"/>
    </row>
    <row r="103" spans="1:14" ht="15" customHeight="1" x14ac:dyDescent="0.25">
      <c r="A103" s="16"/>
      <c r="B103" s="29" t="s">
        <v>59</v>
      </c>
      <c r="C103" s="17">
        <v>-2</v>
      </c>
      <c r="D103" s="18">
        <v>0.75</v>
      </c>
      <c r="E103" s="19">
        <v>0.1</v>
      </c>
      <c r="F103" s="19">
        <v>0.9</v>
      </c>
      <c r="G103" s="27">
        <f>PRODUCT(C103:F103)</f>
        <v>-0.13500000000000004</v>
      </c>
      <c r="H103" s="20"/>
      <c r="I103" s="21"/>
      <c r="J103" s="23"/>
      <c r="K103" s="19"/>
      <c r="M103" s="53"/>
      <c r="N103" s="54"/>
    </row>
    <row r="104" spans="1:14" ht="15" customHeight="1" x14ac:dyDescent="0.25">
      <c r="A104" s="16"/>
      <c r="B104" s="29" t="s">
        <v>82</v>
      </c>
      <c r="C104" s="17">
        <v>-1</v>
      </c>
      <c r="D104" s="18">
        <f>3.5/3.281</f>
        <v>1.0667479427003961</v>
      </c>
      <c r="E104" s="19">
        <v>0.1</v>
      </c>
      <c r="F104" s="19">
        <f>7/3.281</f>
        <v>2.1334958854007922</v>
      </c>
      <c r="G104" s="27">
        <f>PRODUCT(C104:F104)</f>
        <v>-0.22759023465110553</v>
      </c>
      <c r="H104" s="20"/>
      <c r="I104" s="21"/>
      <c r="J104" s="23"/>
      <c r="K104" s="19"/>
      <c r="M104" s="53"/>
      <c r="N104" s="54"/>
    </row>
    <row r="105" spans="1:14" ht="15" customHeight="1" x14ac:dyDescent="0.25">
      <c r="A105" s="16"/>
      <c r="B105" s="29" t="s">
        <v>84</v>
      </c>
      <c r="C105" s="17">
        <v>2</v>
      </c>
      <c r="D105" s="18">
        <f>3.5/3.281</f>
        <v>1.0667479427003961</v>
      </c>
      <c r="E105" s="19">
        <v>0.1</v>
      </c>
      <c r="F105" s="19">
        <f>(3.5-0.75)/3.281</f>
        <v>0.8381590978360256</v>
      </c>
      <c r="G105" s="27">
        <f t="shared" ref="G105:G106" si="11">PRODUCT(C105:F105)</f>
        <v>0.17882089865444009</v>
      </c>
      <c r="H105" s="20"/>
      <c r="I105" s="21"/>
      <c r="J105" s="23"/>
      <c r="K105" s="19"/>
      <c r="M105" s="53"/>
      <c r="N105" s="54"/>
    </row>
    <row r="106" spans="1:14" ht="15" customHeight="1" x14ac:dyDescent="0.25">
      <c r="A106" s="16"/>
      <c r="B106" s="29"/>
      <c r="C106" s="17">
        <v>4</v>
      </c>
      <c r="D106" s="18">
        <f>3.5/3.281</f>
        <v>1.0667479427003961</v>
      </c>
      <c r="E106" s="19">
        <v>0.1</v>
      </c>
      <c r="F106" s="19">
        <f>(3-0.75)/3.281</f>
        <v>0.68576653459311188</v>
      </c>
      <c r="G106" s="27">
        <f t="shared" si="11"/>
        <v>0.29261601597999287</v>
      </c>
      <c r="H106" s="20"/>
      <c r="I106" s="21"/>
      <c r="J106" s="23"/>
      <c r="K106" s="19"/>
      <c r="M106" s="53"/>
      <c r="N106" s="54"/>
    </row>
    <row r="107" spans="1:14" ht="15" customHeight="1" x14ac:dyDescent="0.25">
      <c r="A107" s="16"/>
      <c r="B107" s="29" t="s">
        <v>59</v>
      </c>
      <c r="C107" s="17">
        <v>-4</v>
      </c>
      <c r="D107" s="18">
        <v>0.6</v>
      </c>
      <c r="E107" s="19">
        <v>0.1</v>
      </c>
      <c r="F107" s="19">
        <f>0.9-0.23</f>
        <v>0.67</v>
      </c>
      <c r="G107" s="27">
        <f>PRODUCT(C107:F107)</f>
        <v>-0.1608</v>
      </c>
      <c r="H107" s="20"/>
      <c r="I107" s="21"/>
      <c r="J107" s="23"/>
      <c r="K107" s="19"/>
      <c r="M107" s="53"/>
      <c r="N107" s="54"/>
    </row>
    <row r="108" spans="1:14" ht="15" customHeight="1" x14ac:dyDescent="0.25">
      <c r="A108" s="28"/>
      <c r="B108" s="29" t="s">
        <v>19</v>
      </c>
      <c r="C108" s="25"/>
      <c r="D108" s="6"/>
      <c r="E108" s="6"/>
      <c r="F108" s="6"/>
      <c r="G108" s="23">
        <f>SUM(G102:G107)</f>
        <v>1.99719483760322</v>
      </c>
      <c r="H108" s="23" t="s">
        <v>16</v>
      </c>
      <c r="I108" s="26">
        <v>14911.97</v>
      </c>
      <c r="J108" s="24">
        <f>G108*I108</f>
        <v>29782.109502494088</v>
      </c>
      <c r="K108" s="7"/>
    </row>
    <row r="109" spans="1:14" ht="15" customHeight="1" x14ac:dyDescent="0.25">
      <c r="A109" s="16"/>
      <c r="B109" s="29" t="s">
        <v>21</v>
      </c>
      <c r="C109" s="17"/>
      <c r="D109" s="18"/>
      <c r="E109" s="19"/>
      <c r="F109" s="19"/>
      <c r="G109" s="21"/>
      <c r="H109" s="20"/>
      <c r="I109" s="21"/>
      <c r="J109" s="23">
        <f>0.13*G108*10946.58</f>
        <v>2842.1188985033855</v>
      </c>
      <c r="K109" s="19"/>
      <c r="M109" s="53"/>
      <c r="N109" s="54"/>
    </row>
    <row r="110" spans="1:14" ht="15" customHeight="1" x14ac:dyDescent="0.25">
      <c r="A110" s="16"/>
      <c r="B110" s="29"/>
      <c r="C110" s="17"/>
      <c r="D110" s="18"/>
      <c r="E110" s="19"/>
      <c r="F110" s="19"/>
      <c r="G110" s="21"/>
      <c r="H110" s="20"/>
      <c r="I110" s="21"/>
      <c r="J110" s="23"/>
      <c r="K110" s="19"/>
      <c r="M110" s="53"/>
      <c r="N110" s="54"/>
    </row>
    <row r="111" spans="1:14" ht="30" hidden="1" x14ac:dyDescent="0.25">
      <c r="A111" s="16">
        <v>9</v>
      </c>
      <c r="B111" s="38" t="s">
        <v>44</v>
      </c>
      <c r="C111" s="17"/>
      <c r="D111" s="18"/>
      <c r="E111" s="19"/>
      <c r="G111" s="21"/>
      <c r="H111" s="20"/>
      <c r="I111" s="21"/>
      <c r="J111" s="23"/>
      <c r="K111" s="19"/>
      <c r="M111" s="53"/>
      <c r="N111" s="54"/>
    </row>
    <row r="112" spans="1:14" hidden="1" x14ac:dyDescent="0.25">
      <c r="A112" s="16"/>
      <c r="B112" s="29" t="s">
        <v>96</v>
      </c>
      <c r="C112" s="17">
        <v>4</v>
      </c>
      <c r="D112" s="18">
        <f>7.25/3.281</f>
        <v>2.2096921670222494</v>
      </c>
      <c r="E112" s="19"/>
      <c r="F112" s="19">
        <f>14/3.281</f>
        <v>4.2669917708015843</v>
      </c>
      <c r="G112" s="27">
        <f>PRODUCT(C112:F112)</f>
        <v>37.714953170754633</v>
      </c>
      <c r="H112" s="20"/>
      <c r="I112" s="21"/>
      <c r="J112" s="23"/>
      <c r="K112" s="19"/>
      <c r="M112" s="53"/>
      <c r="N112" s="54"/>
    </row>
    <row r="113" spans="1:19" ht="15" hidden="1" customHeight="1" x14ac:dyDescent="0.25">
      <c r="A113" s="16"/>
      <c r="B113" s="29" t="s">
        <v>59</v>
      </c>
      <c r="C113" s="17">
        <v>-1</v>
      </c>
      <c r="D113" s="18">
        <v>0.9</v>
      </c>
      <c r="E113" s="19"/>
      <c r="F113" s="19">
        <v>1.2</v>
      </c>
      <c r="G113" s="27">
        <f t="shared" ref="G113:G114" si="12">PRODUCT(C113:F113)</f>
        <v>-1.08</v>
      </c>
      <c r="H113" s="20"/>
      <c r="I113" s="21"/>
      <c r="J113" s="23"/>
      <c r="K113" s="19"/>
      <c r="M113" s="53"/>
      <c r="N113" s="54"/>
    </row>
    <row r="114" spans="1:19" ht="15" hidden="1" customHeight="1" x14ac:dyDescent="0.25">
      <c r="A114" s="16"/>
      <c r="B114" s="29" t="s">
        <v>82</v>
      </c>
      <c r="C114" s="17">
        <v>-1</v>
      </c>
      <c r="D114" s="18">
        <v>0.9</v>
      </c>
      <c r="E114" s="19"/>
      <c r="F114" s="19">
        <f>7/3.281</f>
        <v>2.1334958854007922</v>
      </c>
      <c r="G114" s="27">
        <f t="shared" si="12"/>
        <v>-1.920146296860713</v>
      </c>
      <c r="H114" s="20"/>
      <c r="I114" s="21"/>
      <c r="J114" s="23"/>
      <c r="K114" s="19"/>
      <c r="M114" s="53"/>
      <c r="N114" s="54"/>
    </row>
    <row r="115" spans="1:19" ht="15" hidden="1" customHeight="1" x14ac:dyDescent="0.25">
      <c r="A115" s="16"/>
      <c r="B115" s="29" t="str">
        <f t="shared" ref="B115:C117" si="13">B102</f>
        <v>-At Ground floor</v>
      </c>
      <c r="C115" s="17">
        <f t="shared" si="13"/>
        <v>4</v>
      </c>
      <c r="D115" s="18">
        <f>D112</f>
        <v>2.2096921670222494</v>
      </c>
      <c r="E115" s="19"/>
      <c r="F115" s="19">
        <f>(8.917-5)/3.281</f>
        <v>1.1938433404449862</v>
      </c>
      <c r="G115" s="27">
        <f>PRODUCT(C115:F115)</f>
        <v>10.55210511213185</v>
      </c>
      <c r="H115" s="20"/>
      <c r="I115" s="21"/>
      <c r="J115" s="23"/>
      <c r="K115" s="19"/>
      <c r="M115" s="53"/>
      <c r="N115" s="54"/>
    </row>
    <row r="116" spans="1:19" ht="15" hidden="1" customHeight="1" x14ac:dyDescent="0.25">
      <c r="A116" s="16"/>
      <c r="B116" s="29" t="str">
        <f t="shared" si="13"/>
        <v>-Deduction for window</v>
      </c>
      <c r="C116" s="17">
        <f t="shared" si="13"/>
        <v>-2</v>
      </c>
      <c r="D116" s="18">
        <f>D103</f>
        <v>0.75</v>
      </c>
      <c r="E116" s="19"/>
      <c r="F116" s="19">
        <v>0.45</v>
      </c>
      <c r="G116" s="27">
        <f t="shared" ref="G116:G118" si="14">PRODUCT(C116:F116)</f>
        <v>-0.67500000000000004</v>
      </c>
      <c r="H116" s="20"/>
      <c r="I116" s="21"/>
      <c r="J116" s="23"/>
      <c r="K116" s="19"/>
      <c r="M116" s="53"/>
      <c r="N116" s="54"/>
    </row>
    <row r="117" spans="1:19" ht="15" hidden="1" customHeight="1" x14ac:dyDescent="0.25">
      <c r="A117" s="16"/>
      <c r="B117" s="29" t="str">
        <f t="shared" si="13"/>
        <v>-Deduction for door</v>
      </c>
      <c r="C117" s="17">
        <f t="shared" si="13"/>
        <v>-1</v>
      </c>
      <c r="D117" s="18">
        <f>D104</f>
        <v>1.0667479427003961</v>
      </c>
      <c r="E117" s="19"/>
      <c r="F117" s="19">
        <f>F115</f>
        <v>1.1938433404449862</v>
      </c>
      <c r="G117" s="27">
        <f t="shared" si="14"/>
        <v>-1.2735299273262575</v>
      </c>
      <c r="H117" s="20"/>
      <c r="I117" s="21"/>
      <c r="J117" s="23"/>
      <c r="K117" s="19"/>
      <c r="M117" s="53"/>
      <c r="N117" s="54"/>
    </row>
    <row r="118" spans="1:19" ht="15" hidden="1" customHeight="1" x14ac:dyDescent="0.25">
      <c r="A118" s="16"/>
      <c r="B118" s="29" t="s">
        <v>97</v>
      </c>
      <c r="C118" s="17">
        <f>C54</f>
        <v>1</v>
      </c>
      <c r="D118" s="18">
        <f>7.25/3.281</f>
        <v>2.2096921670222494</v>
      </c>
      <c r="E118" s="19">
        <f>7.25/3.281</f>
        <v>2.2096921670222494</v>
      </c>
      <c r="F118" s="19"/>
      <c r="G118" s="27">
        <f t="shared" si="14"/>
        <v>4.882739472999484</v>
      </c>
      <c r="H118" s="20"/>
      <c r="I118" s="21"/>
      <c r="J118" s="23"/>
      <c r="K118" s="19"/>
      <c r="M118" s="53"/>
      <c r="N118" s="64"/>
    </row>
    <row r="119" spans="1:19" ht="15" hidden="1" customHeight="1" x14ac:dyDescent="0.25">
      <c r="A119" s="28"/>
      <c r="B119" s="29" t="s">
        <v>19</v>
      </c>
      <c r="C119" s="25"/>
      <c r="D119" s="6"/>
      <c r="E119" s="6"/>
      <c r="F119" s="6"/>
      <c r="G119" s="23">
        <f>0*SUM(G112:G118)</f>
        <v>0</v>
      </c>
      <c r="H119" s="23" t="s">
        <v>25</v>
      </c>
      <c r="I119" s="26">
        <v>402.23</v>
      </c>
      <c r="J119" s="24">
        <f>G119*I119</f>
        <v>0</v>
      </c>
      <c r="K119" s="7"/>
    </row>
    <row r="120" spans="1:19" ht="15" hidden="1" customHeight="1" x14ac:dyDescent="0.25">
      <c r="A120" s="16"/>
      <c r="B120" s="29" t="s">
        <v>21</v>
      </c>
      <c r="C120" s="17"/>
      <c r="D120" s="18"/>
      <c r="E120" s="19"/>
      <c r="F120" s="19"/>
      <c r="G120" s="21"/>
      <c r="H120" s="20"/>
      <c r="I120" s="21"/>
      <c r="J120" s="23">
        <f>0.13*G119*(11424.1/100)</f>
        <v>0</v>
      </c>
      <c r="K120" s="19"/>
      <c r="M120" s="53"/>
      <c r="N120" s="54"/>
    </row>
    <row r="121" spans="1:19" ht="15" hidden="1" customHeight="1" x14ac:dyDescent="0.25">
      <c r="A121" s="16"/>
      <c r="B121" s="29"/>
      <c r="C121" s="17"/>
      <c r="D121" s="18"/>
      <c r="E121" s="19"/>
      <c r="F121" s="19"/>
      <c r="G121" s="21"/>
      <c r="H121" s="20"/>
      <c r="I121" s="21"/>
      <c r="J121" s="23"/>
      <c r="K121" s="19"/>
      <c r="M121" s="53"/>
      <c r="N121" s="54"/>
    </row>
    <row r="122" spans="1:19" ht="42.75" x14ac:dyDescent="0.25">
      <c r="A122" s="16">
        <v>9</v>
      </c>
      <c r="B122" s="57" t="s">
        <v>60</v>
      </c>
      <c r="C122" s="58"/>
      <c r="D122" s="58"/>
      <c r="E122" s="58"/>
      <c r="F122" s="58"/>
      <c r="G122" s="59"/>
      <c r="H122" s="20"/>
      <c r="I122" s="21"/>
      <c r="J122" s="21"/>
      <c r="K122" s="19"/>
      <c r="M122" s="60"/>
      <c r="N122" s="1"/>
      <c r="O122" s="1"/>
      <c r="P122" s="1"/>
      <c r="Q122" s="1"/>
      <c r="R122" s="60"/>
      <c r="S122" s="60"/>
    </row>
    <row r="123" spans="1:19" ht="15" customHeight="1" x14ac:dyDescent="0.25">
      <c r="A123" s="16"/>
      <c r="B123" s="29" t="str">
        <f t="shared" ref="B123:C125" si="15">B102</f>
        <v>-At Ground floor</v>
      </c>
      <c r="C123" s="17">
        <f t="shared" si="15"/>
        <v>4</v>
      </c>
      <c r="D123" s="18">
        <f>8.75/3.281</f>
        <v>2.6668698567509903</v>
      </c>
      <c r="E123" s="19"/>
      <c r="F123" s="19">
        <f>7/3.281</f>
        <v>2.1334958854007922</v>
      </c>
      <c r="G123" s="27">
        <f>PRODUCT(C123:F123)</f>
        <v>22.759023465110552</v>
      </c>
      <c r="H123" s="20"/>
      <c r="I123" s="21"/>
      <c r="J123" s="23"/>
      <c r="K123" s="19"/>
      <c r="M123" s="53"/>
      <c r="N123" s="54"/>
    </row>
    <row r="124" spans="1:19" ht="15" customHeight="1" x14ac:dyDescent="0.25">
      <c r="A124" s="16"/>
      <c r="B124" s="29" t="str">
        <f t="shared" si="15"/>
        <v>-Deduction for window</v>
      </c>
      <c r="C124" s="17">
        <f t="shared" si="15"/>
        <v>-2</v>
      </c>
      <c r="D124" s="18">
        <f>D103</f>
        <v>0.75</v>
      </c>
      <c r="E124" s="19"/>
      <c r="F124" s="19">
        <f>F103</f>
        <v>0.9</v>
      </c>
      <c r="G124" s="27">
        <f>PRODUCT(C124:F124)</f>
        <v>-1.35</v>
      </c>
      <c r="H124" s="20"/>
      <c r="I124" s="21"/>
      <c r="J124" s="23"/>
      <c r="K124" s="19"/>
      <c r="M124" s="53"/>
      <c r="N124" s="54"/>
    </row>
    <row r="125" spans="1:19" ht="15" customHeight="1" x14ac:dyDescent="0.25">
      <c r="A125" s="16"/>
      <c r="B125" s="29" t="str">
        <f t="shared" si="15"/>
        <v>-Deduction for door</v>
      </c>
      <c r="C125" s="17">
        <f t="shared" si="15"/>
        <v>-1</v>
      </c>
      <c r="D125" s="18">
        <f>D104</f>
        <v>1.0667479427003961</v>
      </c>
      <c r="E125" s="19"/>
      <c r="F125" s="19">
        <f>F104</f>
        <v>2.1334958854007922</v>
      </c>
      <c r="G125" s="27">
        <f>PRODUCT(C125:F125)</f>
        <v>-2.2759023465110548</v>
      </c>
      <c r="H125" s="20"/>
      <c r="I125" s="21"/>
      <c r="J125" s="23"/>
      <c r="K125" s="19"/>
      <c r="M125" s="53"/>
      <c r="N125" s="64"/>
    </row>
    <row r="126" spans="1:19" ht="15" customHeight="1" x14ac:dyDescent="0.25">
      <c r="A126" s="16"/>
      <c r="B126" s="61" t="s">
        <v>19</v>
      </c>
      <c r="C126" s="17"/>
      <c r="D126" s="18"/>
      <c r="E126" s="19"/>
      <c r="F126" s="19"/>
      <c r="G126" s="21">
        <f>SUM(G123:G125)</f>
        <v>19.133121118599497</v>
      </c>
      <c r="H126" s="20" t="s">
        <v>25</v>
      </c>
      <c r="I126" s="21">
        <f>556660.92/100</f>
        <v>5566.6092000000008</v>
      </c>
      <c r="J126" s="62">
        <f>G126*I126</f>
        <v>106506.60804351026</v>
      </c>
      <c r="K126" s="19"/>
      <c r="M126" s="60"/>
      <c r="N126" s="1"/>
      <c r="O126" s="1"/>
      <c r="P126" s="1"/>
      <c r="Q126" s="1"/>
      <c r="R126" s="60"/>
      <c r="S126" s="60"/>
    </row>
    <row r="127" spans="1:19" ht="15" customHeight="1" x14ac:dyDescent="0.25">
      <c r="A127" s="16"/>
      <c r="B127" s="61" t="s">
        <v>61</v>
      </c>
      <c r="C127" s="17"/>
      <c r="D127" s="18"/>
      <c r="E127" s="19"/>
      <c r="F127" s="19"/>
      <c r="G127" s="21"/>
      <c r="H127" s="20"/>
      <c r="I127" s="21"/>
      <c r="J127" s="62">
        <f>0.13*G126*370050.92/100</f>
        <v>9204.2977941319241</v>
      </c>
      <c r="K127" s="19"/>
      <c r="M127" s="60"/>
      <c r="N127" s="1"/>
      <c r="O127" s="1"/>
      <c r="P127" s="1"/>
      <c r="Q127" s="1"/>
      <c r="R127" s="60"/>
      <c r="S127" s="60"/>
    </row>
    <row r="128" spans="1:19" ht="15" customHeight="1" x14ac:dyDescent="0.25">
      <c r="A128" s="16"/>
      <c r="B128" s="61"/>
      <c r="C128" s="17"/>
      <c r="D128" s="18"/>
      <c r="E128" s="19"/>
      <c r="F128" s="19"/>
      <c r="G128" s="21"/>
      <c r="H128" s="20"/>
      <c r="I128" s="21"/>
      <c r="J128" s="62"/>
      <c r="K128" s="19"/>
      <c r="M128" s="60"/>
      <c r="N128" s="1"/>
      <c r="O128" s="1"/>
      <c r="P128" s="1"/>
      <c r="Q128" s="1"/>
      <c r="R128" s="60"/>
      <c r="S128" s="60"/>
    </row>
    <row r="129" spans="1:19" ht="42.75" x14ac:dyDescent="0.25">
      <c r="A129" s="16">
        <v>10</v>
      </c>
      <c r="B129" s="57" t="s">
        <v>98</v>
      </c>
      <c r="C129" s="17"/>
      <c r="D129" s="18"/>
      <c r="E129" s="19"/>
      <c r="F129" s="19"/>
      <c r="G129" s="21"/>
      <c r="H129" s="20"/>
      <c r="I129" s="21"/>
      <c r="J129" s="62"/>
      <c r="K129" s="19"/>
      <c r="M129" s="60"/>
      <c r="N129" s="1"/>
      <c r="O129" s="1"/>
      <c r="P129" s="1"/>
      <c r="Q129" s="1"/>
      <c r="R129" s="60"/>
      <c r="S129" s="60"/>
    </row>
    <row r="130" spans="1:19" ht="15" customHeight="1" x14ac:dyDescent="0.25">
      <c r="A130" s="16"/>
      <c r="B130" s="29" t="s">
        <v>99</v>
      </c>
      <c r="C130" s="17">
        <v>4</v>
      </c>
      <c r="D130" s="18">
        <f>(8.75-3.5-0.75*2)/3.281</f>
        <v>1.1429442243218531</v>
      </c>
      <c r="E130" s="19"/>
      <c r="F130" s="19">
        <f>7/3.281</f>
        <v>2.1334958854007922</v>
      </c>
      <c r="G130" s="27">
        <f>PRODUCT(C130:F130)</f>
        <v>9.7538671993330937</v>
      </c>
      <c r="H130" s="20"/>
      <c r="I130" s="21"/>
      <c r="J130" s="23"/>
      <c r="K130" s="19"/>
      <c r="M130" s="53"/>
      <c r="N130" s="54"/>
    </row>
    <row r="131" spans="1:19" ht="15" customHeight="1" x14ac:dyDescent="0.25">
      <c r="A131" s="16"/>
      <c r="B131" s="61" t="s">
        <v>19</v>
      </c>
      <c r="C131" s="17"/>
      <c r="D131" s="18"/>
      <c r="E131" s="19"/>
      <c r="F131" s="19"/>
      <c r="G131" s="21">
        <f>SUM(G130:G130)</f>
        <v>9.7538671993330937</v>
      </c>
      <c r="H131" s="20" t="s">
        <v>25</v>
      </c>
      <c r="I131" s="21">
        <f>537.83/1.15</f>
        <v>467.67826086956529</v>
      </c>
      <c r="J131" s="62">
        <f>G131*I131</f>
        <v>4561.6716485367988</v>
      </c>
      <c r="K131" s="19"/>
      <c r="M131" s="60"/>
      <c r="N131" s="1"/>
      <c r="O131" s="1"/>
      <c r="P131" s="1"/>
      <c r="Q131" s="1"/>
      <c r="R131" s="60"/>
      <c r="S131" s="60"/>
    </row>
    <row r="132" spans="1:19" ht="15" customHeight="1" x14ac:dyDescent="0.25">
      <c r="A132" s="16"/>
      <c r="B132" s="61" t="s">
        <v>61</v>
      </c>
      <c r="C132" s="17"/>
      <c r="D132" s="18"/>
      <c r="E132" s="19"/>
      <c r="F132" s="19"/>
      <c r="G132" s="21"/>
      <c r="H132" s="20"/>
      <c r="I132" s="21"/>
      <c r="J132" s="62">
        <f>0.13*G131*2909.31/10</f>
        <v>368.90130396199288</v>
      </c>
      <c r="K132" s="19"/>
      <c r="M132" s="60"/>
      <c r="N132" s="1"/>
      <c r="O132" s="1"/>
      <c r="P132" s="1"/>
      <c r="Q132" s="1"/>
      <c r="R132" s="60"/>
      <c r="S132" s="60"/>
    </row>
    <row r="133" spans="1:19" ht="15" customHeight="1" x14ac:dyDescent="0.25">
      <c r="A133" s="16"/>
      <c r="B133" s="61"/>
      <c r="C133" s="17"/>
      <c r="D133" s="18"/>
      <c r="E133" s="19"/>
      <c r="F133" s="19"/>
      <c r="G133" s="21"/>
      <c r="H133" s="20"/>
      <c r="I133" s="21"/>
      <c r="J133" s="62"/>
      <c r="K133" s="19"/>
      <c r="M133" s="60"/>
      <c r="N133" s="1"/>
      <c r="O133" s="1"/>
      <c r="P133" s="1"/>
      <c r="Q133" s="1"/>
      <c r="R133" s="60"/>
      <c r="S133" s="60"/>
    </row>
    <row r="134" spans="1:19" ht="30" x14ac:dyDescent="0.25">
      <c r="A134" s="16">
        <v>11</v>
      </c>
      <c r="B134" s="38" t="s">
        <v>86</v>
      </c>
      <c r="C134" s="17"/>
      <c r="D134" s="18"/>
      <c r="E134" s="19"/>
      <c r="F134" s="19"/>
      <c r="G134" s="21"/>
      <c r="H134" s="20"/>
      <c r="I134" s="21"/>
      <c r="J134" s="62"/>
      <c r="K134" s="19"/>
      <c r="M134" s="60"/>
      <c r="N134" s="1"/>
      <c r="O134" s="1"/>
      <c r="P134" s="1"/>
      <c r="Q134" s="1"/>
      <c r="R134" s="60"/>
      <c r="S134" s="60"/>
    </row>
    <row r="135" spans="1:19" ht="15" customHeight="1" x14ac:dyDescent="0.25">
      <c r="A135" s="16"/>
      <c r="B135" s="22" t="s">
        <v>88</v>
      </c>
      <c r="C135" s="17">
        <v>1</v>
      </c>
      <c r="D135" s="18">
        <f>(6.5*2+3.5*2)/3.281</f>
        <v>6.0957025297165499</v>
      </c>
      <c r="E135" s="19">
        <v>7.4999999999999997E-2</v>
      </c>
      <c r="F135" s="19">
        <v>0.125</v>
      </c>
      <c r="G135" s="27">
        <f>PRODUCT(C135:F135)</f>
        <v>5.7147211216092654E-2</v>
      </c>
      <c r="H135" s="20"/>
      <c r="I135" s="21"/>
      <c r="J135" s="62"/>
      <c r="K135" s="19"/>
      <c r="M135" s="60"/>
      <c r="N135" s="1"/>
      <c r="O135" s="1"/>
      <c r="P135" s="1"/>
      <c r="Q135" s="1"/>
      <c r="R135" s="60"/>
      <c r="S135" s="60"/>
    </row>
    <row r="136" spans="1:19" ht="15" customHeight="1" x14ac:dyDescent="0.25">
      <c r="A136" s="16"/>
      <c r="B136" s="61" t="s">
        <v>19</v>
      </c>
      <c r="C136" s="17"/>
      <c r="D136" s="18"/>
      <c r="E136" s="19"/>
      <c r="F136" s="19"/>
      <c r="G136" s="21">
        <f>SUM(G135)</f>
        <v>5.7147211216092654E-2</v>
      </c>
      <c r="H136" s="20" t="s">
        <v>16</v>
      </c>
      <c r="I136" s="21">
        <v>283082.83</v>
      </c>
      <c r="J136" s="62">
        <f>G136*I136</f>
        <v>16177.39427765925</v>
      </c>
      <c r="K136" s="19"/>
      <c r="M136" s="60"/>
      <c r="N136" s="1"/>
      <c r="O136" s="1"/>
      <c r="P136" s="1"/>
      <c r="Q136" s="1"/>
      <c r="R136" s="60"/>
      <c r="S136" s="60"/>
    </row>
    <row r="137" spans="1:19" ht="15" customHeight="1" x14ac:dyDescent="0.25">
      <c r="A137" s="16"/>
      <c r="B137" s="61" t="s">
        <v>61</v>
      </c>
      <c r="C137" s="17"/>
      <c r="D137" s="18"/>
      <c r="E137" s="19"/>
      <c r="F137" s="19"/>
      <c r="G137" s="21"/>
      <c r="H137" s="20"/>
      <c r="I137" s="21"/>
      <c r="J137" s="62">
        <f>0.13*G136*239222.83</f>
        <v>1777.2192871837854</v>
      </c>
      <c r="K137" s="19"/>
      <c r="M137" s="60"/>
      <c r="N137" s="1"/>
      <c r="O137" s="1"/>
      <c r="P137" s="1"/>
      <c r="Q137" s="1"/>
      <c r="R137" s="60"/>
      <c r="S137" s="60"/>
    </row>
    <row r="138" spans="1:19" ht="15" customHeight="1" x14ac:dyDescent="0.25">
      <c r="A138" s="16"/>
      <c r="B138" s="61"/>
      <c r="C138" s="17"/>
      <c r="D138" s="18"/>
      <c r="E138" s="19"/>
      <c r="F138" s="19"/>
      <c r="G138" s="21"/>
      <c r="H138" s="20"/>
      <c r="I138" s="21"/>
      <c r="J138" s="62"/>
      <c r="K138" s="19"/>
      <c r="M138" s="60"/>
      <c r="N138" s="1"/>
      <c r="O138" s="1"/>
      <c r="P138" s="1"/>
      <c r="Q138" s="1"/>
      <c r="R138" s="60"/>
      <c r="S138" s="60"/>
    </row>
    <row r="139" spans="1:19" ht="42.75" x14ac:dyDescent="0.25">
      <c r="A139" s="16">
        <v>12</v>
      </c>
      <c r="B139" s="57" t="s">
        <v>89</v>
      </c>
      <c r="C139" s="17"/>
      <c r="D139" s="18"/>
      <c r="E139" s="19"/>
      <c r="F139" s="19"/>
      <c r="G139" s="21"/>
      <c r="H139" s="20"/>
      <c r="I139" s="21"/>
      <c r="J139" s="62"/>
      <c r="K139" s="19"/>
      <c r="M139" s="60"/>
      <c r="N139" s="1"/>
      <c r="O139" s="1"/>
      <c r="P139" s="1"/>
      <c r="Q139" s="1"/>
      <c r="R139" s="60"/>
      <c r="S139" s="60"/>
    </row>
    <row r="140" spans="1:19" ht="15" customHeight="1" x14ac:dyDescent="0.25">
      <c r="A140" s="16"/>
      <c r="B140" s="22" t="s">
        <v>87</v>
      </c>
      <c r="C140" s="17">
        <v>2</v>
      </c>
      <c r="D140" s="18">
        <f>D124</f>
        <v>0.75</v>
      </c>
      <c r="E140" s="19"/>
      <c r="F140" s="19">
        <f>F124</f>
        <v>0.9</v>
      </c>
      <c r="G140" s="27">
        <f>PRODUCT(C140:F140)</f>
        <v>1.35</v>
      </c>
      <c r="H140" s="20"/>
      <c r="I140" s="21"/>
      <c r="J140" s="62"/>
      <c r="K140" s="19"/>
      <c r="M140" s="60"/>
      <c r="N140" s="1"/>
      <c r="O140" s="1"/>
      <c r="P140" s="1"/>
      <c r="Q140" s="1"/>
      <c r="R140" s="60"/>
      <c r="S140" s="60"/>
    </row>
    <row r="141" spans="1:19" ht="15" customHeight="1" x14ac:dyDescent="0.25">
      <c r="A141" s="16"/>
      <c r="B141" s="22"/>
      <c r="C141" s="17">
        <v>4</v>
      </c>
      <c r="D141" s="18">
        <f>2/3.281</f>
        <v>0.6095702529716549</v>
      </c>
      <c r="E141" s="19"/>
      <c r="F141" s="19">
        <f>(3-0.75)/3.281</f>
        <v>0.68576653459311188</v>
      </c>
      <c r="G141" s="27">
        <f>PRODUCT(C141:F141)</f>
        <v>1.6720915198856734</v>
      </c>
      <c r="H141" s="20"/>
      <c r="I141" s="21"/>
      <c r="J141" s="62"/>
      <c r="K141" s="19"/>
      <c r="M141" s="60"/>
      <c r="N141" s="1"/>
      <c r="O141" s="1"/>
      <c r="P141" s="1"/>
      <c r="Q141" s="1"/>
      <c r="R141" s="60"/>
      <c r="S141" s="60"/>
    </row>
    <row r="142" spans="1:19" ht="15" customHeight="1" x14ac:dyDescent="0.25">
      <c r="A142" s="16"/>
      <c r="B142" s="22" t="str">
        <f>B135</f>
        <v>Door</v>
      </c>
      <c r="C142" s="17">
        <f>C135</f>
        <v>1</v>
      </c>
      <c r="D142" s="18">
        <f>D125</f>
        <v>1.0667479427003961</v>
      </c>
      <c r="E142" s="19"/>
      <c r="F142" s="19">
        <f>F125</f>
        <v>2.1334958854007922</v>
      </c>
      <c r="G142" s="27">
        <f>PRODUCT(C142:F142)</f>
        <v>2.2759023465110548</v>
      </c>
      <c r="H142" s="20"/>
      <c r="I142" s="21"/>
      <c r="J142" s="62"/>
      <c r="K142" s="19"/>
      <c r="M142" s="60"/>
      <c r="N142" s="1"/>
      <c r="O142" s="1"/>
      <c r="P142" s="1"/>
      <c r="Q142" s="1"/>
      <c r="R142" s="60"/>
      <c r="S142" s="60"/>
    </row>
    <row r="143" spans="1:19" ht="15" customHeight="1" x14ac:dyDescent="0.25">
      <c r="A143" s="16"/>
      <c r="B143" s="61" t="s">
        <v>19</v>
      </c>
      <c r="C143" s="17"/>
      <c r="D143" s="18"/>
      <c r="E143" s="19"/>
      <c r="F143" s="19"/>
      <c r="G143" s="21">
        <f>SUM(G140:G142)</f>
        <v>5.2979938663967285</v>
      </c>
      <c r="H143" s="20" t="s">
        <v>25</v>
      </c>
      <c r="I143" s="21">
        <f>31552.5/0.92</f>
        <v>34296.195652173912</v>
      </c>
      <c r="J143" s="62">
        <f>G143*I143</f>
        <v>181701.03420595953</v>
      </c>
      <c r="K143" s="19"/>
      <c r="M143" s="60"/>
      <c r="N143" s="1"/>
      <c r="O143" s="1"/>
      <c r="P143" s="1"/>
      <c r="Q143" s="1"/>
      <c r="R143" s="60"/>
      <c r="S143" s="60"/>
    </row>
    <row r="144" spans="1:19" ht="15" customHeight="1" x14ac:dyDescent="0.25">
      <c r="A144" s="16"/>
      <c r="B144" s="61" t="s">
        <v>61</v>
      </c>
      <c r="C144" s="17"/>
      <c r="D144" s="18"/>
      <c r="E144" s="19"/>
      <c r="F144" s="19"/>
      <c r="G144" s="21"/>
      <c r="H144" s="20"/>
      <c r="I144" s="21"/>
      <c r="J144" s="62">
        <f>0.13*G143*9742.5/0.92</f>
        <v>7293.5235669979529</v>
      </c>
      <c r="K144" s="19"/>
      <c r="M144" s="60"/>
      <c r="N144" s="1"/>
      <c r="O144" s="1"/>
      <c r="P144" s="1"/>
      <c r="Q144" s="1"/>
      <c r="R144" s="60"/>
      <c r="S144" s="60"/>
    </row>
    <row r="145" spans="1:19" ht="15" customHeight="1" x14ac:dyDescent="0.25">
      <c r="A145" s="16"/>
      <c r="B145" s="22"/>
      <c r="C145" s="17"/>
      <c r="D145" s="18"/>
      <c r="E145" s="19"/>
      <c r="F145" s="19"/>
      <c r="G145" s="21"/>
      <c r="H145" s="20"/>
      <c r="I145" s="21"/>
      <c r="J145" s="62"/>
      <c r="K145" s="19"/>
      <c r="M145" s="60"/>
      <c r="N145" s="1"/>
      <c r="O145" s="1"/>
      <c r="P145" s="1"/>
      <c r="Q145" s="1"/>
      <c r="R145" s="60"/>
      <c r="S145" s="60"/>
    </row>
    <row r="146" spans="1:19" ht="15" customHeight="1" x14ac:dyDescent="0.25">
      <c r="A146" s="16">
        <v>13</v>
      </c>
      <c r="B146" s="57" t="s">
        <v>85</v>
      </c>
      <c r="C146" s="17">
        <v>1</v>
      </c>
      <c r="D146" s="18"/>
      <c r="E146" s="19"/>
      <c r="F146" s="19"/>
      <c r="G146" s="23">
        <f t="shared" ref="G146" si="16">PRODUCT(C146:F146)</f>
        <v>1</v>
      </c>
      <c r="H146" s="20" t="s">
        <v>68</v>
      </c>
      <c r="I146" s="21">
        <v>15000</v>
      </c>
      <c r="J146" s="23">
        <f>G146*I146</f>
        <v>15000</v>
      </c>
      <c r="K146" s="19"/>
      <c r="M146" s="53"/>
      <c r="N146" s="54"/>
    </row>
    <row r="147" spans="1:19" ht="28.5" hidden="1" x14ac:dyDescent="0.25">
      <c r="A147" s="16">
        <v>17</v>
      </c>
      <c r="B147" s="57" t="s">
        <v>67</v>
      </c>
      <c r="C147" s="17"/>
      <c r="D147" s="18"/>
      <c r="E147" s="19"/>
      <c r="F147" s="19"/>
      <c r="G147" s="21"/>
      <c r="H147" s="20"/>
      <c r="I147" s="21"/>
      <c r="J147" s="62"/>
      <c r="K147" s="19"/>
      <c r="M147" s="60"/>
      <c r="N147" s="1"/>
      <c r="O147" s="1"/>
      <c r="P147" s="1"/>
      <c r="Q147" s="1"/>
      <c r="R147" s="60"/>
      <c r="S147" s="60"/>
    </row>
    <row r="148" spans="1:19" ht="15" hidden="1" customHeight="1" x14ac:dyDescent="0.25">
      <c r="A148" s="16"/>
      <c r="B148" s="29" t="s">
        <v>33</v>
      </c>
      <c r="C148" s="17">
        <v>2</v>
      </c>
      <c r="D148" s="6">
        <f>(8+1.5*2)/3.281</f>
        <v>3.3526363913441024</v>
      </c>
      <c r="E148" s="6">
        <v>0.45</v>
      </c>
      <c r="F148" s="63"/>
      <c r="G148" s="27">
        <f t="shared" ref="G148:G149" si="17">PRODUCT(C148:F148)</f>
        <v>3.0173727522096923</v>
      </c>
      <c r="H148" s="20"/>
      <c r="I148" s="21"/>
      <c r="J148" s="23"/>
      <c r="K148" s="19"/>
      <c r="M148" s="53"/>
      <c r="N148" s="54"/>
    </row>
    <row r="149" spans="1:19" ht="15" hidden="1" customHeight="1" x14ac:dyDescent="0.25">
      <c r="A149" s="16"/>
      <c r="B149" s="29"/>
      <c r="C149" s="17">
        <v>2</v>
      </c>
      <c r="D149" s="6">
        <f>(8)/3.281</f>
        <v>2.4382810118866196</v>
      </c>
      <c r="E149" s="6">
        <v>0.45</v>
      </c>
      <c r="F149" s="63"/>
      <c r="G149" s="27">
        <f t="shared" si="17"/>
        <v>2.1944529106979576</v>
      </c>
      <c r="H149" s="20"/>
      <c r="I149" s="21"/>
      <c r="J149" s="23"/>
      <c r="K149" s="19"/>
      <c r="M149" s="53"/>
      <c r="N149" s="54"/>
    </row>
    <row r="150" spans="1:19" ht="15" hidden="1" customHeight="1" x14ac:dyDescent="0.25">
      <c r="A150" s="16"/>
      <c r="B150" s="29" t="s">
        <v>57</v>
      </c>
      <c r="C150" s="17">
        <v>4</v>
      </c>
      <c r="D150" s="6">
        <f>4.667/3.281</f>
        <v>1.4224321853093569</v>
      </c>
      <c r="E150" s="6">
        <v>1.2</v>
      </c>
      <c r="F150" s="63"/>
      <c r="G150" s="27">
        <f>4*0.5*(2*D150*E150)</f>
        <v>6.8276744894849131</v>
      </c>
      <c r="H150" s="20"/>
      <c r="I150" s="21"/>
      <c r="J150" s="23"/>
      <c r="K150" s="19"/>
      <c r="M150" s="53"/>
      <c r="N150" s="54"/>
    </row>
    <row r="151" spans="1:19" ht="15" hidden="1" customHeight="1" x14ac:dyDescent="0.25">
      <c r="A151" s="28"/>
      <c r="B151" s="29" t="s">
        <v>19</v>
      </c>
      <c r="C151" s="25"/>
      <c r="D151" s="6"/>
      <c r="E151" s="6"/>
      <c r="F151" s="6"/>
      <c r="G151" s="23">
        <f>0*SUM(G148:G150)</f>
        <v>0</v>
      </c>
      <c r="H151" s="23" t="s">
        <v>25</v>
      </c>
      <c r="I151" s="21">
        <f>325188.75/100</f>
        <v>3251.8874999999998</v>
      </c>
      <c r="J151" s="24">
        <f>G151*I151</f>
        <v>0</v>
      </c>
      <c r="K151" s="7"/>
    </row>
    <row r="152" spans="1:19" ht="15" hidden="1" customHeight="1" x14ac:dyDescent="0.25">
      <c r="A152" s="16"/>
      <c r="B152" s="29" t="s">
        <v>21</v>
      </c>
      <c r="C152" s="17"/>
      <c r="D152" s="18"/>
      <c r="E152" s="19"/>
      <c r="F152" s="19"/>
      <c r="G152" s="21"/>
      <c r="H152" s="20"/>
      <c r="I152" s="21"/>
      <c r="J152" s="23">
        <f>0.13*G151*221748.75/100</f>
        <v>0</v>
      </c>
      <c r="K152" s="19"/>
      <c r="M152" s="53"/>
      <c r="N152" s="54"/>
    </row>
    <row r="153" spans="1:19" ht="15" customHeight="1" x14ac:dyDescent="0.25">
      <c r="A153" s="16"/>
      <c r="B153" s="61"/>
      <c r="C153" s="17"/>
      <c r="D153" s="18"/>
      <c r="E153" s="19"/>
      <c r="F153" s="19"/>
      <c r="G153" s="21"/>
      <c r="H153" s="20"/>
      <c r="I153" s="21"/>
      <c r="J153" s="62"/>
      <c r="K153" s="19"/>
      <c r="M153" s="60"/>
      <c r="N153" s="1"/>
      <c r="O153" s="1"/>
      <c r="P153" s="1"/>
      <c r="Q153" s="1"/>
      <c r="R153" s="60"/>
      <c r="S153" s="60"/>
    </row>
    <row r="154" spans="1:19" ht="28.5" x14ac:dyDescent="0.25">
      <c r="A154" s="16">
        <v>14</v>
      </c>
      <c r="B154" s="42" t="s">
        <v>17</v>
      </c>
      <c r="C154" s="17">
        <v>1</v>
      </c>
      <c r="D154" s="18"/>
      <c r="E154" s="19"/>
      <c r="F154" s="19"/>
      <c r="G154" s="23">
        <f t="shared" ref="G154" si="18">PRODUCT(C154:F154)</f>
        <v>1</v>
      </c>
      <c r="H154" s="20" t="s">
        <v>18</v>
      </c>
      <c r="I154" s="21">
        <v>1000</v>
      </c>
      <c r="J154" s="23">
        <f>G154*I154</f>
        <v>1000</v>
      </c>
      <c r="K154" s="19"/>
      <c r="M154" s="53"/>
      <c r="N154" s="54"/>
    </row>
    <row r="155" spans="1:19" ht="15" customHeight="1" x14ac:dyDescent="0.25">
      <c r="A155" s="16"/>
      <c r="B155" s="22"/>
      <c r="C155" s="17"/>
      <c r="D155" s="18"/>
      <c r="E155" s="19"/>
      <c r="F155" s="19"/>
      <c r="G155" s="21"/>
      <c r="H155" s="20"/>
      <c r="I155" s="21"/>
      <c r="J155" s="23"/>
      <c r="K155" s="19"/>
      <c r="M155" s="53"/>
      <c r="N155" s="54"/>
    </row>
    <row r="156" spans="1:19" x14ac:dyDescent="0.25">
      <c r="A156" s="28"/>
      <c r="B156" s="30" t="s">
        <v>14</v>
      </c>
      <c r="C156" s="25"/>
      <c r="D156" s="6"/>
      <c r="E156" s="6"/>
      <c r="F156" s="6"/>
      <c r="G156" s="23"/>
      <c r="H156" s="23"/>
      <c r="I156" s="23"/>
      <c r="J156" s="23">
        <f>SUM(J10:J154)</f>
        <v>1186886.1607334258</v>
      </c>
      <c r="K156" s="7"/>
    </row>
    <row r="158" spans="1:19" s="1" customFormat="1" x14ac:dyDescent="0.25">
      <c r="B158" s="7" t="s">
        <v>48</v>
      </c>
      <c r="C158" s="97">
        <f>J156</f>
        <v>1186886.1607334258</v>
      </c>
      <c r="D158" s="98"/>
      <c r="E158" s="6">
        <v>100</v>
      </c>
      <c r="F158" s="8"/>
      <c r="G158" s="9"/>
      <c r="H158" s="8"/>
      <c r="I158" s="10"/>
      <c r="J158" s="11"/>
      <c r="K158" s="12"/>
      <c r="M158" s="48"/>
      <c r="N158" s="52"/>
    </row>
    <row r="159" spans="1:19" x14ac:dyDescent="0.25">
      <c r="B159" s="7" t="s">
        <v>49</v>
      </c>
      <c r="C159" s="100">
        <v>1000000</v>
      </c>
      <c r="D159" s="101"/>
      <c r="E159" s="6"/>
      <c r="M159" s="48"/>
      <c r="N159" s="52"/>
    </row>
    <row r="160" spans="1:19" x14ac:dyDescent="0.25">
      <c r="B160" s="7" t="s">
        <v>50</v>
      </c>
      <c r="C160" s="100">
        <f>C159-C162-C163</f>
        <v>950000</v>
      </c>
      <c r="D160" s="101"/>
      <c r="E160" s="6">
        <f>C160/C158*100</f>
        <v>80.041374769502411</v>
      </c>
    </row>
    <row r="161" spans="1:14" x14ac:dyDescent="0.25">
      <c r="B161" s="7" t="s">
        <v>51</v>
      </c>
      <c r="C161" s="102">
        <f>C158-C160</f>
        <v>236886.16073342576</v>
      </c>
      <c r="D161" s="102"/>
      <c r="E161" s="6">
        <f>100-E160</f>
        <v>19.958625230497589</v>
      </c>
      <c r="M161" s="46" t="s">
        <v>65</v>
      </c>
      <c r="N161" s="50" t="s">
        <v>64</v>
      </c>
    </row>
    <row r="162" spans="1:14" x14ac:dyDescent="0.25">
      <c r="B162" s="7" t="s">
        <v>52</v>
      </c>
      <c r="C162" s="97">
        <f>C159*0.03</f>
        <v>30000</v>
      </c>
      <c r="D162" s="98"/>
      <c r="E162" s="6">
        <v>3</v>
      </c>
      <c r="M162" s="46" t="s">
        <v>62</v>
      </c>
      <c r="N162" s="50" t="s">
        <v>63</v>
      </c>
    </row>
    <row r="163" spans="1:14" x14ac:dyDescent="0.25">
      <c r="B163" s="7" t="s">
        <v>53</v>
      </c>
      <c r="C163" s="97">
        <f>C159*0.02</f>
        <v>20000</v>
      </c>
      <c r="D163" s="98"/>
      <c r="E163" s="6">
        <v>2</v>
      </c>
    </row>
    <row r="164" spans="1:14" x14ac:dyDescent="0.25">
      <c r="M164" s="46" t="s">
        <v>66</v>
      </c>
    </row>
    <row r="165" spans="1:14" ht="24.75" customHeight="1" x14ac:dyDescent="0.25">
      <c r="A165" s="66" t="s">
        <v>100</v>
      </c>
      <c r="B165" s="90" t="s">
        <v>101</v>
      </c>
      <c r="C165" s="90"/>
      <c r="D165" s="90"/>
      <c r="E165" s="90"/>
      <c r="F165" s="90"/>
      <c r="G165" s="90"/>
      <c r="H165" s="90"/>
      <c r="I165" s="90"/>
      <c r="J165" s="90"/>
      <c r="K165" s="90"/>
    </row>
  </sheetData>
  <mergeCells count="16">
    <mergeCell ref="B165:K165"/>
    <mergeCell ref="A6:F6"/>
    <mergeCell ref="H6:K6"/>
    <mergeCell ref="A1:K1"/>
    <mergeCell ref="A2:K2"/>
    <mergeCell ref="A3:K3"/>
    <mergeCell ref="A4:K4"/>
    <mergeCell ref="A5:K5"/>
    <mergeCell ref="C162:D162"/>
    <mergeCell ref="C163:D163"/>
    <mergeCell ref="A7:F7"/>
    <mergeCell ref="H7:K7"/>
    <mergeCell ref="C158:D158"/>
    <mergeCell ref="C159:D159"/>
    <mergeCell ref="C160:D160"/>
    <mergeCell ref="C161:D161"/>
  </mergeCells>
  <hyperlinks>
    <hyperlink ref="B11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25" zoomScaleNormal="100" workbookViewId="0">
      <selection activeCell="P24" sqref="P2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4" max="14" width="10.5703125" bestFit="1" customWidth="1"/>
  </cols>
  <sheetData>
    <row r="1" spans="1:13" x14ac:dyDescent="0.25">
      <c r="A1" s="105" t="s">
        <v>0</v>
      </c>
      <c r="B1" s="105"/>
      <c r="C1" s="105"/>
      <c r="D1" s="105"/>
      <c r="E1" s="105"/>
      <c r="F1" s="105"/>
      <c r="G1" s="105"/>
      <c r="H1" s="105"/>
      <c r="I1" s="105"/>
      <c r="J1" s="105"/>
      <c r="K1" s="105"/>
    </row>
    <row r="2" spans="1:13" ht="25.5" x14ac:dyDescent="0.35">
      <c r="A2" s="106" t="s">
        <v>1</v>
      </c>
      <c r="B2" s="106"/>
      <c r="C2" s="106"/>
      <c r="D2" s="106"/>
      <c r="E2" s="106"/>
      <c r="F2" s="106"/>
      <c r="G2" s="106"/>
      <c r="H2" s="106"/>
      <c r="I2" s="106"/>
      <c r="J2" s="106"/>
      <c r="K2" s="106"/>
    </row>
    <row r="3" spans="1:13" s="1" customFormat="1" x14ac:dyDescent="0.25">
      <c r="A3" s="95" t="s">
        <v>2</v>
      </c>
      <c r="B3" s="95"/>
      <c r="C3" s="95"/>
      <c r="D3" s="95"/>
      <c r="E3" s="95"/>
      <c r="F3" s="95"/>
      <c r="G3" s="95"/>
      <c r="H3" s="95"/>
      <c r="I3" s="95"/>
      <c r="J3" s="95"/>
      <c r="K3" s="95"/>
    </row>
    <row r="4" spans="1:13" s="1" customFormat="1" x14ac:dyDescent="0.25">
      <c r="A4" s="95" t="s">
        <v>3</v>
      </c>
      <c r="B4" s="95"/>
      <c r="C4" s="95"/>
      <c r="D4" s="95"/>
      <c r="E4" s="95"/>
      <c r="F4" s="95"/>
      <c r="G4" s="95"/>
      <c r="H4" s="95"/>
      <c r="I4" s="95"/>
      <c r="J4" s="95"/>
      <c r="K4" s="95"/>
    </row>
    <row r="5" spans="1:13" ht="18.75" x14ac:dyDescent="0.3">
      <c r="A5" s="107" t="s">
        <v>117</v>
      </c>
      <c r="B5" s="107"/>
      <c r="C5" s="107"/>
      <c r="D5" s="107"/>
      <c r="E5" s="107"/>
      <c r="F5" s="107"/>
      <c r="G5" s="107"/>
      <c r="H5" s="107"/>
      <c r="I5" s="107"/>
      <c r="J5" s="107"/>
      <c r="K5" s="107"/>
    </row>
    <row r="6" spans="1:13" ht="18.75" x14ac:dyDescent="0.3">
      <c r="A6" s="78" t="s">
        <v>118</v>
      </c>
      <c r="B6" s="78"/>
      <c r="C6" s="103">
        <f>F52</f>
        <v>1186886.1607334258</v>
      </c>
      <c r="D6" s="104"/>
      <c r="E6" s="79"/>
      <c r="F6" s="78"/>
      <c r="G6" s="78"/>
      <c r="H6" s="78" t="s">
        <v>119</v>
      </c>
      <c r="I6" s="78"/>
      <c r="J6" s="103">
        <f>I52</f>
        <v>878661.59289757034</v>
      </c>
      <c r="K6" s="104"/>
    </row>
    <row r="7" spans="1:13" x14ac:dyDescent="0.25">
      <c r="A7" s="80" t="s">
        <v>120</v>
      </c>
      <c r="B7" s="80"/>
      <c r="C7" s="80"/>
      <c r="D7" s="80"/>
      <c r="F7" s="108"/>
      <c r="G7" s="108"/>
      <c r="I7" s="109" t="s">
        <v>129</v>
      </c>
      <c r="J7" s="109"/>
      <c r="K7" s="109"/>
    </row>
    <row r="8" spans="1:13" ht="15.75" x14ac:dyDescent="0.25">
      <c r="A8" s="91" t="str">
        <f>'FINAL (3)'!A6:F6</f>
        <v>Project:- लाकिला गणेश मन्दिर निर्माण</v>
      </c>
      <c r="B8" s="91"/>
      <c r="C8" s="91"/>
      <c r="D8" s="91"/>
      <c r="E8" s="91"/>
      <c r="F8" s="91"/>
      <c r="I8" s="110" t="s">
        <v>121</v>
      </c>
      <c r="J8" s="110"/>
      <c r="K8" s="110"/>
    </row>
    <row r="9" spans="1:13" ht="15.75" x14ac:dyDescent="0.25">
      <c r="A9" s="91" t="str">
        <f>'FINAL (3)'!A7:F7</f>
        <v>Location:- Shankharapur Municipality 9</v>
      </c>
      <c r="B9" s="91"/>
      <c r="C9" s="91"/>
      <c r="D9" s="91"/>
      <c r="E9" s="91"/>
      <c r="F9" s="91"/>
      <c r="I9" s="110" t="str">
        <f>valuated!H7</f>
        <v>Date: 2080/10/14</v>
      </c>
      <c r="J9" s="110"/>
      <c r="K9" s="110"/>
    </row>
    <row r="11" spans="1:13" x14ac:dyDescent="0.25">
      <c r="A11" s="112" t="s">
        <v>122</v>
      </c>
      <c r="B11" s="112" t="s">
        <v>123</v>
      </c>
      <c r="C11" s="112" t="s">
        <v>12</v>
      </c>
      <c r="D11" s="113" t="s">
        <v>124</v>
      </c>
      <c r="E11" s="113"/>
      <c r="F11" s="113"/>
      <c r="G11" s="113" t="s">
        <v>125</v>
      </c>
      <c r="H11" s="113"/>
      <c r="I11" s="113"/>
      <c r="J11" s="112" t="s">
        <v>126</v>
      </c>
      <c r="K11" s="111" t="s">
        <v>13</v>
      </c>
    </row>
    <row r="12" spans="1:13" x14ac:dyDescent="0.25">
      <c r="A12" s="112"/>
      <c r="B12" s="112"/>
      <c r="C12" s="112"/>
      <c r="D12" s="81" t="s">
        <v>127</v>
      </c>
      <c r="E12" s="81" t="s">
        <v>54</v>
      </c>
      <c r="F12" s="81" t="s">
        <v>55</v>
      </c>
      <c r="G12" s="81" t="s">
        <v>127</v>
      </c>
      <c r="H12" s="81" t="s">
        <v>54</v>
      </c>
      <c r="I12" s="81" t="s">
        <v>55</v>
      </c>
      <c r="J12" s="112"/>
      <c r="K12" s="111"/>
    </row>
    <row r="13" spans="1:13" s="1" customFormat="1" ht="30" x14ac:dyDescent="0.2">
      <c r="A13" s="82">
        <f>'FINAL (3)'!A10</f>
        <v>1</v>
      </c>
      <c r="B13" s="39" t="s">
        <v>56</v>
      </c>
      <c r="C13" s="6" t="str">
        <f>'FINAL (3)'!H12</f>
        <v>cum</v>
      </c>
      <c r="D13" s="6">
        <f>'FINAL (3)'!G12</f>
        <v>11.922360889184828</v>
      </c>
      <c r="E13" s="6">
        <f>'FINAL (3)'!I12</f>
        <v>648.9</v>
      </c>
      <c r="F13" s="6">
        <f>D13*E13</f>
        <v>7736.4199809920347</v>
      </c>
      <c r="G13" s="6">
        <f>valuated!G12</f>
        <v>11.922360889184828</v>
      </c>
      <c r="H13" s="6">
        <f>valuated!I12</f>
        <v>648.9</v>
      </c>
      <c r="I13" s="6">
        <f>G13*H13</f>
        <v>7736.4199809920347</v>
      </c>
      <c r="J13" s="84">
        <f>I13-F13</f>
        <v>0</v>
      </c>
      <c r="K13" s="85"/>
      <c r="M13" s="1">
        <f t="shared" ref="M13:M50" si="0">1.25*F13</f>
        <v>9670.5249762400435</v>
      </c>
    </row>
    <row r="14" spans="1:13" s="1" customFormat="1" x14ac:dyDescent="0.25">
      <c r="A14" s="82"/>
      <c r="B14" s="83"/>
      <c r="C14" s="6"/>
      <c r="D14" s="6"/>
      <c r="E14" s="6"/>
      <c r="F14" s="6"/>
      <c r="G14" s="6"/>
      <c r="H14" s="6"/>
      <c r="I14" s="6"/>
      <c r="J14" s="84"/>
      <c r="K14" s="85"/>
    </row>
    <row r="15" spans="1:13" s="1" customFormat="1" x14ac:dyDescent="0.2">
      <c r="A15" s="82">
        <f>'FINAL (3)'!A14</f>
        <v>2</v>
      </c>
      <c r="B15" s="39" t="str">
        <f>'FINAL (3)'!B14</f>
        <v xml:space="preserve">;'Vvf O{6f RofK6f] 5fKg] sfd </v>
      </c>
      <c r="C15" s="6" t="str">
        <f>'FINAL (3)'!H17</f>
        <v>sqm</v>
      </c>
      <c r="D15" s="6">
        <f>'FINAL (3)'!G17</f>
        <v>12.830980065789369</v>
      </c>
      <c r="E15" s="6">
        <f>'FINAL (3)'!I17</f>
        <v>985.38</v>
      </c>
      <c r="F15" s="6">
        <f>D15*E15</f>
        <v>12643.391137227529</v>
      </c>
      <c r="G15" s="6">
        <f>valuated!G17</f>
        <v>12.830980065789369</v>
      </c>
      <c r="H15" s="6">
        <f>valuated!I17</f>
        <v>985.38</v>
      </c>
      <c r="I15" s="6">
        <f>G15*H15</f>
        <v>12643.391137227529</v>
      </c>
      <c r="J15" s="84">
        <f>I15-F15</f>
        <v>0</v>
      </c>
      <c r="K15" s="85"/>
      <c r="M15" s="1">
        <f t="shared" si="0"/>
        <v>15804.238921534412</v>
      </c>
    </row>
    <row r="16" spans="1:13" s="1" customFormat="1" x14ac:dyDescent="0.25">
      <c r="A16" s="82"/>
      <c r="B16" s="86" t="str">
        <f>'FINAL (3)'!B18</f>
        <v>-VAT 13% for materials</v>
      </c>
      <c r="C16" s="6"/>
      <c r="D16" s="6"/>
      <c r="E16" s="6"/>
      <c r="F16" s="6">
        <f>'FINAL (3)'!J18</f>
        <v>1393.4384045840945</v>
      </c>
      <c r="G16" s="6"/>
      <c r="H16" s="6"/>
      <c r="I16" s="6">
        <f>valuated!J18</f>
        <v>1393.4384045840945</v>
      </c>
      <c r="J16" s="84">
        <f>I16-F16</f>
        <v>0</v>
      </c>
      <c r="K16" s="85"/>
      <c r="M16" s="1">
        <f t="shared" si="0"/>
        <v>1741.7980057301181</v>
      </c>
    </row>
    <row r="17" spans="1:14" s="1" customFormat="1" x14ac:dyDescent="0.25">
      <c r="A17" s="82"/>
      <c r="B17" s="83"/>
      <c r="C17" s="6"/>
      <c r="D17" s="6"/>
      <c r="E17" s="6"/>
      <c r="F17" s="6"/>
      <c r="G17" s="6"/>
      <c r="H17" s="6"/>
      <c r="I17" s="6"/>
      <c r="J17" s="84"/>
      <c r="K17" s="85"/>
    </row>
    <row r="18" spans="1:14" s="1" customFormat="1" ht="30" x14ac:dyDescent="0.2">
      <c r="A18" s="82">
        <f>'FINAL (3)'!A20</f>
        <v>3</v>
      </c>
      <c r="B18" s="39" t="str">
        <f>'FINAL (3)'!B20</f>
        <v>hu leQf kvf{ndf l;d]G6 s+lqm6 ug]{ sfd-lk=;L=;L= !M#M^_</v>
      </c>
      <c r="C18" s="6" t="str">
        <f>'FINAL (3)'!H22</f>
        <v>cum</v>
      </c>
      <c r="D18" s="6">
        <f>'FINAL (3)'!G22</f>
        <v>0.59611804445924144</v>
      </c>
      <c r="E18" s="6">
        <f>'FINAL (3)'!I22</f>
        <v>12300.32</v>
      </c>
      <c r="F18" s="6">
        <f>D18*E18</f>
        <v>7332.4427046228966</v>
      </c>
      <c r="G18" s="6">
        <f>valuated!G22</f>
        <v>0.59611804445924144</v>
      </c>
      <c r="H18" s="6">
        <f>valuated!I22</f>
        <v>12300.32</v>
      </c>
      <c r="I18" s="6">
        <f>G18*H18</f>
        <v>7332.4427046228966</v>
      </c>
      <c r="J18" s="84">
        <f>I18-F18</f>
        <v>0</v>
      </c>
      <c r="K18" s="85"/>
      <c r="M18" s="1">
        <f t="shared" si="0"/>
        <v>9165.5533807786214</v>
      </c>
    </row>
    <row r="19" spans="1:14" s="1" customFormat="1" x14ac:dyDescent="0.25">
      <c r="A19" s="82"/>
      <c r="B19" s="86" t="str">
        <f>'FINAL (3)'!B23</f>
        <v>-VAT 13% for materials</v>
      </c>
      <c r="C19" s="6"/>
      <c r="D19" s="6"/>
      <c r="E19" s="6"/>
      <c r="F19" s="6">
        <f>'FINAL (3)'!J23</f>
        <v>581.24066681186775</v>
      </c>
      <c r="G19" s="6"/>
      <c r="H19" s="6"/>
      <c r="I19" s="6">
        <f>valuated!J23</f>
        <v>581.24066681186775</v>
      </c>
      <c r="J19" s="84">
        <f>I19-F19</f>
        <v>0</v>
      </c>
      <c r="K19" s="85"/>
      <c r="M19" s="1">
        <f t="shared" si="0"/>
        <v>726.55083351483472</v>
      </c>
    </row>
    <row r="20" spans="1:14" s="1" customFormat="1" x14ac:dyDescent="0.25">
      <c r="A20" s="82"/>
      <c r="B20" s="83"/>
      <c r="C20" s="6"/>
      <c r="D20" s="6"/>
      <c r="E20" s="6"/>
      <c r="F20" s="6"/>
      <c r="G20" s="6"/>
      <c r="H20" s="6"/>
      <c r="I20" s="6"/>
      <c r="J20" s="84"/>
      <c r="K20" s="85"/>
    </row>
    <row r="21" spans="1:14" s="1" customFormat="1" ht="30" x14ac:dyDescent="0.2">
      <c r="A21" s="82">
        <f>'FINAL (3)'!A25</f>
        <v>4</v>
      </c>
      <c r="B21" s="39" t="str">
        <f>'FINAL (3)'!B25</f>
        <v>d]lzgsf] k|of]u u/L ;'k/ :6«Sr/df l;d]G6 s+lqm6 ug]{ sfd -!M!=%M#_</v>
      </c>
      <c r="C21" s="6" t="str">
        <f>'FINAL (3)'!H42</f>
        <v>cum</v>
      </c>
      <c r="D21" s="6">
        <f>'FINAL (3)'!G42</f>
        <v>21.184613993906297</v>
      </c>
      <c r="E21" s="6">
        <f>'FINAL (3)'!I42</f>
        <v>14200.82</v>
      </c>
      <c r="F21" s="6">
        <f>D21*E21</f>
        <v>300838.89009694441</v>
      </c>
      <c r="G21" s="6">
        <f>valuated!G53</f>
        <v>23.378090491150669</v>
      </c>
      <c r="H21" s="6">
        <f>valuated!I53</f>
        <v>14200.82</v>
      </c>
      <c r="I21" s="6">
        <f>G21*H21</f>
        <v>331988.05500854226</v>
      </c>
      <c r="J21" s="84">
        <f>I21-F21</f>
        <v>31149.164911597851</v>
      </c>
      <c r="K21" s="85"/>
      <c r="M21" s="1">
        <f t="shared" si="0"/>
        <v>376048.61262118048</v>
      </c>
      <c r="N21" s="114">
        <f>SUM(J21:J22)</f>
        <v>34071.97804721487</v>
      </c>
    </row>
    <row r="22" spans="1:14" s="1" customFormat="1" x14ac:dyDescent="0.25">
      <c r="A22" s="82"/>
      <c r="B22" s="86" t="str">
        <f>'FINAL (3)'!B43</f>
        <v>-VAT 13% for materials</v>
      </c>
      <c r="C22" s="6"/>
      <c r="D22" s="6"/>
      <c r="E22" s="6"/>
      <c r="F22" s="6">
        <f>'FINAL (3)'!J43</f>
        <v>28228.553226876527</v>
      </c>
      <c r="G22" s="6"/>
      <c r="H22" s="6"/>
      <c r="I22" s="6">
        <f>valuated!J54</f>
        <v>31151.366362493547</v>
      </c>
      <c r="J22" s="84">
        <f>I22-F22</f>
        <v>2922.8131356170197</v>
      </c>
      <c r="K22" s="85"/>
      <c r="M22" s="1">
        <f t="shared" si="0"/>
        <v>35285.691533595658</v>
      </c>
      <c r="N22" s="114">
        <f>SUM(J21:J28)</f>
        <v>72619.691656540119</v>
      </c>
    </row>
    <row r="23" spans="1:14" s="1" customFormat="1" x14ac:dyDescent="0.25">
      <c r="A23" s="82"/>
      <c r="B23" s="83"/>
      <c r="C23" s="6"/>
      <c r="D23" s="6"/>
      <c r="E23" s="6"/>
      <c r="F23" s="6"/>
      <c r="G23" s="6"/>
      <c r="H23" s="6"/>
      <c r="I23" s="6"/>
      <c r="J23" s="84"/>
      <c r="K23" s="85"/>
    </row>
    <row r="24" spans="1:14" s="1" customFormat="1" ht="30" x14ac:dyDescent="0.2">
      <c r="A24" s="82">
        <f>'FINAL (3)'!A45</f>
        <v>5</v>
      </c>
      <c r="B24" s="39" t="str">
        <f>'FINAL (3)'!B45</f>
        <v>kmnfd]sf] kfOk / KnfOaf]8{af6 kmdf{ agfpg] sfd</v>
      </c>
      <c r="C24" s="6" t="str">
        <f>'FINAL (3)'!H62</f>
        <v>sqm</v>
      </c>
      <c r="D24" s="6">
        <f>'FINAL (3)'!G62</f>
        <v>133.54962727891342</v>
      </c>
      <c r="E24" s="6">
        <f>'FINAL (3)'!I62</f>
        <v>905.97</v>
      </c>
      <c r="F24" s="6">
        <f>D24*E24</f>
        <v>120991.9558258772</v>
      </c>
      <c r="G24" s="6">
        <f>valuated!G89</f>
        <v>162.76347215770994</v>
      </c>
      <c r="H24" s="6">
        <f>valuated!I89</f>
        <v>905.97</v>
      </c>
      <c r="I24" s="6">
        <f>G24*H24</f>
        <v>147458.82287072047</v>
      </c>
      <c r="J24" s="84">
        <f>I24-F24</f>
        <v>26466.867044843268</v>
      </c>
      <c r="K24" s="85"/>
      <c r="M24" s="1">
        <f t="shared" ref="M24:M25" si="1">1.25*F24</f>
        <v>151239.94478234649</v>
      </c>
    </row>
    <row r="25" spans="1:14" s="1" customFormat="1" x14ac:dyDescent="0.25">
      <c r="A25" s="82"/>
      <c r="B25" s="86" t="str">
        <f>'FINAL (3)'!B63</f>
        <v>-VAT 13% for materials</v>
      </c>
      <c r="C25" s="6"/>
      <c r="D25" s="6"/>
      <c r="E25" s="6"/>
      <c r="F25" s="6">
        <f>'FINAL (3)'!J63</f>
        <v>8129.9979601950363</v>
      </c>
      <c r="G25" s="6"/>
      <c r="H25" s="6"/>
      <c r="I25" s="6">
        <f>valuated!J90</f>
        <v>9908.426729434821</v>
      </c>
      <c r="J25" s="84">
        <f>I25-F25</f>
        <v>1778.4287692397847</v>
      </c>
      <c r="K25" s="85"/>
      <c r="M25" s="1">
        <f t="shared" si="1"/>
        <v>10162.497450243794</v>
      </c>
    </row>
    <row r="26" spans="1:14" s="1" customFormat="1" x14ac:dyDescent="0.25">
      <c r="A26" s="82"/>
      <c r="B26" s="83"/>
      <c r="C26" s="6"/>
      <c r="D26" s="6"/>
      <c r="E26" s="6"/>
      <c r="F26" s="6"/>
      <c r="G26" s="6"/>
      <c r="H26" s="6"/>
      <c r="I26" s="6"/>
      <c r="J26" s="84"/>
      <c r="K26" s="85"/>
    </row>
    <row r="27" spans="1:14" s="1" customFormat="1" ht="30" x14ac:dyDescent="0.2">
      <c r="A27" s="82">
        <f>'FINAL (3)'!A65</f>
        <v>6</v>
      </c>
      <c r="B27" s="39" t="str">
        <f>'FINAL (3)'!B65</f>
        <v xml:space="preserve">cf/=;L=;L= nflu kmnfd] 808L sf6\g], df]8\g] #) dL6/ ;Dd </v>
      </c>
      <c r="C27" s="6" t="str">
        <f>'FINAL (3)'!H93</f>
        <v>M.T</v>
      </c>
      <c r="D27" s="6">
        <f>'FINAL (3)'!G93</f>
        <v>1.8454658493337268</v>
      </c>
      <c r="E27" s="6">
        <f>'FINAL (3)'!I93</f>
        <v>130210</v>
      </c>
      <c r="F27" s="6">
        <f>D27*E27</f>
        <v>240298.10824174457</v>
      </c>
      <c r="G27" s="6">
        <f>valuated!G141</f>
        <v>1.9170793951256959</v>
      </c>
      <c r="H27" s="6">
        <f>valuated!I141</f>
        <v>130210</v>
      </c>
      <c r="I27" s="6">
        <f>G27*H27</f>
        <v>249622.90803931686</v>
      </c>
      <c r="J27" s="84">
        <f>I27-F27</f>
        <v>9324.7997975722828</v>
      </c>
      <c r="K27" s="85"/>
      <c r="M27" s="1">
        <f t="shared" ref="M27:M28" si="2">1.25*F27</f>
        <v>300372.63530218072</v>
      </c>
    </row>
    <row r="28" spans="1:14" s="1" customFormat="1" x14ac:dyDescent="0.25">
      <c r="A28" s="82"/>
      <c r="B28" s="86" t="str">
        <f>'FINAL (3)'!B94</f>
        <v>-VAT 13% for materials</v>
      </c>
      <c r="C28" s="6"/>
      <c r="D28" s="6"/>
      <c r="E28" s="6"/>
      <c r="F28" s="6">
        <f>'FINAL (3)'!J94</f>
        <v>25193.007949009505</v>
      </c>
      <c r="G28" s="6"/>
      <c r="H28" s="6"/>
      <c r="I28" s="6">
        <f>valuated!J142</f>
        <v>26170.625946679414</v>
      </c>
      <c r="J28" s="84">
        <f>I28-F28</f>
        <v>977.61799766990953</v>
      </c>
      <c r="K28" s="85"/>
      <c r="M28" s="1">
        <f t="shared" si="2"/>
        <v>31491.259936261882</v>
      </c>
    </row>
    <row r="29" spans="1:14" s="1" customFormat="1" x14ac:dyDescent="0.25">
      <c r="A29" s="82"/>
      <c r="B29" s="83"/>
      <c r="C29" s="6"/>
      <c r="D29" s="6"/>
      <c r="E29" s="6"/>
      <c r="F29" s="6"/>
      <c r="G29" s="6"/>
      <c r="H29" s="6"/>
      <c r="I29" s="6"/>
      <c r="J29" s="84"/>
      <c r="K29" s="85"/>
    </row>
    <row r="30" spans="1:14" s="1" customFormat="1" ht="30" x14ac:dyDescent="0.2">
      <c r="A30" s="82">
        <f>'FINAL (3)'!A96</f>
        <v>7</v>
      </c>
      <c r="B30" s="39" t="str">
        <f>'FINAL (3)'!B96</f>
        <v xml:space="preserve">e'O{+tNnfdf lrDgL e§fsf] O{+6fsf] uf/f] l;d]G6 d;nf -!M^_ df </v>
      </c>
      <c r="C30" s="6" t="str">
        <f>'FINAL (3)'!H98</f>
        <v>cum</v>
      </c>
      <c r="D30" s="6">
        <f>'FINAL (3)'!G98</f>
        <v>3.6054473397534834</v>
      </c>
      <c r="E30" s="6">
        <f>'FINAL (3)'!I98</f>
        <v>14520.78</v>
      </c>
      <c r="F30" s="6">
        <f>D30*E30</f>
        <v>52353.907622145591</v>
      </c>
      <c r="G30" s="6">
        <f>valuated!G146</f>
        <v>2.307486297442229</v>
      </c>
      <c r="H30" s="6">
        <f>valuated!I146</f>
        <v>14520.78</v>
      </c>
      <c r="I30" s="6">
        <f>G30*H30</f>
        <v>33506.500878173174</v>
      </c>
      <c r="J30" s="84">
        <f>I30-F30</f>
        <v>-18847.406743972417</v>
      </c>
      <c r="K30" s="85"/>
      <c r="M30" s="1">
        <f t="shared" ref="M30:M31" si="3">1.25*F30</f>
        <v>65442.384527681992</v>
      </c>
    </row>
    <row r="31" spans="1:14" s="1" customFormat="1" x14ac:dyDescent="0.25">
      <c r="A31" s="82"/>
      <c r="B31" s="86" t="str">
        <f>'FINAL (3)'!B99</f>
        <v>-VAT 13% for materials</v>
      </c>
      <c r="C31" s="6"/>
      <c r="D31" s="6"/>
      <c r="E31" s="6"/>
      <c r="F31" s="6">
        <f>'FINAL (3)'!J99</f>
        <v>4949.9283874553757</v>
      </c>
      <c r="G31" s="6"/>
      <c r="H31" s="6"/>
      <c r="I31" s="6">
        <f>valuated!J147</f>
        <v>3167.9541679714393</v>
      </c>
      <c r="J31" s="84">
        <f>I31-F31</f>
        <v>-1781.9742194839364</v>
      </c>
      <c r="K31" s="85"/>
      <c r="M31" s="1">
        <f t="shared" si="3"/>
        <v>6187.4104843192199</v>
      </c>
    </row>
    <row r="32" spans="1:14" s="1" customFormat="1" x14ac:dyDescent="0.25">
      <c r="A32" s="82"/>
      <c r="B32" s="83"/>
      <c r="C32" s="6"/>
      <c r="D32" s="6"/>
      <c r="E32" s="6"/>
      <c r="F32" s="6"/>
      <c r="G32" s="6"/>
      <c r="H32" s="6"/>
      <c r="I32" s="6"/>
      <c r="J32" s="84"/>
      <c r="K32" s="85"/>
    </row>
    <row r="33" spans="1:13" s="1" customFormat="1" ht="30" x14ac:dyDescent="0.2">
      <c r="A33" s="82">
        <f>'FINAL (3)'!A101</f>
        <v>8</v>
      </c>
      <c r="B33" s="39" t="str">
        <f>'FINAL (3)'!B101</f>
        <v xml:space="preserve">e'O{+tNnfdf lrDgL e§fsf] O{+6fsf] uf/f] l;d]G6 d;nf -!M$_ df  </v>
      </c>
      <c r="C33" s="6" t="str">
        <f>'FINAL (3)'!H108</f>
        <v>cum</v>
      </c>
      <c r="D33" s="6">
        <f>'FINAL (3)'!G108</f>
        <v>1.99719483760322</v>
      </c>
      <c r="E33" s="6">
        <f>'FINAL (3)'!I108</f>
        <v>14911.97</v>
      </c>
      <c r="F33" s="6">
        <f>D33*E33</f>
        <v>29782.109502494088</v>
      </c>
      <c r="G33" s="6">
        <f>valuated!G156</f>
        <v>0</v>
      </c>
      <c r="H33" s="6">
        <f>valuated!I156</f>
        <v>14911.97</v>
      </c>
      <c r="I33" s="6">
        <f>G33*H33</f>
        <v>0</v>
      </c>
      <c r="J33" s="84">
        <f>I33-F33</f>
        <v>-29782.109502494088</v>
      </c>
      <c r="K33" s="85"/>
      <c r="M33" s="1">
        <f t="shared" ref="M33:M34" si="4">1.25*F33</f>
        <v>37227.636878117613</v>
      </c>
    </row>
    <row r="34" spans="1:13" s="1" customFormat="1" x14ac:dyDescent="0.25">
      <c r="A34" s="82"/>
      <c r="B34" s="86" t="str">
        <f>'FINAL (3)'!B109</f>
        <v>-VAT 13% for materials</v>
      </c>
      <c r="C34" s="6"/>
      <c r="D34" s="6"/>
      <c r="E34" s="6"/>
      <c r="F34" s="6">
        <f>'FINAL (3)'!J109</f>
        <v>2842.1188985033855</v>
      </c>
      <c r="G34" s="6"/>
      <c r="H34" s="6"/>
      <c r="I34" s="6">
        <f>valuated!J157</f>
        <v>0</v>
      </c>
      <c r="J34" s="84">
        <f>I34-F34</f>
        <v>-2842.1188985033855</v>
      </c>
      <c r="K34" s="85"/>
      <c r="M34" s="1">
        <f t="shared" si="4"/>
        <v>3552.648623129232</v>
      </c>
    </row>
    <row r="35" spans="1:13" s="1" customFormat="1" x14ac:dyDescent="0.25">
      <c r="A35" s="82"/>
      <c r="B35" s="83"/>
      <c r="C35" s="6"/>
      <c r="D35" s="6"/>
      <c r="E35" s="6"/>
      <c r="F35" s="6"/>
      <c r="G35" s="6"/>
      <c r="H35" s="6"/>
      <c r="I35" s="6"/>
      <c r="J35" s="84"/>
      <c r="K35" s="85"/>
    </row>
    <row r="36" spans="1:13" s="1" customFormat="1" ht="30" x14ac:dyDescent="0.25">
      <c r="A36" s="82">
        <f>'FINAL (3)'!A122</f>
        <v>9</v>
      </c>
      <c r="B36" s="83" t="str">
        <f>'FINAL (3)'!B122</f>
        <v>Traditional Brick (Small Dachi Appa) work in (1:1:2)  lime, surkhi, sand mortar</v>
      </c>
      <c r="C36" s="6" t="str">
        <f>'FINAL (3)'!H126</f>
        <v>sqm</v>
      </c>
      <c r="D36" s="6">
        <f>'FINAL (3)'!G126</f>
        <v>19.133121118599497</v>
      </c>
      <c r="E36" s="6">
        <f>'FINAL (3)'!I126</f>
        <v>5566.6092000000008</v>
      </c>
      <c r="F36" s="6">
        <f>D36*E36</f>
        <v>106506.60804351026</v>
      </c>
      <c r="G36" s="6">
        <f>valuated!G174</f>
        <v>0</v>
      </c>
      <c r="H36" s="6">
        <f>valuated!I174</f>
        <v>5566.6092000000008</v>
      </c>
      <c r="I36" s="6">
        <f>G36*H36</f>
        <v>0</v>
      </c>
      <c r="J36" s="84">
        <f>I36-F36</f>
        <v>-106506.60804351026</v>
      </c>
      <c r="K36" s="85"/>
      <c r="M36" s="1">
        <f t="shared" ref="M36:M37" si="5">1.25*F36</f>
        <v>133133.26005438782</v>
      </c>
    </row>
    <row r="37" spans="1:13" s="1" customFormat="1" x14ac:dyDescent="0.25">
      <c r="A37" s="82"/>
      <c r="B37" s="86" t="str">
        <f>'FINAL (3)'!B127</f>
        <v>VAT calculation</v>
      </c>
      <c r="C37" s="6"/>
      <c r="D37" s="6"/>
      <c r="E37" s="6"/>
      <c r="F37" s="6">
        <f>'FINAL (3)'!J127</f>
        <v>9204.2977941319241</v>
      </c>
      <c r="G37" s="6"/>
      <c r="H37" s="6"/>
      <c r="I37" s="6">
        <f>valuated!J175</f>
        <v>0</v>
      </c>
      <c r="J37" s="84">
        <f>I37-F37</f>
        <v>-9204.2977941319241</v>
      </c>
      <c r="K37" s="85"/>
      <c r="M37" s="1">
        <f t="shared" si="5"/>
        <v>11505.372242664906</v>
      </c>
    </row>
    <row r="38" spans="1:13" s="1" customFormat="1" x14ac:dyDescent="0.25">
      <c r="A38" s="82"/>
      <c r="B38" s="83"/>
      <c r="C38" s="6"/>
      <c r="D38" s="6"/>
      <c r="E38" s="6"/>
      <c r="F38" s="6"/>
      <c r="G38" s="6"/>
      <c r="H38" s="6"/>
      <c r="I38" s="6"/>
      <c r="J38" s="84"/>
      <c r="K38" s="85"/>
    </row>
    <row r="39" spans="1:13" s="1" customFormat="1" ht="30" x14ac:dyDescent="0.25">
      <c r="A39" s="82">
        <f>'FINAL (3)'!A129</f>
        <v>10</v>
      </c>
      <c r="B39" s="83" t="str">
        <f>'FINAL (3)'!B129</f>
        <v>Traditional Nago Brick work in (1:1:2) lime,surkhi, sand mortar</v>
      </c>
      <c r="C39" s="6" t="str">
        <f>'FINAL (3)'!H131</f>
        <v>sqm</v>
      </c>
      <c r="D39" s="6">
        <f>'FINAL (3)'!G131</f>
        <v>9.7538671993330937</v>
      </c>
      <c r="E39" s="6">
        <f>'FINAL (3)'!I131</f>
        <v>467.67826086956529</v>
      </c>
      <c r="F39" s="6">
        <f>D39*E39</f>
        <v>4561.6716485367988</v>
      </c>
      <c r="G39" s="6">
        <f>valuated!G179</f>
        <v>0</v>
      </c>
      <c r="H39" s="6">
        <f>valuated!I179</f>
        <v>467.67826086956529</v>
      </c>
      <c r="I39" s="6">
        <f>G39*H39</f>
        <v>0</v>
      </c>
      <c r="J39" s="84">
        <f>I39-F39</f>
        <v>-4561.6716485367988</v>
      </c>
      <c r="K39" s="85"/>
      <c r="M39" s="1">
        <f t="shared" ref="M39:M40" si="6">1.25*F39</f>
        <v>5702.0895606709983</v>
      </c>
    </row>
    <row r="40" spans="1:13" s="1" customFormat="1" x14ac:dyDescent="0.25">
      <c r="A40" s="82"/>
      <c r="B40" s="86" t="str">
        <f>'FINAL (3)'!B132</f>
        <v>VAT calculation</v>
      </c>
      <c r="C40" s="6"/>
      <c r="D40" s="6"/>
      <c r="E40" s="6"/>
      <c r="F40" s="6">
        <f>'FINAL (3)'!J132</f>
        <v>368.90130396199288</v>
      </c>
      <c r="G40" s="6"/>
      <c r="H40" s="6"/>
      <c r="I40" s="6">
        <f>valuated!J180</f>
        <v>0</v>
      </c>
      <c r="J40" s="84">
        <f>I40-F40</f>
        <v>-368.90130396199288</v>
      </c>
      <c r="K40" s="85"/>
      <c r="M40" s="1">
        <f t="shared" si="6"/>
        <v>461.1266299524911</v>
      </c>
    </row>
    <row r="41" spans="1:13" s="1" customFormat="1" x14ac:dyDescent="0.25">
      <c r="A41" s="82"/>
      <c r="B41" s="83"/>
      <c r="C41" s="6"/>
      <c r="D41" s="6"/>
      <c r="E41" s="6"/>
      <c r="F41" s="6"/>
      <c r="G41" s="6"/>
      <c r="H41" s="6"/>
      <c r="I41" s="6"/>
      <c r="J41" s="84"/>
      <c r="K41" s="85"/>
    </row>
    <row r="42" spans="1:13" s="1" customFormat="1" x14ac:dyDescent="0.2">
      <c r="A42" s="82">
        <f>'FINAL (3)'!A134</f>
        <v>11</v>
      </c>
      <c r="B42" s="39" t="str">
        <f>'FINAL (3)'!B134</f>
        <v xml:space="preserve">cu|fv sf7sf] rf}s; agfO hf]8\g] sfd </v>
      </c>
      <c r="C42" s="6" t="str">
        <f>'FINAL (3)'!H136</f>
        <v>cum</v>
      </c>
      <c r="D42" s="6">
        <f>'FINAL (3)'!G136</f>
        <v>5.7147211216092654E-2</v>
      </c>
      <c r="E42" s="6">
        <f>'FINAL (3)'!I136</f>
        <v>283082.83</v>
      </c>
      <c r="F42" s="6">
        <f>D42*E42</f>
        <v>16177.39427765925</v>
      </c>
      <c r="G42" s="6">
        <f>valuated!G184</f>
        <v>0</v>
      </c>
      <c r="H42" s="6">
        <f>valuated!I184</f>
        <v>283082.83</v>
      </c>
      <c r="I42" s="6">
        <f>G42*H42</f>
        <v>0</v>
      </c>
      <c r="J42" s="84">
        <f>I42-F42</f>
        <v>-16177.39427765925</v>
      </c>
      <c r="K42" s="85"/>
      <c r="M42" s="1">
        <f t="shared" ref="M42:M43" si="7">1.25*F42</f>
        <v>20221.742847074063</v>
      </c>
    </row>
    <row r="43" spans="1:13" s="1" customFormat="1" x14ac:dyDescent="0.25">
      <c r="A43" s="82"/>
      <c r="B43" s="86" t="str">
        <f>'FINAL (3)'!B137</f>
        <v>VAT calculation</v>
      </c>
      <c r="C43" s="6"/>
      <c r="D43" s="6"/>
      <c r="E43" s="6"/>
      <c r="F43" s="6">
        <f>'FINAL (3)'!J137</f>
        <v>1777.2192871837854</v>
      </c>
      <c r="G43" s="6"/>
      <c r="H43" s="6"/>
      <c r="I43" s="6">
        <f>valuated!J185</f>
        <v>0</v>
      </c>
      <c r="J43" s="84">
        <f>I43-F43</f>
        <v>-1777.2192871837854</v>
      </c>
      <c r="K43" s="85"/>
      <c r="M43" s="1">
        <f t="shared" si="7"/>
        <v>2221.5241089797319</v>
      </c>
    </row>
    <row r="44" spans="1:13" s="1" customFormat="1" x14ac:dyDescent="0.25">
      <c r="A44" s="82"/>
      <c r="B44" s="83"/>
      <c r="C44" s="6"/>
      <c r="D44" s="6"/>
      <c r="E44" s="6"/>
      <c r="F44" s="6"/>
      <c r="G44" s="6"/>
      <c r="H44" s="6"/>
      <c r="I44" s="6"/>
      <c r="J44" s="84"/>
      <c r="K44" s="85"/>
    </row>
    <row r="45" spans="1:13" s="1" customFormat="1" ht="45" x14ac:dyDescent="0.25">
      <c r="A45" s="82">
        <f>'FINAL (3)'!A139</f>
        <v>12</v>
      </c>
      <c r="B45" s="83" t="str">
        <f>'FINAL (3)'!B139</f>
        <v>Carved salwood Lattice (jali) of Carved Window and door  (second type) including wood</v>
      </c>
      <c r="C45" s="6" t="str">
        <f>'FINAL (3)'!H143</f>
        <v>sqm</v>
      </c>
      <c r="D45" s="6">
        <f>'FINAL (3)'!G143</f>
        <v>5.2979938663967285</v>
      </c>
      <c r="E45" s="6">
        <f>'FINAL (3)'!I143</f>
        <v>34296.195652173912</v>
      </c>
      <c r="F45" s="6">
        <f>D45*E45</f>
        <v>181701.03420595953</v>
      </c>
      <c r="G45" s="6">
        <f>valuated!G191</f>
        <v>0</v>
      </c>
      <c r="H45" s="6">
        <f>valuated!I191</f>
        <v>34296.195652173912</v>
      </c>
      <c r="I45" s="6">
        <f>G45*H45</f>
        <v>0</v>
      </c>
      <c r="J45" s="84">
        <f>I45-F45</f>
        <v>-181701.03420595953</v>
      </c>
      <c r="K45" s="85"/>
      <c r="M45" s="1">
        <f t="shared" ref="M45:M46" si="8">1.25*F45</f>
        <v>227126.29275744941</v>
      </c>
    </row>
    <row r="46" spans="1:13" s="1" customFormat="1" x14ac:dyDescent="0.25">
      <c r="A46" s="82"/>
      <c r="B46" s="86" t="str">
        <f>'FINAL (3)'!B144</f>
        <v>VAT calculation</v>
      </c>
      <c r="C46" s="6"/>
      <c r="D46" s="6"/>
      <c r="E46" s="6"/>
      <c r="F46" s="6">
        <f>'FINAL (3)'!J144</f>
        <v>7293.5235669979529</v>
      </c>
      <c r="G46" s="6"/>
      <c r="H46" s="6"/>
      <c r="I46" s="6">
        <f>valuated!J192</f>
        <v>0</v>
      </c>
      <c r="J46" s="84">
        <f>I46-F46</f>
        <v>-7293.5235669979529</v>
      </c>
      <c r="K46" s="85"/>
      <c r="M46" s="1">
        <f t="shared" si="8"/>
        <v>9116.9044587474418</v>
      </c>
    </row>
    <row r="47" spans="1:13" s="1" customFormat="1" x14ac:dyDescent="0.25">
      <c r="A47" s="82"/>
      <c r="B47" s="83"/>
      <c r="C47" s="6"/>
      <c r="D47" s="6"/>
      <c r="E47" s="6"/>
      <c r="F47" s="6"/>
      <c r="G47" s="6"/>
      <c r="H47" s="6"/>
      <c r="I47" s="6"/>
      <c r="J47" s="84"/>
      <c r="K47" s="85"/>
    </row>
    <row r="48" spans="1:13" s="1" customFormat="1" x14ac:dyDescent="0.25">
      <c r="A48" s="82">
        <f>'FINAL (3)'!A146</f>
        <v>13</v>
      </c>
      <c r="B48" s="83" t="str">
        <f>'FINAL (3)'!B146</f>
        <v>Provisional sum for lab test</v>
      </c>
      <c r="C48" s="6" t="str">
        <f>'FINAL (3)'!H146</f>
        <v>PS</v>
      </c>
      <c r="D48" s="6">
        <f>'FINAL (3)'!G146</f>
        <v>1</v>
      </c>
      <c r="E48" s="6">
        <f>'FINAL (3)'!I146</f>
        <v>15000</v>
      </c>
      <c r="F48" s="6">
        <f>D48*E48</f>
        <v>15000</v>
      </c>
      <c r="G48" s="6">
        <f>valuated!G194</f>
        <v>1</v>
      </c>
      <c r="H48" s="6">
        <f>valuated!I194</f>
        <v>15000</v>
      </c>
      <c r="I48" s="6">
        <f>G48*H48</f>
        <v>15000</v>
      </c>
      <c r="J48" s="84">
        <f>I48-F48</f>
        <v>0</v>
      </c>
      <c r="K48" s="85"/>
      <c r="M48" s="1">
        <f t="shared" si="0"/>
        <v>18750</v>
      </c>
    </row>
    <row r="49" spans="1:13" s="1" customFormat="1" x14ac:dyDescent="0.25">
      <c r="A49" s="82"/>
      <c r="B49" s="83"/>
      <c r="C49" s="6"/>
      <c r="D49" s="6"/>
      <c r="E49" s="6"/>
      <c r="F49" s="6"/>
      <c r="G49" s="6"/>
      <c r="H49" s="6"/>
      <c r="I49" s="6"/>
      <c r="J49" s="84"/>
      <c r="K49" s="85"/>
    </row>
    <row r="50" spans="1:13" s="1" customFormat="1" x14ac:dyDescent="0.25">
      <c r="A50" s="83">
        <f>'FINAL (3)'!A154</f>
        <v>14</v>
      </c>
      <c r="B50" s="83" t="str">
        <f>'FINAL (3)'!B154</f>
        <v>Information board (सुचना पाटि)</v>
      </c>
      <c r="C50" s="6" t="str">
        <f>'FINAL (3)'!H154</f>
        <v>no.</v>
      </c>
      <c r="D50" s="6">
        <f>'FINAL (3)'!G154</f>
        <v>1</v>
      </c>
      <c r="E50" s="6">
        <f>'FINAL (3)'!I154</f>
        <v>1000</v>
      </c>
      <c r="F50" s="6">
        <f>D50*E50</f>
        <v>1000</v>
      </c>
      <c r="G50" s="6">
        <f>valuated!G203</f>
        <v>1</v>
      </c>
      <c r="H50" s="6">
        <f>valuated!I203</f>
        <v>1000</v>
      </c>
      <c r="I50" s="6">
        <f>G50*H50</f>
        <v>1000</v>
      </c>
      <c r="J50" s="84">
        <f>I50-F50</f>
        <v>0</v>
      </c>
      <c r="K50" s="85"/>
      <c r="M50" s="1">
        <f t="shared" si="0"/>
        <v>1250</v>
      </c>
    </row>
    <row r="51" spans="1:13" s="1" customFormat="1" x14ac:dyDescent="0.25">
      <c r="A51" s="87"/>
      <c r="B51" s="87"/>
      <c r="C51" s="6"/>
      <c r="D51" s="6"/>
      <c r="E51" s="6"/>
      <c r="F51" s="6"/>
      <c r="G51" s="6"/>
      <c r="H51" s="6"/>
      <c r="I51" s="6"/>
      <c r="J51" s="84"/>
      <c r="K51" s="85"/>
    </row>
    <row r="52" spans="1:13" x14ac:dyDescent="0.25">
      <c r="A52" s="58"/>
      <c r="B52" s="88" t="s">
        <v>128</v>
      </c>
      <c r="C52" s="88"/>
      <c r="D52" s="62"/>
      <c r="E52" s="62"/>
      <c r="F52" s="62">
        <f>SUM(F13:F51)</f>
        <v>1186886.1607334258</v>
      </c>
      <c r="G52" s="62"/>
      <c r="H52" s="62"/>
      <c r="I52" s="62">
        <f>SUM(I13:I51)</f>
        <v>878661.59289757034</v>
      </c>
      <c r="J52" s="89">
        <f>I52-F52</f>
        <v>-308224.56783585541</v>
      </c>
      <c r="K52" s="58"/>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tabSelected="1" topLeftCell="A188" zoomScaleNormal="100" zoomScaleSheetLayoutView="80" workbookViewId="0">
      <selection activeCell="P203" sqref="P203"/>
    </sheetView>
  </sheetViews>
  <sheetFormatPr defaultRowHeight="15" x14ac:dyDescent="0.25"/>
  <cols>
    <col min="1" max="1" width="4.42578125" style="5" customWidth="1"/>
    <col min="2" max="2" width="30.42578125" customWidth="1"/>
    <col min="3" max="3" width="6.42578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140625" style="46" bestFit="1" customWidth="1"/>
    <col min="14" max="14" width="9.7109375" style="50" bestFit="1" customWidth="1"/>
    <col min="15" max="16" width="9" bestFit="1" customWidth="1"/>
  </cols>
  <sheetData>
    <row r="1" spans="1:16" s="1" customFormat="1" x14ac:dyDescent="0.25">
      <c r="A1" s="93" t="s">
        <v>0</v>
      </c>
      <c r="B1" s="93"/>
      <c r="C1" s="93"/>
      <c r="D1" s="93"/>
      <c r="E1" s="93"/>
      <c r="F1" s="93"/>
      <c r="G1" s="93"/>
      <c r="H1" s="93"/>
      <c r="I1" s="93"/>
      <c r="J1" s="93"/>
      <c r="K1" s="93"/>
      <c r="M1" s="45"/>
      <c r="N1" s="49"/>
    </row>
    <row r="2" spans="1:16" s="1" customFormat="1" ht="22.5" x14ac:dyDescent="0.25">
      <c r="A2" s="94" t="s">
        <v>1</v>
      </c>
      <c r="B2" s="94"/>
      <c r="C2" s="94"/>
      <c r="D2" s="94"/>
      <c r="E2" s="94"/>
      <c r="F2" s="94"/>
      <c r="G2" s="94"/>
      <c r="H2" s="94"/>
      <c r="I2" s="94"/>
      <c r="J2" s="94"/>
      <c r="K2" s="94"/>
      <c r="M2" s="45"/>
      <c r="N2" s="49"/>
    </row>
    <row r="3" spans="1:16" s="1" customFormat="1" x14ac:dyDescent="0.25">
      <c r="A3" s="95" t="s">
        <v>2</v>
      </c>
      <c r="B3" s="95"/>
      <c r="C3" s="95"/>
      <c r="D3" s="95"/>
      <c r="E3" s="95"/>
      <c r="F3" s="95"/>
      <c r="G3" s="95"/>
      <c r="H3" s="95"/>
      <c r="I3" s="95"/>
      <c r="J3" s="95"/>
      <c r="K3" s="95"/>
      <c r="M3" s="45"/>
      <c r="N3" s="49"/>
    </row>
    <row r="4" spans="1:16" s="1" customFormat="1" x14ac:dyDescent="0.25">
      <c r="A4" s="95" t="s">
        <v>3</v>
      </c>
      <c r="B4" s="95"/>
      <c r="C4" s="95"/>
      <c r="D4" s="95"/>
      <c r="E4" s="95"/>
      <c r="F4" s="95"/>
      <c r="G4" s="95"/>
      <c r="H4" s="95"/>
      <c r="I4" s="95"/>
      <c r="J4" s="95"/>
      <c r="K4" s="95"/>
      <c r="M4" s="45"/>
      <c r="N4" s="49"/>
    </row>
    <row r="5" spans="1:16" ht="18.75" x14ac:dyDescent="0.3">
      <c r="A5" s="96" t="s">
        <v>4</v>
      </c>
      <c r="B5" s="96"/>
      <c r="C5" s="96"/>
      <c r="D5" s="96"/>
      <c r="E5" s="96"/>
      <c r="F5" s="96"/>
      <c r="G5" s="96"/>
      <c r="H5" s="96"/>
      <c r="I5" s="96"/>
      <c r="J5" s="96"/>
      <c r="K5" s="96"/>
    </row>
    <row r="6" spans="1:16" ht="15.75" x14ac:dyDescent="0.25">
      <c r="A6" s="91" t="s">
        <v>69</v>
      </c>
      <c r="B6" s="91"/>
      <c r="C6" s="91"/>
      <c r="D6" s="91"/>
      <c r="E6" s="91"/>
      <c r="F6" s="91"/>
      <c r="G6" s="2"/>
      <c r="H6" s="92" t="s">
        <v>91</v>
      </c>
      <c r="I6" s="92"/>
      <c r="J6" s="92"/>
      <c r="K6" s="92"/>
    </row>
    <row r="7" spans="1:16" ht="15.75" x14ac:dyDescent="0.25">
      <c r="A7" s="99" t="s">
        <v>15</v>
      </c>
      <c r="B7" s="99"/>
      <c r="C7" s="99"/>
      <c r="D7" s="99"/>
      <c r="E7" s="99"/>
      <c r="F7" s="99"/>
      <c r="G7" s="3"/>
      <c r="H7" s="92" t="s">
        <v>90</v>
      </c>
      <c r="I7" s="92"/>
      <c r="J7" s="92"/>
      <c r="K7" s="92"/>
    </row>
    <row r="8" spans="1:16" ht="15" customHeight="1" x14ac:dyDescent="0.25">
      <c r="A8" s="4" t="s">
        <v>5</v>
      </c>
      <c r="B8" s="13" t="s">
        <v>6</v>
      </c>
      <c r="C8" s="4" t="s">
        <v>7</v>
      </c>
      <c r="D8" s="14" t="s">
        <v>8</v>
      </c>
      <c r="E8" s="14" t="s">
        <v>9</v>
      </c>
      <c r="F8" s="14" t="s">
        <v>10</v>
      </c>
      <c r="G8" s="14" t="s">
        <v>11</v>
      </c>
      <c r="H8" s="4" t="s">
        <v>12</v>
      </c>
      <c r="I8" s="14" t="s">
        <v>54</v>
      </c>
      <c r="J8" s="14" t="s">
        <v>55</v>
      </c>
      <c r="K8" s="15" t="s">
        <v>13</v>
      </c>
    </row>
    <row r="9" spans="1:16" ht="15" customHeight="1" x14ac:dyDescent="0.25">
      <c r="A9" s="4" t="s">
        <v>20</v>
      </c>
      <c r="B9" s="13" t="s">
        <v>22</v>
      </c>
      <c r="C9" s="4"/>
      <c r="D9" s="14"/>
      <c r="E9" s="14"/>
      <c r="F9" s="14"/>
      <c r="G9" s="14"/>
      <c r="H9" s="4"/>
      <c r="I9" s="14"/>
      <c r="J9" s="14"/>
      <c r="K9" s="15"/>
    </row>
    <row r="10" spans="1:16" s="37" customFormat="1" ht="30.75" x14ac:dyDescent="0.25">
      <c r="A10" s="31">
        <v>1</v>
      </c>
      <c r="B10" s="39" t="s">
        <v>56</v>
      </c>
      <c r="C10" s="32"/>
      <c r="D10" s="32"/>
      <c r="E10" s="32"/>
      <c r="F10" s="32"/>
      <c r="G10" s="33"/>
      <c r="H10" s="34"/>
      <c r="I10" s="35"/>
      <c r="J10" s="35"/>
      <c r="K10" s="36"/>
      <c r="M10" s="53"/>
      <c r="N10" s="54"/>
      <c r="O10" s="43"/>
      <c r="P10" s="43"/>
    </row>
    <row r="11" spans="1:16" ht="15" customHeight="1" x14ac:dyDescent="0.25">
      <c r="A11" s="28"/>
      <c r="B11" s="71" t="s">
        <v>23</v>
      </c>
      <c r="C11" s="68">
        <f>2*0.5</f>
        <v>1</v>
      </c>
      <c r="D11" s="69">
        <f>9.25/3.281</f>
        <v>2.8192624199939043</v>
      </c>
      <c r="E11" s="69">
        <f>9.25/3.281</f>
        <v>2.8192624199939043</v>
      </c>
      <c r="F11" s="69">
        <v>1.5</v>
      </c>
      <c r="G11" s="70">
        <f>PRODUCT(C11:F11)</f>
        <v>11.922360889184828</v>
      </c>
      <c r="H11" s="23"/>
      <c r="I11" s="26"/>
      <c r="J11" s="24"/>
      <c r="K11" s="7"/>
      <c r="M11" s="47"/>
      <c r="N11" s="51"/>
      <c r="O11" s="44"/>
      <c r="P11" s="44"/>
    </row>
    <row r="12" spans="1:16" ht="15" customHeight="1" x14ac:dyDescent="0.25">
      <c r="A12" s="16"/>
      <c r="B12" s="29" t="s">
        <v>19</v>
      </c>
      <c r="C12" s="17"/>
      <c r="D12" s="18"/>
      <c r="E12" s="19"/>
      <c r="F12" s="19"/>
      <c r="G12" s="21">
        <f>SUM(G11:G11)</f>
        <v>11.922360889184828</v>
      </c>
      <c r="H12" s="20" t="s">
        <v>16</v>
      </c>
      <c r="I12" s="21">
        <v>648.9</v>
      </c>
      <c r="J12" s="23">
        <f>G12*I12</f>
        <v>7736.4199809920347</v>
      </c>
      <c r="K12" s="19"/>
      <c r="M12" s="53"/>
      <c r="N12" s="54"/>
      <c r="O12" s="44"/>
      <c r="P12" s="44"/>
    </row>
    <row r="13" spans="1:16" ht="15" customHeight="1" x14ac:dyDescent="0.25">
      <c r="A13" s="16"/>
      <c r="B13" s="29"/>
      <c r="C13" s="17"/>
      <c r="D13" s="18"/>
      <c r="E13" s="19"/>
      <c r="F13" s="19"/>
      <c r="G13" s="21"/>
      <c r="H13" s="20"/>
      <c r="I13" s="21"/>
      <c r="J13" s="23"/>
      <c r="K13" s="19"/>
      <c r="M13" s="53"/>
      <c r="N13" s="54"/>
      <c r="O13" s="44"/>
      <c r="P13" s="44"/>
    </row>
    <row r="14" spans="1:16" ht="15.75" x14ac:dyDescent="0.25">
      <c r="A14" s="28">
        <v>2</v>
      </c>
      <c r="B14" s="39" t="s">
        <v>24</v>
      </c>
      <c r="C14" s="25"/>
      <c r="D14" s="6"/>
      <c r="E14" s="6"/>
      <c r="F14" s="6"/>
      <c r="G14" s="27"/>
      <c r="H14" s="23"/>
      <c r="I14" s="26"/>
      <c r="J14" s="24"/>
      <c r="K14" s="7"/>
      <c r="M14" s="47"/>
      <c r="N14" s="51"/>
      <c r="O14" s="44"/>
      <c r="P14" s="44"/>
    </row>
    <row r="15" spans="1:16" ht="15" customHeight="1" x14ac:dyDescent="0.25">
      <c r="A15" s="28"/>
      <c r="B15" s="71" t="str">
        <f>B11</f>
        <v>-For foundation</v>
      </c>
      <c r="C15" s="68">
        <v>1</v>
      </c>
      <c r="D15" s="69">
        <f>9.25/3.281</f>
        <v>2.8192624199939043</v>
      </c>
      <c r="E15" s="69">
        <f>9.25/3.281</f>
        <v>2.8192624199939043</v>
      </c>
      <c r="F15" s="69"/>
      <c r="G15" s="70">
        <f t="shared" ref="G15:G16" si="0">PRODUCT(C15:F15)</f>
        <v>7.9482405927898858</v>
      </c>
      <c r="H15" s="23"/>
      <c r="I15" s="26"/>
      <c r="J15" s="24"/>
      <c r="K15" s="7"/>
      <c r="M15" s="47">
        <f>8.75-1.5</f>
        <v>7.25</v>
      </c>
      <c r="N15" s="51"/>
      <c r="O15" s="44"/>
      <c r="P15" s="44"/>
    </row>
    <row r="16" spans="1:16" ht="15" customHeight="1" x14ac:dyDescent="0.25">
      <c r="A16" s="16"/>
      <c r="B16" s="29" t="s">
        <v>47</v>
      </c>
      <c r="C16" s="17">
        <v>1</v>
      </c>
      <c r="D16" s="6">
        <f>7.25/3.281</f>
        <v>2.2096921670222494</v>
      </c>
      <c r="E16" s="6">
        <f>7.25/3.281</f>
        <v>2.2096921670222494</v>
      </c>
      <c r="F16" s="6"/>
      <c r="G16" s="27">
        <f t="shared" si="0"/>
        <v>4.882739472999484</v>
      </c>
      <c r="H16" s="20"/>
      <c r="I16" s="21"/>
      <c r="J16" s="23"/>
      <c r="K16" s="19"/>
      <c r="M16" s="53"/>
      <c r="N16" s="54"/>
      <c r="O16" s="44"/>
      <c r="P16" s="44"/>
    </row>
    <row r="17" spans="1:18" ht="15" customHeight="1" x14ac:dyDescent="0.25">
      <c r="A17" s="28"/>
      <c r="B17" s="29" t="s">
        <v>19</v>
      </c>
      <c r="C17" s="25"/>
      <c r="D17" s="6"/>
      <c r="E17" s="6"/>
      <c r="F17" s="6"/>
      <c r="G17" s="23">
        <f>SUM(G15:G16)</f>
        <v>12.830980065789369</v>
      </c>
      <c r="H17" s="23" t="s">
        <v>25</v>
      </c>
      <c r="I17" s="26">
        <v>985.38</v>
      </c>
      <c r="J17" s="24">
        <f>G17*I17</f>
        <v>12643.391137227529</v>
      </c>
      <c r="K17" s="7"/>
      <c r="M17" s="47"/>
      <c r="N17" s="51"/>
      <c r="O17" s="44"/>
      <c r="P17" s="44"/>
    </row>
    <row r="18" spans="1:18" ht="15" customHeight="1" x14ac:dyDescent="0.25">
      <c r="A18" s="16"/>
      <c r="B18" s="29" t="s">
        <v>21</v>
      </c>
      <c r="C18" s="17"/>
      <c r="D18" s="18"/>
      <c r="E18" s="19"/>
      <c r="F18" s="19"/>
      <c r="G18" s="21"/>
      <c r="H18" s="20"/>
      <c r="I18" s="21"/>
      <c r="J18" s="23">
        <f>0.13*G17*(8353.81)/10</f>
        <v>1393.4384045840945</v>
      </c>
      <c r="K18" s="19"/>
      <c r="M18" s="53"/>
      <c r="N18" s="54"/>
    </row>
    <row r="19" spans="1:18" ht="15" customHeight="1" x14ac:dyDescent="0.25">
      <c r="A19" s="16"/>
      <c r="B19" s="29"/>
      <c r="C19" s="7"/>
      <c r="D19" s="6"/>
      <c r="E19" s="6"/>
      <c r="F19" s="6"/>
      <c r="G19" s="23"/>
      <c r="H19" s="28"/>
      <c r="I19" s="23"/>
      <c r="J19" s="23"/>
      <c r="K19" s="19"/>
      <c r="M19" s="53"/>
      <c r="N19" s="54"/>
    </row>
    <row r="20" spans="1:18" ht="30.75" x14ac:dyDescent="0.25">
      <c r="A20" s="16">
        <v>3</v>
      </c>
      <c r="B20" s="39" t="s">
        <v>26</v>
      </c>
      <c r="C20" s="7"/>
      <c r="D20" s="6"/>
      <c r="E20" s="6"/>
      <c r="F20" s="6"/>
      <c r="G20" s="23"/>
      <c r="H20" s="28"/>
      <c r="I20" s="23"/>
      <c r="J20" s="23"/>
      <c r="K20" s="19"/>
      <c r="M20" s="53"/>
      <c r="N20" s="54"/>
    </row>
    <row r="21" spans="1:18" ht="15" customHeight="1" x14ac:dyDescent="0.25">
      <c r="A21" s="28"/>
      <c r="B21" s="71" t="str">
        <f>B11</f>
        <v>-For foundation</v>
      </c>
      <c r="C21" s="68">
        <f>C15</f>
        <v>1</v>
      </c>
      <c r="D21" s="69">
        <f>9.25/3.281</f>
        <v>2.8192624199939043</v>
      </c>
      <c r="E21" s="69">
        <f>9.25/3.281</f>
        <v>2.8192624199939043</v>
      </c>
      <c r="F21" s="69">
        <v>7.4999999999999997E-2</v>
      </c>
      <c r="G21" s="70">
        <f>PRODUCT(C21:F21)</f>
        <v>0.59611804445924144</v>
      </c>
      <c r="H21" s="23"/>
      <c r="I21" s="26"/>
      <c r="J21" s="24"/>
      <c r="K21" s="7"/>
    </row>
    <row r="22" spans="1:18" ht="15" customHeight="1" x14ac:dyDescent="0.25">
      <c r="A22" s="28"/>
      <c r="B22" s="29" t="s">
        <v>19</v>
      </c>
      <c r="C22" s="25"/>
      <c r="D22" s="6"/>
      <c r="E22" s="6"/>
      <c r="F22" s="6"/>
      <c r="G22" s="23">
        <f>SUM(G21:G21)</f>
        <v>0.59611804445924144</v>
      </c>
      <c r="H22" s="23" t="s">
        <v>16</v>
      </c>
      <c r="I22" s="26">
        <v>12300.32</v>
      </c>
      <c r="J22" s="24">
        <f>G22*I22</f>
        <v>7332.4427046228966</v>
      </c>
      <c r="K22" s="7"/>
    </row>
    <row r="23" spans="1:18" ht="15" customHeight="1" x14ac:dyDescent="0.25">
      <c r="A23" s="16"/>
      <c r="B23" s="29" t="s">
        <v>21</v>
      </c>
      <c r="C23" s="17"/>
      <c r="D23" s="18"/>
      <c r="E23" s="19"/>
      <c r="F23" s="19"/>
      <c r="G23" s="21"/>
      <c r="H23" s="20"/>
      <c r="I23" s="21"/>
      <c r="J23" s="23">
        <f>0.13*G22*7500.33</f>
        <v>581.24066681186775</v>
      </c>
      <c r="K23" s="19"/>
      <c r="M23" s="53"/>
      <c r="N23" s="54"/>
    </row>
    <row r="24" spans="1:18" ht="15" customHeight="1" x14ac:dyDescent="0.25">
      <c r="A24" s="28"/>
      <c r="B24" s="29"/>
      <c r="C24" s="25"/>
      <c r="D24" s="6"/>
      <c r="E24" s="6"/>
      <c r="F24" s="6"/>
      <c r="G24" s="27"/>
      <c r="H24" s="23"/>
      <c r="I24" s="26"/>
      <c r="J24" s="24"/>
      <c r="K24" s="7"/>
    </row>
    <row r="25" spans="1:18" s="1" customFormat="1" ht="30" x14ac:dyDescent="0.25">
      <c r="A25" s="16">
        <v>4</v>
      </c>
      <c r="B25" s="38" t="s">
        <v>27</v>
      </c>
      <c r="C25" s="17"/>
      <c r="D25" s="18"/>
      <c r="E25" s="19"/>
      <c r="F25" s="19"/>
      <c r="G25" s="21"/>
      <c r="H25" s="20"/>
      <c r="I25" s="21"/>
      <c r="J25" s="23"/>
      <c r="K25" s="19"/>
      <c r="M25" s="56"/>
      <c r="N25" s="55"/>
    </row>
    <row r="26" spans="1:18" ht="15" customHeight="1" x14ac:dyDescent="0.25">
      <c r="A26" s="16"/>
      <c r="B26" s="40" t="s">
        <v>28</v>
      </c>
      <c r="C26" s="17"/>
      <c r="D26" s="18"/>
      <c r="E26" s="19"/>
      <c r="F26" s="19"/>
      <c r="G26" s="21"/>
      <c r="H26" s="20"/>
      <c r="I26" s="21"/>
      <c r="J26" s="23"/>
      <c r="K26" s="19"/>
      <c r="M26" s="53"/>
      <c r="N26" s="54"/>
    </row>
    <row r="27" spans="1:18" ht="15" customHeight="1" x14ac:dyDescent="0.25">
      <c r="A27" s="16"/>
      <c r="B27" s="74" t="s">
        <v>29</v>
      </c>
      <c r="C27" s="17">
        <v>1</v>
      </c>
      <c r="D27" s="77">
        <f>9.25/3.281</f>
        <v>2.8192624199939043</v>
      </c>
      <c r="E27" s="77">
        <f>9.25/3.281</f>
        <v>2.8192624199939043</v>
      </c>
      <c r="F27" s="77">
        <f>22/12/3.281</f>
        <v>0.55877273189068366</v>
      </c>
      <c r="G27" s="77">
        <f>PRODUCT(C27:F27)</f>
        <v>4.4412601097576312</v>
      </c>
      <c r="H27" s="20"/>
      <c r="I27" s="21"/>
      <c r="J27" s="23"/>
      <c r="K27" s="19"/>
      <c r="M27" s="53"/>
      <c r="N27" s="54"/>
    </row>
    <row r="28" spans="1:18" ht="15" customHeight="1" x14ac:dyDescent="0.25">
      <c r="A28" s="16"/>
      <c r="B28" s="29" t="s">
        <v>30</v>
      </c>
      <c r="C28" s="17">
        <v>4</v>
      </c>
      <c r="D28" s="6">
        <v>0.3</v>
      </c>
      <c r="E28" s="6">
        <v>0.3</v>
      </c>
      <c r="F28" s="6">
        <v>0.9</v>
      </c>
      <c r="G28" s="27">
        <f t="shared" ref="G28:G52" si="1">PRODUCT(C28:F28)</f>
        <v>0.32400000000000001</v>
      </c>
      <c r="H28" s="20"/>
      <c r="I28" s="21"/>
      <c r="J28" s="23"/>
      <c r="K28" s="19"/>
      <c r="M28" s="53">
        <f>10/12</f>
        <v>0.83333333333333337</v>
      </c>
      <c r="N28" s="54">
        <f>M28/3.281</f>
        <v>0.25398760540485626</v>
      </c>
      <c r="O28">
        <f>5-1.75-0.23</f>
        <v>3.02</v>
      </c>
      <c r="P28">
        <f>3.02/3.281</f>
        <v>0.92045108198719894</v>
      </c>
      <c r="Q28">
        <f>5-21/12/3.281</f>
        <v>4.4666260286498023</v>
      </c>
      <c r="R28">
        <f>Q28-0.23</f>
        <v>4.2366260286498019</v>
      </c>
    </row>
    <row r="29" spans="1:18" x14ac:dyDescent="0.25">
      <c r="A29" s="16"/>
      <c r="B29" s="72" t="s">
        <v>70</v>
      </c>
      <c r="C29" s="17">
        <v>4</v>
      </c>
      <c r="D29" s="6">
        <v>2.09</v>
      </c>
      <c r="E29" s="6">
        <v>0.23</v>
      </c>
      <c r="F29" s="6">
        <v>0.23</v>
      </c>
      <c r="G29" s="27">
        <f>PRODUCT(C29:F29)</f>
        <v>0.44224399999999997</v>
      </c>
      <c r="H29" s="20"/>
      <c r="I29" s="21"/>
      <c r="J29" s="23"/>
      <c r="K29" s="19"/>
      <c r="M29" s="53"/>
      <c r="N29" s="54"/>
    </row>
    <row r="30" spans="1:18" ht="15" customHeight="1" x14ac:dyDescent="0.25">
      <c r="A30" s="16"/>
      <c r="B30" s="29" t="s">
        <v>102</v>
      </c>
      <c r="C30" s="17">
        <v>2</v>
      </c>
      <c r="D30" s="75">
        <v>2.67</v>
      </c>
      <c r="E30" s="75">
        <f>20/12/3.281</f>
        <v>0.50797521080971253</v>
      </c>
      <c r="F30" s="6">
        <v>0.23</v>
      </c>
      <c r="G30" s="27">
        <f t="shared" si="1"/>
        <v>0.62389515391648898</v>
      </c>
      <c r="H30" s="20"/>
      <c r="I30" s="21"/>
      <c r="J30" s="23"/>
      <c r="K30" s="19"/>
      <c r="M30" s="53">
        <f>(5-0.75-1.75)/3.281</f>
        <v>0.76196281621456874</v>
      </c>
      <c r="N30" s="54"/>
      <c r="Q30">
        <f>15*2.5</f>
        <v>37.5</v>
      </c>
      <c r="R30">
        <f>Q30/12</f>
        <v>3.125</v>
      </c>
    </row>
    <row r="31" spans="1:18" ht="15" customHeight="1" x14ac:dyDescent="0.25">
      <c r="A31" s="16"/>
      <c r="B31" s="29"/>
      <c r="C31" s="17">
        <v>1</v>
      </c>
      <c r="D31" s="6">
        <f>2.7-(20/12/3.281)*2</f>
        <v>1.6840495783805751</v>
      </c>
      <c r="E31" s="6">
        <f>20/12/3.281</f>
        <v>0.50797521080971253</v>
      </c>
      <c r="F31" s="6">
        <v>0.23</v>
      </c>
      <c r="G31" s="27">
        <f t="shared" si="1"/>
        <v>0.19675475110613244</v>
      </c>
      <c r="H31" s="20"/>
      <c r="I31" s="21"/>
      <c r="J31" s="23"/>
      <c r="K31" s="19"/>
      <c r="M31" s="53"/>
      <c r="N31" s="54"/>
    </row>
    <row r="32" spans="1:18" ht="15" customHeight="1" x14ac:dyDescent="0.25">
      <c r="A32" s="16"/>
      <c r="B32" s="29" t="str">
        <f>CONCATENATE(B16,"  including peti")</f>
        <v>-For flooring  including peti</v>
      </c>
      <c r="C32" s="17">
        <v>1</v>
      </c>
      <c r="D32" s="6">
        <f>(5.42)/3.281</f>
        <v>1.6519353855531849</v>
      </c>
      <c r="E32" s="6">
        <f>(6.083)/3.281</f>
        <v>1.8540079244132885</v>
      </c>
      <c r="F32" s="6">
        <v>7.4999999999999997E-2</v>
      </c>
      <c r="G32" s="27">
        <f>PRODUCT(C32:F32)</f>
        <v>0.22970259715757443</v>
      </c>
      <c r="H32" s="20"/>
      <c r="I32" s="21"/>
      <c r="J32" s="23"/>
      <c r="K32" s="19"/>
      <c r="M32" s="53"/>
      <c r="N32" s="54"/>
    </row>
    <row r="33" spans="1:15" ht="15" customHeight="1" x14ac:dyDescent="0.25">
      <c r="A33" s="16"/>
      <c r="B33" s="29" t="s">
        <v>92</v>
      </c>
      <c r="C33" s="17">
        <v>1</v>
      </c>
      <c r="D33" s="6">
        <v>2.09</v>
      </c>
      <c r="E33" s="75">
        <v>0.23</v>
      </c>
      <c r="F33" s="6">
        <f>8.17/3.281</f>
        <v>2.4900944833892105</v>
      </c>
      <c r="G33" s="27">
        <f>PRODUCT(C33:F33)</f>
        <v>1.1969884181651933</v>
      </c>
      <c r="H33" s="20"/>
      <c r="I33" s="21"/>
      <c r="J33" s="23"/>
      <c r="K33" s="19"/>
      <c r="M33" s="53">
        <f>9.333-1.17</f>
        <v>8.1630000000000003</v>
      </c>
      <c r="N33" s="54">
        <f>M33/3.281</f>
        <v>2.48796098750381</v>
      </c>
      <c r="O33">
        <f>2.09*3.281</f>
        <v>6.8572899999999999</v>
      </c>
    </row>
    <row r="34" spans="1:15" ht="15" customHeight="1" x14ac:dyDescent="0.25">
      <c r="A34" s="16"/>
      <c r="B34" s="29"/>
      <c r="C34" s="17">
        <v>2</v>
      </c>
      <c r="D34" s="6">
        <v>2.09</v>
      </c>
      <c r="E34" s="75">
        <f>6/12/3.281</f>
        <v>0.15239256324291373</v>
      </c>
      <c r="F34" s="6">
        <f>8.17/3.281</f>
        <v>2.4900944833892105</v>
      </c>
      <c r="G34" s="27">
        <f>PRODUCT(C34:F34)</f>
        <v>1.5861924627502129</v>
      </c>
      <c r="H34" s="20"/>
      <c r="I34" s="21"/>
      <c r="J34" s="23"/>
      <c r="K34" s="19"/>
      <c r="M34" s="53">
        <f>2.67*3.281</f>
        <v>8.7602700000000002</v>
      </c>
      <c r="N34" s="54"/>
    </row>
    <row r="35" spans="1:15" ht="15" customHeight="1" x14ac:dyDescent="0.25">
      <c r="A35" s="16"/>
      <c r="B35" s="29" t="s">
        <v>31</v>
      </c>
      <c r="C35" s="17">
        <v>4</v>
      </c>
      <c r="D35" s="6">
        <v>0.3</v>
      </c>
      <c r="E35" s="6">
        <v>0.3</v>
      </c>
      <c r="F35" s="6">
        <f>(8.917)/3.281</f>
        <v>2.7177689728741234</v>
      </c>
      <c r="G35" s="27">
        <f t="shared" si="1"/>
        <v>0.97839683023468438</v>
      </c>
      <c r="H35" s="20"/>
      <c r="I35" s="21"/>
      <c r="J35" s="23"/>
      <c r="K35" s="19"/>
      <c r="M35" s="53"/>
      <c r="N35" s="54"/>
      <c r="O35">
        <f>2.72*3.281</f>
        <v>8.9243200000000016</v>
      </c>
    </row>
    <row r="36" spans="1:15" ht="15" customHeight="1" x14ac:dyDescent="0.25">
      <c r="A36" s="16"/>
      <c r="B36" s="29" t="s">
        <v>32</v>
      </c>
      <c r="C36" s="17">
        <v>4</v>
      </c>
      <c r="D36" s="6">
        <f>((12.75)/3.281)</f>
        <v>3.8860103626943006</v>
      </c>
      <c r="E36" s="6">
        <v>0.23</v>
      </c>
      <c r="F36" s="6">
        <v>0.23</v>
      </c>
      <c r="G36" s="27">
        <f>PRODUCT(C36:F36)</f>
        <v>0.82227979274611407</v>
      </c>
      <c r="H36" s="20"/>
      <c r="I36" s="21"/>
      <c r="J36" s="23"/>
      <c r="K36" s="19"/>
      <c r="M36" s="53">
        <f>14.75-1-1</f>
        <v>12.75</v>
      </c>
      <c r="N36" s="54"/>
    </row>
    <row r="37" spans="1:15" ht="15" customHeight="1" x14ac:dyDescent="0.25">
      <c r="A37" s="16"/>
      <c r="B37" s="29"/>
      <c r="C37" s="17"/>
      <c r="D37" s="6"/>
      <c r="E37" s="6"/>
      <c r="F37" s="6"/>
      <c r="G37" s="27"/>
      <c r="H37" s="20"/>
      <c r="I37" s="21"/>
      <c r="J37" s="23"/>
      <c r="K37" s="19"/>
      <c r="M37" s="53"/>
      <c r="N37" s="54"/>
    </row>
    <row r="38" spans="1:15" ht="15" customHeight="1" x14ac:dyDescent="0.25">
      <c r="A38" s="16"/>
      <c r="B38" s="72" t="s">
        <v>107</v>
      </c>
      <c r="C38" s="17">
        <v>1</v>
      </c>
      <c r="D38" s="6">
        <f>(9+3+3)/3.281</f>
        <v>4.5717768972874122</v>
      </c>
      <c r="E38" s="6">
        <f>(9+3+3)/3.281</f>
        <v>4.5717768972874122</v>
      </c>
      <c r="F38" s="6">
        <v>0.125</v>
      </c>
      <c r="G38" s="27">
        <f t="shared" si="1"/>
        <v>2.6126429998213645</v>
      </c>
      <c r="H38" s="20"/>
      <c r="I38" s="21"/>
      <c r="J38" s="23"/>
      <c r="K38" s="19"/>
      <c r="M38" s="53"/>
      <c r="N38" s="54"/>
    </row>
    <row r="39" spans="1:15" ht="15" customHeight="1" x14ac:dyDescent="0.25">
      <c r="A39" s="16"/>
      <c r="B39" s="29" t="s">
        <v>72</v>
      </c>
      <c r="C39" s="17">
        <v>4</v>
      </c>
      <c r="D39" s="6">
        <v>0.3</v>
      </c>
      <c r="E39" s="6">
        <v>0.3</v>
      </c>
      <c r="F39" s="6">
        <f>(8.667)/3.281</f>
        <v>2.6415726912526667</v>
      </c>
      <c r="G39" s="27">
        <f>PRODUCT(C39:F39)</f>
        <v>0.95096616885095997</v>
      </c>
      <c r="H39" s="20"/>
      <c r="I39" s="21"/>
      <c r="J39" s="23"/>
      <c r="K39" s="19"/>
      <c r="M39" s="53">
        <f>3.5+3+2+0.42</f>
        <v>8.92</v>
      </c>
      <c r="N39" s="54"/>
    </row>
    <row r="40" spans="1:15" ht="15" customHeight="1" x14ac:dyDescent="0.25">
      <c r="A40" s="16"/>
      <c r="B40" s="29" t="s">
        <v>32</v>
      </c>
      <c r="C40" s="17">
        <v>4</v>
      </c>
      <c r="D40" s="6">
        <f>((10.75)/3.281)</f>
        <v>3.2764401097226452</v>
      </c>
      <c r="E40" s="6">
        <v>0.23</v>
      </c>
      <c r="F40" s="6">
        <v>0.23</v>
      </c>
      <c r="G40" s="27">
        <f>PRODUCT(C40:F40)</f>
        <v>0.69329472721731178</v>
      </c>
      <c r="H40" s="20"/>
      <c r="I40" s="21"/>
      <c r="J40" s="23"/>
      <c r="K40" s="19"/>
      <c r="M40" s="53">
        <f>14.75-1-1-1-1</f>
        <v>10.75</v>
      </c>
      <c r="N40" s="54"/>
    </row>
    <row r="41" spans="1:15" ht="15" customHeight="1" x14ac:dyDescent="0.25">
      <c r="A41" s="16"/>
      <c r="B41" s="29" t="s">
        <v>71</v>
      </c>
      <c r="C41" s="17">
        <v>2</v>
      </c>
      <c r="D41" s="6">
        <f>((7.25)/3.281)</f>
        <v>2.2096921670222494</v>
      </c>
      <c r="E41" s="6">
        <v>0.23</v>
      </c>
      <c r="F41" s="6">
        <v>0.23</v>
      </c>
      <c r="G41" s="27">
        <f>PRODUCT(C41:F41)</f>
        <v>0.233785431270954</v>
      </c>
      <c r="H41" s="20"/>
      <c r="I41" s="21"/>
      <c r="J41" s="23"/>
      <c r="K41" s="19"/>
      <c r="M41" s="53"/>
      <c r="N41" s="54"/>
    </row>
    <row r="42" spans="1:15" ht="15" customHeight="1" x14ac:dyDescent="0.25">
      <c r="A42" s="16"/>
      <c r="B42" s="72" t="s">
        <v>77</v>
      </c>
      <c r="C42" s="17">
        <v>1</v>
      </c>
      <c r="D42" s="6">
        <f>(9+3+3)/3.281</f>
        <v>4.5717768972874122</v>
      </c>
      <c r="E42" s="6">
        <f>(9+3+3)/3.281</f>
        <v>4.5717768972874122</v>
      </c>
      <c r="F42" s="6">
        <v>0.127</v>
      </c>
      <c r="G42" s="27">
        <f t="shared" ref="G42" si="2">PRODUCT(C42:F42)</f>
        <v>2.6544452878185063</v>
      </c>
      <c r="H42" s="20"/>
      <c r="I42" s="21"/>
      <c r="J42" s="23"/>
      <c r="K42" s="19"/>
      <c r="M42" s="53"/>
      <c r="N42" s="54"/>
    </row>
    <row r="43" spans="1:15" ht="15" customHeight="1" x14ac:dyDescent="0.25">
      <c r="A43" s="16"/>
      <c r="B43" s="29" t="s">
        <v>73</v>
      </c>
      <c r="C43" s="17">
        <v>4</v>
      </c>
      <c r="D43" s="6">
        <f>(15+5.17)/2/3.281</f>
        <v>3.0737580006095704</v>
      </c>
      <c r="E43" s="6">
        <f>5.917/3.281</f>
        <v>1.8034135934166411</v>
      </c>
      <c r="F43" s="6">
        <f>4/12/3.281</f>
        <v>0.10159504216194248</v>
      </c>
      <c r="G43" s="27">
        <f t="shared" si="1"/>
        <v>2.2526696987391874</v>
      </c>
      <c r="H43" s="20"/>
      <c r="I43" s="21"/>
      <c r="J43" s="23"/>
      <c r="K43" s="19"/>
      <c r="M43" s="64">
        <f>(14.75+5)/2/3.281</f>
        <v>3.0097531240475464</v>
      </c>
      <c r="N43" s="54">
        <f>(14.75+5)/2</f>
        <v>9.875</v>
      </c>
    </row>
    <row r="44" spans="1:15" ht="15" customHeight="1" x14ac:dyDescent="0.25">
      <c r="A44" s="16"/>
      <c r="B44" s="29"/>
      <c r="C44" s="17"/>
      <c r="D44" s="6"/>
      <c r="E44" s="6"/>
      <c r="F44" s="6"/>
      <c r="G44" s="27"/>
      <c r="H44" s="20"/>
      <c r="I44" s="21"/>
      <c r="J44" s="23"/>
      <c r="K44" s="19"/>
      <c r="M44" s="53"/>
      <c r="N44" s="54"/>
    </row>
    <row r="45" spans="1:15" ht="15" customHeight="1" x14ac:dyDescent="0.25">
      <c r="A45" s="16"/>
      <c r="B45" s="29" t="s">
        <v>103</v>
      </c>
      <c r="C45" s="17">
        <v>4</v>
      </c>
      <c r="D45" s="6">
        <f>3.5/3.281</f>
        <v>1.0667479427003961</v>
      </c>
      <c r="E45" s="6">
        <v>0.3</v>
      </c>
      <c r="F45" s="6">
        <v>0.3</v>
      </c>
      <c r="G45" s="27">
        <f t="shared" si="1"/>
        <v>0.38402925937214255</v>
      </c>
      <c r="H45" s="20"/>
      <c r="I45" s="21"/>
      <c r="J45" s="23"/>
      <c r="K45" s="19"/>
      <c r="M45" s="53"/>
      <c r="N45" s="54"/>
    </row>
    <row r="46" spans="1:15" ht="15" customHeight="1" x14ac:dyDescent="0.25">
      <c r="A46" s="16"/>
      <c r="B46" s="29" t="s">
        <v>104</v>
      </c>
      <c r="C46" s="17">
        <v>4</v>
      </c>
      <c r="D46" s="6">
        <f>3/3.281</f>
        <v>0.91435537945748246</v>
      </c>
      <c r="E46" s="6">
        <v>0.23</v>
      </c>
      <c r="F46" s="6">
        <v>0.23</v>
      </c>
      <c r="G46" s="27">
        <f t="shared" si="1"/>
        <v>0.1934775982932033</v>
      </c>
      <c r="H46" s="20"/>
      <c r="I46" s="21"/>
      <c r="J46" s="23"/>
      <c r="K46" s="19"/>
      <c r="M46" s="53"/>
      <c r="N46" s="54"/>
    </row>
    <row r="47" spans="1:15" ht="15" customHeight="1" x14ac:dyDescent="0.25">
      <c r="A47" s="16"/>
      <c r="B47" s="74" t="s">
        <v>103</v>
      </c>
      <c r="C47" s="17">
        <v>4</v>
      </c>
      <c r="D47" s="75">
        <f>0.9-0.23</f>
        <v>0.67</v>
      </c>
      <c r="E47" s="6">
        <v>0.3</v>
      </c>
      <c r="F47" s="6">
        <v>0.3</v>
      </c>
      <c r="G47" s="27">
        <f t="shared" si="1"/>
        <v>0.2412</v>
      </c>
      <c r="H47" s="20"/>
      <c r="I47" s="21"/>
      <c r="J47" s="23"/>
      <c r="K47" s="19"/>
      <c r="M47" s="53"/>
      <c r="N47" s="54"/>
    </row>
    <row r="48" spans="1:15" ht="15" customHeight="1" x14ac:dyDescent="0.25">
      <c r="A48" s="16"/>
      <c r="B48" s="29" t="s">
        <v>104</v>
      </c>
      <c r="C48" s="17">
        <v>4</v>
      </c>
      <c r="D48" s="6">
        <f>7/3.281</f>
        <v>2.1334958854007922</v>
      </c>
      <c r="E48" s="6">
        <f>0.583/3.281</f>
        <v>0.1776897287412374</v>
      </c>
      <c r="F48" s="6">
        <f>7.5/12/3.281</f>
        <v>0.19049070405364218</v>
      </c>
      <c r="G48" s="27">
        <f>PRODUCT(C48:F48)</f>
        <v>0.28886033613792511</v>
      </c>
      <c r="H48" s="20"/>
      <c r="I48" s="21"/>
      <c r="J48" s="23"/>
      <c r="K48" s="19"/>
      <c r="M48" s="53">
        <f>5-1-1+2+2</f>
        <v>7</v>
      </c>
      <c r="N48" s="54">
        <f>M48/3.281</f>
        <v>2.1334958854007922</v>
      </c>
      <c r="O48">
        <f>5-1-1+2+2</f>
        <v>7</v>
      </c>
    </row>
    <row r="49" spans="1:18" ht="15" customHeight="1" x14ac:dyDescent="0.25">
      <c r="A49" s="16"/>
      <c r="B49" s="72" t="s">
        <v>105</v>
      </c>
      <c r="C49" s="17">
        <v>1</v>
      </c>
      <c r="D49" s="6">
        <f>11/3.281</f>
        <v>3.3526363913441024</v>
      </c>
      <c r="E49" s="6">
        <f>11/3.281</f>
        <v>3.3526363913441024</v>
      </c>
      <c r="F49" s="6">
        <f>4/12/3.281</f>
        <v>0.10159504216194248</v>
      </c>
      <c r="G49" s="27">
        <f t="shared" si="1"/>
        <v>1.1419456235461551</v>
      </c>
      <c r="H49" s="20"/>
      <c r="I49" s="21"/>
      <c r="J49" s="23"/>
      <c r="K49" s="19"/>
      <c r="M49" s="53"/>
      <c r="N49" s="54"/>
    </row>
    <row r="50" spans="1:18" ht="15" customHeight="1" x14ac:dyDescent="0.25">
      <c r="A50" s="16"/>
      <c r="B50" s="72" t="s">
        <v>113</v>
      </c>
      <c r="C50" s="17">
        <v>-1</v>
      </c>
      <c r="D50" s="6">
        <f>3.5/3.281</f>
        <v>1.0667479427003961</v>
      </c>
      <c r="E50" s="6">
        <f>3.5/3.281</f>
        <v>1.0667479427003961</v>
      </c>
      <c r="F50" s="6">
        <f>4/12/3.281</f>
        <v>0.10159504216194248</v>
      </c>
      <c r="G50" s="27">
        <f t="shared" si="1"/>
        <v>-0.11561019742512722</v>
      </c>
      <c r="H50" s="20"/>
      <c r="I50" s="21"/>
      <c r="J50" s="23"/>
      <c r="K50" s="19"/>
      <c r="M50" s="53"/>
      <c r="N50" s="54"/>
    </row>
    <row r="51" spans="1:18" ht="15" customHeight="1" x14ac:dyDescent="0.25">
      <c r="A51" s="16"/>
      <c r="B51" s="29" t="s">
        <v>103</v>
      </c>
      <c r="C51" s="17">
        <v>4</v>
      </c>
      <c r="D51" s="6">
        <v>0.3</v>
      </c>
      <c r="E51" s="6">
        <f>1/3.281</f>
        <v>0.30478512648582745</v>
      </c>
      <c r="F51" s="6">
        <v>0.3</v>
      </c>
      <c r="G51" s="27">
        <f t="shared" si="1"/>
        <v>0.10972264553489787</v>
      </c>
      <c r="H51" s="20"/>
      <c r="I51" s="21"/>
      <c r="J51" s="23"/>
      <c r="K51" s="19"/>
      <c r="M51" s="53">
        <f>2-0.75</f>
        <v>1.25</v>
      </c>
      <c r="N51" s="54"/>
    </row>
    <row r="52" spans="1:18" ht="15" customHeight="1" x14ac:dyDescent="0.25">
      <c r="A52" s="16"/>
      <c r="B52" s="29" t="s">
        <v>106</v>
      </c>
      <c r="C52" s="17">
        <v>4</v>
      </c>
      <c r="D52" s="6">
        <f>(11+1.75)/2/3.281</f>
        <v>1.9430051813471503</v>
      </c>
      <c r="E52" s="6">
        <f>4.25/3.281</f>
        <v>1.2953367875647668</v>
      </c>
      <c r="F52" s="6">
        <f>3.5/12/3.281</f>
        <v>8.8895661891699687E-2</v>
      </c>
      <c r="G52" s="27">
        <f t="shared" si="1"/>
        <v>0.89494679613915484</v>
      </c>
      <c r="H52" s="20"/>
      <c r="I52" s="21"/>
      <c r="J52" s="23"/>
      <c r="K52" s="19"/>
      <c r="M52" s="64">
        <f>SUM(G27:G52)</f>
        <v>23.378090491150669</v>
      </c>
      <c r="N52" s="54"/>
    </row>
    <row r="53" spans="1:18" ht="15" customHeight="1" x14ac:dyDescent="0.25">
      <c r="A53" s="28"/>
      <c r="B53" s="29" t="s">
        <v>19</v>
      </c>
      <c r="C53" s="25"/>
      <c r="D53" s="6"/>
      <c r="E53" s="6"/>
      <c r="F53" s="6"/>
      <c r="G53" s="23">
        <f>SUM(G27:G52)</f>
        <v>23.378090491150669</v>
      </c>
      <c r="H53" s="23" t="s">
        <v>16</v>
      </c>
      <c r="I53" s="26">
        <v>14200.82</v>
      </c>
      <c r="J53" s="24">
        <f>G53*I53</f>
        <v>331988.05500854226</v>
      </c>
      <c r="K53" s="7"/>
    </row>
    <row r="54" spans="1:18" ht="15" customHeight="1" x14ac:dyDescent="0.25">
      <c r="A54" s="16"/>
      <c r="B54" s="29" t="s">
        <v>21</v>
      </c>
      <c r="C54" s="17"/>
      <c r="D54" s="18"/>
      <c r="E54" s="19"/>
      <c r="F54" s="19"/>
      <c r="G54" s="21"/>
      <c r="H54" s="20"/>
      <c r="I54" s="21"/>
      <c r="J54" s="23">
        <f>0.13*G53*10250.02</f>
        <v>31151.366362493547</v>
      </c>
      <c r="K54" s="19"/>
      <c r="M54" s="53"/>
      <c r="N54" s="54"/>
    </row>
    <row r="55" spans="1:18" ht="15" customHeight="1" x14ac:dyDescent="0.25">
      <c r="A55" s="16"/>
      <c r="B55" s="29"/>
      <c r="C55" s="17"/>
      <c r="D55" s="18"/>
      <c r="E55" s="19"/>
      <c r="F55" s="19"/>
      <c r="G55" s="21"/>
      <c r="H55" s="20"/>
      <c r="I55" s="21"/>
      <c r="J55" s="23"/>
      <c r="K55" s="19"/>
      <c r="M55" s="53"/>
      <c r="N55" s="54"/>
    </row>
    <row r="56" spans="1:18" ht="30" x14ac:dyDescent="0.25">
      <c r="A56" s="16">
        <v>5</v>
      </c>
      <c r="B56" s="38" t="s">
        <v>34</v>
      </c>
      <c r="C56" s="7"/>
      <c r="D56" s="6"/>
      <c r="E56" s="6"/>
      <c r="F56" s="6"/>
      <c r="G56" s="23"/>
      <c r="H56" s="28"/>
      <c r="I56" s="23"/>
      <c r="J56" s="23"/>
      <c r="K56" s="19"/>
      <c r="M56" s="53"/>
      <c r="N56" s="54"/>
    </row>
    <row r="57" spans="1:18" ht="15" customHeight="1" x14ac:dyDescent="0.25">
      <c r="A57" s="16"/>
      <c r="B57" s="76" t="s">
        <v>28</v>
      </c>
      <c r="C57" s="17"/>
      <c r="D57" s="18"/>
      <c r="E57" s="19"/>
      <c r="F57" s="19"/>
      <c r="G57" s="21"/>
      <c r="H57" s="20"/>
      <c r="I57" s="21"/>
      <c r="J57" s="23"/>
      <c r="K57" s="19"/>
      <c r="M57" s="53"/>
      <c r="N57" s="54"/>
    </row>
    <row r="58" spans="1:18" ht="15" customHeight="1" x14ac:dyDescent="0.25">
      <c r="A58" s="16"/>
      <c r="B58" s="74" t="s">
        <v>29</v>
      </c>
      <c r="C58" s="17">
        <v>4</v>
      </c>
      <c r="D58" s="77">
        <f>9.25/3.281</f>
        <v>2.8192624199939043</v>
      </c>
      <c r="E58" s="77"/>
      <c r="F58" s="77">
        <f>22/12/3.281</f>
        <v>0.55877273189068366</v>
      </c>
      <c r="G58" s="77">
        <f>PRODUCT(C58:F58)</f>
        <v>6.3013078573469352</v>
      </c>
      <c r="H58" s="20"/>
      <c r="I58" s="21"/>
      <c r="J58" s="23"/>
      <c r="K58" s="19"/>
      <c r="M58" s="53"/>
      <c r="N58" s="54"/>
    </row>
    <row r="59" spans="1:18" ht="15" customHeight="1" x14ac:dyDescent="0.25">
      <c r="A59" s="16"/>
      <c r="B59" s="29" t="s">
        <v>30</v>
      </c>
      <c r="C59" s="17">
        <v>4</v>
      </c>
      <c r="D59" s="6">
        <f>0.3*4</f>
        <v>1.2</v>
      </c>
      <c r="E59" s="6"/>
      <c r="F59" s="6">
        <v>0.9</v>
      </c>
      <c r="G59" s="27">
        <f t="shared" ref="G59" si="3">PRODUCT(C59:F59)</f>
        <v>4.32</v>
      </c>
      <c r="H59" s="20"/>
      <c r="I59" s="21"/>
      <c r="J59" s="23"/>
      <c r="K59" s="19"/>
      <c r="M59" s="53">
        <f>10/12</f>
        <v>0.83333333333333337</v>
      </c>
      <c r="N59" s="54">
        <f>M59/3.281</f>
        <v>0.25398760540485626</v>
      </c>
      <c r="O59">
        <f>5-1.75-0.23</f>
        <v>3.02</v>
      </c>
      <c r="P59">
        <f>3.02/3.281</f>
        <v>0.92045108198719894</v>
      </c>
      <c r="Q59">
        <f>5-21/12/3.281</f>
        <v>4.4666260286498023</v>
      </c>
      <c r="R59">
        <f>Q59-0.23</f>
        <v>4.2366260286498019</v>
      </c>
    </row>
    <row r="60" spans="1:18" ht="15" customHeight="1" x14ac:dyDescent="0.25">
      <c r="A60" s="16"/>
      <c r="B60" s="29" t="s">
        <v>102</v>
      </c>
      <c r="C60" s="17">
        <v>2</v>
      </c>
      <c r="D60" s="75">
        <f>2.65+2.7</f>
        <v>5.35</v>
      </c>
      <c r="E60" s="75"/>
      <c r="F60" s="6">
        <v>0.23</v>
      </c>
      <c r="G60" s="27">
        <f t="shared" ref="G60:G61" si="4">PRODUCT(C60:F60)</f>
        <v>2.4609999999999999</v>
      </c>
      <c r="H60" s="20"/>
      <c r="I60" s="21"/>
      <c r="J60" s="23"/>
      <c r="K60" s="19"/>
      <c r="M60" s="53">
        <f>(5-0.75-1.75)/3.281</f>
        <v>0.76196281621456874</v>
      </c>
      <c r="N60" s="54"/>
      <c r="Q60">
        <f>15*2.5</f>
        <v>37.5</v>
      </c>
      <c r="R60">
        <f>Q60/12</f>
        <v>3.125</v>
      </c>
    </row>
    <row r="61" spans="1:18" ht="15" customHeight="1" x14ac:dyDescent="0.25">
      <c r="A61" s="16"/>
      <c r="B61" s="29"/>
      <c r="C61" s="17">
        <v>1</v>
      </c>
      <c r="D61" s="6">
        <f>(2.7-((20+9)/12/3.281)*2)+(2.7-((20+9+1)/12/3.281))</f>
        <v>3.1649090724372657</v>
      </c>
      <c r="E61" s="6"/>
      <c r="F61" s="6">
        <v>0.23</v>
      </c>
      <c r="G61" s="27">
        <f t="shared" si="4"/>
        <v>0.7279290866605711</v>
      </c>
      <c r="H61" s="20"/>
      <c r="I61" s="21"/>
      <c r="J61" s="23"/>
      <c r="K61" s="19"/>
      <c r="M61" s="53">
        <f>6.75/3.281</f>
        <v>2.0572996037793354</v>
      </c>
      <c r="N61" s="54">
        <f>(5.33/3.281+3.917/3.281)*2</f>
        <v>5.6366961292288931</v>
      </c>
    </row>
    <row r="62" spans="1:18" ht="15" customHeight="1" x14ac:dyDescent="0.25">
      <c r="A62" s="16"/>
      <c r="B62" s="29" t="s">
        <v>92</v>
      </c>
      <c r="C62" s="17">
        <v>1</v>
      </c>
      <c r="D62" s="6">
        <f>2.7+2.65+2.7-0.075</f>
        <v>7.9750000000000005</v>
      </c>
      <c r="E62" s="75"/>
      <c r="F62" s="6">
        <f>8.17/3.281</f>
        <v>2.4900944833892105</v>
      </c>
      <c r="G62" s="27">
        <f>PRODUCT(C62:F62)</f>
        <v>19.858503505028956</v>
      </c>
      <c r="H62" s="20"/>
      <c r="I62" s="21"/>
      <c r="J62" s="23"/>
      <c r="K62" s="19"/>
      <c r="M62" s="53">
        <f>9.333-1.17</f>
        <v>8.1630000000000003</v>
      </c>
      <c r="N62" s="54">
        <f>M62/3.281</f>
        <v>2.48796098750381</v>
      </c>
      <c r="O62">
        <f>2.09*3.281</f>
        <v>6.8572899999999999</v>
      </c>
    </row>
    <row r="63" spans="1:18" ht="15" customHeight="1" x14ac:dyDescent="0.25">
      <c r="A63" s="16"/>
      <c r="B63" s="29"/>
      <c r="C63" s="17">
        <v>3</v>
      </c>
      <c r="D63" s="6">
        <v>2.09</v>
      </c>
      <c r="E63" s="75"/>
      <c r="F63" s="6">
        <f>8.17/3.281</f>
        <v>2.4900944833892105</v>
      </c>
      <c r="G63" s="27">
        <f>PRODUCT(C63:F63)</f>
        <v>15.612892410850348</v>
      </c>
      <c r="H63" s="20"/>
      <c r="I63" s="21"/>
      <c r="J63" s="23"/>
      <c r="K63" s="19"/>
      <c r="M63" s="53">
        <f>2.67*3.281</f>
        <v>8.7602700000000002</v>
      </c>
      <c r="N63" s="54">
        <f>9.333-1.17</f>
        <v>8.1630000000000003</v>
      </c>
    </row>
    <row r="64" spans="1:18" ht="15" customHeight="1" x14ac:dyDescent="0.25">
      <c r="A64" s="16"/>
      <c r="B64" s="29" t="s">
        <v>103</v>
      </c>
      <c r="C64" s="17">
        <v>4</v>
      </c>
      <c r="D64" s="6">
        <v>0.3</v>
      </c>
      <c r="E64" s="6"/>
      <c r="F64" s="6">
        <f>8.17/3.281</f>
        <v>2.4900944833892105</v>
      </c>
      <c r="G64" s="27">
        <f t="shared" ref="G64:G65" si="5">PRODUCT(C64:F64)</f>
        <v>2.9881133800670523</v>
      </c>
      <c r="H64" s="20"/>
      <c r="I64" s="21"/>
      <c r="J64" s="23"/>
      <c r="K64" s="19"/>
      <c r="M64" s="53"/>
      <c r="N64" s="54"/>
    </row>
    <row r="65" spans="1:15" ht="15" customHeight="1" x14ac:dyDescent="0.25">
      <c r="A65" s="16"/>
      <c r="B65" s="29"/>
      <c r="C65" s="17">
        <v>1</v>
      </c>
      <c r="D65" s="6">
        <f>1.5/3.281</f>
        <v>0.45717768972874123</v>
      </c>
      <c r="E65" s="6"/>
      <c r="F65" s="6">
        <f>8.17/3.281</f>
        <v>2.4900944833892105</v>
      </c>
      <c r="G65" s="27">
        <f t="shared" si="5"/>
        <v>1.1384156431221626</v>
      </c>
      <c r="H65" s="20"/>
      <c r="I65" s="21"/>
      <c r="J65" s="23"/>
      <c r="K65" s="19"/>
      <c r="M65" s="53"/>
      <c r="N65" s="54"/>
    </row>
    <row r="66" spans="1:15" ht="15" customHeight="1" x14ac:dyDescent="0.25">
      <c r="A66" s="16"/>
      <c r="B66" s="29" t="s">
        <v>32</v>
      </c>
      <c r="C66" s="17">
        <v>4</v>
      </c>
      <c r="D66" s="6">
        <f>((13)/3.281)</f>
        <v>3.9622066443157573</v>
      </c>
      <c r="E66" s="6"/>
      <c r="F66" s="6">
        <f>2*8.5/12/3.281</f>
        <v>0.43177892918825561</v>
      </c>
      <c r="G66" s="27">
        <f>PRODUCT(C66:F66)</f>
        <v>6.8431893684209975</v>
      </c>
      <c r="H66" s="20"/>
      <c r="I66" s="21"/>
      <c r="J66" s="23"/>
      <c r="K66" s="19"/>
      <c r="M66" s="53">
        <f>15-1-1</f>
        <v>13</v>
      </c>
      <c r="N66" s="54"/>
    </row>
    <row r="67" spans="1:15" ht="15" customHeight="1" x14ac:dyDescent="0.25">
      <c r="A67" s="16"/>
      <c r="B67" s="29"/>
      <c r="C67" s="17"/>
      <c r="D67" s="6"/>
      <c r="E67" s="6"/>
      <c r="F67" s="6"/>
      <c r="G67" s="27"/>
      <c r="H67" s="20"/>
      <c r="I67" s="21"/>
      <c r="J67" s="23"/>
      <c r="K67" s="19"/>
      <c r="M67" s="53"/>
      <c r="N67" s="54"/>
    </row>
    <row r="68" spans="1:15" ht="15" customHeight="1" x14ac:dyDescent="0.25">
      <c r="A68" s="16"/>
      <c r="B68" s="72" t="s">
        <v>107</v>
      </c>
      <c r="C68" s="17">
        <v>1</v>
      </c>
      <c r="D68" s="6">
        <f>(8.75+3+3)/3.281</f>
        <v>4.495580615665955</v>
      </c>
      <c r="E68" s="6">
        <f>(8.75+3+3)/3.281</f>
        <v>4.495580615665955</v>
      </c>
      <c r="F68" s="6"/>
      <c r="G68" s="27">
        <f t="shared" ref="G68:G70" si="6">PRODUCT(C68:F68)</f>
        <v>20.210245071951487</v>
      </c>
      <c r="H68" s="20"/>
      <c r="I68" s="21"/>
      <c r="J68" s="23"/>
      <c r="K68" s="19"/>
      <c r="M68" s="53"/>
      <c r="N68" s="54"/>
    </row>
    <row r="69" spans="1:15" ht="15" customHeight="1" x14ac:dyDescent="0.25">
      <c r="A69" s="16"/>
      <c r="B69" s="72" t="s">
        <v>130</v>
      </c>
      <c r="C69" s="17">
        <v>1</v>
      </c>
      <c r="D69" s="6">
        <f>D68*4</f>
        <v>17.98232246266382</v>
      </c>
      <c r="E69" s="6"/>
      <c r="F69" s="6">
        <f>0.125</f>
        <v>0.125</v>
      </c>
      <c r="G69" s="27">
        <f t="shared" si="6"/>
        <v>2.2477903078329775</v>
      </c>
      <c r="H69" s="20"/>
      <c r="I69" s="21"/>
      <c r="J69" s="23"/>
      <c r="K69" s="19"/>
      <c r="M69" s="53"/>
      <c r="N69" s="54"/>
    </row>
    <row r="70" spans="1:15" ht="15" customHeight="1" x14ac:dyDescent="0.25">
      <c r="A70" s="16"/>
      <c r="B70" s="72" t="s">
        <v>114</v>
      </c>
      <c r="C70" s="17">
        <v>-4</v>
      </c>
      <c r="D70" s="6">
        <f>((10.75)/3.281)</f>
        <v>3.2764401097226452</v>
      </c>
      <c r="E70" s="6">
        <v>0.15</v>
      </c>
      <c r="F70" s="6"/>
      <c r="G70" s="27">
        <f t="shared" si="6"/>
        <v>-1.9658640658335871</v>
      </c>
      <c r="H70" s="20"/>
      <c r="I70" s="21"/>
      <c r="J70" s="23"/>
      <c r="K70" s="19"/>
      <c r="M70" s="53"/>
      <c r="N70" s="54"/>
    </row>
    <row r="71" spans="1:15" ht="15" customHeight="1" x14ac:dyDescent="0.25">
      <c r="A71" s="16"/>
      <c r="B71" s="29" t="s">
        <v>72</v>
      </c>
      <c r="C71" s="17">
        <v>4</v>
      </c>
      <c r="D71" s="6">
        <f>0.3*4</f>
        <v>1.2</v>
      </c>
      <c r="E71" s="6"/>
      <c r="F71" s="6">
        <f>(9.17-1.17)/3.281</f>
        <v>2.4382810118866196</v>
      </c>
      <c r="G71" s="27">
        <f>PRODUCT(C71:F71)</f>
        <v>11.703748857055773</v>
      </c>
      <c r="H71" s="20"/>
      <c r="I71" s="21"/>
      <c r="J71" s="23"/>
      <c r="K71" s="19"/>
      <c r="M71" s="53">
        <f>3.5+3+2+0.42</f>
        <v>8.92</v>
      </c>
      <c r="N71" s="54">
        <f>9.17-0.42</f>
        <v>8.75</v>
      </c>
      <c r="O71">
        <f>N71/3.281</f>
        <v>2.6668698567509903</v>
      </c>
    </row>
    <row r="72" spans="1:15" ht="15" customHeight="1" x14ac:dyDescent="0.25">
      <c r="A72" s="16"/>
      <c r="B72" s="29" t="s">
        <v>32</v>
      </c>
      <c r="C72" s="17">
        <v>4</v>
      </c>
      <c r="D72" s="6">
        <f>((10.75)/3.281)</f>
        <v>3.2764401097226452</v>
      </c>
      <c r="E72" s="6"/>
      <c r="F72" s="6">
        <f>2*(8.5/12/3.281)</f>
        <v>0.43177892918825561</v>
      </c>
      <c r="G72" s="27">
        <f>PRODUCT(C72:F72)</f>
        <v>5.6587912085019783</v>
      </c>
      <c r="H72" s="20"/>
      <c r="I72" s="21"/>
      <c r="J72" s="23"/>
      <c r="K72" s="19"/>
      <c r="M72" s="53">
        <f>14.75-1-1-1-1</f>
        <v>10.75</v>
      </c>
      <c r="N72" s="54">
        <f>9.17-0.42-0.75</f>
        <v>8</v>
      </c>
      <c r="O72">
        <f>N72/3.281</f>
        <v>2.4382810118866196</v>
      </c>
    </row>
    <row r="73" spans="1:15" ht="15" customHeight="1" x14ac:dyDescent="0.25">
      <c r="A73" s="16"/>
      <c r="B73" s="29" t="s">
        <v>71</v>
      </c>
      <c r="C73" s="17">
        <v>2</v>
      </c>
      <c r="D73" s="6">
        <f>((7.25)/3.281)</f>
        <v>2.2096921670222494</v>
      </c>
      <c r="E73" s="6"/>
      <c r="F73" s="6">
        <f>2*0.23</f>
        <v>0.46</v>
      </c>
      <c r="G73" s="27">
        <f>PRODUCT(C73:F73)</f>
        <v>2.0329167936604695</v>
      </c>
      <c r="H73" s="20"/>
      <c r="I73" s="21"/>
      <c r="J73" s="23"/>
      <c r="K73" s="19"/>
      <c r="M73" s="53"/>
      <c r="N73" s="54"/>
    </row>
    <row r="74" spans="1:15" ht="15" customHeight="1" x14ac:dyDescent="0.25">
      <c r="A74" s="16"/>
      <c r="B74" s="72" t="s">
        <v>77</v>
      </c>
      <c r="C74" s="17">
        <v>1</v>
      </c>
      <c r="D74" s="6">
        <f>(8.75+3+3)/3.281</f>
        <v>4.495580615665955</v>
      </c>
      <c r="E74" s="6">
        <f>(8.75+3+3)/3.281</f>
        <v>4.495580615665955</v>
      </c>
      <c r="F74" s="6">
        <v>0.125</v>
      </c>
      <c r="G74" s="27">
        <f t="shared" ref="G74:G77" si="7">PRODUCT(C74:F74)</f>
        <v>2.5262806339939359</v>
      </c>
      <c r="H74" s="20"/>
      <c r="I74" s="21"/>
      <c r="J74" s="23"/>
      <c r="K74" s="19"/>
      <c r="M74" s="53"/>
      <c r="N74" s="54"/>
    </row>
    <row r="75" spans="1:15" ht="15" customHeight="1" x14ac:dyDescent="0.25">
      <c r="A75" s="16"/>
      <c r="B75" s="72" t="s">
        <v>130</v>
      </c>
      <c r="C75" s="17">
        <v>1</v>
      </c>
      <c r="D75" s="6">
        <f>D74*4</f>
        <v>17.98232246266382</v>
      </c>
      <c r="E75" s="6"/>
      <c r="F75" s="6">
        <f>0.125</f>
        <v>0.125</v>
      </c>
      <c r="G75" s="27">
        <f t="shared" si="7"/>
        <v>2.2477903078329775</v>
      </c>
      <c r="H75" s="20"/>
      <c r="I75" s="21"/>
      <c r="J75" s="23"/>
      <c r="K75" s="19"/>
      <c r="M75" s="53"/>
      <c r="N75" s="54"/>
    </row>
    <row r="76" spans="1:15" ht="15" customHeight="1" x14ac:dyDescent="0.25">
      <c r="A76" s="16"/>
      <c r="B76" s="74"/>
      <c r="C76" s="17"/>
      <c r="D76" s="6"/>
      <c r="E76" s="6"/>
      <c r="F76" s="6"/>
      <c r="G76" s="27"/>
      <c r="H76" s="20"/>
      <c r="I76" s="21"/>
      <c r="J76" s="23"/>
      <c r="K76" s="19"/>
      <c r="M76" s="53"/>
      <c r="N76" s="54"/>
    </row>
    <row r="77" spans="1:15" ht="15" customHeight="1" x14ac:dyDescent="0.25">
      <c r="A77" s="16"/>
      <c r="B77" s="29" t="s">
        <v>73</v>
      </c>
      <c r="C77" s="17">
        <v>4</v>
      </c>
      <c r="D77" s="6">
        <f>(15+5.17)/2/3.281</f>
        <v>3.0737580006095704</v>
      </c>
      <c r="E77" s="6">
        <f>5.917/3.281</f>
        <v>1.8034135934166411</v>
      </c>
      <c r="F77" s="6"/>
      <c r="G77" s="27">
        <f t="shared" si="7"/>
        <v>22.173027844689823</v>
      </c>
      <c r="H77" s="20"/>
      <c r="I77" s="21"/>
      <c r="J77" s="23"/>
      <c r="K77" s="19"/>
      <c r="M77" s="64">
        <f>(14.75+5)/2/3.281</f>
        <v>3.0097531240475464</v>
      </c>
      <c r="N77" s="54">
        <f>(14.75+5.17)/2</f>
        <v>9.9600000000000009</v>
      </c>
    </row>
    <row r="78" spans="1:15" ht="15" customHeight="1" x14ac:dyDescent="0.25">
      <c r="A78" s="16"/>
      <c r="B78" s="29"/>
      <c r="C78" s="17"/>
      <c r="D78" s="6"/>
      <c r="E78" s="6"/>
      <c r="F78" s="6"/>
      <c r="G78" s="27"/>
      <c r="H78" s="20"/>
      <c r="I78" s="21"/>
      <c r="J78" s="23"/>
      <c r="K78" s="19"/>
      <c r="M78" s="53"/>
      <c r="N78" s="54"/>
    </row>
    <row r="79" spans="1:15" ht="15" customHeight="1" x14ac:dyDescent="0.25">
      <c r="A79" s="16"/>
      <c r="B79" s="29" t="s">
        <v>103</v>
      </c>
      <c r="C79" s="17">
        <v>4</v>
      </c>
      <c r="D79" s="6">
        <f>4*0.3</f>
        <v>1.2</v>
      </c>
      <c r="E79" s="58"/>
      <c r="F79" s="6">
        <f>(3.5-0.23)/3.281</f>
        <v>0.99664736360865591</v>
      </c>
      <c r="G79" s="27">
        <f>PRODUCT(C79:F79)</f>
        <v>4.7839073453215484</v>
      </c>
      <c r="H79" s="20"/>
      <c r="I79" s="21"/>
      <c r="J79" s="23"/>
      <c r="K79" s="19"/>
      <c r="M79" s="53"/>
      <c r="N79" s="54"/>
    </row>
    <row r="80" spans="1:15" ht="15" customHeight="1" x14ac:dyDescent="0.25">
      <c r="A80" s="16"/>
      <c r="B80" s="29" t="s">
        <v>104</v>
      </c>
      <c r="C80" s="17">
        <v>4</v>
      </c>
      <c r="D80" s="6">
        <f>3/3.281</f>
        <v>0.91435537945748246</v>
      </c>
      <c r="E80" s="6"/>
      <c r="F80" s="6">
        <f>0.23*2</f>
        <v>0.46</v>
      </c>
      <c r="G80" s="27">
        <f t="shared" ref="G80" si="8">PRODUCT(C80:F80)</f>
        <v>1.6824138982017678</v>
      </c>
      <c r="H80" s="20"/>
      <c r="I80" s="21"/>
      <c r="J80" s="23"/>
      <c r="K80" s="19"/>
      <c r="M80" s="53"/>
      <c r="N80" s="54"/>
    </row>
    <row r="81" spans="1:16" ht="15" customHeight="1" x14ac:dyDescent="0.25">
      <c r="A81" s="16"/>
      <c r="B81" s="74" t="s">
        <v>103</v>
      </c>
      <c r="C81" s="17">
        <v>4</v>
      </c>
      <c r="D81" s="6">
        <f>0.3*4</f>
        <v>1.2</v>
      </c>
      <c r="E81" s="58"/>
      <c r="F81" s="75">
        <f>0.9-0.23</f>
        <v>0.67</v>
      </c>
      <c r="G81" s="27">
        <f>PRODUCT(C81:F81)</f>
        <v>3.2160000000000002</v>
      </c>
      <c r="H81" s="20"/>
      <c r="I81" s="21"/>
      <c r="J81" s="23"/>
      <c r="K81" s="19"/>
      <c r="M81" s="53"/>
      <c r="N81" s="54"/>
    </row>
    <row r="82" spans="1:16" ht="15" customHeight="1" x14ac:dyDescent="0.25">
      <c r="A82" s="16"/>
      <c r="B82" s="29" t="s">
        <v>104</v>
      </c>
      <c r="C82" s="17">
        <v>4</v>
      </c>
      <c r="D82" s="6">
        <f>7/3.281</f>
        <v>2.1334958854007922</v>
      </c>
      <c r="E82" s="6"/>
      <c r="F82" s="6">
        <f>2*(0.583/3.281)</f>
        <v>0.35537945748247479</v>
      </c>
      <c r="G82" s="27">
        <f>PRODUCT(C82:F82)</f>
        <v>3.0328024411793031</v>
      </c>
      <c r="H82" s="20"/>
      <c r="I82" s="21"/>
      <c r="J82" s="23"/>
      <c r="K82" s="19"/>
      <c r="M82" s="53">
        <f>5-1-1+2+2</f>
        <v>7</v>
      </c>
      <c r="N82" s="54">
        <f>M82/3.281</f>
        <v>2.1334958854007922</v>
      </c>
      <c r="O82">
        <f>5-1-1+2+2</f>
        <v>7</v>
      </c>
    </row>
    <row r="83" spans="1:16" ht="15" customHeight="1" x14ac:dyDescent="0.25">
      <c r="A83" s="16"/>
      <c r="B83" s="72" t="s">
        <v>105</v>
      </c>
      <c r="C83" s="17">
        <v>1</v>
      </c>
      <c r="D83" s="6">
        <f>11/3.281</f>
        <v>3.3526363913441024</v>
      </c>
      <c r="E83" s="6">
        <f>11/3.281</f>
        <v>3.3526363913441024</v>
      </c>
      <c r="F83" s="6"/>
      <c r="G83" s="27">
        <f t="shared" ref="G83:G88" si="9">PRODUCT(C83:F83)</f>
        <v>11.240170772564806</v>
      </c>
      <c r="H83" s="20"/>
      <c r="I83" s="21"/>
      <c r="J83" s="23"/>
      <c r="K83" s="19"/>
      <c r="M83" s="53"/>
      <c r="N83" s="54"/>
    </row>
    <row r="84" spans="1:16" ht="15" customHeight="1" x14ac:dyDescent="0.25">
      <c r="A84" s="16"/>
      <c r="B84" s="72" t="s">
        <v>130</v>
      </c>
      <c r="C84" s="17">
        <v>1</v>
      </c>
      <c r="D84" s="6">
        <f>D83*4</f>
        <v>13.41054556537641</v>
      </c>
      <c r="E84" s="6"/>
      <c r="F84" s="6">
        <v>0.1</v>
      </c>
      <c r="G84" s="27">
        <f t="shared" si="9"/>
        <v>1.3410545565376411</v>
      </c>
      <c r="H84" s="20"/>
      <c r="I84" s="21"/>
      <c r="J84" s="23"/>
      <c r="K84" s="19"/>
      <c r="M84" s="53"/>
      <c r="N84" s="54"/>
    </row>
    <row r="85" spans="1:16" ht="15" customHeight="1" x14ac:dyDescent="0.25">
      <c r="A85" s="16"/>
      <c r="B85" s="72" t="s">
        <v>113</v>
      </c>
      <c r="C85" s="17">
        <v>-1</v>
      </c>
      <c r="D85" s="6">
        <f>3.5/3.281</f>
        <v>1.0667479427003961</v>
      </c>
      <c r="E85" s="6">
        <f>3.5/3.281</f>
        <v>1.0667479427003961</v>
      </c>
      <c r="F85" s="6"/>
      <c r="G85" s="27">
        <f t="shared" si="9"/>
        <v>-1.1379511732555274</v>
      </c>
      <c r="H85" s="20"/>
      <c r="I85" s="21"/>
      <c r="J85" s="23"/>
      <c r="K85" s="19"/>
      <c r="M85" s="53"/>
      <c r="N85" s="54"/>
    </row>
    <row r="86" spans="1:16" ht="15" customHeight="1" x14ac:dyDescent="0.25">
      <c r="A86" s="16"/>
      <c r="B86" s="29" t="s">
        <v>103</v>
      </c>
      <c r="C86" s="17">
        <v>4</v>
      </c>
      <c r="D86" s="6">
        <f>0.3*4</f>
        <v>1.2</v>
      </c>
      <c r="E86" s="6"/>
      <c r="F86" s="6">
        <v>0.3</v>
      </c>
      <c r="G86" s="27">
        <f t="shared" si="9"/>
        <v>1.44</v>
      </c>
      <c r="H86" s="20"/>
      <c r="I86" s="21"/>
      <c r="J86" s="23"/>
      <c r="K86" s="19"/>
      <c r="M86" s="53"/>
      <c r="N86" s="54"/>
    </row>
    <row r="87" spans="1:16" ht="15" customHeight="1" x14ac:dyDescent="0.25">
      <c r="A87" s="16"/>
      <c r="B87" s="29" t="s">
        <v>106</v>
      </c>
      <c r="C87" s="17">
        <v>4</v>
      </c>
      <c r="D87" s="6">
        <f>(11+1.5)/2/3.281</f>
        <v>1.9049070405364217</v>
      </c>
      <c r="E87" s="6">
        <f>4.25/3.281</f>
        <v>1.2953367875647668</v>
      </c>
      <c r="F87" s="6"/>
      <c r="G87" s="27">
        <f t="shared" si="9"/>
        <v>9.8699846659918222</v>
      </c>
      <c r="H87" s="20"/>
      <c r="I87" s="21"/>
      <c r="J87" s="23"/>
      <c r="K87" s="19"/>
      <c r="M87" s="64">
        <f>SUM(G58:G87)</f>
        <v>162.55446071772423</v>
      </c>
      <c r="N87" s="54"/>
    </row>
    <row r="88" spans="1:16" ht="15" customHeight="1" x14ac:dyDescent="0.25">
      <c r="A88" s="16"/>
      <c r="B88" s="29" t="s">
        <v>131</v>
      </c>
      <c r="C88" s="17">
        <v>1</v>
      </c>
      <c r="D88" s="6">
        <f>1.5/3.281</f>
        <v>0.45717768972874123</v>
      </c>
      <c r="E88" s="6">
        <f>1.5/3.281</f>
        <v>0.45717768972874123</v>
      </c>
      <c r="F88" s="6"/>
      <c r="G88" s="27">
        <f t="shared" si="9"/>
        <v>0.20901143998570917</v>
      </c>
      <c r="H88" s="20"/>
      <c r="I88" s="21"/>
      <c r="J88" s="23"/>
      <c r="K88" s="19"/>
      <c r="M88" s="64"/>
      <c r="N88" s="54"/>
    </row>
    <row r="89" spans="1:16" ht="15" customHeight="1" x14ac:dyDescent="0.25">
      <c r="A89" s="28"/>
      <c r="B89" s="29" t="s">
        <v>19</v>
      </c>
      <c r="C89" s="25"/>
      <c r="D89" s="6"/>
      <c r="E89" s="6"/>
      <c r="F89" s="6"/>
      <c r="G89" s="23">
        <f>SUM(G58:G88)</f>
        <v>162.76347215770994</v>
      </c>
      <c r="H89" s="23" t="s">
        <v>25</v>
      </c>
      <c r="I89" s="26">
        <v>905.97</v>
      </c>
      <c r="J89" s="24">
        <f>G89*I89</f>
        <v>147458.82287072047</v>
      </c>
      <c r="K89" s="7"/>
    </row>
    <row r="90" spans="1:16" ht="15" customHeight="1" x14ac:dyDescent="0.25">
      <c r="A90" s="16"/>
      <c r="B90" s="29" t="s">
        <v>21</v>
      </c>
      <c r="C90" s="17"/>
      <c r="D90" s="18"/>
      <c r="E90" s="19"/>
      <c r="F90" s="19"/>
      <c r="G90" s="21"/>
      <c r="H90" s="20"/>
      <c r="I90" s="21"/>
      <c r="J90" s="23">
        <f>0.13*G89*46827.87/100</f>
        <v>9908.426729434821</v>
      </c>
      <c r="K90" s="19"/>
      <c r="M90" s="53"/>
      <c r="N90" s="54"/>
    </row>
    <row r="91" spans="1:16" ht="15" customHeight="1" x14ac:dyDescent="0.25">
      <c r="A91" s="16"/>
      <c r="B91" s="29"/>
      <c r="C91" s="17"/>
      <c r="D91" s="18"/>
      <c r="E91" s="19"/>
      <c r="F91" s="19"/>
      <c r="G91" s="21"/>
      <c r="H91" s="20"/>
      <c r="I91" s="21"/>
      <c r="J91" s="23"/>
      <c r="K91" s="19"/>
      <c r="M91" s="53"/>
      <c r="N91" s="54">
        <f>48*4</f>
        <v>192</v>
      </c>
      <c r="O91">
        <f>N92+N93+O93</f>
        <v>47.937267267267266</v>
      </c>
      <c r="P91">
        <f>O91*4</f>
        <v>191.74906906906907</v>
      </c>
    </row>
    <row r="92" spans="1:16" ht="45" x14ac:dyDescent="0.25">
      <c r="A92" s="16">
        <v>6</v>
      </c>
      <c r="B92" s="38" t="s">
        <v>35</v>
      </c>
      <c r="C92" s="7" t="s">
        <v>7</v>
      </c>
      <c r="D92" s="41" t="s">
        <v>36</v>
      </c>
      <c r="E92" s="41" t="s">
        <v>37</v>
      </c>
      <c r="F92" s="41" t="s">
        <v>38</v>
      </c>
      <c r="G92" s="41" t="s">
        <v>39</v>
      </c>
      <c r="H92" s="28"/>
      <c r="I92" s="23"/>
      <c r="J92" s="23"/>
      <c r="K92" s="19"/>
      <c r="M92" s="53">
        <f>16-0.75*3</f>
        <v>13.75</v>
      </c>
      <c r="N92" s="54">
        <f>M92/0.5</f>
        <v>27.5</v>
      </c>
    </row>
    <row r="93" spans="1:16" ht="15" customHeight="1" x14ac:dyDescent="0.25">
      <c r="A93" s="16"/>
      <c r="B93" s="74" t="str">
        <f>B57</f>
        <v>-For footing</v>
      </c>
      <c r="C93" s="67">
        <f>17*2+18*2</f>
        <v>70</v>
      </c>
      <c r="D93" s="67">
        <f>(11.5)/3.281</f>
        <v>3.5050289545870159</v>
      </c>
      <c r="E93" s="67">
        <f>12*12/162</f>
        <v>0.88888888888888884</v>
      </c>
      <c r="F93" s="67">
        <f>PRODUCT(C93:E93)</f>
        <v>218.09069050763651</v>
      </c>
      <c r="G93" s="67">
        <f>F93/1000</f>
        <v>0.21809069050763652</v>
      </c>
      <c r="H93" s="20"/>
      <c r="I93" s="21"/>
      <c r="J93" s="23"/>
      <c r="K93" s="19"/>
      <c r="M93" s="53">
        <f>8.17/2</f>
        <v>4.085</v>
      </c>
      <c r="N93" s="54">
        <f>M93/0.333</f>
        <v>12.267267267267266</v>
      </c>
      <c r="O93">
        <f>M93/0.5</f>
        <v>8.17</v>
      </c>
    </row>
    <row r="94" spans="1:16" ht="15" customHeight="1" x14ac:dyDescent="0.25">
      <c r="A94" s="16"/>
      <c r="B94" s="74" t="s">
        <v>103</v>
      </c>
      <c r="C94" s="67">
        <f>4*8</f>
        <v>32</v>
      </c>
      <c r="D94" s="67">
        <f>(5+9.33+9.17+2)/3.281</f>
        <v>7.7720207253886011</v>
      </c>
      <c r="E94" s="67">
        <f t="shared" ref="E94:E95" si="10">12*12/162</f>
        <v>0.88888888888888884</v>
      </c>
      <c r="F94" s="67">
        <f t="shared" ref="F94:F95" si="11">PRODUCT(C94:E94)</f>
        <v>221.07081174438687</v>
      </c>
      <c r="G94" s="67">
        <f t="shared" ref="G94:G95" si="12">F94/1000</f>
        <v>0.22107081174438686</v>
      </c>
      <c r="H94" s="20"/>
      <c r="I94" s="21"/>
      <c r="J94" s="23"/>
      <c r="K94" s="19"/>
      <c r="M94" s="53"/>
      <c r="N94" s="54"/>
    </row>
    <row r="95" spans="1:16" ht="15" customHeight="1" x14ac:dyDescent="0.25">
      <c r="A95" s="16"/>
      <c r="B95" s="74"/>
      <c r="C95" s="67">
        <f>4*4</f>
        <v>16</v>
      </c>
      <c r="D95" s="67">
        <f>0.75</f>
        <v>0.75</v>
      </c>
      <c r="E95" s="67">
        <f t="shared" si="10"/>
        <v>0.88888888888888884</v>
      </c>
      <c r="F95" s="67">
        <f t="shared" si="11"/>
        <v>10.666666666666666</v>
      </c>
      <c r="G95" s="67">
        <f t="shared" si="12"/>
        <v>1.0666666666666666E-2</v>
      </c>
      <c r="H95" s="20"/>
      <c r="I95" s="21"/>
      <c r="J95" s="23"/>
      <c r="K95" s="19"/>
      <c r="M95" s="53"/>
      <c r="N95" s="54"/>
    </row>
    <row r="96" spans="1:16" x14ac:dyDescent="0.25">
      <c r="A96" s="16"/>
      <c r="B96" s="74" t="s">
        <v>108</v>
      </c>
      <c r="C96" s="67">
        <f>24+24+15+2</f>
        <v>65</v>
      </c>
      <c r="D96" s="67">
        <f>(0.75*4+0.17+0.17)/3.281</f>
        <v>1.0179823224626636</v>
      </c>
      <c r="E96" s="67">
        <f>8*8/162</f>
        <v>0.39506172839506171</v>
      </c>
      <c r="F96" s="67">
        <f>PRODUCT(C96:E96)</f>
        <v>26.140780626201728</v>
      </c>
      <c r="G96" s="67">
        <f>F96/1000</f>
        <v>2.6140780626201728E-2</v>
      </c>
      <c r="H96" s="20"/>
      <c r="I96" s="21"/>
      <c r="J96" s="23"/>
      <c r="K96" s="19"/>
      <c r="M96" s="53"/>
      <c r="N96" s="54"/>
    </row>
    <row r="97" spans="1:15" x14ac:dyDescent="0.25">
      <c r="A97" s="16"/>
      <c r="B97" s="74"/>
      <c r="C97" s="67">
        <f>24+24+15+2</f>
        <v>65</v>
      </c>
      <c r="D97" s="67">
        <f>(0.583*4)/3.281</f>
        <v>0.71075891496494958</v>
      </c>
      <c r="E97" s="67">
        <f>8*8/162</f>
        <v>0.39506172839506171</v>
      </c>
      <c r="F97" s="67">
        <f>PRODUCT(C97:E97)</f>
        <v>18.251586952186358</v>
      </c>
      <c r="G97" s="67">
        <f>F97/1000</f>
        <v>1.8251586952186358E-2</v>
      </c>
      <c r="H97" s="20"/>
      <c r="I97" s="21"/>
      <c r="J97" s="23"/>
      <c r="K97" s="19"/>
      <c r="M97" s="53"/>
      <c r="N97" s="54"/>
    </row>
    <row r="98" spans="1:15" x14ac:dyDescent="0.25">
      <c r="A98" s="16"/>
      <c r="B98" s="29" t="s">
        <v>115</v>
      </c>
      <c r="C98" s="17">
        <f>4*4</f>
        <v>16</v>
      </c>
      <c r="D98" s="6">
        <f>(2+(8.75-0.5)+2)/3.281</f>
        <v>3.7336177994513866</v>
      </c>
      <c r="E98" s="6">
        <f>12*12/162</f>
        <v>0.88888888888888884</v>
      </c>
      <c r="F98" s="6">
        <f>PRODUCT(C98:E98)</f>
        <v>53.100342036641941</v>
      </c>
      <c r="G98" s="27">
        <f>F98/1000</f>
        <v>5.3100342036641941E-2</v>
      </c>
      <c r="H98" s="20"/>
      <c r="I98" s="21"/>
      <c r="J98" s="23"/>
      <c r="K98" s="19"/>
      <c r="M98" s="53">
        <f>8.5*4</f>
        <v>34</v>
      </c>
      <c r="N98" s="54"/>
    </row>
    <row r="99" spans="1:15" ht="15" customHeight="1" x14ac:dyDescent="0.25">
      <c r="A99" s="16"/>
      <c r="B99" s="29" t="s">
        <v>42</v>
      </c>
      <c r="C99" s="17">
        <f>76</f>
        <v>76</v>
      </c>
      <c r="D99" s="6">
        <f>(0.583*4+0.17+0.17)/3.281</f>
        <v>0.81438585797013097</v>
      </c>
      <c r="E99" s="6">
        <f>8*8/162</f>
        <v>0.39506172839506171</v>
      </c>
      <c r="F99" s="6">
        <f>PRODUCT(C99:E99)</f>
        <v>24.451684031893311</v>
      </c>
      <c r="G99" s="27">
        <f>F99/1000</f>
        <v>2.4451684031893312E-2</v>
      </c>
      <c r="H99" s="20"/>
      <c r="I99" s="21"/>
      <c r="J99" s="23"/>
      <c r="K99" s="19"/>
      <c r="M99" s="53">
        <f>9.333+1.5+0.583-0.17</f>
        <v>11.246</v>
      </c>
      <c r="N99" s="54">
        <f>57*12</f>
        <v>684</v>
      </c>
      <c r="O99">
        <f>N99/1000*3.281</f>
        <v>2.2442040000000003</v>
      </c>
    </row>
    <row r="100" spans="1:15" ht="15" customHeight="1" x14ac:dyDescent="0.25">
      <c r="A100" s="16"/>
      <c r="B100" s="29" t="s">
        <v>95</v>
      </c>
      <c r="C100" s="17">
        <f>17+1</f>
        <v>18</v>
      </c>
      <c r="D100" s="18">
        <f>2.35+2.4+2.4</f>
        <v>7.15</v>
      </c>
      <c r="E100" s="6">
        <f>8*8/162</f>
        <v>0.39506172839506171</v>
      </c>
      <c r="F100" s="6">
        <f t="shared" ref="F100:F132" si="13">PRODUCT(C100:E100)</f>
        <v>50.844444444444449</v>
      </c>
      <c r="G100" s="27">
        <f t="shared" ref="G100:G132" si="14">F100/1000</f>
        <v>5.0844444444444449E-2</v>
      </c>
      <c r="H100" s="20"/>
      <c r="I100" s="21"/>
      <c r="J100" s="23"/>
      <c r="K100" s="19"/>
      <c r="M100" s="53"/>
      <c r="N100" s="54"/>
    </row>
    <row r="101" spans="1:15" ht="15" customHeight="1" x14ac:dyDescent="0.25">
      <c r="A101" s="16"/>
      <c r="B101" s="29" t="s">
        <v>94</v>
      </c>
      <c r="C101" s="17">
        <v>42</v>
      </c>
      <c r="D101" s="18">
        <f>11.25/3.281</f>
        <v>3.4288326729655592</v>
      </c>
      <c r="E101" s="6">
        <f>12*12/162</f>
        <v>0.88888888888888884</v>
      </c>
      <c r="F101" s="6">
        <f>PRODUCT(C101:E101)</f>
        <v>128.00975312404753</v>
      </c>
      <c r="G101" s="27">
        <f>F101/1000</f>
        <v>0.12800975312404753</v>
      </c>
      <c r="H101" s="20"/>
      <c r="I101" s="21"/>
      <c r="J101" s="23"/>
      <c r="K101" s="19"/>
      <c r="M101" s="53">
        <f>2.7-0.1+2.7-0.1+2.65-0.1</f>
        <v>7.7500000000000018</v>
      </c>
      <c r="N101" s="54">
        <f>9.33+1.5+0.583</f>
        <v>11.413</v>
      </c>
    </row>
    <row r="102" spans="1:15" ht="15" customHeight="1" x14ac:dyDescent="0.25">
      <c r="A102" s="16"/>
      <c r="B102" s="29"/>
      <c r="C102" s="17"/>
      <c r="D102" s="18"/>
      <c r="E102" s="6"/>
      <c r="F102" s="6"/>
      <c r="G102" s="27"/>
      <c r="H102" s="20"/>
      <c r="I102" s="21"/>
      <c r="J102" s="23"/>
      <c r="K102" s="19"/>
      <c r="M102" s="53"/>
      <c r="N102" s="54"/>
    </row>
    <row r="103" spans="1:15" ht="15" customHeight="1" x14ac:dyDescent="0.25">
      <c r="A103" s="16"/>
      <c r="B103" s="29" t="s">
        <v>116</v>
      </c>
      <c r="C103" s="17">
        <f>4*5</f>
        <v>20</v>
      </c>
      <c r="D103" s="6">
        <f>14.75/3.281</f>
        <v>4.495580615665955</v>
      </c>
      <c r="E103" s="6">
        <f t="shared" ref="E103" si="15">12*12/162</f>
        <v>0.88888888888888884</v>
      </c>
      <c r="F103" s="6">
        <f>PRODUCT(C103:E103)</f>
        <v>79.921433167394753</v>
      </c>
      <c r="G103" s="27">
        <f>F103/1000</f>
        <v>7.9921433167394751E-2</v>
      </c>
      <c r="H103" s="20"/>
      <c r="I103" s="21"/>
      <c r="J103" s="23"/>
      <c r="K103" s="19"/>
      <c r="M103" s="53">
        <f>6.5*12</f>
        <v>78</v>
      </c>
      <c r="N103" s="54">
        <f>3*M103/8</f>
        <v>29.25</v>
      </c>
      <c r="O103">
        <f>N103/12</f>
        <v>2.4375</v>
      </c>
    </row>
    <row r="104" spans="1:15" ht="15" customHeight="1" x14ac:dyDescent="0.25">
      <c r="A104" s="16"/>
      <c r="B104" s="29" t="s">
        <v>42</v>
      </c>
      <c r="C104" s="17">
        <v>134</v>
      </c>
      <c r="D104" s="6">
        <f>(0.583*4+0.17+0.17)/3.281</f>
        <v>0.81438585797013097</v>
      </c>
      <c r="E104" s="6">
        <f>8*8/162</f>
        <v>0.39506172839506171</v>
      </c>
      <c r="F104" s="6">
        <f>PRODUCT(C104:E104)</f>
        <v>43.112179740443473</v>
      </c>
      <c r="G104" s="27">
        <f>F104/1000</f>
        <v>4.3112179740443471E-2</v>
      </c>
      <c r="H104" s="20"/>
      <c r="I104" s="21"/>
      <c r="J104" s="23"/>
      <c r="K104" s="19"/>
      <c r="M104" s="53"/>
      <c r="N104" s="54">
        <f>(12-0.75*4)/3.281</f>
        <v>2.7430661383724475</v>
      </c>
    </row>
    <row r="105" spans="1:15" x14ac:dyDescent="0.25">
      <c r="A105" s="16"/>
      <c r="B105" s="29" t="s">
        <v>33</v>
      </c>
      <c r="C105" s="17">
        <f>26</f>
        <v>26</v>
      </c>
      <c r="D105" s="6">
        <f>15/3.281-0.1</f>
        <v>4.4717768972874126</v>
      </c>
      <c r="E105" s="6">
        <f>10*10/162</f>
        <v>0.61728395061728392</v>
      </c>
      <c r="F105" s="6">
        <f t="shared" si="13"/>
        <v>71.769258845353534</v>
      </c>
      <c r="G105" s="27">
        <f t="shared" si="14"/>
        <v>7.176925884535354E-2</v>
      </c>
      <c r="H105" s="20"/>
      <c r="I105" s="21"/>
      <c r="J105" s="23"/>
      <c r="K105" s="19"/>
      <c r="M105" s="53"/>
      <c r="N105" s="54"/>
    </row>
    <row r="106" spans="1:15" x14ac:dyDescent="0.25">
      <c r="A106" s="16"/>
      <c r="B106" s="29"/>
      <c r="C106" s="17">
        <f>26*3</f>
        <v>78</v>
      </c>
      <c r="D106" s="6">
        <f>15/3.281-0.1</f>
        <v>4.4717768972874126</v>
      </c>
      <c r="E106" s="6">
        <f>8*8/162</f>
        <v>0.39506172839506171</v>
      </c>
      <c r="F106" s="6">
        <f t="shared" ref="F106" si="16">PRODUCT(C106:E106)</f>
        <v>137.79697698307879</v>
      </c>
      <c r="G106" s="27">
        <f t="shared" ref="G106" si="17">F106/1000</f>
        <v>0.1377969769830788</v>
      </c>
      <c r="H106" s="20"/>
      <c r="I106" s="21"/>
      <c r="J106" s="23"/>
      <c r="K106" s="19"/>
      <c r="M106" s="53"/>
      <c r="N106" s="54"/>
    </row>
    <row r="107" spans="1:15" ht="15" customHeight="1" x14ac:dyDescent="0.25">
      <c r="A107" s="16"/>
      <c r="B107" s="29" t="s">
        <v>93</v>
      </c>
      <c r="C107" s="17">
        <f>4*5</f>
        <v>20</v>
      </c>
      <c r="D107" s="6">
        <f>(14.75+1.17)/3.281</f>
        <v>4.8521792136543738</v>
      </c>
      <c r="E107" s="6">
        <f t="shared" ref="E107" si="18">12*12/162</f>
        <v>0.88888888888888884</v>
      </c>
      <c r="F107" s="6">
        <f>PRODUCT(C107:E107)</f>
        <v>86.260963798299969</v>
      </c>
      <c r="G107" s="27">
        <f>F107/1000</f>
        <v>8.6260963798299964E-2</v>
      </c>
      <c r="H107" s="20"/>
      <c r="I107" s="21"/>
      <c r="J107" s="23"/>
      <c r="K107" s="19"/>
      <c r="M107" s="53">
        <f>6.5*12</f>
        <v>78</v>
      </c>
      <c r="N107" s="54">
        <f>3*M107/8</f>
        <v>29.25</v>
      </c>
      <c r="O107">
        <f>N107/12</f>
        <v>2.4375</v>
      </c>
    </row>
    <row r="108" spans="1:15" ht="15" customHeight="1" x14ac:dyDescent="0.25">
      <c r="A108" s="16"/>
      <c r="B108" s="29" t="s">
        <v>42</v>
      </c>
      <c r="C108" s="17">
        <f>134-4*4</f>
        <v>118</v>
      </c>
      <c r="D108" s="6">
        <f>(0.583*4+0.17+0.17)/3.281</f>
        <v>0.81438585797013097</v>
      </c>
      <c r="E108" s="6">
        <f>8*8/162</f>
        <v>0.39506172839506171</v>
      </c>
      <c r="F108" s="6">
        <f>PRODUCT(C108:E108)</f>
        <v>37.964456786360671</v>
      </c>
      <c r="G108" s="27">
        <f>F108/1000</f>
        <v>3.7964456786360672E-2</v>
      </c>
      <c r="H108" s="20"/>
      <c r="I108" s="21"/>
      <c r="J108" s="23"/>
      <c r="K108" s="19"/>
      <c r="M108" s="53"/>
      <c r="N108" s="54">
        <f>(12-0.75*4)/3.281</f>
        <v>2.7430661383724475</v>
      </c>
    </row>
    <row r="109" spans="1:15" ht="15" customHeight="1" x14ac:dyDescent="0.25">
      <c r="A109" s="16"/>
      <c r="B109" s="29" t="s">
        <v>71</v>
      </c>
      <c r="C109" s="17">
        <f>2*6</f>
        <v>12</v>
      </c>
      <c r="D109" s="6">
        <f>((5+1.5)/3.281)</f>
        <v>1.9811033221578787</v>
      </c>
      <c r="E109" s="6">
        <f>12*12/162</f>
        <v>0.88888888888888884</v>
      </c>
      <c r="F109" s="6">
        <f>PRODUCT(C109:E109)</f>
        <v>21.13176876968404</v>
      </c>
      <c r="G109" s="27">
        <f>F109/1000</f>
        <v>2.1131768769684041E-2</v>
      </c>
      <c r="H109" s="20"/>
      <c r="I109" s="21"/>
      <c r="J109" s="23"/>
      <c r="K109" s="19"/>
      <c r="M109" s="53"/>
      <c r="N109" s="54"/>
    </row>
    <row r="110" spans="1:15" ht="15" customHeight="1" x14ac:dyDescent="0.25">
      <c r="A110" s="16"/>
      <c r="B110" s="29" t="s">
        <v>42</v>
      </c>
      <c r="C110" s="17">
        <f>14*2</f>
        <v>28</v>
      </c>
      <c r="D110" s="6">
        <f>(0.583*2+0.75*2+0.17+0.17)/3.281</f>
        <v>0.91618409021639735</v>
      </c>
      <c r="E110" s="6">
        <f>8*8/162</f>
        <v>0.39506172839506171</v>
      </c>
      <c r="F110" s="6">
        <f>PRODUCT(C110:E110)</f>
        <v>10.134579565850519</v>
      </c>
      <c r="G110" s="27">
        <f>F110/1000</f>
        <v>1.0134579565850519E-2</v>
      </c>
      <c r="H110" s="20"/>
      <c r="I110" s="21"/>
      <c r="J110" s="23"/>
      <c r="K110" s="19"/>
      <c r="M110" s="53"/>
      <c r="N110" s="54"/>
    </row>
    <row r="111" spans="1:15" ht="15" customHeight="1" x14ac:dyDescent="0.25">
      <c r="A111" s="16"/>
      <c r="B111" s="29"/>
      <c r="C111" s="17"/>
      <c r="D111" s="6"/>
      <c r="E111" s="6"/>
      <c r="F111" s="6"/>
      <c r="G111" s="27"/>
      <c r="H111" s="20"/>
      <c r="I111" s="21"/>
      <c r="J111" s="23"/>
      <c r="K111" s="19"/>
      <c r="M111" s="53"/>
      <c r="N111" s="54"/>
    </row>
    <row r="112" spans="1:15" ht="15" customHeight="1" x14ac:dyDescent="0.25">
      <c r="A112" s="16"/>
      <c r="B112" s="29" t="s">
        <v>79</v>
      </c>
      <c r="C112" s="17">
        <f>26*2</f>
        <v>52</v>
      </c>
      <c r="D112" s="6">
        <f>D105+0.6</f>
        <v>5.0717768972874122</v>
      </c>
      <c r="E112" s="6">
        <f>8*8/162</f>
        <v>0.39506172839506171</v>
      </c>
      <c r="F112" s="6">
        <f t="shared" si="13"/>
        <v>104.19057724797844</v>
      </c>
      <c r="G112" s="27">
        <f t="shared" si="14"/>
        <v>0.10419057724797844</v>
      </c>
      <c r="H112" s="20"/>
      <c r="I112" s="21"/>
      <c r="J112" s="23"/>
      <c r="K112" s="19"/>
      <c r="M112" s="53"/>
      <c r="N112" s="54" t="e">
        <f>(#REF!+(12*57/1000)*3.281+1)/3.281</f>
        <v>#REF!</v>
      </c>
    </row>
    <row r="113" spans="1:16" ht="15" customHeight="1" x14ac:dyDescent="0.25">
      <c r="A113" s="16"/>
      <c r="B113" s="29"/>
      <c r="C113" s="17">
        <f>26*2</f>
        <v>52</v>
      </c>
      <c r="D113" s="6">
        <f>D106</f>
        <v>4.4717768972874126</v>
      </c>
      <c r="E113" s="6">
        <f>8*8/162</f>
        <v>0.39506172839506171</v>
      </c>
      <c r="F113" s="6">
        <f t="shared" ref="F113" si="19">PRODUCT(C113:E113)</f>
        <v>91.864651322052524</v>
      </c>
      <c r="G113" s="27">
        <f t="shared" ref="G113" si="20">F113/1000</f>
        <v>9.1864651322052529E-2</v>
      </c>
      <c r="H113" s="20"/>
      <c r="I113" s="21"/>
      <c r="J113" s="23"/>
      <c r="K113" s="19"/>
      <c r="M113" s="53"/>
      <c r="N113" s="54"/>
    </row>
    <row r="114" spans="1:16" ht="15" customHeight="1" x14ac:dyDescent="0.25">
      <c r="A114" s="16"/>
      <c r="B114" s="29" t="s">
        <v>112</v>
      </c>
      <c r="C114" s="17"/>
      <c r="D114" s="6"/>
      <c r="E114" s="6"/>
      <c r="F114" s="6"/>
      <c r="G114" s="27"/>
      <c r="H114" s="20"/>
      <c r="I114" s="21"/>
      <c r="J114" s="23"/>
      <c r="K114" s="19"/>
      <c r="M114" s="64">
        <f>SUM(G93:G116)</f>
        <v>1.5430099540564644</v>
      </c>
      <c r="N114" s="54"/>
    </row>
    <row r="115" spans="1:16" ht="15" customHeight="1" x14ac:dyDescent="0.25">
      <c r="A115" s="16"/>
      <c r="B115" s="29" t="s">
        <v>80</v>
      </c>
      <c r="C115" s="17">
        <f>4*11</f>
        <v>44</v>
      </c>
      <c r="D115" s="6">
        <f>(14.5+5.25)/2/3.281</f>
        <v>3.0097531240475464</v>
      </c>
      <c r="E115" s="6">
        <f>10*10/162</f>
        <v>0.61728395061728392</v>
      </c>
      <c r="F115" s="6">
        <f t="shared" si="13"/>
        <v>81.746381146970393</v>
      </c>
      <c r="G115" s="27">
        <f t="shared" si="14"/>
        <v>8.1746381146970387E-2</v>
      </c>
      <c r="H115" s="20"/>
      <c r="I115" s="21"/>
      <c r="J115" s="23"/>
      <c r="K115" s="19"/>
      <c r="M115" s="53">
        <f>(5+13.5)/2</f>
        <v>9.25</v>
      </c>
      <c r="N115" s="54">
        <f>7.25-0.75*2</f>
        <v>5.75</v>
      </c>
      <c r="O115">
        <f>N115/0.333</f>
        <v>17.267267267267265</v>
      </c>
      <c r="P115">
        <f>O115*2</f>
        <v>34.534534534534529</v>
      </c>
    </row>
    <row r="116" spans="1:16" ht="15" customHeight="1" x14ac:dyDescent="0.25">
      <c r="A116" s="16"/>
      <c r="B116" s="72" t="s">
        <v>81</v>
      </c>
      <c r="C116" s="17">
        <f>10*4</f>
        <v>40</v>
      </c>
      <c r="D116" s="6">
        <f>5.5/3.281</f>
        <v>1.6763181956720512</v>
      </c>
      <c r="E116" s="6">
        <f>8*8/162</f>
        <v>0.39506172839506171</v>
      </c>
      <c r="F116" s="6">
        <f t="shared" si="13"/>
        <v>26.489966548891672</v>
      </c>
      <c r="G116" s="27">
        <f t="shared" si="14"/>
        <v>2.6489966548891672E-2</v>
      </c>
      <c r="H116" s="20"/>
      <c r="I116" s="21"/>
      <c r="J116" s="23"/>
      <c r="K116" s="19"/>
      <c r="M116" s="53"/>
      <c r="N116" s="54"/>
    </row>
    <row r="117" spans="1:16" ht="15" customHeight="1" x14ac:dyDescent="0.25">
      <c r="A117" s="16"/>
      <c r="B117" s="72"/>
      <c r="C117" s="17">
        <f>4*8</f>
        <v>32</v>
      </c>
      <c r="D117" s="6">
        <f>4/3.281</f>
        <v>1.2191405059433098</v>
      </c>
      <c r="E117" s="6">
        <f t="shared" ref="E117:E118" si="21">8*8/162</f>
        <v>0.39506172839506171</v>
      </c>
      <c r="F117" s="6">
        <f>PRODUCT(C117:E117)</f>
        <v>15.412344173900607</v>
      </c>
      <c r="G117" s="27">
        <f>F117/1000</f>
        <v>1.5412344173900607E-2</v>
      </c>
      <c r="H117" s="20"/>
      <c r="I117" s="21"/>
      <c r="J117" s="23"/>
      <c r="K117" s="19"/>
      <c r="M117" s="53"/>
      <c r="N117" s="54"/>
    </row>
    <row r="118" spans="1:16" ht="15" customHeight="1" x14ac:dyDescent="0.25">
      <c r="A118" s="16"/>
      <c r="B118" s="72"/>
      <c r="C118" s="17">
        <f>4*8</f>
        <v>32</v>
      </c>
      <c r="D118" s="6">
        <f>4/3.281</f>
        <v>1.2191405059433098</v>
      </c>
      <c r="E118" s="6">
        <f t="shared" si="21"/>
        <v>0.39506172839506171</v>
      </c>
      <c r="F118" s="6">
        <f t="shared" ref="F118" si="22">PRODUCT(C118:E118)</f>
        <v>15.412344173900607</v>
      </c>
      <c r="G118" s="27">
        <f t="shared" ref="G118" si="23">F118/1000</f>
        <v>1.5412344173900607E-2</v>
      </c>
      <c r="H118" s="20"/>
      <c r="I118" s="21"/>
      <c r="J118" s="23"/>
      <c r="K118" s="19"/>
      <c r="M118" s="53"/>
      <c r="N118" s="54"/>
    </row>
    <row r="119" spans="1:16" ht="15" customHeight="1" x14ac:dyDescent="0.25">
      <c r="A119" s="16"/>
      <c r="B119" s="29" t="s">
        <v>109</v>
      </c>
      <c r="C119" s="17">
        <f>8*4</f>
        <v>32</v>
      </c>
      <c r="D119" s="6">
        <f>(3.5+1.5+3+2-0.17)/3.281</f>
        <v>2.9960377933556841</v>
      </c>
      <c r="E119" s="6">
        <f>12*12/162</f>
        <v>0.88888888888888884</v>
      </c>
      <c r="F119" s="6">
        <f t="shared" si="13"/>
        <v>85.220630566561681</v>
      </c>
      <c r="G119" s="27">
        <f t="shared" si="14"/>
        <v>8.5220630566561678E-2</v>
      </c>
      <c r="H119" s="20"/>
      <c r="I119" s="21"/>
      <c r="J119" s="23"/>
      <c r="K119" s="19"/>
      <c r="M119" s="53"/>
      <c r="N119" s="54"/>
    </row>
    <row r="120" spans="1:16" ht="15" customHeight="1" x14ac:dyDescent="0.25">
      <c r="A120" s="16"/>
      <c r="B120" s="29" t="s">
        <v>42</v>
      </c>
      <c r="C120" s="17">
        <f>4*4+4*3+2*4</f>
        <v>36</v>
      </c>
      <c r="D120" s="6">
        <f>(0.75*4+0.17+0.17)/3.281</f>
        <v>1.0179823224626636</v>
      </c>
      <c r="E120" s="6">
        <f>8*8/162</f>
        <v>0.39506172839506171</v>
      </c>
      <c r="F120" s="6">
        <f t="shared" si="13"/>
        <v>14.477970808357883</v>
      </c>
      <c r="G120" s="27">
        <f t="shared" si="14"/>
        <v>1.4477970808357882E-2</v>
      </c>
      <c r="H120" s="20"/>
      <c r="I120" s="21"/>
      <c r="J120" s="23"/>
      <c r="K120" s="19"/>
      <c r="M120" s="53"/>
      <c r="N120" s="54"/>
    </row>
    <row r="121" spans="1:16" ht="15" customHeight="1" x14ac:dyDescent="0.25">
      <c r="A121" s="16"/>
      <c r="B121" s="29"/>
      <c r="C121" s="17">
        <f>4*4+4*3+2*4</f>
        <v>36</v>
      </c>
      <c r="D121" s="6">
        <f>(0.5*4)/3.281</f>
        <v>0.6095702529716549</v>
      </c>
      <c r="E121" s="6">
        <f>8*8/162</f>
        <v>0.39506172839506171</v>
      </c>
      <c r="F121" s="6">
        <f t="shared" si="13"/>
        <v>8.6694435978190914</v>
      </c>
      <c r="G121" s="27">
        <f t="shared" si="14"/>
        <v>8.6694435978190917E-3</v>
      </c>
      <c r="H121" s="20"/>
      <c r="I121" s="21"/>
      <c r="J121" s="23"/>
      <c r="K121" s="19"/>
      <c r="M121" s="53"/>
      <c r="N121" s="54"/>
    </row>
    <row r="122" spans="1:16" ht="15" customHeight="1" x14ac:dyDescent="0.25">
      <c r="A122" s="16"/>
      <c r="B122" s="29" t="s">
        <v>74</v>
      </c>
      <c r="C122" s="17">
        <f>4*4</f>
        <v>16</v>
      </c>
      <c r="D122" s="6">
        <f>(5)/3.281</f>
        <v>1.5239256324291375</v>
      </c>
      <c r="E122" s="6">
        <f>12*12/162</f>
        <v>0.88888888888888884</v>
      </c>
      <c r="F122" s="6">
        <f t="shared" si="13"/>
        <v>21.673608994547731</v>
      </c>
      <c r="G122" s="27">
        <f t="shared" si="14"/>
        <v>2.1673608994547729E-2</v>
      </c>
      <c r="H122" s="20"/>
      <c r="I122" s="21"/>
      <c r="J122" s="23"/>
      <c r="K122" s="19"/>
      <c r="M122" s="53"/>
      <c r="N122" s="54">
        <f>12*57/1000</f>
        <v>0.68400000000000005</v>
      </c>
    </row>
    <row r="123" spans="1:16" ht="15" customHeight="1" x14ac:dyDescent="0.25">
      <c r="A123" s="16"/>
      <c r="B123" s="72" t="s">
        <v>42</v>
      </c>
      <c r="C123" s="17">
        <f>4*8</f>
        <v>32</v>
      </c>
      <c r="D123" s="6">
        <f>(0.583*4+0.17+0.17)/3.281</f>
        <v>0.81438585797013097</v>
      </c>
      <c r="E123" s="6">
        <f>8*8/162</f>
        <v>0.39506172839506171</v>
      </c>
      <c r="F123" s="6">
        <f t="shared" si="13"/>
        <v>10.295445908165606</v>
      </c>
      <c r="G123" s="27">
        <f t="shared" si="14"/>
        <v>1.0295445908165606E-2</v>
      </c>
      <c r="H123" s="20"/>
      <c r="I123" s="21"/>
      <c r="J123" s="23"/>
      <c r="K123" s="19"/>
      <c r="M123" s="53"/>
      <c r="N123" s="54"/>
    </row>
    <row r="124" spans="1:16" ht="15" customHeight="1" x14ac:dyDescent="0.25">
      <c r="A124" s="16"/>
      <c r="B124" s="29" t="s">
        <v>75</v>
      </c>
      <c r="C124" s="17">
        <f>6*2*2</f>
        <v>24</v>
      </c>
      <c r="D124" s="6">
        <f>(10.75)/3.281</f>
        <v>3.2764401097226452</v>
      </c>
      <c r="E124" s="6">
        <f>8*8/162</f>
        <v>0.39506172839506171</v>
      </c>
      <c r="F124" s="6">
        <f t="shared" si="13"/>
        <v>31.065506225518408</v>
      </c>
      <c r="G124" s="27">
        <f t="shared" si="14"/>
        <v>3.1065506225518409E-2</v>
      </c>
      <c r="H124" s="20"/>
      <c r="I124" s="21"/>
      <c r="J124" s="23"/>
      <c r="K124" s="19"/>
      <c r="M124" s="53"/>
      <c r="N124" s="54"/>
    </row>
    <row r="125" spans="1:16" ht="15" customHeight="1" x14ac:dyDescent="0.25">
      <c r="A125" s="16"/>
      <c r="B125" s="29"/>
      <c r="C125" s="17">
        <f>6*2*2</f>
        <v>24</v>
      </c>
      <c r="D125" s="6">
        <f>(1+10.5+1)/3.281</f>
        <v>3.8098140810728434</v>
      </c>
      <c r="E125" s="6">
        <f>8*8/162</f>
        <v>0.39506172839506171</v>
      </c>
      <c r="F125" s="6">
        <f t="shared" ref="F125" si="24">PRODUCT(C125:E125)</f>
        <v>36.122681657579548</v>
      </c>
      <c r="G125" s="27">
        <f t="shared" ref="G125" si="25">F125/1000</f>
        <v>3.612268165757955E-2</v>
      </c>
      <c r="H125" s="20"/>
      <c r="I125" s="21"/>
      <c r="J125" s="23"/>
      <c r="K125" s="19"/>
      <c r="M125" s="53"/>
      <c r="N125" s="54"/>
    </row>
    <row r="126" spans="1:16" ht="15" customHeight="1" x14ac:dyDescent="0.25">
      <c r="A126" s="16"/>
      <c r="B126" s="29"/>
      <c r="C126" s="17">
        <f>7*4</f>
        <v>28</v>
      </c>
      <c r="D126" s="6">
        <f>3.42/3.281</f>
        <v>1.04236513258153</v>
      </c>
      <c r="E126" s="6">
        <f>8*8/162</f>
        <v>0.39506172839506171</v>
      </c>
      <c r="F126" s="6">
        <f t="shared" ref="F126" si="26">PRODUCT(C126:E126)</f>
        <v>11.530359985099393</v>
      </c>
      <c r="G126" s="27">
        <f t="shared" ref="G126" si="27">F126/1000</f>
        <v>1.1530359985099393E-2</v>
      </c>
      <c r="H126" s="20"/>
      <c r="I126" s="21"/>
      <c r="J126" s="23"/>
      <c r="K126" s="19"/>
      <c r="M126" s="53"/>
      <c r="N126" s="54"/>
    </row>
    <row r="127" spans="1:16" ht="15" customHeight="1" x14ac:dyDescent="0.25">
      <c r="A127" s="16"/>
      <c r="B127" s="29"/>
      <c r="C127" s="17">
        <f>7*4</f>
        <v>28</v>
      </c>
      <c r="D127" s="6">
        <f>(3.42+1)/3.281</f>
        <v>1.3471502590673574</v>
      </c>
      <c r="E127" s="6">
        <f>8*8/162</f>
        <v>0.39506172839506171</v>
      </c>
      <c r="F127" s="6">
        <f t="shared" ref="F127" si="28">PRODUCT(C127:E127)</f>
        <v>14.901810273140152</v>
      </c>
      <c r="G127" s="27">
        <f t="shared" ref="G127" si="29">F127/1000</f>
        <v>1.4901810273140151E-2</v>
      </c>
      <c r="H127" s="20"/>
      <c r="I127" s="21"/>
      <c r="J127" s="23"/>
      <c r="K127" s="19"/>
      <c r="M127" s="53"/>
      <c r="N127" s="54"/>
    </row>
    <row r="128" spans="1:16" ht="15" customHeight="1" x14ac:dyDescent="0.25">
      <c r="A128" s="16"/>
      <c r="B128" s="29" t="s">
        <v>110</v>
      </c>
      <c r="C128" s="17">
        <f>4*4</f>
        <v>16</v>
      </c>
      <c r="D128" s="6">
        <f>(5+1.75)/3.281</f>
        <v>2.0572996037793354</v>
      </c>
      <c r="E128" s="6">
        <f>12*12/162</f>
        <v>0.88888888888888884</v>
      </c>
      <c r="F128" s="6">
        <f t="shared" ref="F128:F129" si="30">PRODUCT(C128:E128)</f>
        <v>29.259372142639435</v>
      </c>
      <c r="G128" s="27">
        <f t="shared" ref="G128:G129" si="31">F128/1000</f>
        <v>2.9259372142639434E-2</v>
      </c>
      <c r="H128" s="20"/>
      <c r="I128" s="21"/>
      <c r="J128" s="23"/>
      <c r="K128" s="19"/>
      <c r="M128" s="53"/>
      <c r="N128" s="54">
        <f>12*57/1000</f>
        <v>0.68400000000000005</v>
      </c>
    </row>
    <row r="129" spans="1:14" ht="15" customHeight="1" x14ac:dyDescent="0.25">
      <c r="A129" s="16"/>
      <c r="B129" s="29" t="s">
        <v>42</v>
      </c>
      <c r="C129" s="17">
        <f>4*8</f>
        <v>32</v>
      </c>
      <c r="D129" s="6">
        <f>(0.42*4+0.17)/3.281</f>
        <v>0.56385248399878074</v>
      </c>
      <c r="E129" s="6">
        <f>8*8/162</f>
        <v>0.39506172839506171</v>
      </c>
      <c r="F129" s="6">
        <f t="shared" si="30"/>
        <v>7.12820918042903</v>
      </c>
      <c r="G129" s="27">
        <f t="shared" si="31"/>
        <v>7.1282091804290302E-3</v>
      </c>
      <c r="H129" s="20"/>
      <c r="I129" s="21"/>
      <c r="J129" s="23"/>
      <c r="K129" s="19"/>
      <c r="M129" s="53"/>
      <c r="N129" s="54"/>
    </row>
    <row r="130" spans="1:14" ht="15" customHeight="1" x14ac:dyDescent="0.25">
      <c r="A130" s="16"/>
      <c r="B130" s="29" t="s">
        <v>111</v>
      </c>
      <c r="C130" s="58"/>
      <c r="D130" s="6"/>
      <c r="E130" s="6"/>
      <c r="F130" s="6"/>
      <c r="G130" s="27"/>
      <c r="H130" s="20"/>
      <c r="I130" s="21"/>
      <c r="J130" s="23"/>
      <c r="K130" s="19"/>
      <c r="M130" s="53">
        <f>14*2.5</f>
        <v>35</v>
      </c>
      <c r="N130" s="54">
        <f>14*4</f>
        <v>56</v>
      </c>
    </row>
    <row r="131" spans="1:14" ht="15" customHeight="1" x14ac:dyDescent="0.25">
      <c r="A131" s="16"/>
      <c r="B131" s="29" t="str">
        <f>B115</f>
        <v>-horizontal bars</v>
      </c>
      <c r="C131" s="17">
        <v>10</v>
      </c>
      <c r="D131" s="6">
        <f>(10.5+1.75)/2/3.281</f>
        <v>1.8668088997256933</v>
      </c>
      <c r="E131" s="6">
        <f>8*8/162</f>
        <v>0.39506172839506171</v>
      </c>
      <c r="F131" s="6">
        <f t="shared" si="13"/>
        <v>7.3750475050891584</v>
      </c>
      <c r="G131" s="27">
        <f t="shared" si="14"/>
        <v>7.375047505089158E-3</v>
      </c>
      <c r="H131" s="20"/>
      <c r="I131" s="21"/>
      <c r="J131" s="23"/>
      <c r="K131" s="19"/>
      <c r="M131" s="53">
        <f>M130/12/3.281</f>
        <v>0.88895661891699673</v>
      </c>
      <c r="N131" s="54"/>
    </row>
    <row r="132" spans="1:14" ht="15" customHeight="1" x14ac:dyDescent="0.25">
      <c r="A132" s="16"/>
      <c r="B132" s="29" t="str">
        <f>B116</f>
        <v>-vertical bars</v>
      </c>
      <c r="C132" s="17">
        <f>4*4</f>
        <v>16</v>
      </c>
      <c r="D132" s="6">
        <f>5/3.281</f>
        <v>1.5239256324291375</v>
      </c>
      <c r="E132" s="6">
        <f t="shared" ref="E132:E138" si="32">8*8/162</f>
        <v>0.39506172839506171</v>
      </c>
      <c r="F132" s="6">
        <f t="shared" si="13"/>
        <v>9.6327151086878811</v>
      </c>
      <c r="G132" s="27">
        <f t="shared" si="14"/>
        <v>9.6327151086878816E-3</v>
      </c>
      <c r="H132" s="20"/>
      <c r="I132" s="21"/>
      <c r="J132" s="23"/>
      <c r="K132" s="19"/>
      <c r="M132" s="53"/>
      <c r="N132" s="54"/>
    </row>
    <row r="133" spans="1:14" ht="15" customHeight="1" x14ac:dyDescent="0.25">
      <c r="A133" s="16"/>
      <c r="B133" s="29"/>
      <c r="C133" s="17">
        <f>8</f>
        <v>8</v>
      </c>
      <c r="D133" s="6">
        <f>4.5/3.281</f>
        <v>1.3715330691862238</v>
      </c>
      <c r="E133" s="6">
        <f t="shared" si="32"/>
        <v>0.39506172839506171</v>
      </c>
      <c r="F133" s="6">
        <f t="shared" ref="F133:F138" si="33">PRODUCT(C133:E133)</f>
        <v>4.3347217989095466</v>
      </c>
      <c r="G133" s="73">
        <f t="shared" ref="G133:G138" si="34">F133/1000</f>
        <v>4.3347217989095467E-3</v>
      </c>
      <c r="H133" s="20"/>
      <c r="I133" s="21"/>
      <c r="J133" s="23"/>
      <c r="K133" s="19"/>
      <c r="M133" s="53"/>
      <c r="N133" s="54"/>
    </row>
    <row r="134" spans="1:14" ht="15" customHeight="1" x14ac:dyDescent="0.25">
      <c r="A134" s="16"/>
      <c r="B134" s="29"/>
      <c r="C134" s="17">
        <f>8</f>
        <v>8</v>
      </c>
      <c r="D134" s="6">
        <f>4/3.281</f>
        <v>1.2191405059433098</v>
      </c>
      <c r="E134" s="6">
        <f t="shared" si="32"/>
        <v>0.39506172839506171</v>
      </c>
      <c r="F134" s="6">
        <f t="shared" si="33"/>
        <v>3.8530860434751517</v>
      </c>
      <c r="G134" s="73">
        <f t="shared" si="34"/>
        <v>3.8530860434751518E-3</v>
      </c>
      <c r="H134" s="20"/>
      <c r="I134" s="21"/>
      <c r="J134" s="23"/>
      <c r="K134" s="19"/>
      <c r="M134" s="53"/>
      <c r="N134" s="54"/>
    </row>
    <row r="135" spans="1:14" ht="15" customHeight="1" x14ac:dyDescent="0.25">
      <c r="A135" s="16"/>
      <c r="B135" s="29"/>
      <c r="C135" s="17">
        <f>8</f>
        <v>8</v>
      </c>
      <c r="D135" s="6">
        <f>40/12/3.281</f>
        <v>1.0159504216194251</v>
      </c>
      <c r="E135" s="6">
        <f t="shared" si="32"/>
        <v>0.39506172839506171</v>
      </c>
      <c r="F135" s="6">
        <f t="shared" si="33"/>
        <v>3.2109050362292937</v>
      </c>
      <c r="G135" s="73">
        <f t="shared" si="34"/>
        <v>3.2109050362292939E-3</v>
      </c>
      <c r="H135" s="20"/>
      <c r="I135" s="21"/>
      <c r="J135" s="23"/>
      <c r="K135" s="19"/>
      <c r="M135" s="53"/>
      <c r="N135" s="54"/>
    </row>
    <row r="136" spans="1:14" ht="15" customHeight="1" x14ac:dyDescent="0.25">
      <c r="A136" s="16"/>
      <c r="B136" s="29"/>
      <c r="C136" s="17">
        <f>8</f>
        <v>8</v>
      </c>
      <c r="D136" s="6">
        <f>3/3.281</f>
        <v>0.91435537945748246</v>
      </c>
      <c r="E136" s="6">
        <f t="shared" si="32"/>
        <v>0.39506172839506171</v>
      </c>
      <c r="F136" s="6">
        <f t="shared" si="33"/>
        <v>2.8898145326063642</v>
      </c>
      <c r="G136" s="73">
        <f t="shared" si="34"/>
        <v>2.8898145326063641E-3</v>
      </c>
      <c r="H136" s="20"/>
      <c r="I136" s="21"/>
      <c r="J136" s="23"/>
      <c r="K136" s="19"/>
      <c r="M136" s="53"/>
      <c r="N136" s="54"/>
    </row>
    <row r="137" spans="1:14" ht="15" customHeight="1" x14ac:dyDescent="0.25">
      <c r="A137" s="16"/>
      <c r="B137" s="29"/>
      <c r="C137" s="17">
        <f>8</f>
        <v>8</v>
      </c>
      <c r="D137" s="6">
        <f>2.5/3.281</f>
        <v>0.76196281621456874</v>
      </c>
      <c r="E137" s="6">
        <f t="shared" si="32"/>
        <v>0.39506172839506171</v>
      </c>
      <c r="F137" s="6">
        <f t="shared" si="33"/>
        <v>2.4081787771719703</v>
      </c>
      <c r="G137" s="73">
        <f t="shared" si="34"/>
        <v>2.4081787771719704E-3</v>
      </c>
      <c r="H137" s="20"/>
      <c r="I137" s="21"/>
      <c r="J137" s="23"/>
      <c r="K137" s="19"/>
      <c r="M137" s="53"/>
      <c r="N137" s="54"/>
    </row>
    <row r="138" spans="1:14" ht="15" customHeight="1" x14ac:dyDescent="0.25">
      <c r="A138" s="16"/>
      <c r="B138" s="29"/>
      <c r="C138" s="17">
        <f>8</f>
        <v>8</v>
      </c>
      <c r="D138" s="6">
        <f>20/12/3.281</f>
        <v>0.50797521080971253</v>
      </c>
      <c r="E138" s="6">
        <f t="shared" si="32"/>
        <v>0.39506172839506171</v>
      </c>
      <c r="F138" s="6">
        <f t="shared" si="33"/>
        <v>1.6054525181146468</v>
      </c>
      <c r="G138" s="73">
        <f t="shared" si="34"/>
        <v>1.6054525181146469E-3</v>
      </c>
      <c r="H138" s="20"/>
      <c r="I138" s="21"/>
      <c r="J138" s="23"/>
      <c r="K138" s="19"/>
      <c r="M138" s="53"/>
      <c r="N138" s="54"/>
    </row>
    <row r="139" spans="1:14" ht="15" customHeight="1" x14ac:dyDescent="0.25">
      <c r="A139" s="28"/>
      <c r="B139" s="29" t="s">
        <v>19</v>
      </c>
      <c r="C139" s="25"/>
      <c r="D139" s="6"/>
      <c r="E139" s="6"/>
      <c r="F139" s="6"/>
      <c r="G139" s="23">
        <f>SUM(G93:G138)</f>
        <v>1.8794896030644077</v>
      </c>
      <c r="H139" s="59"/>
      <c r="I139" s="59"/>
      <c r="J139" s="59"/>
      <c r="K139" s="7"/>
    </row>
    <row r="140" spans="1:14" ht="15" customHeight="1" x14ac:dyDescent="0.25">
      <c r="A140" s="16"/>
      <c r="B140" s="29" t="s">
        <v>132</v>
      </c>
      <c r="C140" s="17"/>
      <c r="D140" s="6"/>
      <c r="E140" s="6"/>
      <c r="F140" s="6"/>
      <c r="G140" s="73">
        <f>G139*2%</f>
        <v>3.7589792061288152E-2</v>
      </c>
      <c r="H140" s="59"/>
      <c r="I140" s="59"/>
      <c r="J140" s="59"/>
      <c r="K140" s="19"/>
      <c r="M140" s="53"/>
      <c r="N140" s="54"/>
    </row>
    <row r="141" spans="1:14" ht="15" customHeight="1" x14ac:dyDescent="0.25">
      <c r="A141" s="28"/>
      <c r="B141" s="29" t="s">
        <v>64</v>
      </c>
      <c r="C141" s="25"/>
      <c r="D141" s="6"/>
      <c r="E141" s="6"/>
      <c r="F141" s="6"/>
      <c r="G141" s="23">
        <f>SUM(G139:G140)</f>
        <v>1.9170793951256959</v>
      </c>
      <c r="H141" s="23" t="s">
        <v>40</v>
      </c>
      <c r="I141" s="26">
        <v>130210</v>
      </c>
      <c r="J141" s="24">
        <f>G141*I141</f>
        <v>249622.90803931686</v>
      </c>
      <c r="K141" s="7"/>
    </row>
    <row r="142" spans="1:14" ht="15" customHeight="1" x14ac:dyDescent="0.25">
      <c r="A142" s="16"/>
      <c r="B142" s="29" t="s">
        <v>21</v>
      </c>
      <c r="C142" s="17"/>
      <c r="D142" s="18"/>
      <c r="E142" s="19"/>
      <c r="F142" s="19"/>
      <c r="G142" s="21"/>
      <c r="H142" s="20"/>
      <c r="I142" s="21"/>
      <c r="J142" s="23">
        <f>0.13*G141*105010</f>
        <v>26170.625946679414</v>
      </c>
      <c r="K142" s="19"/>
      <c r="N142" s="54"/>
    </row>
    <row r="143" spans="1:14" ht="15" customHeight="1" x14ac:dyDescent="0.25">
      <c r="A143" s="16"/>
      <c r="B143" s="29"/>
      <c r="C143" s="17"/>
      <c r="D143" s="18"/>
      <c r="E143" s="19"/>
      <c r="F143" s="19"/>
      <c r="G143" s="21"/>
      <c r="H143" s="20"/>
      <c r="I143" s="21"/>
      <c r="J143" s="23"/>
      <c r="K143" s="19"/>
      <c r="M143" s="53"/>
      <c r="N143" s="54"/>
    </row>
    <row r="144" spans="1:14" ht="30" x14ac:dyDescent="0.25">
      <c r="A144" s="16">
        <v>7</v>
      </c>
      <c r="B144" s="38" t="s">
        <v>43</v>
      </c>
      <c r="C144" s="17"/>
      <c r="D144" s="18"/>
      <c r="E144" s="19"/>
      <c r="F144" s="19"/>
      <c r="G144" s="21"/>
      <c r="H144" s="20"/>
      <c r="I144" s="21"/>
      <c r="J144" s="23"/>
      <c r="K144" s="19"/>
      <c r="M144" s="53"/>
      <c r="N144" s="54"/>
    </row>
    <row r="145" spans="1:14" ht="30" x14ac:dyDescent="0.25">
      <c r="A145" s="16"/>
      <c r="B145" s="29" t="s">
        <v>46</v>
      </c>
      <c r="C145" s="17">
        <v>4</v>
      </c>
      <c r="D145" s="18">
        <f>6.75/3.281</f>
        <v>2.0572996037793354</v>
      </c>
      <c r="E145" s="19">
        <v>0.23</v>
      </c>
      <c r="F145" s="19">
        <f>4/3.281</f>
        <v>1.2191405059433098</v>
      </c>
      <c r="G145" s="27">
        <f>PRODUCT(C145:F145)</f>
        <v>2.307486297442229</v>
      </c>
      <c r="H145" s="20"/>
      <c r="I145" s="21"/>
      <c r="J145" s="23"/>
      <c r="K145" s="19"/>
      <c r="M145" s="53"/>
      <c r="N145" s="54"/>
    </row>
    <row r="146" spans="1:14" ht="15" customHeight="1" x14ac:dyDescent="0.25">
      <c r="A146" s="28"/>
      <c r="B146" s="29" t="s">
        <v>19</v>
      </c>
      <c r="C146" s="25"/>
      <c r="D146" s="6"/>
      <c r="E146" s="6"/>
      <c r="F146" s="6"/>
      <c r="G146" s="23">
        <f>SUM(G145:G145)</f>
        <v>2.307486297442229</v>
      </c>
      <c r="H146" s="23" t="s">
        <v>16</v>
      </c>
      <c r="I146" s="26">
        <v>14520.78</v>
      </c>
      <c r="J146" s="24">
        <f>G146*I146</f>
        <v>33506.500878173174</v>
      </c>
      <c r="K146" s="7"/>
      <c r="M146" s="115">
        <f>SUM(J146:J147)</f>
        <v>36674.455046144612</v>
      </c>
      <c r="N146" s="116">
        <f>43000-M146</f>
        <v>6325.5449538553876</v>
      </c>
    </row>
    <row r="147" spans="1:14" ht="15" customHeight="1" x14ac:dyDescent="0.25">
      <c r="A147" s="16"/>
      <c r="B147" s="29" t="s">
        <v>21</v>
      </c>
      <c r="C147" s="17"/>
      <c r="D147" s="18"/>
      <c r="E147" s="19"/>
      <c r="F147" s="19"/>
      <c r="G147" s="21"/>
      <c r="H147" s="20"/>
      <c r="I147" s="21"/>
      <c r="J147" s="23">
        <f>0.13*G146*10560.79</f>
        <v>3167.9541679714393</v>
      </c>
      <c r="K147" s="19"/>
      <c r="M147" s="53"/>
      <c r="N147" s="54"/>
    </row>
    <row r="148" spans="1:14" ht="15" customHeight="1" x14ac:dyDescent="0.25">
      <c r="A148" s="16"/>
      <c r="B148" s="29"/>
      <c r="C148" s="17"/>
      <c r="D148" s="18"/>
      <c r="E148" s="19"/>
      <c r="F148" s="19"/>
      <c r="G148" s="21"/>
      <c r="H148" s="20"/>
      <c r="I148" s="21"/>
      <c r="J148" s="23"/>
      <c r="K148" s="19"/>
      <c r="M148" s="53"/>
      <c r="N148" s="54"/>
    </row>
    <row r="149" spans="1:14" ht="30" x14ac:dyDescent="0.25">
      <c r="A149" s="16">
        <v>8</v>
      </c>
      <c r="B149" s="38" t="s">
        <v>58</v>
      </c>
      <c r="C149" s="17"/>
      <c r="D149" s="18"/>
      <c r="E149" s="19"/>
      <c r="F149" s="19"/>
      <c r="G149" s="21"/>
      <c r="H149" s="20"/>
      <c r="I149" s="21"/>
      <c r="J149" s="23"/>
      <c r="K149" s="19"/>
      <c r="M149" s="53"/>
      <c r="N149" s="54"/>
    </row>
    <row r="150" spans="1:14" ht="15" customHeight="1" x14ac:dyDescent="0.25">
      <c r="A150" s="16"/>
      <c r="B150" s="29" t="s">
        <v>45</v>
      </c>
      <c r="C150" s="17">
        <v>4</v>
      </c>
      <c r="D150" s="18">
        <f>6.75/3.281</f>
        <v>2.0572996037793354</v>
      </c>
      <c r="E150" s="19">
        <v>0.1</v>
      </c>
      <c r="F150" s="19">
        <f>8.17/3.281</f>
        <v>2.4900944833892105</v>
      </c>
      <c r="G150" s="27">
        <f>PRODUCT(C150:F150)</f>
        <v>2.0491481576198929</v>
      </c>
      <c r="H150" s="20"/>
      <c r="I150" s="21"/>
      <c r="J150" s="23"/>
      <c r="K150" s="19"/>
      <c r="M150" s="53"/>
      <c r="N150" s="54"/>
    </row>
    <row r="151" spans="1:14" ht="15" customHeight="1" x14ac:dyDescent="0.25">
      <c r="A151" s="16"/>
      <c r="B151" s="29" t="s">
        <v>59</v>
      </c>
      <c r="C151" s="17">
        <v>-2</v>
      </c>
      <c r="D151" s="18">
        <v>0.75</v>
      </c>
      <c r="E151" s="19">
        <v>0.1</v>
      </c>
      <c r="F151" s="19">
        <v>0.9</v>
      </c>
      <c r="G151" s="27">
        <f>PRODUCT(C151:F151)</f>
        <v>-0.13500000000000004</v>
      </c>
      <c r="H151" s="20"/>
      <c r="I151" s="21"/>
      <c r="J151" s="23"/>
      <c r="K151" s="19"/>
      <c r="M151" s="53"/>
      <c r="N151" s="54"/>
    </row>
    <row r="152" spans="1:14" ht="15" customHeight="1" x14ac:dyDescent="0.25">
      <c r="A152" s="16"/>
      <c r="B152" s="29" t="s">
        <v>82</v>
      </c>
      <c r="C152" s="17">
        <v>-1</v>
      </c>
      <c r="D152" s="18">
        <f>3.5/3.281</f>
        <v>1.0667479427003961</v>
      </c>
      <c r="E152" s="19">
        <v>0.1</v>
      </c>
      <c r="F152" s="19">
        <f>7/3.281</f>
        <v>2.1334958854007922</v>
      </c>
      <c r="G152" s="27">
        <f>PRODUCT(C152:F152)</f>
        <v>-0.22759023465110553</v>
      </c>
      <c r="H152" s="20"/>
      <c r="I152" s="21"/>
      <c r="J152" s="23"/>
      <c r="K152" s="19"/>
      <c r="M152" s="53"/>
      <c r="N152" s="54"/>
    </row>
    <row r="153" spans="1:14" ht="15" customHeight="1" x14ac:dyDescent="0.25">
      <c r="A153" s="16"/>
      <c r="B153" s="29" t="s">
        <v>84</v>
      </c>
      <c r="C153" s="17">
        <v>2</v>
      </c>
      <c r="D153" s="18">
        <f>3.5/3.281</f>
        <v>1.0667479427003961</v>
      </c>
      <c r="E153" s="19">
        <v>0.1</v>
      </c>
      <c r="F153" s="19">
        <f>(3.5-0.75)/3.281</f>
        <v>0.8381590978360256</v>
      </c>
      <c r="G153" s="27">
        <f t="shared" ref="G153:G154" si="35">PRODUCT(C153:F153)</f>
        <v>0.17882089865444009</v>
      </c>
      <c r="H153" s="20"/>
      <c r="I153" s="21"/>
      <c r="J153" s="23"/>
      <c r="K153" s="19"/>
      <c r="M153" s="53"/>
      <c r="N153" s="54"/>
    </row>
    <row r="154" spans="1:14" ht="15" customHeight="1" x14ac:dyDescent="0.25">
      <c r="A154" s="16"/>
      <c r="B154" s="29"/>
      <c r="C154" s="17">
        <v>4</v>
      </c>
      <c r="D154" s="18">
        <f>3.5/3.281</f>
        <v>1.0667479427003961</v>
      </c>
      <c r="E154" s="19">
        <v>0.1</v>
      </c>
      <c r="F154" s="19">
        <f>(3-0.75)/3.281</f>
        <v>0.68576653459311188</v>
      </c>
      <c r="G154" s="27">
        <f t="shared" si="35"/>
        <v>0.29261601597999287</v>
      </c>
      <c r="H154" s="20"/>
      <c r="I154" s="21"/>
      <c r="J154" s="23"/>
      <c r="K154" s="19"/>
      <c r="M154" s="53"/>
      <c r="N154" s="54"/>
    </row>
    <row r="155" spans="1:14" ht="15" customHeight="1" x14ac:dyDescent="0.25">
      <c r="A155" s="16"/>
      <c r="B155" s="29" t="s">
        <v>59</v>
      </c>
      <c r="C155" s="17">
        <v>-4</v>
      </c>
      <c r="D155" s="18">
        <v>0.6</v>
      </c>
      <c r="E155" s="19">
        <v>0.1</v>
      </c>
      <c r="F155" s="19">
        <f>0.9-0.23</f>
        <v>0.67</v>
      </c>
      <c r="G155" s="27">
        <f>PRODUCT(C155:F155)</f>
        <v>-0.1608</v>
      </c>
      <c r="H155" s="20"/>
      <c r="I155" s="21"/>
      <c r="J155" s="23"/>
      <c r="K155" s="19"/>
      <c r="M155" s="53"/>
      <c r="N155" s="54"/>
    </row>
    <row r="156" spans="1:14" ht="15" customHeight="1" x14ac:dyDescent="0.25">
      <c r="A156" s="28"/>
      <c r="B156" s="29" t="s">
        <v>19</v>
      </c>
      <c r="C156" s="25"/>
      <c r="D156" s="6"/>
      <c r="E156" s="6"/>
      <c r="F156" s="6"/>
      <c r="G156" s="23">
        <f>0*SUM(G150:G155)</f>
        <v>0</v>
      </c>
      <c r="H156" s="23" t="s">
        <v>16</v>
      </c>
      <c r="I156" s="26">
        <v>14911.97</v>
      </c>
      <c r="J156" s="24">
        <f>G156*I156</f>
        <v>0</v>
      </c>
      <c r="K156" s="7"/>
    </row>
    <row r="157" spans="1:14" ht="15" customHeight="1" x14ac:dyDescent="0.25">
      <c r="A157" s="16"/>
      <c r="B157" s="29" t="s">
        <v>21</v>
      </c>
      <c r="C157" s="17"/>
      <c r="D157" s="18"/>
      <c r="E157" s="19"/>
      <c r="F157" s="19"/>
      <c r="G157" s="21"/>
      <c r="H157" s="20"/>
      <c r="I157" s="21"/>
      <c r="J157" s="23">
        <f>0.13*G156*10946.58</f>
        <v>0</v>
      </c>
      <c r="K157" s="19"/>
      <c r="M157" s="53"/>
      <c r="N157" s="54"/>
    </row>
    <row r="158" spans="1:14" ht="15" customHeight="1" x14ac:dyDescent="0.25">
      <c r="A158" s="16"/>
      <c r="B158" s="29"/>
      <c r="C158" s="17"/>
      <c r="D158" s="18"/>
      <c r="E158" s="19"/>
      <c r="F158" s="19"/>
      <c r="G158" s="21"/>
      <c r="H158" s="20"/>
      <c r="I158" s="21"/>
      <c r="J158" s="23"/>
      <c r="K158" s="19"/>
      <c r="M158" s="53"/>
      <c r="N158" s="54"/>
    </row>
    <row r="159" spans="1:14" ht="30" hidden="1" x14ac:dyDescent="0.25">
      <c r="A159" s="16">
        <v>9</v>
      </c>
      <c r="B159" s="38" t="s">
        <v>44</v>
      </c>
      <c r="C159" s="17"/>
      <c r="D159" s="18"/>
      <c r="E159" s="19"/>
      <c r="F159" s="58"/>
      <c r="G159" s="21"/>
      <c r="H159" s="20"/>
      <c r="I159" s="21"/>
      <c r="J159" s="23"/>
      <c r="K159" s="19"/>
      <c r="M159" s="53"/>
      <c r="N159" s="54"/>
    </row>
    <row r="160" spans="1:14" hidden="1" x14ac:dyDescent="0.25">
      <c r="A160" s="16"/>
      <c r="B160" s="29" t="s">
        <v>96</v>
      </c>
      <c r="C160" s="17">
        <v>4</v>
      </c>
      <c r="D160" s="18">
        <f>7.25/3.281</f>
        <v>2.2096921670222494</v>
      </c>
      <c r="E160" s="19"/>
      <c r="F160" s="19">
        <f>14/3.281</f>
        <v>4.2669917708015843</v>
      </c>
      <c r="G160" s="27">
        <f>PRODUCT(C160:F160)</f>
        <v>37.714953170754633</v>
      </c>
      <c r="H160" s="20"/>
      <c r="I160" s="21"/>
      <c r="J160" s="23"/>
      <c r="K160" s="19"/>
      <c r="M160" s="53"/>
      <c r="N160" s="54"/>
    </row>
    <row r="161" spans="1:19" ht="15" hidden="1" customHeight="1" x14ac:dyDescent="0.25">
      <c r="A161" s="16"/>
      <c r="B161" s="29" t="s">
        <v>59</v>
      </c>
      <c r="C161" s="17">
        <v>-1</v>
      </c>
      <c r="D161" s="18">
        <v>0.9</v>
      </c>
      <c r="E161" s="19"/>
      <c r="F161" s="19">
        <v>1.2</v>
      </c>
      <c r="G161" s="27">
        <f t="shared" ref="G161:G162" si="36">PRODUCT(C161:F161)</f>
        <v>-1.08</v>
      </c>
      <c r="H161" s="20"/>
      <c r="I161" s="21"/>
      <c r="J161" s="23"/>
      <c r="K161" s="19"/>
      <c r="M161" s="53"/>
      <c r="N161" s="54"/>
    </row>
    <row r="162" spans="1:19" ht="15" hidden="1" customHeight="1" x14ac:dyDescent="0.25">
      <c r="A162" s="16"/>
      <c r="B162" s="29" t="s">
        <v>82</v>
      </c>
      <c r="C162" s="17">
        <v>-1</v>
      </c>
      <c r="D162" s="18">
        <v>0.9</v>
      </c>
      <c r="E162" s="19"/>
      <c r="F162" s="19">
        <f>7/3.281</f>
        <v>2.1334958854007922</v>
      </c>
      <c r="G162" s="27">
        <f t="shared" si="36"/>
        <v>-1.920146296860713</v>
      </c>
      <c r="H162" s="20"/>
      <c r="I162" s="21"/>
      <c r="J162" s="23"/>
      <c r="K162" s="19"/>
      <c r="M162" s="53"/>
      <c r="N162" s="54"/>
    </row>
    <row r="163" spans="1:19" ht="15" hidden="1" customHeight="1" x14ac:dyDescent="0.25">
      <c r="A163" s="16"/>
      <c r="B163" s="29" t="str">
        <f t="shared" ref="B163:C165" si="37">B150</f>
        <v>-At Ground floor</v>
      </c>
      <c r="C163" s="17">
        <f t="shared" si="37"/>
        <v>4</v>
      </c>
      <c r="D163" s="18">
        <f>D160</f>
        <v>2.2096921670222494</v>
      </c>
      <c r="E163" s="19"/>
      <c r="F163" s="19">
        <f>(8.917-5)/3.281</f>
        <v>1.1938433404449862</v>
      </c>
      <c r="G163" s="27">
        <f>PRODUCT(C163:F163)</f>
        <v>10.55210511213185</v>
      </c>
      <c r="H163" s="20"/>
      <c r="I163" s="21"/>
      <c r="J163" s="23"/>
      <c r="K163" s="19"/>
      <c r="M163" s="53"/>
      <c r="N163" s="54"/>
    </row>
    <row r="164" spans="1:19" ht="15" hidden="1" customHeight="1" x14ac:dyDescent="0.25">
      <c r="A164" s="16"/>
      <c r="B164" s="29" t="str">
        <f t="shared" si="37"/>
        <v>-Deduction for window</v>
      </c>
      <c r="C164" s="17">
        <f t="shared" si="37"/>
        <v>-2</v>
      </c>
      <c r="D164" s="18">
        <f>D151</f>
        <v>0.75</v>
      </c>
      <c r="E164" s="19"/>
      <c r="F164" s="19">
        <v>0.45</v>
      </c>
      <c r="G164" s="27">
        <f t="shared" ref="G164:G166" si="38">PRODUCT(C164:F164)</f>
        <v>-0.67500000000000004</v>
      </c>
      <c r="H164" s="20"/>
      <c r="I164" s="21"/>
      <c r="J164" s="23"/>
      <c r="K164" s="19"/>
      <c r="M164" s="53"/>
      <c r="N164" s="54"/>
    </row>
    <row r="165" spans="1:19" ht="15" hidden="1" customHeight="1" x14ac:dyDescent="0.25">
      <c r="A165" s="16"/>
      <c r="B165" s="29" t="str">
        <f t="shared" si="37"/>
        <v>-Deduction for door</v>
      </c>
      <c r="C165" s="17">
        <f t="shared" si="37"/>
        <v>-1</v>
      </c>
      <c r="D165" s="18">
        <f>D152</f>
        <v>1.0667479427003961</v>
      </c>
      <c r="E165" s="19"/>
      <c r="F165" s="19">
        <f>F163</f>
        <v>1.1938433404449862</v>
      </c>
      <c r="G165" s="27">
        <f t="shared" si="38"/>
        <v>-1.2735299273262575</v>
      </c>
      <c r="H165" s="20"/>
      <c r="I165" s="21"/>
      <c r="J165" s="23"/>
      <c r="K165" s="19"/>
      <c r="M165" s="53"/>
      <c r="N165" s="54"/>
    </row>
    <row r="166" spans="1:19" ht="15" hidden="1" customHeight="1" x14ac:dyDescent="0.25">
      <c r="A166" s="16"/>
      <c r="B166" s="29" t="s">
        <v>97</v>
      </c>
      <c r="C166" s="17">
        <v>0</v>
      </c>
      <c r="D166" s="18">
        <f>7.25/3.281</f>
        <v>2.2096921670222494</v>
      </c>
      <c r="E166" s="19">
        <f>7.25/3.281</f>
        <v>2.2096921670222494</v>
      </c>
      <c r="F166" s="19"/>
      <c r="G166" s="27">
        <f t="shared" si="38"/>
        <v>0</v>
      </c>
      <c r="H166" s="20"/>
      <c r="I166" s="21"/>
      <c r="J166" s="23"/>
      <c r="K166" s="19"/>
      <c r="M166" s="53"/>
      <c r="N166" s="64"/>
    </row>
    <row r="167" spans="1:19" ht="15" hidden="1" customHeight="1" x14ac:dyDescent="0.25">
      <c r="A167" s="28"/>
      <c r="B167" s="29" t="s">
        <v>19</v>
      </c>
      <c r="C167" s="25"/>
      <c r="D167" s="6"/>
      <c r="E167" s="6"/>
      <c r="F167" s="6"/>
      <c r="G167" s="23">
        <f>0*SUM(G160:G166)</f>
        <v>0</v>
      </c>
      <c r="H167" s="23" t="s">
        <v>25</v>
      </c>
      <c r="I167" s="26">
        <v>402.23</v>
      </c>
      <c r="J167" s="24">
        <f>G167*I167</f>
        <v>0</v>
      </c>
      <c r="K167" s="7"/>
    </row>
    <row r="168" spans="1:19" ht="15" hidden="1" customHeight="1" x14ac:dyDescent="0.25">
      <c r="A168" s="16"/>
      <c r="B168" s="29" t="s">
        <v>21</v>
      </c>
      <c r="C168" s="17"/>
      <c r="D168" s="18"/>
      <c r="E168" s="19"/>
      <c r="F168" s="19"/>
      <c r="G168" s="21"/>
      <c r="H168" s="20"/>
      <c r="I168" s="21"/>
      <c r="J168" s="23">
        <f>0.13*G167*(11424.1/100)</f>
        <v>0</v>
      </c>
      <c r="K168" s="19"/>
      <c r="M168" s="53"/>
      <c r="N168" s="54"/>
    </row>
    <row r="169" spans="1:19" ht="15" hidden="1" customHeight="1" x14ac:dyDescent="0.25">
      <c r="A169" s="16"/>
      <c r="B169" s="29"/>
      <c r="C169" s="17"/>
      <c r="D169" s="18"/>
      <c r="E169" s="19"/>
      <c r="F169" s="19"/>
      <c r="G169" s="21"/>
      <c r="H169" s="20"/>
      <c r="I169" s="21"/>
      <c r="J169" s="23"/>
      <c r="K169" s="19"/>
      <c r="M169" s="53"/>
      <c r="N169" s="54"/>
    </row>
    <row r="170" spans="1:19" ht="42.75" x14ac:dyDescent="0.25">
      <c r="A170" s="16">
        <v>9</v>
      </c>
      <c r="B170" s="57" t="s">
        <v>60</v>
      </c>
      <c r="C170" s="58"/>
      <c r="D170" s="58"/>
      <c r="E170" s="58"/>
      <c r="F170" s="58"/>
      <c r="G170" s="59"/>
      <c r="H170" s="20"/>
      <c r="I170" s="21"/>
      <c r="J170" s="21"/>
      <c r="K170" s="19"/>
      <c r="M170" s="60"/>
      <c r="N170" s="1"/>
      <c r="O170" s="1"/>
      <c r="P170" s="1"/>
      <c r="Q170" s="1"/>
      <c r="R170" s="60"/>
      <c r="S170" s="60"/>
    </row>
    <row r="171" spans="1:19" ht="15" customHeight="1" x14ac:dyDescent="0.25">
      <c r="A171" s="16"/>
      <c r="B171" s="29" t="str">
        <f t="shared" ref="B171:C173" si="39">B150</f>
        <v>-At Ground floor</v>
      </c>
      <c r="C171" s="17">
        <f t="shared" si="39"/>
        <v>4</v>
      </c>
      <c r="D171" s="18">
        <f>8.75/3.281</f>
        <v>2.6668698567509903</v>
      </c>
      <c r="E171" s="19"/>
      <c r="F171" s="19">
        <f>7/3.281</f>
        <v>2.1334958854007922</v>
      </c>
      <c r="G171" s="27">
        <f>PRODUCT(C171:F171)</f>
        <v>22.759023465110552</v>
      </c>
      <c r="H171" s="20"/>
      <c r="I171" s="21"/>
      <c r="J171" s="23"/>
      <c r="K171" s="19"/>
      <c r="M171" s="53"/>
      <c r="N171" s="54"/>
    </row>
    <row r="172" spans="1:19" ht="15" customHeight="1" x14ac:dyDescent="0.25">
      <c r="A172" s="16"/>
      <c r="B172" s="29" t="str">
        <f t="shared" si="39"/>
        <v>-Deduction for window</v>
      </c>
      <c r="C172" s="17">
        <f t="shared" si="39"/>
        <v>-2</v>
      </c>
      <c r="D172" s="18">
        <f>D151</f>
        <v>0.75</v>
      </c>
      <c r="E172" s="19"/>
      <c r="F172" s="19">
        <f>F151</f>
        <v>0.9</v>
      </c>
      <c r="G172" s="27">
        <f>PRODUCT(C172:F172)</f>
        <v>-1.35</v>
      </c>
      <c r="H172" s="20"/>
      <c r="I172" s="21"/>
      <c r="J172" s="23"/>
      <c r="K172" s="19"/>
      <c r="M172" s="53"/>
      <c r="N172" s="54"/>
    </row>
    <row r="173" spans="1:19" ht="15" customHeight="1" x14ac:dyDescent="0.25">
      <c r="A173" s="16"/>
      <c r="B173" s="29" t="str">
        <f t="shared" si="39"/>
        <v>-Deduction for door</v>
      </c>
      <c r="C173" s="17">
        <f t="shared" si="39"/>
        <v>-1</v>
      </c>
      <c r="D173" s="18">
        <f>D152</f>
        <v>1.0667479427003961</v>
      </c>
      <c r="E173" s="19"/>
      <c r="F173" s="19">
        <f>F152</f>
        <v>2.1334958854007922</v>
      </c>
      <c r="G173" s="27">
        <f>PRODUCT(C173:F173)</f>
        <v>-2.2759023465110548</v>
      </c>
      <c r="H173" s="20"/>
      <c r="I173" s="21"/>
      <c r="J173" s="23"/>
      <c r="K173" s="19"/>
      <c r="M173" s="53"/>
      <c r="N173" s="64"/>
    </row>
    <row r="174" spans="1:19" ht="15" customHeight="1" x14ac:dyDescent="0.25">
      <c r="A174" s="16"/>
      <c r="B174" s="61" t="s">
        <v>19</v>
      </c>
      <c r="C174" s="17"/>
      <c r="D174" s="18"/>
      <c r="E174" s="19"/>
      <c r="F174" s="19"/>
      <c r="G174" s="21">
        <f>0*SUM(G171:G173)</f>
        <v>0</v>
      </c>
      <c r="H174" s="20" t="s">
        <v>25</v>
      </c>
      <c r="I174" s="21">
        <f>556660.92/100</f>
        <v>5566.6092000000008</v>
      </c>
      <c r="J174" s="62">
        <f>G174*I174</f>
        <v>0</v>
      </c>
      <c r="K174" s="19"/>
      <c r="M174" s="60"/>
      <c r="N174" s="1"/>
      <c r="O174" s="1"/>
      <c r="P174" s="1"/>
      <c r="Q174" s="1"/>
      <c r="R174" s="60"/>
      <c r="S174" s="60"/>
    </row>
    <row r="175" spans="1:19" ht="15" customHeight="1" x14ac:dyDescent="0.25">
      <c r="A175" s="16"/>
      <c r="B175" s="61" t="s">
        <v>61</v>
      </c>
      <c r="C175" s="17"/>
      <c r="D175" s="18"/>
      <c r="E175" s="19"/>
      <c r="F175" s="19"/>
      <c r="G175" s="21"/>
      <c r="H175" s="20"/>
      <c r="I175" s="21"/>
      <c r="J175" s="62">
        <f>0.13*G174*370050.92/100</f>
        <v>0</v>
      </c>
      <c r="K175" s="19"/>
      <c r="M175" s="60"/>
      <c r="N175" s="1"/>
      <c r="O175" s="1"/>
      <c r="P175" s="1"/>
      <c r="Q175" s="1"/>
      <c r="R175" s="60"/>
      <c r="S175" s="60"/>
    </row>
    <row r="176" spans="1:19" ht="15" customHeight="1" x14ac:dyDescent="0.25">
      <c r="A176" s="16"/>
      <c r="B176" s="61"/>
      <c r="C176" s="17"/>
      <c r="D176" s="18"/>
      <c r="E176" s="19"/>
      <c r="F176" s="19"/>
      <c r="G176" s="21"/>
      <c r="H176" s="20"/>
      <c r="I176" s="21"/>
      <c r="J176" s="62"/>
      <c r="K176" s="19"/>
      <c r="M176" s="60"/>
      <c r="N176" s="1"/>
      <c r="O176" s="1"/>
      <c r="P176" s="1"/>
      <c r="Q176" s="1"/>
      <c r="R176" s="60"/>
      <c r="S176" s="60"/>
    </row>
    <row r="177" spans="1:19" ht="42.75" x14ac:dyDescent="0.25">
      <c r="A177" s="16">
        <v>10</v>
      </c>
      <c r="B177" s="57" t="s">
        <v>98</v>
      </c>
      <c r="C177" s="17"/>
      <c r="D177" s="18"/>
      <c r="E177" s="19"/>
      <c r="F177" s="19"/>
      <c r="G177" s="21"/>
      <c r="H177" s="20"/>
      <c r="I177" s="21"/>
      <c r="J177" s="62"/>
      <c r="K177" s="19"/>
      <c r="M177" s="60"/>
      <c r="N177" s="1"/>
      <c r="O177" s="1"/>
      <c r="P177" s="1"/>
      <c r="Q177" s="1"/>
      <c r="R177" s="60"/>
      <c r="S177" s="60"/>
    </row>
    <row r="178" spans="1:19" ht="15" customHeight="1" x14ac:dyDescent="0.25">
      <c r="A178" s="16"/>
      <c r="B178" s="29" t="s">
        <v>99</v>
      </c>
      <c r="C178" s="17">
        <v>4</v>
      </c>
      <c r="D178" s="18">
        <f>(8.75-3.5-0.75*2)/3.281</f>
        <v>1.1429442243218531</v>
      </c>
      <c r="E178" s="19"/>
      <c r="F178" s="19">
        <f>7/3.281</f>
        <v>2.1334958854007922</v>
      </c>
      <c r="G178" s="27">
        <f>PRODUCT(C178:F178)</f>
        <v>9.7538671993330937</v>
      </c>
      <c r="H178" s="20"/>
      <c r="I178" s="21"/>
      <c r="J178" s="23"/>
      <c r="K178" s="19"/>
      <c r="M178" s="53"/>
      <c r="N178" s="54"/>
    </row>
    <row r="179" spans="1:19" ht="15" customHeight="1" x14ac:dyDescent="0.25">
      <c r="A179" s="16"/>
      <c r="B179" s="61" t="s">
        <v>19</v>
      </c>
      <c r="C179" s="17"/>
      <c r="D179" s="18"/>
      <c r="E179" s="19"/>
      <c r="F179" s="19"/>
      <c r="G179" s="21">
        <f>0*SUM(G178:G178)</f>
        <v>0</v>
      </c>
      <c r="H179" s="20" t="s">
        <v>25</v>
      </c>
      <c r="I179" s="21">
        <f>537.83/1.15</f>
        <v>467.67826086956529</v>
      </c>
      <c r="J179" s="62">
        <f>G179*I179</f>
        <v>0</v>
      </c>
      <c r="K179" s="19"/>
      <c r="M179" s="60"/>
      <c r="N179" s="1"/>
      <c r="O179" s="1"/>
      <c r="P179" s="1"/>
      <c r="Q179" s="1"/>
      <c r="R179" s="60"/>
      <c r="S179" s="60"/>
    </row>
    <row r="180" spans="1:19" ht="15" customHeight="1" x14ac:dyDescent="0.25">
      <c r="A180" s="16"/>
      <c r="B180" s="61" t="s">
        <v>61</v>
      </c>
      <c r="C180" s="17"/>
      <c r="D180" s="18"/>
      <c r="E180" s="19"/>
      <c r="F180" s="19"/>
      <c r="G180" s="21"/>
      <c r="H180" s="20"/>
      <c r="I180" s="21"/>
      <c r="J180" s="62">
        <f>0.13*G179*2909.31/10</f>
        <v>0</v>
      </c>
      <c r="K180" s="19"/>
      <c r="M180" s="60"/>
      <c r="N180" s="1"/>
      <c r="O180" s="1"/>
      <c r="P180" s="1"/>
      <c r="Q180" s="1"/>
      <c r="R180" s="60"/>
      <c r="S180" s="60"/>
    </row>
    <row r="181" spans="1:19" ht="15" customHeight="1" x14ac:dyDescent="0.25">
      <c r="A181" s="16"/>
      <c r="B181" s="61"/>
      <c r="C181" s="17"/>
      <c r="D181" s="18"/>
      <c r="E181" s="19"/>
      <c r="F181" s="19"/>
      <c r="G181" s="21"/>
      <c r="H181" s="20"/>
      <c r="I181" s="21"/>
      <c r="J181" s="62"/>
      <c r="K181" s="19"/>
      <c r="M181" s="60"/>
      <c r="N181" s="1"/>
      <c r="O181" s="1"/>
      <c r="P181" s="1"/>
      <c r="Q181" s="1"/>
      <c r="R181" s="60"/>
      <c r="S181" s="60"/>
    </row>
    <row r="182" spans="1:19" ht="30" x14ac:dyDescent="0.25">
      <c r="A182" s="16">
        <v>11</v>
      </c>
      <c r="B182" s="38" t="s">
        <v>86</v>
      </c>
      <c r="C182" s="17"/>
      <c r="D182" s="18"/>
      <c r="E182" s="19"/>
      <c r="F182" s="19"/>
      <c r="G182" s="21"/>
      <c r="H182" s="20"/>
      <c r="I182" s="21"/>
      <c r="J182" s="62"/>
      <c r="K182" s="19"/>
      <c r="M182" s="60"/>
      <c r="N182" s="1"/>
      <c r="O182" s="1"/>
      <c r="P182" s="1"/>
      <c r="Q182" s="1"/>
      <c r="R182" s="60"/>
      <c r="S182" s="60"/>
    </row>
    <row r="183" spans="1:19" ht="15" customHeight="1" x14ac:dyDescent="0.25">
      <c r="A183" s="16"/>
      <c r="B183" s="22" t="s">
        <v>88</v>
      </c>
      <c r="C183" s="17">
        <v>1</v>
      </c>
      <c r="D183" s="18">
        <f>(6.5*2+3.5*2)/3.281</f>
        <v>6.0957025297165499</v>
      </c>
      <c r="E183" s="19">
        <v>7.4999999999999997E-2</v>
      </c>
      <c r="F183" s="19">
        <v>0.125</v>
      </c>
      <c r="G183" s="27">
        <f>PRODUCT(C183:F183)</f>
        <v>5.7147211216092654E-2</v>
      </c>
      <c r="H183" s="20"/>
      <c r="I183" s="21"/>
      <c r="J183" s="62"/>
      <c r="K183" s="19"/>
      <c r="M183" s="60"/>
      <c r="N183" s="1"/>
      <c r="O183" s="1"/>
      <c r="P183" s="1"/>
      <c r="Q183" s="1"/>
      <c r="R183" s="60"/>
      <c r="S183" s="60"/>
    </row>
    <row r="184" spans="1:19" ht="15" customHeight="1" x14ac:dyDescent="0.25">
      <c r="A184" s="16"/>
      <c r="B184" s="61" t="s">
        <v>19</v>
      </c>
      <c r="C184" s="17"/>
      <c r="D184" s="18"/>
      <c r="E184" s="19"/>
      <c r="F184" s="19"/>
      <c r="G184" s="21">
        <f>0*SUM(G183)</f>
        <v>0</v>
      </c>
      <c r="H184" s="20" t="s">
        <v>16</v>
      </c>
      <c r="I184" s="21">
        <v>283082.83</v>
      </c>
      <c r="J184" s="62">
        <f>G184*I184</f>
        <v>0</v>
      </c>
      <c r="K184" s="19"/>
      <c r="M184" s="60"/>
      <c r="N184" s="1"/>
      <c r="O184" s="1"/>
      <c r="P184" s="1"/>
      <c r="Q184" s="1"/>
      <c r="R184" s="60"/>
      <c r="S184" s="60"/>
    </row>
    <row r="185" spans="1:19" ht="15" customHeight="1" x14ac:dyDescent="0.25">
      <c r="A185" s="16"/>
      <c r="B185" s="61" t="s">
        <v>61</v>
      </c>
      <c r="C185" s="17"/>
      <c r="D185" s="18"/>
      <c r="E185" s="19"/>
      <c r="F185" s="19"/>
      <c r="G185" s="21"/>
      <c r="H185" s="20"/>
      <c r="I185" s="21"/>
      <c r="J185" s="62">
        <f>0.13*G184*239222.83</f>
        <v>0</v>
      </c>
      <c r="K185" s="19"/>
      <c r="M185" s="60"/>
      <c r="N185" s="1"/>
      <c r="O185" s="1"/>
      <c r="P185" s="1"/>
      <c r="Q185" s="1"/>
      <c r="R185" s="60"/>
      <c r="S185" s="60"/>
    </row>
    <row r="186" spans="1:19" ht="15" customHeight="1" x14ac:dyDescent="0.25">
      <c r="A186" s="16"/>
      <c r="B186" s="61"/>
      <c r="C186" s="17"/>
      <c r="D186" s="18"/>
      <c r="E186" s="19"/>
      <c r="F186" s="19"/>
      <c r="G186" s="21"/>
      <c r="H186" s="20"/>
      <c r="I186" s="21"/>
      <c r="J186" s="62"/>
      <c r="K186" s="19"/>
      <c r="M186" s="60"/>
      <c r="N186" s="1"/>
      <c r="O186" s="1"/>
      <c r="P186" s="1"/>
      <c r="Q186" s="1"/>
      <c r="R186" s="60"/>
      <c r="S186" s="60"/>
    </row>
    <row r="187" spans="1:19" ht="42.75" x14ac:dyDescent="0.25">
      <c r="A187" s="16">
        <v>12</v>
      </c>
      <c r="B187" s="57" t="s">
        <v>89</v>
      </c>
      <c r="C187" s="17"/>
      <c r="D187" s="18"/>
      <c r="E187" s="19"/>
      <c r="F187" s="19"/>
      <c r="G187" s="21"/>
      <c r="H187" s="20"/>
      <c r="I187" s="21"/>
      <c r="J187" s="62"/>
      <c r="K187" s="19"/>
      <c r="M187" s="60"/>
      <c r="N187" s="1"/>
      <c r="O187" s="1"/>
      <c r="P187" s="1"/>
      <c r="Q187" s="1"/>
      <c r="R187" s="60"/>
      <c r="S187" s="60"/>
    </row>
    <row r="188" spans="1:19" ht="15" customHeight="1" x14ac:dyDescent="0.25">
      <c r="A188" s="16"/>
      <c r="B188" s="22" t="s">
        <v>87</v>
      </c>
      <c r="C188" s="17">
        <v>2</v>
      </c>
      <c r="D188" s="18">
        <f>D172</f>
        <v>0.75</v>
      </c>
      <c r="E188" s="19"/>
      <c r="F188" s="19">
        <f>F172</f>
        <v>0.9</v>
      </c>
      <c r="G188" s="27">
        <f>PRODUCT(C188:F188)</f>
        <v>1.35</v>
      </c>
      <c r="H188" s="20"/>
      <c r="I188" s="21"/>
      <c r="J188" s="62"/>
      <c r="K188" s="19"/>
      <c r="M188" s="60"/>
      <c r="N188" s="1"/>
      <c r="O188" s="1"/>
      <c r="P188" s="1"/>
      <c r="Q188" s="1"/>
      <c r="R188" s="60"/>
      <c r="S188" s="60"/>
    </row>
    <row r="189" spans="1:19" ht="15" customHeight="1" x14ac:dyDescent="0.25">
      <c r="A189" s="16"/>
      <c r="B189" s="22"/>
      <c r="C189" s="17">
        <v>4</v>
      </c>
      <c r="D189" s="18">
        <f>2/3.281</f>
        <v>0.6095702529716549</v>
      </c>
      <c r="E189" s="19"/>
      <c r="F189" s="19">
        <f>(3-0.75)/3.281</f>
        <v>0.68576653459311188</v>
      </c>
      <c r="G189" s="27">
        <f>PRODUCT(C189:F189)</f>
        <v>1.6720915198856734</v>
      </c>
      <c r="H189" s="20"/>
      <c r="I189" s="21"/>
      <c r="J189" s="62"/>
      <c r="K189" s="19"/>
      <c r="M189" s="60"/>
      <c r="N189" s="1"/>
      <c r="O189" s="1"/>
      <c r="P189" s="1"/>
      <c r="Q189" s="1"/>
      <c r="R189" s="60"/>
      <c r="S189" s="60"/>
    </row>
    <row r="190" spans="1:19" ht="15" customHeight="1" x14ac:dyDescent="0.25">
      <c r="A190" s="16"/>
      <c r="B190" s="22" t="str">
        <f>B183</f>
        <v>Door</v>
      </c>
      <c r="C190" s="17">
        <f>C183</f>
        <v>1</v>
      </c>
      <c r="D190" s="18">
        <f>D173</f>
        <v>1.0667479427003961</v>
      </c>
      <c r="E190" s="19"/>
      <c r="F190" s="19">
        <f>F173</f>
        <v>2.1334958854007922</v>
      </c>
      <c r="G190" s="27">
        <f>PRODUCT(C190:F190)</f>
        <v>2.2759023465110548</v>
      </c>
      <c r="H190" s="20"/>
      <c r="I190" s="21"/>
      <c r="J190" s="62"/>
      <c r="K190" s="19"/>
      <c r="M190" s="60"/>
      <c r="N190" s="1"/>
      <c r="O190" s="1"/>
      <c r="P190" s="1"/>
      <c r="Q190" s="1"/>
      <c r="R190" s="60"/>
      <c r="S190" s="60"/>
    </row>
    <row r="191" spans="1:19" ht="15" customHeight="1" x14ac:dyDescent="0.25">
      <c r="A191" s="16"/>
      <c r="B191" s="61" t="s">
        <v>19</v>
      </c>
      <c r="C191" s="17"/>
      <c r="D191" s="18"/>
      <c r="E191" s="19"/>
      <c r="F191" s="19"/>
      <c r="G191" s="21">
        <f>0*SUM(G188:G190)</f>
        <v>0</v>
      </c>
      <c r="H191" s="20" t="s">
        <v>25</v>
      </c>
      <c r="I191" s="21">
        <f>31552.5/0.92</f>
        <v>34296.195652173912</v>
      </c>
      <c r="J191" s="62">
        <f>G191*I191</f>
        <v>0</v>
      </c>
      <c r="K191" s="19"/>
      <c r="M191" s="60"/>
      <c r="N191" s="1"/>
      <c r="O191" s="1"/>
      <c r="P191" s="1"/>
      <c r="Q191" s="1"/>
      <c r="R191" s="60"/>
      <c r="S191" s="60"/>
    </row>
    <row r="192" spans="1:19" ht="15" customHeight="1" x14ac:dyDescent="0.25">
      <c r="A192" s="16"/>
      <c r="B192" s="61" t="s">
        <v>61</v>
      </c>
      <c r="C192" s="17"/>
      <c r="D192" s="18"/>
      <c r="E192" s="19"/>
      <c r="F192" s="19"/>
      <c r="G192" s="21"/>
      <c r="H192" s="20"/>
      <c r="I192" s="21"/>
      <c r="J192" s="62">
        <f>0.13*G191*9742.5/0.92</f>
        <v>0</v>
      </c>
      <c r="K192" s="19"/>
      <c r="M192" s="60"/>
      <c r="N192" s="1"/>
      <c r="O192" s="1"/>
      <c r="P192" s="1"/>
      <c r="Q192" s="1"/>
      <c r="R192" s="60"/>
      <c r="S192" s="60"/>
    </row>
    <row r="193" spans="1:19" ht="15" customHeight="1" x14ac:dyDescent="0.25">
      <c r="A193" s="16"/>
      <c r="B193" s="22"/>
      <c r="C193" s="17"/>
      <c r="D193" s="18"/>
      <c r="E193" s="19"/>
      <c r="F193" s="19"/>
      <c r="G193" s="21"/>
      <c r="H193" s="20"/>
      <c r="I193" s="21"/>
      <c r="J193" s="62"/>
      <c r="K193" s="19"/>
      <c r="M193" s="60"/>
      <c r="N193" s="1"/>
      <c r="O193" s="1"/>
      <c r="P193" s="1"/>
      <c r="Q193" s="1"/>
      <c r="R193" s="60"/>
      <c r="S193" s="60"/>
    </row>
    <row r="194" spans="1:19" ht="15" customHeight="1" x14ac:dyDescent="0.25">
      <c r="A194" s="16">
        <v>13</v>
      </c>
      <c r="B194" s="57" t="s">
        <v>85</v>
      </c>
      <c r="C194" s="17">
        <v>1</v>
      </c>
      <c r="D194" s="18"/>
      <c r="E194" s="19"/>
      <c r="F194" s="19"/>
      <c r="G194" s="23">
        <f t="shared" ref="G194" si="40">PRODUCT(C194:F194)</f>
        <v>1</v>
      </c>
      <c r="H194" s="20" t="s">
        <v>68</v>
      </c>
      <c r="I194" s="21">
        <v>15000</v>
      </c>
      <c r="J194" s="23">
        <f>G194*I194</f>
        <v>15000</v>
      </c>
      <c r="K194" s="19"/>
      <c r="M194" s="53"/>
      <c r="N194" s="54"/>
    </row>
    <row r="195" spans="1:19" ht="28.5" hidden="1" x14ac:dyDescent="0.25">
      <c r="A195" s="16">
        <v>17</v>
      </c>
      <c r="B195" s="57" t="s">
        <v>67</v>
      </c>
      <c r="C195" s="17"/>
      <c r="D195" s="18"/>
      <c r="E195" s="19"/>
      <c r="F195" s="19"/>
      <c r="G195" s="21"/>
      <c r="H195" s="20"/>
      <c r="I195" s="21"/>
      <c r="J195" s="62"/>
      <c r="K195" s="19"/>
      <c r="M195" s="60"/>
      <c r="N195" s="1"/>
      <c r="O195" s="1"/>
      <c r="P195" s="1"/>
      <c r="Q195" s="1"/>
      <c r="R195" s="60"/>
      <c r="S195" s="60"/>
    </row>
    <row r="196" spans="1:19" ht="15" hidden="1" customHeight="1" x14ac:dyDescent="0.25">
      <c r="A196" s="16"/>
      <c r="B196" s="29" t="s">
        <v>33</v>
      </c>
      <c r="C196" s="17">
        <v>2</v>
      </c>
      <c r="D196" s="6">
        <f>(8+1.5*2)/3.281</f>
        <v>3.3526363913441024</v>
      </c>
      <c r="E196" s="6">
        <v>0.45</v>
      </c>
      <c r="F196" s="6"/>
      <c r="G196" s="27">
        <f t="shared" ref="G196:G197" si="41">PRODUCT(C196:F196)</f>
        <v>3.0173727522096923</v>
      </c>
      <c r="H196" s="20"/>
      <c r="I196" s="21"/>
      <c r="J196" s="23"/>
      <c r="K196" s="19"/>
      <c r="M196" s="53"/>
      <c r="N196" s="54"/>
    </row>
    <row r="197" spans="1:19" ht="15" hidden="1" customHeight="1" x14ac:dyDescent="0.25">
      <c r="A197" s="16"/>
      <c r="B197" s="29"/>
      <c r="C197" s="17">
        <v>2</v>
      </c>
      <c r="D197" s="6">
        <f>(8)/3.281</f>
        <v>2.4382810118866196</v>
      </c>
      <c r="E197" s="6">
        <v>0.45</v>
      </c>
      <c r="F197" s="6"/>
      <c r="G197" s="27">
        <f t="shared" si="41"/>
        <v>2.1944529106979576</v>
      </c>
      <c r="H197" s="20"/>
      <c r="I197" s="21"/>
      <c r="J197" s="23"/>
      <c r="K197" s="19"/>
      <c r="M197" s="53"/>
      <c r="N197" s="54"/>
    </row>
    <row r="198" spans="1:19" ht="15" hidden="1" customHeight="1" x14ac:dyDescent="0.25">
      <c r="A198" s="16"/>
      <c r="B198" s="29" t="s">
        <v>57</v>
      </c>
      <c r="C198" s="17">
        <v>4</v>
      </c>
      <c r="D198" s="6">
        <f>4.667/3.281</f>
        <v>1.4224321853093569</v>
      </c>
      <c r="E198" s="6">
        <v>1.2</v>
      </c>
      <c r="F198" s="6"/>
      <c r="G198" s="27">
        <f>4*0.5*(2*D198*E198)</f>
        <v>6.8276744894849131</v>
      </c>
      <c r="H198" s="20"/>
      <c r="I198" s="21"/>
      <c r="J198" s="23"/>
      <c r="K198" s="19"/>
      <c r="M198" s="53"/>
      <c r="N198" s="54"/>
    </row>
    <row r="199" spans="1:19" ht="15" hidden="1" customHeight="1" x14ac:dyDescent="0.25">
      <c r="A199" s="28"/>
      <c r="B199" s="29" t="s">
        <v>19</v>
      </c>
      <c r="C199" s="25"/>
      <c r="D199" s="6"/>
      <c r="E199" s="6"/>
      <c r="F199" s="6"/>
      <c r="G199" s="23">
        <f>0*SUM(G196:G198)</f>
        <v>0</v>
      </c>
      <c r="H199" s="23" t="s">
        <v>25</v>
      </c>
      <c r="I199" s="21">
        <f>325188.75/100</f>
        <v>3251.8874999999998</v>
      </c>
      <c r="J199" s="24">
        <f>G199*I199</f>
        <v>0</v>
      </c>
      <c r="K199" s="7"/>
    </row>
    <row r="200" spans="1:19" ht="15" hidden="1" customHeight="1" x14ac:dyDescent="0.25">
      <c r="A200" s="16"/>
      <c r="B200" s="29" t="s">
        <v>21</v>
      </c>
      <c r="C200" s="17"/>
      <c r="D200" s="18"/>
      <c r="E200" s="19"/>
      <c r="F200" s="19"/>
      <c r="G200" s="21"/>
      <c r="H200" s="20"/>
      <c r="I200" s="21"/>
      <c r="J200" s="23">
        <f>0.13*G199*221748.75/100</f>
        <v>0</v>
      </c>
      <c r="K200" s="19"/>
      <c r="M200" s="53"/>
      <c r="N200" s="54"/>
    </row>
    <row r="201" spans="1:19" ht="15" hidden="1" customHeight="1" x14ac:dyDescent="0.25">
      <c r="A201" s="16"/>
      <c r="B201" s="61"/>
      <c r="C201" s="17"/>
      <c r="D201" s="18"/>
      <c r="E201" s="19"/>
      <c r="F201" s="19"/>
      <c r="G201" s="21"/>
      <c r="H201" s="20"/>
      <c r="I201" s="21"/>
      <c r="J201" s="62"/>
      <c r="K201" s="19"/>
      <c r="M201" s="60"/>
      <c r="N201" s="1"/>
      <c r="O201" s="1"/>
      <c r="P201" s="1"/>
      <c r="Q201" s="1"/>
      <c r="R201" s="60"/>
      <c r="S201" s="60"/>
    </row>
    <row r="202" spans="1:19" ht="15" customHeight="1" x14ac:dyDescent="0.25">
      <c r="A202" s="16"/>
      <c r="B202" s="61"/>
      <c r="C202" s="17"/>
      <c r="D202" s="18"/>
      <c r="E202" s="19"/>
      <c r="F202" s="19"/>
      <c r="G202" s="21"/>
      <c r="H202" s="20"/>
      <c r="I202" s="21"/>
      <c r="J202" s="62"/>
      <c r="K202" s="19"/>
      <c r="M202" s="60"/>
      <c r="N202" s="1"/>
      <c r="O202" s="1"/>
      <c r="P202" s="1"/>
      <c r="Q202" s="1"/>
      <c r="R202" s="60"/>
      <c r="S202" s="60"/>
    </row>
    <row r="203" spans="1:19" ht="28.5" x14ac:dyDescent="0.25">
      <c r="A203" s="16">
        <v>14</v>
      </c>
      <c r="B203" s="42" t="s">
        <v>17</v>
      </c>
      <c r="C203" s="17">
        <v>1</v>
      </c>
      <c r="D203" s="18"/>
      <c r="E203" s="19"/>
      <c r="F203" s="19"/>
      <c r="G203" s="23">
        <f t="shared" ref="G203" si="42">PRODUCT(C203:F203)</f>
        <v>1</v>
      </c>
      <c r="H203" s="20" t="s">
        <v>18</v>
      </c>
      <c r="I203" s="21">
        <v>1000</v>
      </c>
      <c r="J203" s="23">
        <f>G203*I203</f>
        <v>1000</v>
      </c>
      <c r="K203" s="19"/>
      <c r="M203" s="53"/>
      <c r="N203" s="54"/>
    </row>
    <row r="204" spans="1:19" ht="15" customHeight="1" x14ac:dyDescent="0.25">
      <c r="A204" s="16"/>
      <c r="B204" s="22"/>
      <c r="C204" s="17"/>
      <c r="D204" s="18"/>
      <c r="E204" s="19"/>
      <c r="F204" s="19"/>
      <c r="G204" s="21"/>
      <c r="H204" s="20"/>
      <c r="I204" s="21"/>
      <c r="J204" s="23"/>
      <c r="K204" s="19"/>
      <c r="M204" s="53"/>
      <c r="N204" s="54"/>
    </row>
    <row r="205" spans="1:19" x14ac:dyDescent="0.25">
      <c r="A205" s="28"/>
      <c r="B205" s="30" t="s">
        <v>14</v>
      </c>
      <c r="C205" s="25"/>
      <c r="D205" s="6"/>
      <c r="E205" s="6"/>
      <c r="F205" s="6"/>
      <c r="G205" s="23"/>
      <c r="H205" s="23"/>
      <c r="I205" s="23"/>
      <c r="J205" s="23">
        <f>SUM(J10:J203)</f>
        <v>878661.59289757034</v>
      </c>
      <c r="K205" s="7"/>
    </row>
    <row r="207" spans="1:19" s="1" customFormat="1" x14ac:dyDescent="0.25">
      <c r="B207" s="7" t="s">
        <v>48</v>
      </c>
      <c r="C207" s="97">
        <f>J205</f>
        <v>878661.59289757034</v>
      </c>
      <c r="D207" s="98"/>
      <c r="E207" s="6">
        <v>100</v>
      </c>
      <c r="F207" s="8"/>
      <c r="G207" s="9"/>
      <c r="H207" s="8"/>
      <c r="I207" s="10"/>
      <c r="J207" s="11"/>
      <c r="K207" s="12"/>
      <c r="M207" s="48"/>
      <c r="N207" s="52"/>
    </row>
    <row r="208" spans="1:19" x14ac:dyDescent="0.25">
      <c r="B208" s="7" t="s">
        <v>49</v>
      </c>
      <c r="C208" s="100">
        <v>1000000</v>
      </c>
      <c r="D208" s="101"/>
      <c r="E208" s="6"/>
      <c r="M208" s="48">
        <f>1.5%*C209</f>
        <v>10549.211084328232</v>
      </c>
      <c r="N208" s="117">
        <f>C209-M208</f>
        <v>692731.52787088719</v>
      </c>
    </row>
    <row r="209" spans="1:14" x14ac:dyDescent="0.25">
      <c r="B209" s="7" t="s">
        <v>50</v>
      </c>
      <c r="C209" s="100">
        <f>80.04%*C207</f>
        <v>703280.73895521543</v>
      </c>
      <c r="D209" s="101"/>
      <c r="E209" s="6">
        <f>C209/C207*100</f>
        <v>80.040000000000006</v>
      </c>
    </row>
    <row r="210" spans="1:14" x14ac:dyDescent="0.25">
      <c r="B210" s="7" t="s">
        <v>51</v>
      </c>
      <c r="C210" s="102">
        <f>C207-C209</f>
        <v>175380.85394235491</v>
      </c>
      <c r="D210" s="102"/>
      <c r="E210" s="6">
        <f>100-E209</f>
        <v>19.959999999999994</v>
      </c>
      <c r="M210" s="46" t="s">
        <v>65</v>
      </c>
      <c r="N210" s="50" t="s">
        <v>64</v>
      </c>
    </row>
    <row r="211" spans="1:14" x14ac:dyDescent="0.25">
      <c r="B211" s="7" t="s">
        <v>52</v>
      </c>
      <c r="C211" s="97">
        <f>C208*0.03</f>
        <v>30000</v>
      </c>
      <c r="D211" s="98"/>
      <c r="E211" s="6">
        <v>3</v>
      </c>
      <c r="M211" s="46" t="s">
        <v>62</v>
      </c>
      <c r="N211" s="50" t="s">
        <v>63</v>
      </c>
    </row>
    <row r="212" spans="1:14" x14ac:dyDescent="0.25">
      <c r="B212" s="7" t="s">
        <v>53</v>
      </c>
      <c r="C212" s="97">
        <f>C208*0.02</f>
        <v>20000</v>
      </c>
      <c r="D212" s="98"/>
      <c r="E212" s="6">
        <v>2</v>
      </c>
    </row>
    <row r="213" spans="1:14" x14ac:dyDescent="0.25">
      <c r="M213" s="46" t="s">
        <v>66</v>
      </c>
    </row>
    <row r="214" spans="1:14" ht="24.75" customHeight="1" x14ac:dyDescent="0.25">
      <c r="A214" s="66" t="s">
        <v>100</v>
      </c>
      <c r="B214" s="90" t="s">
        <v>101</v>
      </c>
      <c r="C214" s="90"/>
      <c r="D214" s="90"/>
      <c r="E214" s="90"/>
      <c r="F214" s="90"/>
      <c r="G214" s="90"/>
      <c r="H214" s="90"/>
      <c r="I214" s="90"/>
      <c r="J214" s="90"/>
      <c r="K214" s="90"/>
    </row>
  </sheetData>
  <mergeCells count="16">
    <mergeCell ref="C211:D211"/>
    <mergeCell ref="C212:D212"/>
    <mergeCell ref="B214:K214"/>
    <mergeCell ref="A7:F7"/>
    <mergeCell ref="H7:K7"/>
    <mergeCell ref="C207:D207"/>
    <mergeCell ref="C208:D208"/>
    <mergeCell ref="C209:D209"/>
    <mergeCell ref="C210:D210"/>
    <mergeCell ref="A6:F6"/>
    <mergeCell ref="H6:K6"/>
    <mergeCell ref="A1:K1"/>
    <mergeCell ref="A2:K2"/>
    <mergeCell ref="A3:K3"/>
    <mergeCell ref="A4:K4"/>
    <mergeCell ref="A5:K5"/>
  </mergeCells>
  <hyperlinks>
    <hyperlink ref="B159"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FINAL (3)</vt:lpstr>
      <vt:lpstr>WCR</vt:lpstr>
      <vt:lpstr>valuated</vt:lpstr>
      <vt:lpstr>'FINAL (3)'!Print_Area</vt:lpstr>
      <vt:lpstr>valuated!Print_Area</vt:lpstr>
      <vt:lpstr>WCR!Print_Area</vt:lpstr>
      <vt:lpstr>'FINAL (3)'!Print_Titles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2024-02-26T05:34:02Z</cp:lastPrinted>
  <dcterms:created xsi:type="dcterms:W3CDTF">2015-06-05T18:17:20Z</dcterms:created>
  <dcterms:modified xsi:type="dcterms:W3CDTF">2024-06-23T08:06:13Z</dcterms:modified>
</cp:coreProperties>
</file>