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080-081\ward office aayojana\budget estimate\last moment\completed\लाकिला गणेश मन्दिर निर्माण\new estimate\"/>
    </mc:Choice>
  </mc:AlternateContent>
  <bookViews>
    <workbookView xWindow="-120" yWindow="-120" windowWidth="20730" windowHeight="11160" firstSheet="2" activeTab="2"/>
  </bookViews>
  <sheets>
    <sheet name="final (2)" sheetId="11" state="hidden" r:id="rId1"/>
    <sheet name="FINAL" sheetId="12" state="hidden" r:id="rId2"/>
    <sheet name="FINAL (3)" sheetId="13" r:id="rId3"/>
  </sheets>
  <externalReferences>
    <externalReference r:id="rId4"/>
    <externalReference r:id="rId5"/>
  </externalReferences>
  <definedNames>
    <definedName name="description_103">[1]Abstract!$B$16</definedName>
    <definedName name="description_124" localSheetId="1">#REF!</definedName>
    <definedName name="description_124" localSheetId="0">#REF!</definedName>
    <definedName name="description_124" localSheetId="2">#REF!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1">FINAL!$A$1:$K$174</definedName>
    <definedName name="_xlnm.Print_Area" localSheetId="0">'final (2)'!$A$1:$K$200</definedName>
    <definedName name="_xlnm.Print_Area" localSheetId="2">'FINAL (3)'!$A$1:$K$167</definedName>
    <definedName name="_xlnm.Print_Titles" localSheetId="1">FINAL!$1:$8</definedName>
    <definedName name="_xlnm.Print_Titles" localSheetId="0">'final (2)'!$1:$8</definedName>
    <definedName name="_xlnm.Print_Titles" localSheetId="2">'FINAL (3)'!$1:$8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2" i="13" l="1"/>
  <c r="D91" i="13"/>
  <c r="D79" i="13"/>
  <c r="D78" i="13"/>
  <c r="C167" i="13" l="1"/>
  <c r="C166" i="13"/>
  <c r="G158" i="13"/>
  <c r="J158" i="13" s="1"/>
  <c r="I155" i="13"/>
  <c r="D154" i="13"/>
  <c r="G154" i="13" s="1"/>
  <c r="D153" i="13"/>
  <c r="G153" i="13" s="1"/>
  <c r="D152" i="13"/>
  <c r="G152" i="13" s="1"/>
  <c r="G150" i="13"/>
  <c r="J150" i="13" s="1"/>
  <c r="F147" i="13"/>
  <c r="E147" i="13"/>
  <c r="D147" i="13"/>
  <c r="I143" i="13"/>
  <c r="C142" i="13"/>
  <c r="B142" i="13"/>
  <c r="F141" i="13"/>
  <c r="D141" i="13"/>
  <c r="G141" i="13" s="1"/>
  <c r="D135" i="13"/>
  <c r="G135" i="13" s="1"/>
  <c r="G136" i="13" s="1"/>
  <c r="I131" i="13"/>
  <c r="D130" i="13"/>
  <c r="D142" i="13" s="1"/>
  <c r="C130" i="13"/>
  <c r="B130" i="13"/>
  <c r="F129" i="13"/>
  <c r="F140" i="13" s="1"/>
  <c r="D129" i="13"/>
  <c r="D140" i="13" s="1"/>
  <c r="C129" i="13"/>
  <c r="B129" i="13"/>
  <c r="F128" i="13"/>
  <c r="D128" i="13"/>
  <c r="C128" i="13"/>
  <c r="B128" i="13"/>
  <c r="D122" i="13"/>
  <c r="E121" i="13"/>
  <c r="D121" i="13"/>
  <c r="D120" i="13"/>
  <c r="C120" i="13"/>
  <c r="B120" i="13"/>
  <c r="D119" i="13"/>
  <c r="F119" i="13" s="1"/>
  <c r="C119" i="13"/>
  <c r="B119" i="13"/>
  <c r="F118" i="13"/>
  <c r="C118" i="13"/>
  <c r="B118" i="13"/>
  <c r="F113" i="13"/>
  <c r="G113" i="13" s="1"/>
  <c r="F112" i="13"/>
  <c r="D112" i="13"/>
  <c r="F111" i="13"/>
  <c r="F130" i="13" s="1"/>
  <c r="G110" i="13"/>
  <c r="F109" i="13"/>
  <c r="D109" i="13"/>
  <c r="F104" i="13"/>
  <c r="D104" i="13"/>
  <c r="C104" i="13"/>
  <c r="E99" i="13"/>
  <c r="B99" i="13"/>
  <c r="E98" i="13"/>
  <c r="B98" i="13"/>
  <c r="E96" i="13"/>
  <c r="C96" i="13"/>
  <c r="E95" i="13"/>
  <c r="D95" i="13"/>
  <c r="C95" i="13"/>
  <c r="E94" i="13"/>
  <c r="D94" i="13"/>
  <c r="C94" i="13"/>
  <c r="E93" i="13"/>
  <c r="D93" i="13"/>
  <c r="C93" i="13"/>
  <c r="E92" i="13"/>
  <c r="C92" i="13"/>
  <c r="E91" i="13"/>
  <c r="C91" i="13"/>
  <c r="E90" i="13"/>
  <c r="C90" i="13"/>
  <c r="E89" i="13"/>
  <c r="E88" i="13"/>
  <c r="E86" i="13"/>
  <c r="E85" i="13"/>
  <c r="D85" i="13"/>
  <c r="C85" i="13"/>
  <c r="E84" i="13"/>
  <c r="D84" i="13"/>
  <c r="C84" i="13"/>
  <c r="E83" i="13"/>
  <c r="C83" i="13"/>
  <c r="N82" i="13"/>
  <c r="E82" i="13"/>
  <c r="D82" i="13"/>
  <c r="E81" i="13"/>
  <c r="D81" i="13"/>
  <c r="C81" i="13"/>
  <c r="M80" i="13"/>
  <c r="N80" i="13" s="1"/>
  <c r="O80" i="13" s="1"/>
  <c r="E80" i="13"/>
  <c r="C80" i="13"/>
  <c r="E79" i="13"/>
  <c r="C79" i="13"/>
  <c r="E78" i="13"/>
  <c r="C78" i="13"/>
  <c r="N77" i="13"/>
  <c r="O77" i="13" s="1"/>
  <c r="M77" i="13"/>
  <c r="E77" i="13"/>
  <c r="D77" i="13"/>
  <c r="E76" i="13"/>
  <c r="D76" i="13"/>
  <c r="C76" i="13"/>
  <c r="E75" i="13"/>
  <c r="D75" i="13"/>
  <c r="E74" i="13"/>
  <c r="C74" i="13"/>
  <c r="B74" i="13"/>
  <c r="M73" i="13"/>
  <c r="N73" i="13" s="1"/>
  <c r="E73" i="13"/>
  <c r="B73" i="13"/>
  <c r="M72" i="13"/>
  <c r="N72" i="13" s="1"/>
  <c r="N71" i="13"/>
  <c r="E68" i="13"/>
  <c r="C99" i="13" s="1"/>
  <c r="D68" i="13"/>
  <c r="C98" i="13" s="1"/>
  <c r="C68" i="13"/>
  <c r="B68" i="13"/>
  <c r="B97" i="13" s="1"/>
  <c r="E67" i="13"/>
  <c r="D67" i="13"/>
  <c r="C67" i="13"/>
  <c r="B67" i="13"/>
  <c r="C66" i="13"/>
  <c r="B66" i="13"/>
  <c r="B95" i="13" s="1"/>
  <c r="F64" i="13"/>
  <c r="D64" i="13"/>
  <c r="B64" i="13"/>
  <c r="B93" i="13" s="1"/>
  <c r="D63" i="13"/>
  <c r="D65" i="13" s="1"/>
  <c r="C63" i="13"/>
  <c r="C65" i="13" s="1"/>
  <c r="B63" i="13"/>
  <c r="B90" i="13" s="1"/>
  <c r="D62" i="13"/>
  <c r="C88" i="13" s="1"/>
  <c r="C62" i="13"/>
  <c r="B62" i="13"/>
  <c r="B87" i="13" s="1"/>
  <c r="C61" i="13"/>
  <c r="C123" i="13" s="1"/>
  <c r="B61" i="13"/>
  <c r="B86" i="13" s="1"/>
  <c r="E60" i="13"/>
  <c r="E122" i="13" s="1"/>
  <c r="D60" i="13"/>
  <c r="C59" i="13"/>
  <c r="C121" i="13" s="1"/>
  <c r="B59" i="13"/>
  <c r="B121" i="13" s="1"/>
  <c r="F58" i="13"/>
  <c r="C58" i="13"/>
  <c r="F57" i="13"/>
  <c r="C57" i="13"/>
  <c r="B57" i="13"/>
  <c r="B83" i="13" s="1"/>
  <c r="F56" i="13"/>
  <c r="C56" i="13"/>
  <c r="B56" i="13"/>
  <c r="D55" i="13"/>
  <c r="C55" i="13"/>
  <c r="C60" i="13" s="1"/>
  <c r="C122" i="13" s="1"/>
  <c r="B55" i="13"/>
  <c r="F54" i="13"/>
  <c r="C54" i="13"/>
  <c r="D53" i="13"/>
  <c r="C53" i="13"/>
  <c r="C77" i="13" s="1"/>
  <c r="F52" i="13"/>
  <c r="D46" i="13"/>
  <c r="G46" i="13" s="1"/>
  <c r="G45" i="13"/>
  <c r="E44" i="13"/>
  <c r="E66" i="13" s="1"/>
  <c r="D44" i="13"/>
  <c r="D66" i="13" s="1"/>
  <c r="C43" i="13"/>
  <c r="C64" i="13" s="1"/>
  <c r="E42" i="13"/>
  <c r="D42" i="13"/>
  <c r="C42" i="13"/>
  <c r="F41" i="13"/>
  <c r="F63" i="13" s="1"/>
  <c r="E40" i="13"/>
  <c r="D40" i="13"/>
  <c r="G40" i="13" s="1"/>
  <c r="E39" i="13"/>
  <c r="E61" i="13" s="1"/>
  <c r="E123" i="13" s="1"/>
  <c r="D39" i="13"/>
  <c r="E38" i="13"/>
  <c r="E59" i="13" s="1"/>
  <c r="D38" i="13"/>
  <c r="D37" i="13"/>
  <c r="G37" i="13" s="1"/>
  <c r="D36" i="13"/>
  <c r="D35" i="13"/>
  <c r="G35" i="13" s="1"/>
  <c r="F34" i="13"/>
  <c r="D33" i="13"/>
  <c r="G33" i="13" s="1"/>
  <c r="B32" i="13"/>
  <c r="B76" i="13" s="1"/>
  <c r="D29" i="13"/>
  <c r="M28" i="13"/>
  <c r="N28" i="13" s="1"/>
  <c r="F28" i="13"/>
  <c r="G28" i="13" s="1"/>
  <c r="C21" i="13"/>
  <c r="C27" i="13" s="1"/>
  <c r="B21" i="13"/>
  <c r="E16" i="13"/>
  <c r="E32" i="13" s="1"/>
  <c r="D16" i="13"/>
  <c r="D32" i="13" s="1"/>
  <c r="B15" i="13"/>
  <c r="E11" i="13"/>
  <c r="E21" i="13" s="1"/>
  <c r="E27" i="13" s="1"/>
  <c r="D11" i="13"/>
  <c r="D15" i="13" s="1"/>
  <c r="G144" i="12"/>
  <c r="G142" i="12"/>
  <c r="F142" i="12"/>
  <c r="D142" i="12"/>
  <c r="F143" i="12"/>
  <c r="D143" i="12"/>
  <c r="G154" i="12"/>
  <c r="G143" i="12"/>
  <c r="C143" i="12"/>
  <c r="B143" i="12"/>
  <c r="G125" i="12"/>
  <c r="B118" i="12"/>
  <c r="C118" i="12"/>
  <c r="F118" i="12"/>
  <c r="B119" i="12"/>
  <c r="C119" i="12"/>
  <c r="D119" i="12"/>
  <c r="F119" i="12" s="1"/>
  <c r="B120" i="12"/>
  <c r="C120" i="12"/>
  <c r="D120" i="12"/>
  <c r="D121" i="12"/>
  <c r="E121" i="12"/>
  <c r="D122" i="12"/>
  <c r="D124" i="12"/>
  <c r="E124" i="12"/>
  <c r="G124" i="12" s="1"/>
  <c r="F148" i="12"/>
  <c r="D136" i="12"/>
  <c r="I144" i="12"/>
  <c r="G128" i="13" l="1"/>
  <c r="F76" i="13"/>
  <c r="G76" i="13" s="1"/>
  <c r="G140" i="13"/>
  <c r="G41" i="13"/>
  <c r="G64" i="13"/>
  <c r="G109" i="13"/>
  <c r="G112" i="13"/>
  <c r="G42" i="13"/>
  <c r="O73" i="13"/>
  <c r="O71" i="13" s="1"/>
  <c r="P71" i="13" s="1"/>
  <c r="F93" i="13"/>
  <c r="G93" i="13" s="1"/>
  <c r="D21" i="13"/>
  <c r="D27" i="13" s="1"/>
  <c r="D52" i="13" s="1"/>
  <c r="G39" i="13"/>
  <c r="F77" i="13"/>
  <c r="G77" i="13" s="1"/>
  <c r="G121" i="13"/>
  <c r="D89" i="13"/>
  <c r="F91" i="13"/>
  <c r="G91" i="13" s="1"/>
  <c r="F92" i="13"/>
  <c r="G92" i="13" s="1"/>
  <c r="G155" i="13"/>
  <c r="F84" i="13"/>
  <c r="G84" i="13" s="1"/>
  <c r="G104" i="13"/>
  <c r="G105" i="13" s="1"/>
  <c r="J106" i="13" s="1"/>
  <c r="C164" i="13"/>
  <c r="G16" i="13"/>
  <c r="G43" i="13"/>
  <c r="G65" i="13"/>
  <c r="F78" i="13"/>
  <c r="G78" i="13" s="1"/>
  <c r="F79" i="13"/>
  <c r="G79" i="13" s="1"/>
  <c r="F96" i="13"/>
  <c r="G96" i="13" s="1"/>
  <c r="G119" i="13"/>
  <c r="G129" i="13"/>
  <c r="G122" i="13"/>
  <c r="G68" i="13"/>
  <c r="F95" i="13"/>
  <c r="G95" i="13" s="1"/>
  <c r="G147" i="13"/>
  <c r="G148" i="13" s="1"/>
  <c r="J148" i="13" s="1"/>
  <c r="D98" i="13"/>
  <c r="E15" i="13"/>
  <c r="G15" i="13" s="1"/>
  <c r="G17" i="13" s="1"/>
  <c r="G32" i="13"/>
  <c r="G44" i="13"/>
  <c r="D61" i="13"/>
  <c r="D123" i="13" s="1"/>
  <c r="G123" i="13" s="1"/>
  <c r="G66" i="13"/>
  <c r="G67" i="13"/>
  <c r="F98" i="13"/>
  <c r="G98" i="13" s="1"/>
  <c r="F81" i="13"/>
  <c r="G81" i="13" s="1"/>
  <c r="F85" i="13"/>
  <c r="G85" i="13" s="1"/>
  <c r="F94" i="13"/>
  <c r="G94" i="13" s="1"/>
  <c r="F55" i="13"/>
  <c r="G34" i="13"/>
  <c r="D59" i="13"/>
  <c r="G59" i="13" s="1"/>
  <c r="G38" i="13"/>
  <c r="D57" i="13"/>
  <c r="G57" i="13" s="1"/>
  <c r="G36" i="13"/>
  <c r="J137" i="13"/>
  <c r="J136" i="13"/>
  <c r="G27" i="13"/>
  <c r="C52" i="13"/>
  <c r="G55" i="13"/>
  <c r="J155" i="13"/>
  <c r="J156" i="13"/>
  <c r="F142" i="13"/>
  <c r="G142" i="13" s="1"/>
  <c r="G143" i="13" s="1"/>
  <c r="G130" i="13"/>
  <c r="D54" i="13"/>
  <c r="C75" i="13" s="1"/>
  <c r="D30" i="13"/>
  <c r="G29" i="13"/>
  <c r="D90" i="13"/>
  <c r="F90" i="13" s="1"/>
  <c r="G90" i="13" s="1"/>
  <c r="G63" i="13"/>
  <c r="F53" i="13"/>
  <c r="D118" i="13"/>
  <c r="G118" i="13" s="1"/>
  <c r="G53" i="13"/>
  <c r="D56" i="13"/>
  <c r="G56" i="13" s="1"/>
  <c r="G60" i="13"/>
  <c r="G111" i="13"/>
  <c r="G114" i="13" s="1"/>
  <c r="D58" i="13"/>
  <c r="G58" i="13" s="1"/>
  <c r="E62" i="13"/>
  <c r="G62" i="13" s="1"/>
  <c r="D99" i="13"/>
  <c r="F99" i="13" s="1"/>
  <c r="G99" i="13" s="1"/>
  <c r="B123" i="13"/>
  <c r="G11" i="13"/>
  <c r="G12" i="13" s="1"/>
  <c r="J12" i="13" s="1"/>
  <c r="F120" i="13"/>
  <c r="G120" i="13" s="1"/>
  <c r="G119" i="12"/>
  <c r="J105" i="13" l="1"/>
  <c r="G131" i="13"/>
  <c r="J131" i="13" s="1"/>
  <c r="J18" i="13"/>
  <c r="J17" i="13"/>
  <c r="G21" i="13"/>
  <c r="G22" i="13" s="1"/>
  <c r="J22" i="13" s="1"/>
  <c r="D86" i="13"/>
  <c r="C86" i="13" s="1"/>
  <c r="F86" i="13" s="1"/>
  <c r="G86" i="13" s="1"/>
  <c r="G124" i="13"/>
  <c r="D73" i="13"/>
  <c r="C73" i="13" s="1"/>
  <c r="F73" i="13" s="1"/>
  <c r="G73" i="13" s="1"/>
  <c r="G61" i="13"/>
  <c r="G52" i="13"/>
  <c r="J144" i="13"/>
  <c r="J143" i="13"/>
  <c r="F75" i="13"/>
  <c r="G75" i="13" s="1"/>
  <c r="C82" i="13"/>
  <c r="F82" i="13" s="1"/>
  <c r="G82" i="13" s="1"/>
  <c r="J124" i="13"/>
  <c r="J125" i="13"/>
  <c r="J114" i="13"/>
  <c r="J115" i="13"/>
  <c r="J23" i="13"/>
  <c r="J132" i="13"/>
  <c r="C89" i="13"/>
  <c r="F89" i="13" s="1"/>
  <c r="G89" i="13" s="1"/>
  <c r="D88" i="13"/>
  <c r="F88" i="13" s="1"/>
  <c r="G88" i="13" s="1"/>
  <c r="G30" i="13"/>
  <c r="D31" i="13"/>
  <c r="G31" i="13" s="1"/>
  <c r="G54" i="13"/>
  <c r="D74" i="13" l="1"/>
  <c r="G69" i="13"/>
  <c r="J69" i="13" s="1"/>
  <c r="G47" i="13"/>
  <c r="J48" i="13" s="1"/>
  <c r="J47" i="13"/>
  <c r="D83" i="13"/>
  <c r="F83" i="13" s="1"/>
  <c r="G83" i="13" s="1"/>
  <c r="D80" i="13"/>
  <c r="F80" i="13" s="1"/>
  <c r="G80" i="13" s="1"/>
  <c r="F74" i="13"/>
  <c r="G74" i="13" s="1"/>
  <c r="G100" i="13" l="1"/>
  <c r="J100" i="13" s="1"/>
  <c r="J70" i="13"/>
  <c r="J101" i="13" l="1"/>
  <c r="J160" i="13"/>
  <c r="C162" i="13" s="1"/>
  <c r="C165" i="13" l="1"/>
  <c r="E164" i="13"/>
  <c r="E165" i="13" s="1"/>
  <c r="F130" i="12" l="1"/>
  <c r="F141" i="12" s="1"/>
  <c r="D130" i="12"/>
  <c r="D141" i="12" s="1"/>
  <c r="G141" i="12" s="1"/>
  <c r="F111" i="12"/>
  <c r="F120" i="12" s="1"/>
  <c r="G120" i="12" s="1"/>
  <c r="J145" i="12" l="1"/>
  <c r="J144" i="12"/>
  <c r="C152" i="12"/>
  <c r="C153" i="12"/>
  <c r="E153" i="12"/>
  <c r="B153" i="12"/>
  <c r="B152" i="12"/>
  <c r="C174" i="12"/>
  <c r="C173" i="12"/>
  <c r="G165" i="12"/>
  <c r="J165" i="12" s="1"/>
  <c r="I162" i="12"/>
  <c r="D161" i="12"/>
  <c r="G161" i="12" s="1"/>
  <c r="D160" i="12"/>
  <c r="G160" i="12" s="1"/>
  <c r="D159" i="12"/>
  <c r="G159" i="12" s="1"/>
  <c r="G157" i="12"/>
  <c r="J157" i="12" s="1"/>
  <c r="I154" i="12"/>
  <c r="E148" i="12"/>
  <c r="D148" i="12"/>
  <c r="I132" i="12"/>
  <c r="D131" i="12"/>
  <c r="C131" i="12"/>
  <c r="B131" i="12"/>
  <c r="C130" i="12"/>
  <c r="G130" i="12" s="1"/>
  <c r="B130" i="12"/>
  <c r="F129" i="12"/>
  <c r="D129" i="12"/>
  <c r="C129" i="12"/>
  <c r="B129" i="12"/>
  <c r="F113" i="12"/>
  <c r="G113" i="12" s="1"/>
  <c r="F112" i="12"/>
  <c r="D112" i="12"/>
  <c r="F131" i="12"/>
  <c r="G110" i="12"/>
  <c r="F109" i="12"/>
  <c r="D109" i="12"/>
  <c r="D118" i="12" s="1"/>
  <c r="G118" i="12" s="1"/>
  <c r="F104" i="12"/>
  <c r="D104" i="12"/>
  <c r="C104" i="12"/>
  <c r="E99" i="12"/>
  <c r="B99" i="12"/>
  <c r="E98" i="12"/>
  <c r="B98" i="12"/>
  <c r="E96" i="12"/>
  <c r="C96" i="12"/>
  <c r="E95" i="12"/>
  <c r="D95" i="12"/>
  <c r="C95" i="12"/>
  <c r="E94" i="12"/>
  <c r="D94" i="12"/>
  <c r="C94" i="12"/>
  <c r="E93" i="12"/>
  <c r="D93" i="12"/>
  <c r="C93" i="12"/>
  <c r="E92" i="12"/>
  <c r="D92" i="12"/>
  <c r="C92" i="12"/>
  <c r="E91" i="12"/>
  <c r="D91" i="12"/>
  <c r="C91" i="12"/>
  <c r="E90" i="12"/>
  <c r="C90" i="12"/>
  <c r="E89" i="12"/>
  <c r="E88" i="12"/>
  <c r="E86" i="12"/>
  <c r="E85" i="12"/>
  <c r="D85" i="12"/>
  <c r="C85" i="12"/>
  <c r="E84" i="12"/>
  <c r="D84" i="12"/>
  <c r="C84" i="12"/>
  <c r="E83" i="12"/>
  <c r="C83" i="12"/>
  <c r="N82" i="12"/>
  <c r="E82" i="12"/>
  <c r="D82" i="12"/>
  <c r="E81" i="12"/>
  <c r="D81" i="12"/>
  <c r="C81" i="12"/>
  <c r="M80" i="12"/>
  <c r="N80" i="12" s="1"/>
  <c r="O80" i="12" s="1"/>
  <c r="E80" i="12"/>
  <c r="C80" i="12"/>
  <c r="E79" i="12"/>
  <c r="D79" i="12"/>
  <c r="C79" i="12"/>
  <c r="E78" i="12"/>
  <c r="D78" i="12"/>
  <c r="C78" i="12"/>
  <c r="M77" i="12"/>
  <c r="N77" i="12" s="1"/>
  <c r="O77" i="12" s="1"/>
  <c r="E77" i="12"/>
  <c r="D77" i="12"/>
  <c r="E76" i="12"/>
  <c r="D76" i="12"/>
  <c r="C76" i="12"/>
  <c r="E75" i="12"/>
  <c r="D75" i="12"/>
  <c r="E74" i="12"/>
  <c r="C74" i="12"/>
  <c r="B74" i="12"/>
  <c r="M73" i="12"/>
  <c r="O73" i="12" s="1"/>
  <c r="E73" i="12"/>
  <c r="B73" i="12"/>
  <c r="M72" i="12"/>
  <c r="N72" i="12" s="1"/>
  <c r="N71" i="12"/>
  <c r="E68" i="12"/>
  <c r="C99" i="12" s="1"/>
  <c r="D68" i="12"/>
  <c r="D99" i="12" s="1"/>
  <c r="C68" i="12"/>
  <c r="B68" i="12"/>
  <c r="B97" i="12" s="1"/>
  <c r="E67" i="12"/>
  <c r="D67" i="12"/>
  <c r="C67" i="12"/>
  <c r="B67" i="12"/>
  <c r="C66" i="12"/>
  <c r="B66" i="12"/>
  <c r="B95" i="12" s="1"/>
  <c r="B124" i="12" s="1"/>
  <c r="F64" i="12"/>
  <c r="D64" i="12"/>
  <c r="B64" i="12"/>
  <c r="B93" i="12" s="1"/>
  <c r="D63" i="12"/>
  <c r="D65" i="12" s="1"/>
  <c r="C63" i="12"/>
  <c r="C65" i="12" s="1"/>
  <c r="B63" i="12"/>
  <c r="B90" i="12" s="1"/>
  <c r="D62" i="12"/>
  <c r="C88" i="12" s="1"/>
  <c r="C62" i="12"/>
  <c r="B62" i="12"/>
  <c r="B87" i="12" s="1"/>
  <c r="C61" i="12"/>
  <c r="C123" i="12" s="1"/>
  <c r="B61" i="12"/>
  <c r="B123" i="12" s="1"/>
  <c r="E60" i="12"/>
  <c r="E122" i="12" s="1"/>
  <c r="D60" i="12"/>
  <c r="C59" i="12"/>
  <c r="C121" i="12" s="1"/>
  <c r="G121" i="12" s="1"/>
  <c r="B59" i="12"/>
  <c r="B121" i="12" s="1"/>
  <c r="F58" i="12"/>
  <c r="C58" i="12"/>
  <c r="F57" i="12"/>
  <c r="C57" i="12"/>
  <c r="B57" i="12"/>
  <c r="B83" i="12" s="1"/>
  <c r="F56" i="12"/>
  <c r="C56" i="12"/>
  <c r="B56" i="12"/>
  <c r="D55" i="12"/>
  <c r="C55" i="12"/>
  <c r="B55" i="12"/>
  <c r="F54" i="12"/>
  <c r="C54" i="12"/>
  <c r="D53" i="12"/>
  <c r="C53" i="12"/>
  <c r="C77" i="12" s="1"/>
  <c r="F52" i="12"/>
  <c r="D46" i="12"/>
  <c r="G46" i="12" s="1"/>
  <c r="G45" i="12"/>
  <c r="E44" i="12"/>
  <c r="E66" i="12" s="1"/>
  <c r="D44" i="12"/>
  <c r="D66" i="12" s="1"/>
  <c r="C43" i="12"/>
  <c r="E42" i="12"/>
  <c r="D42" i="12"/>
  <c r="C42" i="12"/>
  <c r="F41" i="12"/>
  <c r="F63" i="12" s="1"/>
  <c r="D90" i="12" s="1"/>
  <c r="E40" i="12"/>
  <c r="E152" i="12" s="1"/>
  <c r="D40" i="12"/>
  <c r="D152" i="12" s="1"/>
  <c r="G152" i="12" s="1"/>
  <c r="E39" i="12"/>
  <c r="E61" i="12" s="1"/>
  <c r="E123" i="12" s="1"/>
  <c r="D39" i="12"/>
  <c r="E38" i="12"/>
  <c r="E59" i="12" s="1"/>
  <c r="D38" i="12"/>
  <c r="D37" i="12"/>
  <c r="D58" i="12" s="1"/>
  <c r="D36" i="12"/>
  <c r="D57" i="12" s="1"/>
  <c r="D35" i="12"/>
  <c r="D56" i="12" s="1"/>
  <c r="F34" i="12"/>
  <c r="F55" i="12" s="1"/>
  <c r="D33" i="12"/>
  <c r="G33" i="12" s="1"/>
  <c r="B32" i="12"/>
  <c r="B76" i="12" s="1"/>
  <c r="D29" i="12"/>
  <c r="D30" i="12" s="1"/>
  <c r="M28" i="12"/>
  <c r="N28" i="12" s="1"/>
  <c r="F28" i="12"/>
  <c r="F53" i="12" s="1"/>
  <c r="C21" i="12"/>
  <c r="C27" i="12" s="1"/>
  <c r="C52" i="12" s="1"/>
  <c r="B21" i="12"/>
  <c r="E16" i="12"/>
  <c r="E32" i="12" s="1"/>
  <c r="D16" i="12"/>
  <c r="B15" i="12"/>
  <c r="E11" i="12"/>
  <c r="E15" i="12" s="1"/>
  <c r="D11" i="12"/>
  <c r="D21" i="12" s="1"/>
  <c r="D27" i="12" s="1"/>
  <c r="D73" i="12" s="1"/>
  <c r="C73" i="12" s="1"/>
  <c r="G135" i="11"/>
  <c r="G139" i="11"/>
  <c r="I168" i="11"/>
  <c r="D134" i="11"/>
  <c r="E134" i="11"/>
  <c r="G134" i="11" s="1"/>
  <c r="F130" i="11"/>
  <c r="G162" i="12" l="1"/>
  <c r="G16" i="12"/>
  <c r="C171" i="12"/>
  <c r="D153" i="12"/>
  <c r="G153" i="12" s="1"/>
  <c r="G131" i="12"/>
  <c r="G136" i="12"/>
  <c r="G137" i="12" s="1"/>
  <c r="J138" i="12" s="1"/>
  <c r="G68" i="12"/>
  <c r="G34" i="12"/>
  <c r="G57" i="12"/>
  <c r="G36" i="12"/>
  <c r="E21" i="12"/>
  <c r="E27" i="12" s="1"/>
  <c r="G27" i="12" s="1"/>
  <c r="G56" i="12"/>
  <c r="F85" i="12"/>
  <c r="G85" i="12" s="1"/>
  <c r="F95" i="12"/>
  <c r="G95" i="12" s="1"/>
  <c r="F96" i="12"/>
  <c r="G96" i="12" s="1"/>
  <c r="G35" i="12"/>
  <c r="G37" i="12"/>
  <c r="G28" i="12"/>
  <c r="G29" i="12"/>
  <c r="G38" i="12"/>
  <c r="D54" i="12"/>
  <c r="C75" i="12" s="1"/>
  <c r="C82" i="12" s="1"/>
  <c r="F82" i="12" s="1"/>
  <c r="G82" i="12" s="1"/>
  <c r="G58" i="12"/>
  <c r="D59" i="12"/>
  <c r="G59" i="12" s="1"/>
  <c r="F81" i="12"/>
  <c r="G81" i="12" s="1"/>
  <c r="G112" i="12"/>
  <c r="G129" i="12"/>
  <c r="G44" i="12"/>
  <c r="G65" i="12"/>
  <c r="F92" i="12"/>
  <c r="G92" i="12" s="1"/>
  <c r="G148" i="12"/>
  <c r="G149" i="12" s="1"/>
  <c r="J149" i="12" s="1"/>
  <c r="D31" i="12"/>
  <c r="G31" i="12" s="1"/>
  <c r="G30" i="12"/>
  <c r="D15" i="12"/>
  <c r="G15" i="12" s="1"/>
  <c r="G17" i="12" s="1"/>
  <c r="G41" i="12"/>
  <c r="G67" i="12"/>
  <c r="F76" i="12"/>
  <c r="G76" i="12" s="1"/>
  <c r="F91" i="12"/>
  <c r="G91" i="12" s="1"/>
  <c r="G109" i="12"/>
  <c r="D32" i="12"/>
  <c r="G32" i="12" s="1"/>
  <c r="G42" i="12"/>
  <c r="F79" i="12"/>
  <c r="G79" i="12" s="1"/>
  <c r="F94" i="12"/>
  <c r="G94" i="12" s="1"/>
  <c r="C98" i="12"/>
  <c r="G104" i="12"/>
  <c r="G105" i="12" s="1"/>
  <c r="J106" i="12" s="1"/>
  <c r="G11" i="12"/>
  <c r="G12" i="12" s="1"/>
  <c r="J12" i="12" s="1"/>
  <c r="F99" i="12"/>
  <c r="G99" i="12" s="1"/>
  <c r="N73" i="12"/>
  <c r="O71" i="12" s="1"/>
  <c r="P71" i="12" s="1"/>
  <c r="B86" i="12"/>
  <c r="F93" i="12"/>
  <c r="G93" i="12" s="1"/>
  <c r="J105" i="12"/>
  <c r="J163" i="12"/>
  <c r="J162" i="12"/>
  <c r="E62" i="12"/>
  <c r="F77" i="12"/>
  <c r="G77" i="12" s="1"/>
  <c r="F90" i="12"/>
  <c r="G90" i="12" s="1"/>
  <c r="G39" i="12"/>
  <c r="D61" i="12"/>
  <c r="D123" i="12" s="1"/>
  <c r="G123" i="12" s="1"/>
  <c r="G63" i="12"/>
  <c r="F73" i="12"/>
  <c r="G73" i="12" s="1"/>
  <c r="C64" i="12"/>
  <c r="G64" i="12" s="1"/>
  <c r="G43" i="12"/>
  <c r="D52" i="12"/>
  <c r="G52" i="12" s="1"/>
  <c r="C60" i="12"/>
  <c r="C122" i="12" s="1"/>
  <c r="G122" i="12" s="1"/>
  <c r="G55" i="12"/>
  <c r="G66" i="12"/>
  <c r="D74" i="12"/>
  <c r="F78" i="12"/>
  <c r="G78" i="12" s="1"/>
  <c r="F84" i="12"/>
  <c r="G84" i="12" s="1"/>
  <c r="G40" i="12"/>
  <c r="D89" i="12"/>
  <c r="D98" i="12"/>
  <c r="G53" i="12"/>
  <c r="G111" i="12"/>
  <c r="G132" i="12" l="1"/>
  <c r="J133" i="12" s="1"/>
  <c r="J137" i="12"/>
  <c r="G114" i="12"/>
  <c r="J114" i="12" s="1"/>
  <c r="G54" i="12"/>
  <c r="F75" i="12"/>
  <c r="G75" i="12" s="1"/>
  <c r="J132" i="12"/>
  <c r="G21" i="12"/>
  <c r="G22" i="12" s="1"/>
  <c r="J23" i="12" s="1"/>
  <c r="J17" i="12"/>
  <c r="J18" i="12"/>
  <c r="F98" i="12"/>
  <c r="G98" i="12" s="1"/>
  <c r="J115" i="12"/>
  <c r="D83" i="12"/>
  <c r="F83" i="12" s="1"/>
  <c r="G83" i="12" s="1"/>
  <c r="D80" i="12"/>
  <c r="F80" i="12" s="1"/>
  <c r="G80" i="12" s="1"/>
  <c r="G60" i="12"/>
  <c r="F74" i="12"/>
  <c r="G74" i="12" s="1"/>
  <c r="G47" i="12"/>
  <c r="D88" i="12"/>
  <c r="F88" i="12" s="1"/>
  <c r="G88" i="12" s="1"/>
  <c r="C89" i="12"/>
  <c r="F89" i="12" s="1"/>
  <c r="G89" i="12" s="1"/>
  <c r="G62" i="12"/>
  <c r="D86" i="12"/>
  <c r="C86" i="12" s="1"/>
  <c r="F86" i="12" s="1"/>
  <c r="G86" i="12" s="1"/>
  <c r="G61" i="12"/>
  <c r="J126" i="12" l="1"/>
  <c r="J125" i="12"/>
  <c r="J22" i="12"/>
  <c r="G69" i="12"/>
  <c r="J70" i="12" s="1"/>
  <c r="G100" i="12"/>
  <c r="J101" i="12" s="1"/>
  <c r="J48" i="12"/>
  <c r="J47" i="12"/>
  <c r="J154" i="12"/>
  <c r="J155" i="12"/>
  <c r="J69" i="12" l="1"/>
  <c r="J100" i="12"/>
  <c r="N131" i="12" l="1"/>
  <c r="J167" i="12"/>
  <c r="C169" i="12" s="1"/>
  <c r="C172" i="12" s="1"/>
  <c r="E171" i="12" l="1"/>
  <c r="E172" i="12" s="1"/>
  <c r="D132" i="11"/>
  <c r="E131" i="11"/>
  <c r="D131" i="11"/>
  <c r="D143" i="11"/>
  <c r="B129" i="11"/>
  <c r="C129" i="11"/>
  <c r="D129" i="11"/>
  <c r="F129" i="11" s="1"/>
  <c r="B130" i="11"/>
  <c r="C130" i="11"/>
  <c r="D130" i="11"/>
  <c r="C128" i="11"/>
  <c r="B128" i="11"/>
  <c r="D178" i="11"/>
  <c r="C161" i="11"/>
  <c r="E161" i="11"/>
  <c r="B161" i="11"/>
  <c r="C160" i="11"/>
  <c r="B160" i="11"/>
  <c r="F113" i="11"/>
  <c r="G113" i="11" s="1"/>
  <c r="D112" i="11"/>
  <c r="F112" i="11"/>
  <c r="C42" i="11"/>
  <c r="E42" i="11"/>
  <c r="D42" i="11"/>
  <c r="C43" i="11"/>
  <c r="C64" i="11" s="1"/>
  <c r="B64" i="11"/>
  <c r="B93" i="11" s="1"/>
  <c r="D64" i="11"/>
  <c r="F64" i="11"/>
  <c r="F155" i="11"/>
  <c r="E155" i="11"/>
  <c r="D155" i="11"/>
  <c r="E76" i="11"/>
  <c r="C76" i="11"/>
  <c r="D76" i="11"/>
  <c r="D33" i="11"/>
  <c r="G33" i="11" s="1"/>
  <c r="D150" i="11"/>
  <c r="D148" i="11"/>
  <c r="C150" i="11"/>
  <c r="C149" i="11"/>
  <c r="C148" i="11"/>
  <c r="B150" i="11"/>
  <c r="B149" i="11"/>
  <c r="B148" i="11"/>
  <c r="F111" i="11"/>
  <c r="F150" i="11" s="1"/>
  <c r="D109" i="11"/>
  <c r="D128" i="11" s="1"/>
  <c r="D104" i="11"/>
  <c r="C104" i="11"/>
  <c r="E99" i="11"/>
  <c r="E98" i="11"/>
  <c r="C96" i="11"/>
  <c r="E96" i="11"/>
  <c r="E95" i="11"/>
  <c r="B99" i="11"/>
  <c r="B98" i="11"/>
  <c r="D95" i="11"/>
  <c r="C95" i="11"/>
  <c r="C94" i="11"/>
  <c r="E94" i="11"/>
  <c r="D94" i="11"/>
  <c r="E93" i="11"/>
  <c r="D93" i="11"/>
  <c r="C93" i="11"/>
  <c r="D84" i="11"/>
  <c r="D82" i="11"/>
  <c r="C84" i="11"/>
  <c r="C83" i="11"/>
  <c r="E83" i="11"/>
  <c r="E84" i="11"/>
  <c r="E90" i="11"/>
  <c r="E89" i="11"/>
  <c r="E88" i="11"/>
  <c r="C92" i="11"/>
  <c r="C91" i="11"/>
  <c r="E92" i="11"/>
  <c r="D92" i="11"/>
  <c r="E91" i="11"/>
  <c r="D91" i="11"/>
  <c r="C90" i="11"/>
  <c r="E86" i="11"/>
  <c r="E85" i="11"/>
  <c r="C85" i="11"/>
  <c r="D85" i="11"/>
  <c r="N82" i="11"/>
  <c r="D81" i="11"/>
  <c r="M80" i="11"/>
  <c r="N80" i="11" s="1"/>
  <c r="O80" i="11" s="1"/>
  <c r="C80" i="11"/>
  <c r="C79" i="11"/>
  <c r="C78" i="11"/>
  <c r="N71" i="11"/>
  <c r="M72" i="11"/>
  <c r="N72" i="11" s="1"/>
  <c r="M73" i="11"/>
  <c r="O73" i="11" s="1"/>
  <c r="D77" i="11"/>
  <c r="M77" i="11"/>
  <c r="N77" i="11" s="1"/>
  <c r="O77" i="11" s="1"/>
  <c r="D46" i="11"/>
  <c r="G46" i="11" s="1"/>
  <c r="E68" i="11"/>
  <c r="D98" i="11" s="1"/>
  <c r="F54" i="11"/>
  <c r="B74" i="11"/>
  <c r="B73" i="11"/>
  <c r="D68" i="11"/>
  <c r="D99" i="11" s="1"/>
  <c r="G45" i="11"/>
  <c r="C68" i="11"/>
  <c r="B68" i="11"/>
  <c r="B97" i="11" s="1"/>
  <c r="E67" i="11"/>
  <c r="D67" i="11"/>
  <c r="C67" i="11"/>
  <c r="B67" i="11"/>
  <c r="C66" i="11"/>
  <c r="B66" i="11"/>
  <c r="B95" i="11" s="1"/>
  <c r="B134" i="11" s="1"/>
  <c r="D63" i="11"/>
  <c r="D65" i="11" s="1"/>
  <c r="C63" i="11"/>
  <c r="C65" i="11" s="1"/>
  <c r="B63" i="11"/>
  <c r="B90" i="11" s="1"/>
  <c r="D62" i="11"/>
  <c r="D89" i="11" s="1"/>
  <c r="C62" i="11"/>
  <c r="B62" i="11"/>
  <c r="B87" i="11" s="1"/>
  <c r="C61" i="11"/>
  <c r="C133" i="11" s="1"/>
  <c r="B61" i="11"/>
  <c r="B86" i="11" s="1"/>
  <c r="E60" i="11"/>
  <c r="E132" i="11" s="1"/>
  <c r="D60" i="11"/>
  <c r="C59" i="11"/>
  <c r="C131" i="11" s="1"/>
  <c r="B59" i="11"/>
  <c r="B131" i="11" s="1"/>
  <c r="B57" i="11"/>
  <c r="B83" i="11" s="1"/>
  <c r="B56" i="11"/>
  <c r="B55" i="11"/>
  <c r="F58" i="11"/>
  <c r="F57" i="11"/>
  <c r="C58" i="11"/>
  <c r="C57" i="11"/>
  <c r="F56" i="11"/>
  <c r="C56" i="11"/>
  <c r="C53" i="11"/>
  <c r="C77" i="11" s="1"/>
  <c r="C54" i="11"/>
  <c r="C55" i="11"/>
  <c r="C60" i="11" s="1"/>
  <c r="C132" i="11" s="1"/>
  <c r="D55" i="11"/>
  <c r="F52" i="11"/>
  <c r="D53" i="11"/>
  <c r="E44" i="11"/>
  <c r="D44" i="11"/>
  <c r="D66" i="11" s="1"/>
  <c r="F41" i="11"/>
  <c r="F63" i="11" s="1"/>
  <c r="D90" i="11" s="1"/>
  <c r="B172" i="11" l="1"/>
  <c r="B178" i="11" s="1"/>
  <c r="B166" i="11"/>
  <c r="C173" i="11"/>
  <c r="G161" i="11"/>
  <c r="C167" i="11"/>
  <c r="B173" i="11"/>
  <c r="B179" i="11" s="1"/>
  <c r="B167" i="11"/>
  <c r="E173" i="11"/>
  <c r="E167" i="11"/>
  <c r="C172" i="11"/>
  <c r="C178" i="11" s="1"/>
  <c r="G178" i="11" s="1"/>
  <c r="C166" i="11"/>
  <c r="G131" i="11"/>
  <c r="G130" i="11"/>
  <c r="G129" i="11"/>
  <c r="G132" i="11"/>
  <c r="B133" i="11"/>
  <c r="D161" i="11"/>
  <c r="G65" i="11"/>
  <c r="G42" i="11"/>
  <c r="G112" i="11"/>
  <c r="G68" i="11"/>
  <c r="G43" i="11"/>
  <c r="F93" i="11"/>
  <c r="G93" i="11" s="1"/>
  <c r="G111" i="11"/>
  <c r="F76" i="11"/>
  <c r="G76" i="11" s="1"/>
  <c r="G64" i="11"/>
  <c r="F84" i="11"/>
  <c r="G84" i="11" s="1"/>
  <c r="F91" i="11"/>
  <c r="G91" i="11" s="1"/>
  <c r="F96" i="11"/>
  <c r="G96" i="11" s="1"/>
  <c r="F90" i="11"/>
  <c r="G90" i="11" s="1"/>
  <c r="F92" i="11"/>
  <c r="G92" i="11" s="1"/>
  <c r="F94" i="11"/>
  <c r="G94" i="11" s="1"/>
  <c r="F85" i="11"/>
  <c r="G85" i="11" s="1"/>
  <c r="C88" i="11"/>
  <c r="F95" i="11"/>
  <c r="G95" i="11" s="1"/>
  <c r="G150" i="11"/>
  <c r="C99" i="11"/>
  <c r="C98" i="11"/>
  <c r="G67" i="11"/>
  <c r="G44" i="11"/>
  <c r="G60" i="11"/>
  <c r="G63" i="11"/>
  <c r="N73" i="11"/>
  <c r="O71" i="11" s="1"/>
  <c r="P71" i="11" s="1"/>
  <c r="E66" i="11"/>
  <c r="G66" i="11" s="1"/>
  <c r="G41" i="11"/>
  <c r="D173" i="11" l="1"/>
  <c r="D167" i="11"/>
  <c r="C179" i="11"/>
  <c r="G179" i="11" s="1"/>
  <c r="G180" i="11" s="1"/>
  <c r="G173" i="11"/>
  <c r="G167" i="11"/>
  <c r="F98" i="11"/>
  <c r="G98" i="11" s="1"/>
  <c r="F99" i="11"/>
  <c r="G99" i="11" s="1"/>
  <c r="E40" i="11"/>
  <c r="D40" i="11"/>
  <c r="D160" i="11" s="1"/>
  <c r="E39" i="11"/>
  <c r="E61" i="11" s="1"/>
  <c r="E133" i="11" s="1"/>
  <c r="D39" i="11"/>
  <c r="E38" i="11"/>
  <c r="E59" i="11" s="1"/>
  <c r="D38" i="11"/>
  <c r="D37" i="11"/>
  <c r="G37" i="11" s="1"/>
  <c r="D36" i="11"/>
  <c r="G36" i="11" s="1"/>
  <c r="D35" i="11"/>
  <c r="B32" i="11"/>
  <c r="B76" i="11" s="1"/>
  <c r="D29" i="11"/>
  <c r="E11" i="11"/>
  <c r="D11" i="11"/>
  <c r="D172" i="11" l="1"/>
  <c r="D166" i="11"/>
  <c r="G160" i="11"/>
  <c r="G162" i="11" s="1"/>
  <c r="E62" i="11"/>
  <c r="G62" i="11" s="1"/>
  <c r="E160" i="11"/>
  <c r="G40" i="11"/>
  <c r="D59" i="11"/>
  <c r="G59" i="11" s="1"/>
  <c r="G38" i="11"/>
  <c r="D61" i="11"/>
  <c r="D133" i="11" s="1"/>
  <c r="G133" i="11" s="1"/>
  <c r="G39" i="11"/>
  <c r="D56" i="11"/>
  <c r="G56" i="11" s="1"/>
  <c r="G35" i="11"/>
  <c r="D54" i="11"/>
  <c r="G29" i="11"/>
  <c r="D57" i="11"/>
  <c r="G57" i="11" s="1"/>
  <c r="D30" i="11"/>
  <c r="D58" i="11"/>
  <c r="G58" i="11" s="1"/>
  <c r="E75" i="11"/>
  <c r="D75" i="11"/>
  <c r="C74" i="11"/>
  <c r="F104" i="11"/>
  <c r="D88" i="11" l="1"/>
  <c r="F88" i="11" s="1"/>
  <c r="G88" i="11" s="1"/>
  <c r="E172" i="11"/>
  <c r="E166" i="11"/>
  <c r="G166" i="11" s="1"/>
  <c r="G168" i="11" s="1"/>
  <c r="C89" i="11"/>
  <c r="F89" i="11" s="1"/>
  <c r="G89" i="11" s="1"/>
  <c r="G61" i="11"/>
  <c r="D86" i="11"/>
  <c r="C86" i="11" s="1"/>
  <c r="F86" i="11" s="1"/>
  <c r="G86" i="11" s="1"/>
  <c r="D31" i="11"/>
  <c r="G31" i="11" s="1"/>
  <c r="G30" i="11"/>
  <c r="G54" i="11"/>
  <c r="C75" i="11"/>
  <c r="F75" i="11" s="1"/>
  <c r="G75" i="11" s="1"/>
  <c r="G183" i="11"/>
  <c r="J183" i="11" s="1"/>
  <c r="I180" i="11"/>
  <c r="I188" i="11"/>
  <c r="G172" i="11"/>
  <c r="G174" i="11" s="1"/>
  <c r="I162" i="11"/>
  <c r="I174" i="11"/>
  <c r="M28" i="11"/>
  <c r="N28" i="11" s="1"/>
  <c r="D187" i="11"/>
  <c r="G187" i="11" s="1"/>
  <c r="D186" i="11"/>
  <c r="G186" i="11" s="1"/>
  <c r="D185" i="11"/>
  <c r="G185" i="11" s="1"/>
  <c r="I151" i="11"/>
  <c r="J169" i="11" l="1"/>
  <c r="J168" i="11"/>
  <c r="J181" i="11"/>
  <c r="C82" i="11"/>
  <c r="J163" i="11"/>
  <c r="G188" i="11"/>
  <c r="J189" i="11" s="1"/>
  <c r="J175" i="11"/>
  <c r="G155" i="11"/>
  <c r="G156" i="11" s="1"/>
  <c r="J180" i="11" l="1"/>
  <c r="J174" i="11"/>
  <c r="J162" i="11"/>
  <c r="J156" i="11"/>
  <c r="J188" i="11"/>
  <c r="J157" i="11" l="1"/>
  <c r="F148" i="11" l="1"/>
  <c r="G149" i="11" l="1"/>
  <c r="G110" i="11"/>
  <c r="G148" i="11" l="1"/>
  <c r="G151" i="11" s="1"/>
  <c r="J151" i="11" l="1"/>
  <c r="J152" i="11"/>
  <c r="F128" i="11"/>
  <c r="C123" i="11"/>
  <c r="D118" i="11"/>
  <c r="D123" i="11" s="1"/>
  <c r="E118" i="11"/>
  <c r="E123" i="11" s="1"/>
  <c r="F109" i="11" l="1"/>
  <c r="G109" i="11" l="1"/>
  <c r="G114" i="11" s="1"/>
  <c r="J115" i="11" l="1"/>
  <c r="J114" i="11"/>
  <c r="F28" i="11"/>
  <c r="C21" i="11"/>
  <c r="E16" i="11"/>
  <c r="E32" i="11" s="1"/>
  <c r="D16" i="11"/>
  <c r="D32" i="11" s="1"/>
  <c r="G32" i="11" l="1"/>
  <c r="F53" i="11"/>
  <c r="G53" i="11" s="1"/>
  <c r="G28" i="11"/>
  <c r="G104" i="11"/>
  <c r="G105" i="11" s="1"/>
  <c r="G143" i="11"/>
  <c r="G123" i="11"/>
  <c r="G124" i="11" s="1"/>
  <c r="J125" i="11" s="1"/>
  <c r="C200" i="11"/>
  <c r="C199" i="11"/>
  <c r="G144" i="11" l="1"/>
  <c r="J145" i="11" s="1"/>
  <c r="C197" i="11"/>
  <c r="G118" i="11"/>
  <c r="G119" i="11" s="1"/>
  <c r="J124" i="11"/>
  <c r="J144" i="11" l="1"/>
  <c r="J119" i="11"/>
  <c r="J120" i="11"/>
  <c r="G16" i="11"/>
  <c r="E82" i="11" l="1"/>
  <c r="F82" i="11" s="1"/>
  <c r="G82" i="11" s="1"/>
  <c r="D79" i="11"/>
  <c r="E79" i="11"/>
  <c r="E78" i="11"/>
  <c r="D78" i="11"/>
  <c r="E80" i="11"/>
  <c r="E81" i="11"/>
  <c r="C81" i="11"/>
  <c r="F81" i="11" s="1"/>
  <c r="G81" i="11" s="1"/>
  <c r="E74" i="11"/>
  <c r="E77" i="11"/>
  <c r="F77" i="11" s="1"/>
  <c r="G77" i="11" s="1"/>
  <c r="E73" i="11"/>
  <c r="F34" i="11"/>
  <c r="D21" i="11"/>
  <c r="D27" i="11" s="1"/>
  <c r="E21" i="11"/>
  <c r="E27" i="11" s="1"/>
  <c r="B21" i="11"/>
  <c r="B15" i="11"/>
  <c r="E15" i="11"/>
  <c r="D15" i="11"/>
  <c r="G11" i="11"/>
  <c r="G12" i="11" s="1"/>
  <c r="F78" i="11" l="1"/>
  <c r="G78" i="11" s="1"/>
  <c r="F79" i="11"/>
  <c r="G79" i="11" s="1"/>
  <c r="D52" i="11"/>
  <c r="D73" i="11"/>
  <c r="D74" i="11" s="1"/>
  <c r="F55" i="11"/>
  <c r="G55" i="11" s="1"/>
  <c r="G34" i="11"/>
  <c r="J106" i="11"/>
  <c r="G128" i="11"/>
  <c r="C27" i="11"/>
  <c r="G21" i="11"/>
  <c r="J140" i="11" l="1"/>
  <c r="J139" i="11"/>
  <c r="D83" i="11"/>
  <c r="F83" i="11" s="1"/>
  <c r="G83" i="11" s="1"/>
  <c r="F74" i="11"/>
  <c r="G74" i="11" s="1"/>
  <c r="C73" i="11"/>
  <c r="C52" i="11"/>
  <c r="G52" i="11" s="1"/>
  <c r="G69" i="11" s="1"/>
  <c r="G27" i="11"/>
  <c r="G47" i="11" s="1"/>
  <c r="G22" i="11"/>
  <c r="J23" i="11" s="1"/>
  <c r="J105" i="11"/>
  <c r="F73" i="11" l="1"/>
  <c r="G73" i="11" s="1"/>
  <c r="D80" i="11"/>
  <c r="F80" i="11" s="1"/>
  <c r="G80" i="11" s="1"/>
  <c r="G100" i="11" l="1"/>
  <c r="J101" i="11" s="1"/>
  <c r="J48" i="11"/>
  <c r="J47" i="11" l="1"/>
  <c r="J100" i="11"/>
  <c r="J70" i="11" l="1"/>
  <c r="J69" i="11"/>
  <c r="J22" i="11" l="1"/>
  <c r="G191" i="11" l="1"/>
  <c r="J191" i="11" s="1"/>
  <c r="G15" i="11"/>
  <c r="G17" i="11" s="1"/>
  <c r="J18" i="11" l="1"/>
  <c r="J12" i="11"/>
  <c r="J17" i="11" l="1"/>
  <c r="J136" i="11" l="1"/>
  <c r="J135" i="11"/>
  <c r="N150" i="11" s="1"/>
  <c r="J193" i="11" l="1"/>
  <c r="C195" i="11" s="1"/>
  <c r="E197" i="11" s="1"/>
  <c r="E198" i="11" s="1"/>
  <c r="C198" i="11" l="1"/>
</calcChain>
</file>

<file path=xl/comments1.xml><?xml version="1.0" encoding="utf-8"?>
<comments xmlns="http://schemas.openxmlformats.org/spreadsheetml/2006/main">
  <authors>
    <author>boom boom</author>
  </authors>
  <commentList>
    <comment ref="C83" authorId="0" shapeId="0">
      <text>
        <r>
          <rPr>
            <b/>
            <sz val="9"/>
            <color indexed="81"/>
            <rFont val="Tahoma"/>
          </rPr>
          <t>boom boom:</t>
        </r>
        <r>
          <rPr>
            <sz val="9"/>
            <color indexed="81"/>
            <rFont val="Tahoma"/>
          </rPr>
          <t xml:space="preserve">
cranked extrra bar in bottom and top</t>
        </r>
      </text>
    </comment>
  </commentList>
</comments>
</file>

<file path=xl/comments2.xml><?xml version="1.0" encoding="utf-8"?>
<comments xmlns="http://schemas.openxmlformats.org/spreadsheetml/2006/main">
  <authors>
    <author>boom boom</author>
  </authors>
  <commentList>
    <comment ref="C83" authorId="0" shapeId="0">
      <text>
        <r>
          <rPr>
            <b/>
            <sz val="9"/>
            <color indexed="81"/>
            <rFont val="Tahoma"/>
          </rPr>
          <t>boom boom:</t>
        </r>
        <r>
          <rPr>
            <sz val="9"/>
            <color indexed="81"/>
            <rFont val="Tahoma"/>
          </rPr>
          <t xml:space="preserve">
cranked extrra bar in bottom and top</t>
        </r>
      </text>
    </comment>
  </commentList>
</comments>
</file>

<file path=xl/comments3.xml><?xml version="1.0" encoding="utf-8"?>
<comments xmlns="http://schemas.openxmlformats.org/spreadsheetml/2006/main">
  <authors>
    <author>boom boom</author>
  </authors>
  <commentList>
    <comment ref="C83" authorId="0" shapeId="0">
      <text>
        <r>
          <rPr>
            <b/>
            <sz val="9"/>
            <color indexed="81"/>
            <rFont val="Tahoma"/>
          </rPr>
          <t>boom boom:</t>
        </r>
        <r>
          <rPr>
            <sz val="9"/>
            <color indexed="81"/>
            <rFont val="Tahoma"/>
          </rPr>
          <t xml:space="preserve">
cranked extrra bar in bottom and top</t>
        </r>
      </text>
    </comment>
  </commentList>
</comments>
</file>

<file path=xl/sharedStrings.xml><?xml version="1.0" encoding="utf-8"?>
<sst xmlns="http://schemas.openxmlformats.org/spreadsheetml/2006/main" count="468" uniqueCount="112">
  <si>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</si>
  <si>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</si>
  <si>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</si>
  <si>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</si>
  <si>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</si>
  <si>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</si>
  <si>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</si>
  <si>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</si>
  <si>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</si>
  <si>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</si>
  <si>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</si>
  <si>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</si>
  <si>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</si>
  <si>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Remarks</t>
  </si>
  <si>
    <t>Grand Total</t>
  </si>
  <si>
    <t>Location:- Shankharapur Municipality 9</t>
  </si>
  <si>
    <t>cum</t>
  </si>
  <si>
    <t xml:space="preserve">Date:                    </t>
  </si>
  <si>
    <t>Information board (सुचना पाटि)</t>
  </si>
  <si>
    <t>no.</t>
  </si>
  <si>
    <t>Sub-total</t>
  </si>
  <si>
    <t>A</t>
  </si>
  <si>
    <t>-VAT 13% for materials</t>
  </si>
  <si>
    <t>For Protection work</t>
  </si>
  <si>
    <t>-For foundation</t>
  </si>
  <si>
    <t xml:space="preserve">;'Vvf O{6f RofK6f] 5fKg] sfd </t>
  </si>
  <si>
    <t>sqm</t>
  </si>
  <si>
    <t>hu leQf kvf{ndf l;d]G6 s+lqm6 ug]{ sfd-lk=;L=;L= !M#M^_</t>
  </si>
  <si>
    <t>d]lzgsf] k|of]u u/L ;'k/ :6«Sr/df l;d]G6 s+lqm6 ug]{ sfd -!M!=%M#_</t>
  </si>
  <si>
    <t>-For footing</t>
  </si>
  <si>
    <t>-Rectangular portion</t>
  </si>
  <si>
    <t>-Neck column</t>
  </si>
  <si>
    <t>-Column</t>
  </si>
  <si>
    <t>-Beam</t>
  </si>
  <si>
    <t>-Slab</t>
  </si>
  <si>
    <t>kmnfd]sf] kfOk / KnfOaf]8{af6 kmdf{ agfpg] sfd</t>
  </si>
  <si>
    <t xml:space="preserve">cf/=;L=;L= nflu kmnfd] 808L sf6\g], df]8\g] #) dL6/ ;Dd </t>
  </si>
  <si>
    <t>Length (m)</t>
  </si>
  <si>
    <t>Unit weight (m)</t>
  </si>
  <si>
    <t>Total weight (kg)</t>
  </si>
  <si>
    <t>Total weight (M.T.)</t>
  </si>
  <si>
    <t>M.T</t>
  </si>
  <si>
    <t>-Extra bars</t>
  </si>
  <si>
    <t>-Stirrups</t>
  </si>
  <si>
    <t xml:space="preserve">e'O{+tNnfdf lrDgL e§fsf] O{+6fsf] uf/f] l;d]G6 d;nf -!M^_ df </t>
  </si>
  <si>
    <t xml:space="preserve">l;d]G6 s+qmL6 ˆnf]l/Ë -!M@M$_ -%) dL=dL=_ </t>
  </si>
  <si>
    <t xml:space="preserve">!@=% dL=dL= l;d]G6 afn'jf -!M$_ Knfi6/ </t>
  </si>
  <si>
    <t>-At Ground floor</t>
  </si>
  <si>
    <t>-At between lower and upper tie beam</t>
  </si>
  <si>
    <t>-For flooring</t>
  </si>
  <si>
    <t>Total Estimated</t>
  </si>
  <si>
    <t>Budget allocated</t>
  </si>
  <si>
    <t>Municipal payment</t>
  </si>
  <si>
    <t>User Contribution</t>
  </si>
  <si>
    <t xml:space="preserve">Contingencies </t>
  </si>
  <si>
    <t xml:space="preserve">Maintanince </t>
  </si>
  <si>
    <t xml:space="preserve"># dL=dL= df]6fO{ d;Lgf] l;d]G6 3f]6\g] sfd </t>
  </si>
  <si>
    <t>Knfi6/ dfly @) dL=dL= afSnf] emNn/ jf kfgL k§L agfpg] sfd</t>
  </si>
  <si>
    <t>rm</t>
  </si>
  <si>
    <t>Rate</t>
  </si>
  <si>
    <t>Amount</t>
  </si>
  <si>
    <t>g/d k|sf/sf] Sn] / l;N6L df6f]df ;j} lsl;dsf] vGg] k'g]{ sfd</t>
  </si>
  <si>
    <t>-Inclined Surface</t>
  </si>
  <si>
    <t xml:space="preserve">e'O{+tNnfdf lrDgL e§fsf] O{+6fsf] uf/f] l;d]G6 d;nf -!M$_ df  </t>
  </si>
  <si>
    <t>-Deduction for window</t>
  </si>
  <si>
    <t>Traditional Brick (Small Dachi Appa) work in (1:1:2)  lime, surkhi, sand mortar</t>
  </si>
  <si>
    <t>VAT calculation</t>
  </si>
  <si>
    <t>11m</t>
  </si>
  <si>
    <t>22m</t>
  </si>
  <si>
    <t>total</t>
  </si>
  <si>
    <t>from centre</t>
  </si>
  <si>
    <t>hanumante</t>
  </si>
  <si>
    <t>-Lower beam tie beam</t>
  </si>
  <si>
    <t>New Jhingati (8-3/4"*4") laying on roof with 3" clay</t>
  </si>
  <si>
    <t>Single layers of plastic felt laying on roofing with bitumen</t>
  </si>
  <si>
    <t>20 gauge Brass plate making and fixing on roof</t>
  </si>
  <si>
    <t>Dhuri Chang (horizontal and vertical)works</t>
  </si>
  <si>
    <t>PS</t>
  </si>
  <si>
    <t xml:space="preserve">F.Y.: 2080/81      </t>
  </si>
  <si>
    <t>Project:- लाकिला गणेश मन्दिर निर्माण</t>
  </si>
  <si>
    <t>-Mid tie beam</t>
  </si>
  <si>
    <t>-Upper plinth beam</t>
  </si>
  <si>
    <t>-Secondary beam</t>
  </si>
  <si>
    <t>-Deduction for opening</t>
  </si>
  <si>
    <t>-1st floor column</t>
  </si>
  <si>
    <t>-1st floor Inclined Surface</t>
  </si>
  <si>
    <t>-2nd floor beam</t>
  </si>
  <si>
    <t>-2nd floor slab</t>
  </si>
  <si>
    <t>-2nd floor inclined roof slab</t>
  </si>
  <si>
    <t>-Lower, mid &amp; upper plinth tie beam</t>
  </si>
  <si>
    <t>-1st floor slab</t>
  </si>
  <si>
    <t>-Deduction for column part</t>
  </si>
  <si>
    <t>-Slab doubly reinforcement</t>
  </si>
  <si>
    <t>-horizontal bars</t>
  </si>
  <si>
    <t>-vertical bars</t>
  </si>
  <si>
    <t>-Deduction for door</t>
  </si>
  <si>
    <t>;fdfGo df6f]n] k'g]{ sfd</t>
  </si>
  <si>
    <t>Deduction for column portion</t>
  </si>
  <si>
    <t>-deduction for column beam intersection</t>
  </si>
  <si>
    <t>-At horizontal roof slab</t>
  </si>
  <si>
    <t>-Deduction for column and beam part</t>
  </si>
  <si>
    <t>d]l;gd]8 Sn] 6fon !M$ l;d]G6 afn'jfdf jfn ;km]{;df 6f+:g] sfo</t>
  </si>
  <si>
    <t>22 gauge Brass plate making and fixing on roof.</t>
  </si>
  <si>
    <t>Provisional sum for lab test</t>
  </si>
  <si>
    <t xml:space="preserve">cu|fv sf7sf] rf}s; agfO hf]8\g] sfd </t>
  </si>
  <si>
    <t>Carved salwood Lattice (jali) of Carved Window (second type) including wood</t>
  </si>
  <si>
    <t>Window</t>
  </si>
  <si>
    <t>Door</t>
  </si>
  <si>
    <t>;fdfGo df6f]n] k'g]{ sfd !%, !% ;]=dL= sf] txdf km}nfpg</t>
  </si>
  <si>
    <t>Carved salwood Lattice (jali) of Carved Window and door  (second type) including wood</t>
  </si>
  <si>
    <t>Date: 2080/10/14</t>
  </si>
  <si>
    <t>F.Y.: 2080/81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</si>
</sst>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b/>
      <sz val="12"/>
      <name val="Preeti"/>
    </font>
    <font>
      <sz val="11"/>
      <color theme="1"/>
      <name val="Times New Roman"/>
      <family val="1"/>
    </font>
    <font>
      <sz val="11"/>
      <name val="Calibri"/>
      <family val="2"/>
      <scheme val="minor"/>
    </font>
    <font>
      <sz val="16"/>
      <name val="Preeti"/>
    </font>
    <font>
      <sz val="9"/>
      <color indexed="81"/>
      <name val="Tahoma"/>
    </font>
    <font>
      <b/>
      <sz val="9"/>
      <color indexed="81"/>
      <name val="Tahoma"/>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2" fillId="0" borderId="0" xfId="0" applyFont="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1" fontId="9" fillId="0" borderId="1" xfId="0" applyNumberFormat="1" applyFont="1" applyFill="1" applyBorder="1" applyAlignment="1">
      <alignment horizontal="right" vertical="center" wrapText="1"/>
    </xf>
    <xf numFmtId="2" fontId="2" fillId="0" borderId="1" xfId="0" applyNumberFormat="1" applyFont="1" applyBorder="1" applyAlignment="1">
      <alignment vertical="center"/>
    </xf>
    <xf numFmtId="2" fontId="2" fillId="0" borderId="1" xfId="1" applyNumberFormat="1" applyFont="1" applyBorder="1" applyAlignment="1">
      <alignment vertical="center"/>
    </xf>
    <xf numFmtId="164" fontId="0" fillId="0" borderId="1" xfId="0" applyNumberFormat="1" applyBorder="1" applyAlignment="1">
      <alignment vertical="center"/>
    </xf>
    <xf numFmtId="2" fontId="3"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alignment vertical="center"/>
    </xf>
    <xf numFmtId="0" fontId="0" fillId="0" borderId="1" xfId="0" quotePrefix="1" applyFont="1" applyBorder="1" applyAlignment="1">
      <alignment horizontal="right" vertical="center" wrapText="1"/>
    </xf>
    <xf numFmtId="0" fontId="2" fillId="0" borderId="1" xfId="0" applyFont="1" applyBorder="1" applyAlignment="1">
      <alignment horizontal="right" vertical="center" wrapText="1"/>
    </xf>
    <xf numFmtId="1" fontId="8" fillId="0" borderId="1" xfId="0" applyNumberFormat="1" applyFont="1" applyFill="1" applyBorder="1" applyAlignment="1"/>
    <xf numFmtId="0" fontId="0" fillId="0" borderId="1" xfId="0" applyBorder="1" applyAlignment="1"/>
    <xf numFmtId="0" fontId="2" fillId="0" borderId="1" xfId="0" applyFont="1" applyBorder="1" applyAlignment="1"/>
    <xf numFmtId="2" fontId="8" fillId="0" borderId="1" xfId="0" applyNumberFormat="1" applyFont="1" applyFill="1" applyBorder="1" applyAlignment="1"/>
    <xf numFmtId="2" fontId="8" fillId="0" borderId="1" xfId="1" applyNumberFormat="1" applyFont="1" applyFill="1" applyBorder="1" applyAlignment="1"/>
    <xf numFmtId="2" fontId="9" fillId="0" borderId="1" xfId="0" applyNumberFormat="1" applyFont="1" applyFill="1" applyBorder="1" applyAlignment="1"/>
    <xf numFmtId="0" fontId="0" fillId="0" borderId="0" xfId="0" applyAlignment="1"/>
    <xf numFmtId="2" fontId="0" fillId="0" borderId="2" xfId="0" applyNumberFormat="1" applyBorder="1" applyAlignment="1">
      <alignment vertical="center"/>
    </xf>
    <xf numFmtId="0" fontId="10" fillId="2" borderId="1" xfId="0" applyFont="1" applyFill="1" applyBorder="1" applyAlignment="1">
      <alignment vertical="center" wrapText="1"/>
    </xf>
    <xf numFmtId="0" fontId="10" fillId="2" borderId="1" xfId="0" applyFont="1" applyFill="1" applyBorder="1" applyAlignment="1">
      <alignment wrapText="1"/>
    </xf>
    <xf numFmtId="0" fontId="0" fillId="0" borderId="1" xfId="0" quotePrefix="1" applyFont="1" applyBorder="1" applyAlignment="1">
      <alignment horizontal="center" vertical="center" wrapText="1"/>
    </xf>
    <xf numFmtId="2" fontId="0" fillId="0" borderId="1" xfId="0" applyNumberFormat="1" applyBorder="1" applyAlignment="1">
      <alignment vertical="center" wrapText="1"/>
    </xf>
    <xf numFmtId="1" fontId="8" fillId="0" borderId="1" xfId="0" applyNumberFormat="1" applyFont="1" applyFill="1" applyBorder="1" applyAlignment="1">
      <alignment vertical="center" wrapText="1"/>
    </xf>
    <xf numFmtId="0" fontId="0" fillId="0" borderId="0" xfId="0" applyBorder="1" applyAlignment="1"/>
    <xf numFmtId="0" fontId="0" fillId="0" borderId="0" xfId="0" applyBorder="1"/>
    <xf numFmtId="2" fontId="0" fillId="0" borderId="2" xfId="0" applyNumberFormat="1" applyBorder="1" applyAlignment="1">
      <alignment vertical="center"/>
    </xf>
    <xf numFmtId="0" fontId="11" fillId="0" borderId="0" xfId="0" applyFont="1" applyAlignment="1">
      <alignment vertical="center"/>
    </xf>
    <xf numFmtId="0" fontId="11" fillId="0" borderId="0" xfId="0" applyFont="1"/>
    <xf numFmtId="0" fontId="11" fillId="0" borderId="0" xfId="0" applyFont="1" applyBorder="1"/>
    <xf numFmtId="0" fontId="11" fillId="0" borderId="0" xfId="0" applyFont="1" applyAlignment="1"/>
    <xf numFmtId="0" fontId="0" fillId="0" borderId="0" xfId="0" applyFont="1" applyAlignment="1">
      <alignment vertical="center"/>
    </xf>
    <xf numFmtId="0" fontId="0" fillId="0" borderId="0" xfId="0" applyFont="1"/>
    <xf numFmtId="0" fontId="0" fillId="0" borderId="0" xfId="0" applyFont="1" applyBorder="1"/>
    <xf numFmtId="0" fontId="0" fillId="0" borderId="0" xfId="0" applyFont="1" applyAlignment="1"/>
    <xf numFmtId="0" fontId="9" fillId="0" borderId="0" xfId="0" applyFont="1" applyBorder="1" applyAlignment="1"/>
    <xf numFmtId="0" fontId="12" fillId="0" borderId="0" xfId="0" applyFont="1" applyBorder="1" applyAlignment="1"/>
    <xf numFmtId="0" fontId="12" fillId="0" borderId="0" xfId="0" applyFont="1" applyBorder="1" applyAlignment="1">
      <alignment vertical="center"/>
    </xf>
    <xf numFmtId="0" fontId="9" fillId="0" borderId="0" xfId="0" applyFont="1" applyBorder="1" applyAlignment="1">
      <alignment vertical="center"/>
    </xf>
    <xf numFmtId="0" fontId="8" fillId="2" borderId="1" xfId="0" applyFont="1" applyFill="1" applyBorder="1" applyAlignment="1">
      <alignment vertical="center" wrapText="1"/>
    </xf>
    <xf numFmtId="0" fontId="0" fillId="0" borderId="1" xfId="0" applyBorder="1"/>
    <xf numFmtId="0" fontId="2" fillId="0" borderId="1" xfId="0" applyFont="1" applyBorder="1"/>
    <xf numFmtId="0" fontId="13" fillId="0" borderId="0" xfId="0" applyFont="1" applyBorder="1" applyAlignment="1"/>
    <xf numFmtId="0" fontId="0" fillId="0" borderId="1" xfId="0" quotePrefix="1" applyFont="1" applyBorder="1" applyAlignment="1">
      <alignment horizontal="right" wrapText="1"/>
    </xf>
    <xf numFmtId="2" fontId="2" fillId="0" borderId="1" xfId="0" applyNumberFormat="1" applyFont="1" applyBorder="1"/>
    <xf numFmtId="2" fontId="0" fillId="0" borderId="2" xfId="0" applyNumberFormat="1" applyBorder="1" applyAlignment="1">
      <alignment vertical="center"/>
    </xf>
    <xf numFmtId="165" fontId="0" fillId="0" borderId="1" xfId="0" applyNumberFormat="1" applyFont="1" applyBorder="1" applyAlignment="1">
      <alignment vertical="center"/>
    </xf>
    <xf numFmtId="2" fontId="9" fillId="0" borderId="0" xfId="0" applyNumberFormat="1" applyFont="1" applyBorder="1" applyAlignment="1"/>
    <xf numFmtId="1" fontId="9" fillId="0" borderId="1" xfId="0" applyNumberFormat="1" applyFont="1" applyFill="1" applyBorder="1" applyAlignment="1">
      <alignment vertical="center"/>
    </xf>
    <xf numFmtId="2" fontId="3" fillId="0" borderId="1" xfId="0" applyNumberFormat="1" applyFont="1" applyBorder="1" applyAlignment="1"/>
    <xf numFmtId="2" fontId="2" fillId="0" borderId="1" xfId="1" applyNumberFormat="1" applyFont="1" applyBorder="1" applyAlignment="1"/>
    <xf numFmtId="2" fontId="0" fillId="0" borderId="1" xfId="0" applyNumberFormat="1" applyFont="1" applyBorder="1" applyAlignment="1"/>
    <xf numFmtId="0" fontId="6" fillId="0" borderId="0" xfId="0" applyFont="1" applyAlignment="1">
      <alignment horizontal="left"/>
    </xf>
    <xf numFmtId="0" fontId="6" fillId="0" borderId="0" xfId="0" applyFont="1" applyAlignment="1">
      <alignment horizontal="right"/>
    </xf>
    <xf numFmtId="0" fontId="6"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3" xfId="1" applyNumberFormat="1" applyFont="1" applyBorder="1" applyAlignment="1">
      <alignment horizontal="center" vertical="center"/>
    </xf>
    <xf numFmtId="2" fontId="0" fillId="0" borderId="4" xfId="1" applyNumberFormat="1" applyFont="1" applyBorder="1" applyAlignment="1">
      <alignment horizontal="center" vertical="center"/>
    </xf>
    <xf numFmtId="2" fontId="0" fillId="0" borderId="1" xfId="0" applyNumberForma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1"/>
  <sheetViews>
    <sheetView topLeftCell="A168" zoomScaleNormal="100" zoomScaleSheetLayoutView="80" workbookViewId="0">
      <selection activeCell="M177" sqref="M177"/>
    </sheetView>
  </sheetViews>
  <sheetFormatPr defaultRowHeight="15" x14ac:dyDescent="0.25"/>
  <cols>
    <col min="1" max="1" width="4.42578125" style="5" customWidth="1"/>
    <col min="2" max="2" width="30.42578125" customWidth="1"/>
    <col min="3" max="3" width="5.5703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 style="48" bestFit="1" customWidth="1"/>
    <col min="14" max="14" width="9.5703125" style="52" bestFit="1" customWidth="1"/>
  </cols>
  <sheetData>
    <row r="1" spans="1:16" s="1" customFormat="1" x14ac:dyDescent="0.25">
      <c r="A1" s="75" t="s">
        <v>0</v>
      </c>
      <c r="B1" s="75"/>
      <c r="C1" s="75"/>
      <c r="D1" s="75"/>
      <c r="E1" s="75"/>
      <c r="F1" s="75"/>
      <c r="G1" s="75"/>
      <c r="H1" s="75"/>
      <c r="I1" s="75"/>
      <c r="J1" s="75"/>
      <c r="K1" s="75"/>
      <c r="M1" s="47"/>
      <c r="N1" s="51"/>
    </row>
    <row r="2" spans="1:16" s="1" customFormat="1" ht="22.5" x14ac:dyDescent="0.25">
      <c r="A2" s="76" t="s">
        <v>1</v>
      </c>
      <c r="B2" s="76"/>
      <c r="C2" s="76"/>
      <c r="D2" s="76"/>
      <c r="E2" s="76"/>
      <c r="F2" s="76"/>
      <c r="G2" s="76"/>
      <c r="H2" s="76"/>
      <c r="I2" s="76"/>
      <c r="J2" s="76"/>
      <c r="K2" s="76"/>
      <c r="M2" s="47"/>
      <c r="N2" s="51"/>
    </row>
    <row r="3" spans="1:16" s="1" customFormat="1" x14ac:dyDescent="0.25">
      <c r="A3" s="77" t="s">
        <v>2</v>
      </c>
      <c r="B3" s="77"/>
      <c r="C3" s="77"/>
      <c r="D3" s="77"/>
      <c r="E3" s="77"/>
      <c r="F3" s="77"/>
      <c r="G3" s="77"/>
      <c r="H3" s="77"/>
      <c r="I3" s="77"/>
      <c r="J3" s="77"/>
      <c r="K3" s="77"/>
      <c r="M3" s="47"/>
      <c r="N3" s="51"/>
    </row>
    <row r="4" spans="1:16" s="1" customFormat="1" x14ac:dyDescent="0.25">
      <c r="A4" s="77" t="s">
        <v>3</v>
      </c>
      <c r="B4" s="77"/>
      <c r="C4" s="77"/>
      <c r="D4" s="77"/>
      <c r="E4" s="77"/>
      <c r="F4" s="77"/>
      <c r="G4" s="77"/>
      <c r="H4" s="77"/>
      <c r="I4" s="77"/>
      <c r="J4" s="77"/>
      <c r="K4" s="77"/>
      <c r="M4" s="47"/>
      <c r="N4" s="51"/>
    </row>
    <row r="5" spans="1:16" ht="18.75" x14ac:dyDescent="0.3">
      <c r="A5" s="78" t="s">
        <v>4</v>
      </c>
      <c r="B5" s="78"/>
      <c r="C5" s="78"/>
      <c r="D5" s="78"/>
      <c r="E5" s="78"/>
      <c r="F5" s="78"/>
      <c r="G5" s="78"/>
      <c r="H5" s="78"/>
      <c r="I5" s="78"/>
      <c r="J5" s="78"/>
      <c r="K5" s="78"/>
    </row>
    <row r="6" spans="1:16" ht="15.75" x14ac:dyDescent="0.25">
      <c r="A6" s="72" t="s">
        <v>79</v>
      </c>
      <c r="B6" s="72"/>
      <c r="C6" s="72"/>
      <c r="D6" s="72"/>
      <c r="E6" s="72"/>
      <c r="F6" s="72"/>
      <c r="G6" s="2"/>
      <c r="H6" s="73" t="s">
        <v>78</v>
      </c>
      <c r="I6" s="73"/>
      <c r="J6" s="73"/>
      <c r="K6" s="73"/>
    </row>
    <row r="7" spans="1:16" ht="15.75" x14ac:dyDescent="0.25">
      <c r="A7" s="74" t="s">
        <v>15</v>
      </c>
      <c r="B7" s="74"/>
      <c r="C7" s="74"/>
      <c r="D7" s="74"/>
      <c r="E7" s="74"/>
      <c r="F7" s="74"/>
      <c r="G7" s="3"/>
      <c r="H7" s="73" t="s">
        <v>17</v>
      </c>
      <c r="I7" s="73"/>
      <c r="J7" s="73"/>
      <c r="K7" s="73"/>
    </row>
    <row r="8" spans="1:16" ht="15" customHeight="1" x14ac:dyDescent="0.25">
      <c r="A8" s="4" t="s">
        <v>5</v>
      </c>
      <c r="B8" s="13" t="s">
        <v>6</v>
      </c>
      <c r="C8" s="4" t="s">
        <v>7</v>
      </c>
      <c r="D8" s="14" t="s">
        <v>8</v>
      </c>
      <c r="E8" s="14" t="s">
        <v>9</v>
      </c>
      <c r="F8" s="14" t="s">
        <v>10</v>
      </c>
      <c r="G8" s="14" t="s">
        <v>11</v>
      </c>
      <c r="H8" s="4" t="s">
        <v>12</v>
      </c>
      <c r="I8" s="14" t="s">
        <v>59</v>
      </c>
      <c r="J8" s="14" t="s">
        <v>60</v>
      </c>
      <c r="K8" s="15" t="s">
        <v>13</v>
      </c>
    </row>
    <row r="9" spans="1:16" ht="15" customHeight="1" x14ac:dyDescent="0.25">
      <c r="A9" s="4" t="s">
        <v>21</v>
      </c>
      <c r="B9" s="13" t="s">
        <v>23</v>
      </c>
      <c r="C9" s="4"/>
      <c r="D9" s="14"/>
      <c r="E9" s="14"/>
      <c r="F9" s="14"/>
      <c r="G9" s="14"/>
      <c r="H9" s="4"/>
      <c r="I9" s="14"/>
      <c r="J9" s="14"/>
      <c r="K9" s="15"/>
    </row>
    <row r="10" spans="1:16" s="37" customFormat="1" ht="30.75" x14ac:dyDescent="0.25">
      <c r="A10" s="31">
        <v>1</v>
      </c>
      <c r="B10" s="40" t="s">
        <v>61</v>
      </c>
      <c r="C10" s="32"/>
      <c r="D10" s="32"/>
      <c r="E10" s="32"/>
      <c r="F10" s="32"/>
      <c r="G10" s="33"/>
      <c r="H10" s="34"/>
      <c r="I10" s="35"/>
      <c r="J10" s="35"/>
      <c r="K10" s="36"/>
      <c r="M10" s="55"/>
      <c r="N10" s="56"/>
      <c r="O10" s="44"/>
      <c r="P10" s="44"/>
    </row>
    <row r="11" spans="1:16" ht="15" customHeight="1" x14ac:dyDescent="0.25">
      <c r="A11" s="28"/>
      <c r="B11" s="29" t="s">
        <v>24</v>
      </c>
      <c r="C11" s="25">
        <v>1</v>
      </c>
      <c r="D11" s="6">
        <f>8.5/3.281</f>
        <v>2.5906735751295336</v>
      </c>
      <c r="E11" s="6">
        <f>8.5/3.281</f>
        <v>2.5906735751295336</v>
      </c>
      <c r="F11" s="6">
        <v>1.5</v>
      </c>
      <c r="G11" s="27">
        <f>PRODUCT(C11:F11)</f>
        <v>10.067384359311658</v>
      </c>
      <c r="H11" s="23"/>
      <c r="I11" s="26"/>
      <c r="J11" s="24"/>
      <c r="K11" s="7"/>
      <c r="M11" s="49"/>
      <c r="N11" s="53"/>
      <c r="O11" s="45"/>
      <c r="P11" s="45"/>
    </row>
    <row r="12" spans="1:16" ht="15" customHeight="1" x14ac:dyDescent="0.25">
      <c r="A12" s="16"/>
      <c r="B12" s="29" t="s">
        <v>20</v>
      </c>
      <c r="C12" s="17"/>
      <c r="D12" s="18"/>
      <c r="E12" s="19"/>
      <c r="F12" s="19"/>
      <c r="G12" s="21">
        <f>SUM(G11:G11)</f>
        <v>10.067384359311658</v>
      </c>
      <c r="H12" s="20" t="s">
        <v>16</v>
      </c>
      <c r="I12" s="21">
        <v>648.9</v>
      </c>
      <c r="J12" s="23">
        <f>G12*I12</f>
        <v>6532.725710757335</v>
      </c>
      <c r="K12" s="19"/>
      <c r="M12" s="55"/>
      <c r="N12" s="56"/>
      <c r="O12" s="45"/>
      <c r="P12" s="45"/>
    </row>
    <row r="13" spans="1:16" ht="15" customHeight="1" x14ac:dyDescent="0.25">
      <c r="A13" s="16"/>
      <c r="B13" s="29"/>
      <c r="C13" s="17"/>
      <c r="D13" s="18"/>
      <c r="E13" s="19"/>
      <c r="F13" s="19"/>
      <c r="G13" s="21"/>
      <c r="H13" s="20"/>
      <c r="I13" s="21"/>
      <c r="J13" s="23"/>
      <c r="K13" s="19"/>
      <c r="M13" s="55"/>
      <c r="N13" s="56"/>
      <c r="O13" s="45"/>
      <c r="P13" s="45"/>
    </row>
    <row r="14" spans="1:16" ht="15.75" x14ac:dyDescent="0.25">
      <c r="A14" s="28">
        <v>2</v>
      </c>
      <c r="B14" s="40" t="s">
        <v>25</v>
      </c>
      <c r="C14" s="25"/>
      <c r="D14" s="6"/>
      <c r="E14" s="6"/>
      <c r="F14" s="6"/>
      <c r="G14" s="27"/>
      <c r="H14" s="23"/>
      <c r="I14" s="26"/>
      <c r="J14" s="24"/>
      <c r="K14" s="7"/>
      <c r="M14" s="49"/>
      <c r="N14" s="53"/>
      <c r="O14" s="45"/>
      <c r="P14" s="45"/>
    </row>
    <row r="15" spans="1:16" ht="15" customHeight="1" x14ac:dyDescent="0.25">
      <c r="A15" s="28"/>
      <c r="B15" s="29" t="str">
        <f>B11</f>
        <v>-For foundation</v>
      </c>
      <c r="C15" s="25">
        <v>1</v>
      </c>
      <c r="D15" s="6">
        <f>D11</f>
        <v>2.5906735751295336</v>
      </c>
      <c r="E15" s="6">
        <f>E11</f>
        <v>2.5906735751295336</v>
      </c>
      <c r="F15" s="6"/>
      <c r="G15" s="27">
        <f t="shared" ref="G15:G16" si="0">PRODUCT(C15:F15)</f>
        <v>6.7115895728744386</v>
      </c>
      <c r="H15" s="23"/>
      <c r="I15" s="26"/>
      <c r="J15" s="24"/>
      <c r="K15" s="7"/>
      <c r="M15" s="49"/>
      <c r="N15" s="53"/>
      <c r="O15" s="45"/>
      <c r="P15" s="45"/>
    </row>
    <row r="16" spans="1:16" ht="15" customHeight="1" x14ac:dyDescent="0.25">
      <c r="A16" s="16"/>
      <c r="B16" s="29" t="s">
        <v>49</v>
      </c>
      <c r="C16" s="17">
        <v>1</v>
      </c>
      <c r="D16" s="6">
        <f>6.5/3.281</f>
        <v>1.9811033221578787</v>
      </c>
      <c r="E16" s="6">
        <f>6.5/3.281</f>
        <v>1.9811033221578787</v>
      </c>
      <c r="F16" s="38"/>
      <c r="G16" s="27">
        <f t="shared" si="0"/>
        <v>3.9247703730649834</v>
      </c>
      <c r="H16" s="20"/>
      <c r="I16" s="21"/>
      <c r="J16" s="23"/>
      <c r="K16" s="19"/>
      <c r="M16" s="55"/>
      <c r="N16" s="56"/>
      <c r="O16" s="45"/>
      <c r="P16" s="45"/>
    </row>
    <row r="17" spans="1:16" ht="15" customHeight="1" x14ac:dyDescent="0.25">
      <c r="A17" s="28"/>
      <c r="B17" s="29" t="s">
        <v>20</v>
      </c>
      <c r="C17" s="25"/>
      <c r="D17" s="6"/>
      <c r="E17" s="6"/>
      <c r="F17" s="6"/>
      <c r="G17" s="23">
        <f>SUM(G15:G16)</f>
        <v>10.636359945939422</v>
      </c>
      <c r="H17" s="23" t="s">
        <v>26</v>
      </c>
      <c r="I17" s="26">
        <v>985.38</v>
      </c>
      <c r="J17" s="24">
        <f>G17*I17</f>
        <v>10480.856363529787</v>
      </c>
      <c r="K17" s="7"/>
      <c r="M17" s="49"/>
      <c r="N17" s="53"/>
      <c r="O17" s="45"/>
      <c r="P17" s="45"/>
    </row>
    <row r="18" spans="1:16" ht="15" customHeight="1" x14ac:dyDescent="0.25">
      <c r="A18" s="16"/>
      <c r="B18" s="29" t="s">
        <v>22</v>
      </c>
      <c r="C18" s="17"/>
      <c r="D18" s="18"/>
      <c r="E18" s="19"/>
      <c r="F18" s="19"/>
      <c r="G18" s="21"/>
      <c r="H18" s="20"/>
      <c r="I18" s="21"/>
      <c r="J18" s="23">
        <f>0.13*G17*(8353.81)/10</f>
        <v>1155.1036910398466</v>
      </c>
      <c r="K18" s="19"/>
      <c r="M18" s="55"/>
      <c r="N18" s="56"/>
    </row>
    <row r="19" spans="1:16" ht="15" customHeight="1" x14ac:dyDescent="0.25">
      <c r="A19" s="16"/>
      <c r="B19" s="29"/>
      <c r="C19" s="7"/>
      <c r="D19" s="6"/>
      <c r="E19" s="6"/>
      <c r="F19" s="6"/>
      <c r="G19" s="23"/>
      <c r="H19" s="28"/>
      <c r="I19" s="23"/>
      <c r="J19" s="23"/>
      <c r="K19" s="19"/>
      <c r="M19" s="55"/>
      <c r="N19" s="56"/>
    </row>
    <row r="20" spans="1:16" ht="30.75" x14ac:dyDescent="0.25">
      <c r="A20" s="16">
        <v>3</v>
      </c>
      <c r="B20" s="40" t="s">
        <v>27</v>
      </c>
      <c r="C20" s="7"/>
      <c r="D20" s="6"/>
      <c r="E20" s="6"/>
      <c r="F20" s="6"/>
      <c r="G20" s="23"/>
      <c r="H20" s="28"/>
      <c r="I20" s="23"/>
      <c r="J20" s="23"/>
      <c r="K20" s="19"/>
      <c r="M20" s="55"/>
      <c r="N20" s="56"/>
    </row>
    <row r="21" spans="1:16" ht="15" customHeight="1" x14ac:dyDescent="0.25">
      <c r="A21" s="28"/>
      <c r="B21" s="29" t="str">
        <f>B11</f>
        <v>-For foundation</v>
      </c>
      <c r="C21" s="25">
        <f>C15</f>
        <v>1</v>
      </c>
      <c r="D21" s="6">
        <f>D11</f>
        <v>2.5906735751295336</v>
      </c>
      <c r="E21" s="6">
        <f>E11</f>
        <v>2.5906735751295336</v>
      </c>
      <c r="F21" s="6">
        <v>7.4999999999999997E-2</v>
      </c>
      <c r="G21" s="27">
        <f>PRODUCT(C21:F21)</f>
        <v>0.50336921796558287</v>
      </c>
      <c r="H21" s="23"/>
      <c r="I21" s="26"/>
      <c r="J21" s="24"/>
      <c r="K21" s="7"/>
    </row>
    <row r="22" spans="1:16" ht="15" customHeight="1" x14ac:dyDescent="0.25">
      <c r="A22" s="28"/>
      <c r="B22" s="29" t="s">
        <v>20</v>
      </c>
      <c r="C22" s="25"/>
      <c r="D22" s="6"/>
      <c r="E22" s="6"/>
      <c r="F22" s="6"/>
      <c r="G22" s="23">
        <f>SUM(G21:G21)</f>
        <v>0.50336921796558287</v>
      </c>
      <c r="H22" s="23" t="s">
        <v>16</v>
      </c>
      <c r="I22" s="26">
        <v>12300.32</v>
      </c>
      <c r="J22" s="24">
        <f>G22*I22</f>
        <v>6191.6024591264186</v>
      </c>
      <c r="K22" s="7"/>
    </row>
    <row r="23" spans="1:16" ht="15" customHeight="1" x14ac:dyDescent="0.25">
      <c r="A23" s="16"/>
      <c r="B23" s="29" t="s">
        <v>22</v>
      </c>
      <c r="C23" s="17"/>
      <c r="D23" s="18"/>
      <c r="E23" s="19"/>
      <c r="F23" s="19"/>
      <c r="G23" s="21"/>
      <c r="H23" s="20"/>
      <c r="I23" s="21"/>
      <c r="J23" s="23">
        <f>0.13*G22*7500.33</f>
        <v>490.80658205589401</v>
      </c>
      <c r="K23" s="19"/>
      <c r="M23" s="55"/>
      <c r="N23" s="56"/>
    </row>
    <row r="24" spans="1:16" ht="15" customHeight="1" x14ac:dyDescent="0.25">
      <c r="A24" s="28"/>
      <c r="B24" s="29"/>
      <c r="C24" s="25"/>
      <c r="D24" s="6"/>
      <c r="E24" s="6"/>
      <c r="F24" s="6"/>
      <c r="G24" s="27"/>
      <c r="H24" s="23"/>
      <c r="I24" s="26"/>
      <c r="J24" s="24"/>
      <c r="K24" s="7"/>
    </row>
    <row r="25" spans="1:16" s="1" customFormat="1" ht="30" x14ac:dyDescent="0.25">
      <c r="A25" s="16">
        <v>4</v>
      </c>
      <c r="B25" s="39" t="s">
        <v>28</v>
      </c>
      <c r="C25" s="17"/>
      <c r="D25" s="18"/>
      <c r="E25" s="19"/>
      <c r="F25" s="19"/>
      <c r="G25" s="21"/>
      <c r="H25" s="20"/>
      <c r="I25" s="21"/>
      <c r="J25" s="23"/>
      <c r="K25" s="19"/>
      <c r="M25" s="58"/>
      <c r="N25" s="57"/>
    </row>
    <row r="26" spans="1:16" ht="15" customHeight="1" x14ac:dyDescent="0.25">
      <c r="A26" s="16"/>
      <c r="B26" s="41" t="s">
        <v>29</v>
      </c>
      <c r="C26" s="17"/>
      <c r="D26" s="18"/>
      <c r="E26" s="19"/>
      <c r="F26" s="19"/>
      <c r="G26" s="21"/>
      <c r="H26" s="20"/>
      <c r="I26" s="21"/>
      <c r="J26" s="23"/>
      <c r="K26" s="19"/>
      <c r="M26" s="55"/>
      <c r="N26" s="56"/>
    </row>
    <row r="27" spans="1:16" ht="15" customHeight="1" x14ac:dyDescent="0.25">
      <c r="A27" s="16"/>
      <c r="B27" s="29" t="s">
        <v>30</v>
      </c>
      <c r="C27" s="17">
        <f>C21</f>
        <v>1</v>
      </c>
      <c r="D27" s="6">
        <f>D21-0.15</f>
        <v>2.4406735751295336</v>
      </c>
      <c r="E27" s="6">
        <f>E21-0.15</f>
        <v>2.4406735751295336</v>
      </c>
      <c r="F27" s="6">
        <v>0.45</v>
      </c>
      <c r="G27" s="27">
        <f>PRODUCT(C27:F27)</f>
        <v>2.6805993751510107</v>
      </c>
      <c r="H27" s="20"/>
      <c r="I27" s="21"/>
      <c r="J27" s="23"/>
      <c r="K27" s="19"/>
      <c r="M27" s="55"/>
      <c r="N27" s="56"/>
    </row>
    <row r="28" spans="1:16" ht="15" customHeight="1" x14ac:dyDescent="0.25">
      <c r="A28" s="16"/>
      <c r="B28" s="29" t="s">
        <v>31</v>
      </c>
      <c r="C28" s="17">
        <v>4</v>
      </c>
      <c r="D28" s="6">
        <v>0.23</v>
      </c>
      <c r="E28" s="6">
        <v>0.23</v>
      </c>
      <c r="F28" s="38">
        <f>14.75/3.281</f>
        <v>4.495580615665955</v>
      </c>
      <c r="G28" s="27">
        <f t="shared" ref="G28:G46" si="1">PRODUCT(C28:F28)</f>
        <v>0.95126485827491614</v>
      </c>
      <c r="H28" s="20"/>
      <c r="I28" s="21"/>
      <c r="J28" s="23"/>
      <c r="K28" s="19"/>
      <c r="M28" s="55">
        <f>10/12</f>
        <v>0.83333333333333337</v>
      </c>
      <c r="N28" s="56">
        <f>M28/3.281</f>
        <v>0.25398760540485626</v>
      </c>
    </row>
    <row r="29" spans="1:16" x14ac:dyDescent="0.25">
      <c r="A29" s="16"/>
      <c r="B29" s="29" t="s">
        <v>81</v>
      </c>
      <c r="C29" s="17">
        <v>4</v>
      </c>
      <c r="D29" s="6">
        <f>6.5/3.28</f>
        <v>1.9817073170731709</v>
      </c>
      <c r="E29" s="6">
        <v>0.23</v>
      </c>
      <c r="F29" s="38">
        <v>0.23</v>
      </c>
      <c r="G29" s="27">
        <f t="shared" si="1"/>
        <v>0.41932926829268302</v>
      </c>
      <c r="H29" s="20"/>
      <c r="I29" s="21"/>
      <c r="J29" s="23"/>
      <c r="K29" s="19"/>
      <c r="M29" s="55"/>
      <c r="N29" s="56"/>
    </row>
    <row r="30" spans="1:16" x14ac:dyDescent="0.25">
      <c r="A30" s="16"/>
      <c r="B30" s="29" t="s">
        <v>80</v>
      </c>
      <c r="C30" s="17">
        <v>4</v>
      </c>
      <c r="D30" s="6">
        <f>D29</f>
        <v>1.9817073170731709</v>
      </c>
      <c r="E30" s="6">
        <v>0.23</v>
      </c>
      <c r="F30" s="65">
        <v>0.23</v>
      </c>
      <c r="G30" s="27">
        <f t="shared" si="1"/>
        <v>0.41932926829268302</v>
      </c>
      <c r="H30" s="20"/>
      <c r="I30" s="21"/>
      <c r="J30" s="23"/>
      <c r="K30" s="19"/>
      <c r="M30" s="55"/>
      <c r="N30" s="56"/>
    </row>
    <row r="31" spans="1:16" ht="15" customHeight="1" x14ac:dyDescent="0.25">
      <c r="A31" s="16"/>
      <c r="B31" s="29" t="s">
        <v>72</v>
      </c>
      <c r="C31" s="17">
        <v>4</v>
      </c>
      <c r="D31" s="6">
        <f>D30</f>
        <v>1.9817073170731709</v>
      </c>
      <c r="E31" s="6">
        <v>0.23</v>
      </c>
      <c r="F31" s="38">
        <v>0.23</v>
      </c>
      <c r="G31" s="27">
        <f t="shared" si="1"/>
        <v>0.41932926829268302</v>
      </c>
      <c r="H31" s="20"/>
      <c r="I31" s="21"/>
      <c r="J31" s="23"/>
      <c r="K31" s="19"/>
      <c r="M31" s="55"/>
      <c r="N31" s="56"/>
    </row>
    <row r="32" spans="1:16" ht="15" customHeight="1" x14ac:dyDescent="0.25">
      <c r="A32" s="16"/>
      <c r="B32" s="29" t="str">
        <f>B16</f>
        <v>-For flooring</v>
      </c>
      <c r="C32" s="17">
        <v>1</v>
      </c>
      <c r="D32" s="6">
        <f>D16</f>
        <v>1.9811033221578787</v>
      </c>
      <c r="E32" s="6">
        <f>E16</f>
        <v>1.9811033221578787</v>
      </c>
      <c r="F32" s="38">
        <v>7.4999999999999997E-2</v>
      </c>
      <c r="G32" s="27">
        <f t="shared" si="1"/>
        <v>0.29435777797987372</v>
      </c>
      <c r="H32" s="20"/>
      <c r="I32" s="21"/>
      <c r="J32" s="23"/>
      <c r="K32" s="19"/>
      <c r="M32" s="55"/>
      <c r="N32" s="56"/>
    </row>
    <row r="33" spans="1:14" ht="15" customHeight="1" x14ac:dyDescent="0.25">
      <c r="A33" s="16"/>
      <c r="B33" s="29"/>
      <c r="C33" s="17">
        <v>1</v>
      </c>
      <c r="D33" s="6">
        <f>(8*2+8.667*2)</f>
        <v>33.334000000000003</v>
      </c>
      <c r="E33" s="6">
        <v>0.115</v>
      </c>
      <c r="F33" s="65">
        <v>0.1</v>
      </c>
      <c r="G33" s="27">
        <f t="shared" ref="G33" si="2">PRODUCT(C33:F33)</f>
        <v>0.3833410000000001</v>
      </c>
      <c r="H33" s="20"/>
      <c r="I33" s="21"/>
      <c r="J33" s="23"/>
      <c r="K33" s="19"/>
      <c r="M33" s="55"/>
      <c r="N33" s="56"/>
    </row>
    <row r="34" spans="1:14" ht="15" customHeight="1" x14ac:dyDescent="0.25">
      <c r="A34" s="16"/>
      <c r="B34" s="29" t="s">
        <v>32</v>
      </c>
      <c r="C34" s="17">
        <v>4</v>
      </c>
      <c r="D34" s="6">
        <v>0.23</v>
      </c>
      <c r="E34" s="6">
        <v>0.23</v>
      </c>
      <c r="F34" s="38">
        <f>(8.917)/3.281</f>
        <v>2.7177689728741234</v>
      </c>
      <c r="G34" s="27">
        <f t="shared" si="1"/>
        <v>0.5750799146601645</v>
      </c>
      <c r="H34" s="20"/>
      <c r="I34" s="21"/>
      <c r="J34" s="23"/>
      <c r="K34" s="19"/>
      <c r="M34" s="55"/>
      <c r="N34" s="56"/>
    </row>
    <row r="35" spans="1:14" ht="15" customHeight="1" x14ac:dyDescent="0.25">
      <c r="A35" s="16"/>
      <c r="B35" s="29" t="s">
        <v>33</v>
      </c>
      <c r="C35" s="17">
        <v>4</v>
      </c>
      <c r="D35" s="6">
        <f>((6.5)/3.281)</f>
        <v>1.9811033221578787</v>
      </c>
      <c r="E35" s="6">
        <v>0.23</v>
      </c>
      <c r="F35" s="38">
        <v>0.23</v>
      </c>
      <c r="G35" s="27">
        <f t="shared" si="1"/>
        <v>0.41920146296860716</v>
      </c>
      <c r="H35" s="20"/>
      <c r="I35" s="21"/>
      <c r="J35" s="23"/>
      <c r="K35" s="19"/>
      <c r="M35" s="55"/>
      <c r="N35" s="56"/>
    </row>
    <row r="36" spans="1:14" ht="15" customHeight="1" x14ac:dyDescent="0.25">
      <c r="A36" s="16"/>
      <c r="B36" s="29" t="s">
        <v>82</v>
      </c>
      <c r="C36" s="17">
        <v>2</v>
      </c>
      <c r="D36" s="6">
        <f>((6.5)/3.281)</f>
        <v>1.9811033221578787</v>
      </c>
      <c r="E36" s="6">
        <v>0.23</v>
      </c>
      <c r="F36" s="65">
        <v>0.23</v>
      </c>
      <c r="G36" s="27">
        <f t="shared" si="1"/>
        <v>0.20960073148430358</v>
      </c>
      <c r="H36" s="20"/>
      <c r="I36" s="21"/>
      <c r="J36" s="23"/>
      <c r="K36" s="19"/>
      <c r="M36" s="55"/>
      <c r="N36" s="56"/>
    </row>
    <row r="37" spans="1:14" ht="15" customHeight="1" x14ac:dyDescent="0.25">
      <c r="A37" s="16"/>
      <c r="B37" s="29"/>
      <c r="C37" s="17">
        <v>2</v>
      </c>
      <c r="D37" s="6">
        <f>((6.5-0.75*2)/3.281)</f>
        <v>1.5239256324291375</v>
      </c>
      <c r="E37" s="6">
        <v>0.23</v>
      </c>
      <c r="F37" s="65">
        <v>0.23</v>
      </c>
      <c r="G37" s="27">
        <f t="shared" si="1"/>
        <v>0.16123133191100275</v>
      </c>
      <c r="H37" s="20"/>
      <c r="I37" s="21"/>
      <c r="J37" s="23"/>
      <c r="K37" s="19"/>
      <c r="M37" s="55"/>
      <c r="N37" s="56"/>
    </row>
    <row r="38" spans="1:14" ht="15" customHeight="1" x14ac:dyDescent="0.25">
      <c r="A38" s="16"/>
      <c r="B38" s="29" t="s">
        <v>90</v>
      </c>
      <c r="C38" s="17">
        <v>1</v>
      </c>
      <c r="D38" s="6">
        <f>(12.333)/3.281</f>
        <v>3.7589149649497102</v>
      </c>
      <c r="E38" s="6">
        <f>(12.333)/3.281</f>
        <v>3.7589149649497102</v>
      </c>
      <c r="F38" s="38">
        <v>0.125</v>
      </c>
      <c r="G38" s="27">
        <f t="shared" si="1"/>
        <v>1.7661802142153602</v>
      </c>
      <c r="H38" s="20"/>
      <c r="I38" s="21"/>
      <c r="J38" s="23"/>
      <c r="K38" s="19"/>
      <c r="M38" s="55"/>
      <c r="N38" s="56"/>
    </row>
    <row r="39" spans="1:14" ht="15" customHeight="1" x14ac:dyDescent="0.25">
      <c r="A39" s="16"/>
      <c r="B39" s="29" t="s">
        <v>83</v>
      </c>
      <c r="C39" s="17">
        <v>-1</v>
      </c>
      <c r="D39" s="6">
        <f>2/3.281</f>
        <v>0.6095702529716549</v>
      </c>
      <c r="E39" s="6">
        <f>2/3.281</f>
        <v>0.6095702529716549</v>
      </c>
      <c r="F39" s="46">
        <v>0.125</v>
      </c>
      <c r="G39" s="27">
        <f t="shared" si="1"/>
        <v>-4.6446986663490918E-2</v>
      </c>
      <c r="H39" s="20"/>
      <c r="I39" s="21"/>
      <c r="J39" s="23"/>
      <c r="K39" s="19"/>
      <c r="M39" s="55"/>
      <c r="N39" s="56"/>
    </row>
    <row r="40" spans="1:14" ht="15" customHeight="1" x14ac:dyDescent="0.25">
      <c r="A40" s="16"/>
      <c r="B40" s="29" t="s">
        <v>85</v>
      </c>
      <c r="C40" s="17">
        <v>4</v>
      </c>
      <c r="D40" s="6">
        <f>4.583/3.281</f>
        <v>1.3968302346845474</v>
      </c>
      <c r="E40" s="6">
        <f>((3.5+12.42)/2)/3.281</f>
        <v>2.4260896068271869</v>
      </c>
      <c r="F40" s="46">
        <v>0.1</v>
      </c>
      <c r="G40" s="27">
        <f t="shared" si="1"/>
        <v>1.3555341259480644</v>
      </c>
      <c r="H40" s="20"/>
      <c r="I40" s="21"/>
      <c r="J40" s="23"/>
      <c r="K40" s="19"/>
      <c r="M40" s="55"/>
      <c r="N40" s="56"/>
    </row>
    <row r="41" spans="1:14" ht="15" customHeight="1" x14ac:dyDescent="0.25">
      <c r="A41" s="16"/>
      <c r="B41" s="29" t="s">
        <v>84</v>
      </c>
      <c r="C41" s="17">
        <v>4</v>
      </c>
      <c r="D41" s="6">
        <v>0.23</v>
      </c>
      <c r="E41" s="6">
        <v>0.23</v>
      </c>
      <c r="F41" s="65">
        <f>4.5/3.281</f>
        <v>1.3715330691862238</v>
      </c>
      <c r="G41" s="27">
        <f t="shared" si="1"/>
        <v>0.29021639743980499</v>
      </c>
      <c r="H41" s="20"/>
      <c r="I41" s="21"/>
      <c r="J41" s="23"/>
      <c r="K41" s="19"/>
      <c r="M41" s="55"/>
      <c r="N41" s="56"/>
    </row>
    <row r="42" spans="1:14" ht="15" customHeight="1" x14ac:dyDescent="0.25">
      <c r="A42" s="16"/>
      <c r="B42" s="29" t="s">
        <v>97</v>
      </c>
      <c r="C42" s="17">
        <f>-C41</f>
        <v>-4</v>
      </c>
      <c r="D42" s="6">
        <f>D41</f>
        <v>0.23</v>
      </c>
      <c r="E42" s="6">
        <f>E41</f>
        <v>0.23</v>
      </c>
      <c r="F42" s="65">
        <v>0.23</v>
      </c>
      <c r="G42" s="27">
        <f t="shared" si="1"/>
        <v>-4.8668000000000003E-2</v>
      </c>
      <c r="H42" s="20"/>
      <c r="I42" s="21"/>
      <c r="J42" s="23"/>
      <c r="K42" s="19"/>
      <c r="M42" s="55"/>
      <c r="N42" s="56"/>
    </row>
    <row r="43" spans="1:14" ht="15" customHeight="1" x14ac:dyDescent="0.25">
      <c r="A43" s="16"/>
      <c r="B43" s="29" t="s">
        <v>86</v>
      </c>
      <c r="C43" s="17">
        <f>4</f>
        <v>4</v>
      </c>
      <c r="D43" s="6">
        <v>0.6</v>
      </c>
      <c r="E43" s="6">
        <v>0.23</v>
      </c>
      <c r="F43" s="65">
        <v>0.23</v>
      </c>
      <c r="G43" s="27">
        <f t="shared" si="1"/>
        <v>0.12696000000000002</v>
      </c>
      <c r="H43" s="20"/>
      <c r="I43" s="21"/>
      <c r="J43" s="23"/>
      <c r="K43" s="19"/>
      <c r="M43" s="55"/>
      <c r="N43" s="56"/>
    </row>
    <row r="44" spans="1:14" ht="15" customHeight="1" x14ac:dyDescent="0.25">
      <c r="A44" s="16"/>
      <c r="B44" s="29" t="s">
        <v>87</v>
      </c>
      <c r="C44" s="17">
        <v>1</v>
      </c>
      <c r="D44" s="6">
        <f>7.917/3.281</f>
        <v>2.412983846388296</v>
      </c>
      <c r="E44" s="6">
        <f>7.917/3.281</f>
        <v>2.412983846388296</v>
      </c>
      <c r="F44" s="65">
        <v>7.4999999999999997E-2</v>
      </c>
      <c r="G44" s="27">
        <f>PRODUCT(C44:F44)</f>
        <v>0.43668682821981414</v>
      </c>
      <c r="H44" s="20"/>
      <c r="I44" s="21"/>
      <c r="J44" s="23"/>
      <c r="K44" s="19"/>
      <c r="M44" s="55"/>
      <c r="N44" s="56"/>
    </row>
    <row r="45" spans="1:14" ht="15" customHeight="1" x14ac:dyDescent="0.25">
      <c r="A45" s="16"/>
      <c r="B45" s="29" t="s">
        <v>83</v>
      </c>
      <c r="C45" s="17">
        <v>-1</v>
      </c>
      <c r="D45" s="6">
        <v>0.23</v>
      </c>
      <c r="E45" s="6">
        <v>0.23</v>
      </c>
      <c r="F45" s="65">
        <v>7.4999999999999997E-2</v>
      </c>
      <c r="G45" s="27">
        <f>PRODUCT(C45:F45)</f>
        <v>-3.9674999999999997E-3</v>
      </c>
      <c r="H45" s="20"/>
      <c r="I45" s="21"/>
      <c r="J45" s="23"/>
      <c r="K45" s="19"/>
      <c r="M45" s="55"/>
      <c r="N45" s="56"/>
    </row>
    <row r="46" spans="1:14" ht="15" customHeight="1" x14ac:dyDescent="0.25">
      <c r="A46" s="16"/>
      <c r="B46" s="29" t="s">
        <v>88</v>
      </c>
      <c r="C46" s="17">
        <v>4</v>
      </c>
      <c r="D46" s="6">
        <f>3.5/3.281</f>
        <v>1.0667479427003961</v>
      </c>
      <c r="E46" s="6">
        <v>1.2</v>
      </c>
      <c r="F46" s="65">
        <v>7.4999999999999997E-2</v>
      </c>
      <c r="G46" s="27">
        <f t="shared" si="1"/>
        <v>0.38402925937214255</v>
      </c>
      <c r="H46" s="20"/>
      <c r="I46" s="21"/>
      <c r="J46" s="23"/>
      <c r="K46" s="19"/>
      <c r="M46" s="55"/>
      <c r="N46" s="56"/>
    </row>
    <row r="47" spans="1:14" ht="15" customHeight="1" x14ac:dyDescent="0.25">
      <c r="A47" s="28"/>
      <c r="B47" s="29" t="s">
        <v>20</v>
      </c>
      <c r="C47" s="25"/>
      <c r="D47" s="6"/>
      <c r="E47" s="6"/>
      <c r="F47" s="6"/>
      <c r="G47" s="23">
        <f>SUM(G27:G46)</f>
        <v>11.193188595839624</v>
      </c>
      <c r="H47" s="23" t="s">
        <v>16</v>
      </c>
      <c r="I47" s="26">
        <v>14200.82</v>
      </c>
      <c r="J47" s="24">
        <f>G47*I47</f>
        <v>158952.45647557123</v>
      </c>
      <c r="K47" s="7"/>
    </row>
    <row r="48" spans="1:14" ht="15" customHeight="1" x14ac:dyDescent="0.25">
      <c r="A48" s="16"/>
      <c r="B48" s="29" t="s">
        <v>22</v>
      </c>
      <c r="C48" s="17"/>
      <c r="D48" s="18"/>
      <c r="E48" s="19"/>
      <c r="F48" s="19"/>
      <c r="G48" s="21"/>
      <c r="H48" s="20"/>
      <c r="I48" s="21"/>
      <c r="J48" s="23">
        <f>0.13*G47*10250.02</f>
        <v>14914.952906246648</v>
      </c>
      <c r="K48" s="19"/>
      <c r="M48" s="55"/>
      <c r="N48" s="56"/>
    </row>
    <row r="49" spans="1:14" ht="15" customHeight="1" x14ac:dyDescent="0.25">
      <c r="A49" s="16"/>
      <c r="B49" s="29"/>
      <c r="C49" s="17"/>
      <c r="D49" s="18"/>
      <c r="E49" s="19"/>
      <c r="F49" s="19"/>
      <c r="G49" s="21"/>
      <c r="H49" s="20"/>
      <c r="I49" s="21"/>
      <c r="J49" s="23"/>
      <c r="K49" s="19"/>
      <c r="M49" s="55"/>
      <c r="N49" s="56"/>
    </row>
    <row r="50" spans="1:14" ht="30" x14ac:dyDescent="0.25">
      <c r="A50" s="16">
        <v>5</v>
      </c>
      <c r="B50" s="39" t="s">
        <v>35</v>
      </c>
      <c r="C50" s="7"/>
      <c r="D50" s="6"/>
      <c r="E50" s="6"/>
      <c r="F50" s="6"/>
      <c r="G50" s="23"/>
      <c r="H50" s="28"/>
      <c r="I50" s="23"/>
      <c r="J50" s="23"/>
      <c r="K50" s="19"/>
      <c r="M50" s="55"/>
      <c r="N50" s="56"/>
    </row>
    <row r="51" spans="1:14" ht="15" customHeight="1" x14ac:dyDescent="0.25">
      <c r="A51" s="16"/>
      <c r="B51" s="41" t="s">
        <v>29</v>
      </c>
      <c r="C51" s="17"/>
      <c r="D51" s="18"/>
      <c r="E51" s="19"/>
      <c r="F51" s="19"/>
      <c r="G51" s="21"/>
      <c r="H51" s="20"/>
      <c r="I51" s="21"/>
      <c r="J51" s="23"/>
      <c r="K51" s="19"/>
      <c r="M51" s="55"/>
      <c r="N51" s="56"/>
    </row>
    <row r="52" spans="1:14" ht="15" customHeight="1" x14ac:dyDescent="0.25">
      <c r="A52" s="16"/>
      <c r="B52" s="29" t="s">
        <v>30</v>
      </c>
      <c r="C52" s="17">
        <f>C27</f>
        <v>1</v>
      </c>
      <c r="D52" s="6">
        <f>D27*4</f>
        <v>9.7626943005181346</v>
      </c>
      <c r="E52" s="6"/>
      <c r="F52" s="6">
        <f>F27</f>
        <v>0.45</v>
      </c>
      <c r="G52" s="27">
        <f>PRODUCT(C52:F52)</f>
        <v>4.3932124352331607</v>
      </c>
      <c r="H52" s="20"/>
      <c r="I52" s="21"/>
      <c r="J52" s="23"/>
      <c r="K52" s="19"/>
      <c r="M52" s="55"/>
      <c r="N52" s="56"/>
    </row>
    <row r="53" spans="1:14" ht="15" customHeight="1" x14ac:dyDescent="0.25">
      <c r="A53" s="16"/>
      <c r="B53" s="29" t="s">
        <v>31</v>
      </c>
      <c r="C53" s="17">
        <f>C28</f>
        <v>4</v>
      </c>
      <c r="D53" s="6">
        <f>D28*4</f>
        <v>0.92</v>
      </c>
      <c r="E53" s="6"/>
      <c r="F53" s="38">
        <f>F28-(2.25/3.281)</f>
        <v>3.8098140810728429</v>
      </c>
      <c r="G53" s="27">
        <f t="shared" ref="G53:G68" si="3">PRODUCT(C53:F53)</f>
        <v>14.020115818348062</v>
      </c>
      <c r="H53" s="20"/>
      <c r="I53" s="21"/>
      <c r="J53" s="23"/>
      <c r="K53" s="19"/>
      <c r="M53" s="55"/>
      <c r="N53" s="56"/>
    </row>
    <row r="54" spans="1:14" ht="30" x14ac:dyDescent="0.25">
      <c r="A54" s="16"/>
      <c r="B54" s="29" t="s">
        <v>89</v>
      </c>
      <c r="C54" s="17">
        <f>C29+C30+C31</f>
        <v>12</v>
      </c>
      <c r="D54" s="6">
        <f>D29</f>
        <v>1.9817073170731709</v>
      </c>
      <c r="E54" s="6"/>
      <c r="F54" s="38">
        <f>F29*2</f>
        <v>0.46</v>
      </c>
      <c r="G54" s="27">
        <f t="shared" si="3"/>
        <v>10.939024390243903</v>
      </c>
      <c r="H54" s="20"/>
      <c r="I54" s="21"/>
      <c r="J54" s="23"/>
      <c r="K54" s="19"/>
      <c r="M54" s="55"/>
      <c r="N54" s="56"/>
    </row>
    <row r="55" spans="1:14" ht="15" customHeight="1" x14ac:dyDescent="0.25">
      <c r="A55" s="16"/>
      <c r="B55" s="29" t="str">
        <f t="shared" ref="B55:C57" si="4">B34</f>
        <v>-Column</v>
      </c>
      <c r="C55" s="17">
        <f t="shared" si="4"/>
        <v>4</v>
      </c>
      <c r="D55" s="6">
        <f>D34*4</f>
        <v>0.92</v>
      </c>
      <c r="E55" s="6"/>
      <c r="F55" s="38">
        <f>F34</f>
        <v>2.7177689728741234</v>
      </c>
      <c r="G55" s="27">
        <f t="shared" si="3"/>
        <v>10.001389820176774</v>
      </c>
      <c r="H55" s="20"/>
      <c r="I55" s="21"/>
      <c r="J55" s="23"/>
      <c r="K55" s="19"/>
      <c r="M55" s="55"/>
      <c r="N55" s="56"/>
    </row>
    <row r="56" spans="1:14" ht="15" customHeight="1" x14ac:dyDescent="0.25">
      <c r="A56" s="16"/>
      <c r="B56" s="29" t="str">
        <f t="shared" si="4"/>
        <v>-Beam</v>
      </c>
      <c r="C56" s="17">
        <f t="shared" si="4"/>
        <v>4</v>
      </c>
      <c r="D56" s="6">
        <f>D35</f>
        <v>1.9811033221578787</v>
      </c>
      <c r="E56" s="6"/>
      <c r="F56" s="38">
        <f>F35*2</f>
        <v>0.46</v>
      </c>
      <c r="G56" s="27">
        <f t="shared" si="3"/>
        <v>3.6452301127704967</v>
      </c>
      <c r="H56" s="20"/>
      <c r="I56" s="21"/>
      <c r="J56" s="23"/>
      <c r="K56" s="19"/>
      <c r="M56" s="55"/>
      <c r="N56" s="56"/>
    </row>
    <row r="57" spans="1:14" ht="15" customHeight="1" x14ac:dyDescent="0.25">
      <c r="A57" s="16"/>
      <c r="B57" s="29" t="str">
        <f t="shared" si="4"/>
        <v>-Secondary beam</v>
      </c>
      <c r="C57" s="17">
        <f t="shared" si="4"/>
        <v>2</v>
      </c>
      <c r="D57" s="6">
        <f>D36</f>
        <v>1.9811033221578787</v>
      </c>
      <c r="E57" s="6"/>
      <c r="F57" s="65">
        <f>F36*2</f>
        <v>0.46</v>
      </c>
      <c r="G57" s="27">
        <f t="shared" si="3"/>
        <v>1.8226150563852483</v>
      </c>
      <c r="H57" s="20"/>
      <c r="I57" s="21"/>
      <c r="J57" s="23"/>
      <c r="K57" s="19"/>
      <c r="M57" s="55"/>
      <c r="N57" s="56"/>
    </row>
    <row r="58" spans="1:14" ht="15" customHeight="1" x14ac:dyDescent="0.25">
      <c r="A58" s="16"/>
      <c r="B58" s="29"/>
      <c r="C58" s="17">
        <f>C37</f>
        <v>2</v>
      </c>
      <c r="D58" s="6">
        <f>D37</f>
        <v>1.5239256324291375</v>
      </c>
      <c r="E58" s="6"/>
      <c r="F58" s="65">
        <f>F37*2</f>
        <v>0.46</v>
      </c>
      <c r="G58" s="27">
        <f t="shared" si="3"/>
        <v>1.4020115818348065</v>
      </c>
      <c r="H58" s="20"/>
      <c r="I58" s="21"/>
      <c r="J58" s="23"/>
      <c r="K58" s="19"/>
      <c r="M58" s="55"/>
      <c r="N58" s="56"/>
    </row>
    <row r="59" spans="1:14" ht="15" customHeight="1" x14ac:dyDescent="0.25">
      <c r="A59" s="16"/>
      <c r="B59" s="29" t="str">
        <f>B38</f>
        <v>-1st floor slab</v>
      </c>
      <c r="C59" s="17">
        <f>C38</f>
        <v>1</v>
      </c>
      <c r="D59" s="6">
        <f>D38</f>
        <v>3.7589149649497102</v>
      </c>
      <c r="E59" s="6">
        <f>E38</f>
        <v>3.7589149649497102</v>
      </c>
      <c r="F59" s="38"/>
      <c r="G59" s="27">
        <f t="shared" si="3"/>
        <v>14.129441713722882</v>
      </c>
      <c r="H59" s="20"/>
      <c r="I59" s="21"/>
      <c r="J59" s="23"/>
      <c r="K59" s="19"/>
      <c r="M59" s="55"/>
      <c r="N59" s="56"/>
    </row>
    <row r="60" spans="1:14" ht="15" customHeight="1" x14ac:dyDescent="0.25">
      <c r="A60" s="16"/>
      <c r="B60" s="29" t="s">
        <v>91</v>
      </c>
      <c r="C60" s="17">
        <f>-C55</f>
        <v>-4</v>
      </c>
      <c r="D60" s="6">
        <f>D34</f>
        <v>0.23</v>
      </c>
      <c r="E60" s="6">
        <f>E34</f>
        <v>0.23</v>
      </c>
      <c r="F60" s="65"/>
      <c r="G60" s="27">
        <f t="shared" si="3"/>
        <v>-0.21160000000000001</v>
      </c>
      <c r="H60" s="20"/>
      <c r="I60" s="21"/>
      <c r="J60" s="23"/>
      <c r="K60" s="19"/>
      <c r="M60" s="55"/>
      <c r="N60" s="56"/>
    </row>
    <row r="61" spans="1:14" ht="15" customHeight="1" x14ac:dyDescent="0.25">
      <c r="A61" s="16"/>
      <c r="B61" s="29" t="str">
        <f>B39</f>
        <v>-Deduction for opening</v>
      </c>
      <c r="C61" s="17">
        <f>C39</f>
        <v>-1</v>
      </c>
      <c r="D61" s="6">
        <f>D39</f>
        <v>0.6095702529716549</v>
      </c>
      <c r="E61" s="6">
        <f>E39</f>
        <v>0.6095702529716549</v>
      </c>
      <c r="F61" s="65"/>
      <c r="G61" s="27">
        <f t="shared" si="3"/>
        <v>-0.37157589330792734</v>
      </c>
      <c r="H61" s="20"/>
      <c r="I61" s="21"/>
      <c r="J61" s="23"/>
      <c r="K61" s="19"/>
      <c r="M61" s="55"/>
      <c r="N61" s="56"/>
    </row>
    <row r="62" spans="1:14" ht="15" customHeight="1" x14ac:dyDescent="0.25">
      <c r="A62" s="16"/>
      <c r="B62" s="29" t="str">
        <f>B40</f>
        <v>-1st floor Inclined Surface</v>
      </c>
      <c r="C62" s="17">
        <f>C40</f>
        <v>4</v>
      </c>
      <c r="D62" s="6">
        <f>4.42/3.281</f>
        <v>1.3471502590673574</v>
      </c>
      <c r="E62" s="6">
        <f>E40</f>
        <v>2.4260896068271869</v>
      </c>
      <c r="F62" s="65"/>
      <c r="G62" s="27">
        <f t="shared" si="3"/>
        <v>13.073228969431472</v>
      </c>
      <c r="H62" s="20"/>
      <c r="I62" s="21"/>
      <c r="J62" s="23"/>
      <c r="K62" s="19"/>
      <c r="M62" s="55"/>
      <c r="N62" s="56"/>
    </row>
    <row r="63" spans="1:14" ht="15" customHeight="1" x14ac:dyDescent="0.25">
      <c r="A63" s="16"/>
      <c r="B63" s="29" t="str">
        <f>B41</f>
        <v>-1st floor column</v>
      </c>
      <c r="C63" s="17">
        <f>C41</f>
        <v>4</v>
      </c>
      <c r="D63" s="6">
        <f>D41*4</f>
        <v>0.92</v>
      </c>
      <c r="E63" s="6"/>
      <c r="F63" s="65">
        <f>F41</f>
        <v>1.3715330691862238</v>
      </c>
      <c r="G63" s="27">
        <f t="shared" si="3"/>
        <v>5.0472416946053036</v>
      </c>
      <c r="H63" s="20"/>
      <c r="I63" s="21"/>
      <c r="J63" s="23"/>
      <c r="K63" s="19"/>
      <c r="M63" s="55"/>
      <c r="N63" s="56"/>
    </row>
    <row r="64" spans="1:14" ht="15" customHeight="1" x14ac:dyDescent="0.25">
      <c r="A64" s="16"/>
      <c r="B64" s="29" t="str">
        <f>B43</f>
        <v>-2nd floor beam</v>
      </c>
      <c r="C64" s="17">
        <f>C43</f>
        <v>4</v>
      </c>
      <c r="D64" s="6">
        <f>D43</f>
        <v>0.6</v>
      </c>
      <c r="E64" s="6"/>
      <c r="F64" s="65">
        <f>F43*2</f>
        <v>0.46</v>
      </c>
      <c r="G64" s="27">
        <f t="shared" si="3"/>
        <v>1.1040000000000001</v>
      </c>
      <c r="H64" s="20"/>
      <c r="I64" s="21"/>
      <c r="J64" s="23"/>
      <c r="K64" s="19"/>
      <c r="M64" s="55"/>
      <c r="N64" s="56"/>
    </row>
    <row r="65" spans="1:16" ht="30" x14ac:dyDescent="0.25">
      <c r="A65" s="16"/>
      <c r="B65" s="29" t="s">
        <v>98</v>
      </c>
      <c r="C65" s="17">
        <f>-C63</f>
        <v>-4</v>
      </c>
      <c r="D65" s="6">
        <f>D63</f>
        <v>0.92</v>
      </c>
      <c r="E65" s="6"/>
      <c r="F65" s="65">
        <v>0.23</v>
      </c>
      <c r="G65" s="27">
        <f t="shared" si="3"/>
        <v>-0.84640000000000004</v>
      </c>
      <c r="H65" s="20"/>
      <c r="I65" s="21"/>
      <c r="J65" s="23"/>
      <c r="K65" s="19"/>
      <c r="M65" s="55"/>
      <c r="N65" s="56"/>
    </row>
    <row r="66" spans="1:16" ht="15" customHeight="1" x14ac:dyDescent="0.25">
      <c r="A66" s="16"/>
      <c r="B66" s="29" t="str">
        <f t="shared" ref="B66:E67" si="5">B44</f>
        <v>-2nd floor slab</v>
      </c>
      <c r="C66" s="17">
        <f t="shared" si="5"/>
        <v>1</v>
      </c>
      <c r="D66" s="6">
        <f t="shared" si="5"/>
        <v>2.412983846388296</v>
      </c>
      <c r="E66" s="6">
        <f t="shared" si="5"/>
        <v>2.412983846388296</v>
      </c>
      <c r="F66" s="65"/>
      <c r="G66" s="27">
        <f t="shared" si="3"/>
        <v>5.8224910429308556</v>
      </c>
      <c r="H66" s="20"/>
      <c r="I66" s="21"/>
      <c r="J66" s="23"/>
      <c r="K66" s="19"/>
      <c r="M66" s="55"/>
      <c r="N66" s="56"/>
    </row>
    <row r="67" spans="1:16" ht="15" customHeight="1" x14ac:dyDescent="0.25">
      <c r="A67" s="16"/>
      <c r="B67" s="29" t="str">
        <f t="shared" si="5"/>
        <v>-Deduction for opening</v>
      </c>
      <c r="C67" s="17">
        <f t="shared" si="5"/>
        <v>-1</v>
      </c>
      <c r="D67" s="6">
        <f t="shared" si="5"/>
        <v>0.23</v>
      </c>
      <c r="E67" s="6">
        <f t="shared" si="5"/>
        <v>0.23</v>
      </c>
      <c r="F67" s="65"/>
      <c r="G67" s="27">
        <f t="shared" si="3"/>
        <v>-5.2900000000000003E-2</v>
      </c>
      <c r="H67" s="20"/>
      <c r="I67" s="21"/>
      <c r="J67" s="23"/>
      <c r="K67" s="19"/>
      <c r="M67" s="55"/>
      <c r="N67" s="56"/>
    </row>
    <row r="68" spans="1:16" ht="15" customHeight="1" x14ac:dyDescent="0.25">
      <c r="A68" s="16"/>
      <c r="B68" s="29" t="str">
        <f>B46</f>
        <v>-2nd floor inclined roof slab</v>
      </c>
      <c r="C68" s="17">
        <f>C46</f>
        <v>4</v>
      </c>
      <c r="D68" s="6">
        <f>3.5/3.281</f>
        <v>1.0667479427003961</v>
      </c>
      <c r="E68" s="6">
        <f>E46</f>
        <v>1.2</v>
      </c>
      <c r="F68" s="65"/>
      <c r="G68" s="27">
        <f t="shared" si="3"/>
        <v>5.1203901249619008</v>
      </c>
      <c r="H68" s="20"/>
      <c r="I68" s="21"/>
      <c r="J68" s="23"/>
      <c r="K68" s="19"/>
      <c r="M68" s="55"/>
      <c r="N68" s="56"/>
    </row>
    <row r="69" spans="1:16" ht="15" customHeight="1" x14ac:dyDescent="0.25">
      <c r="A69" s="28"/>
      <c r="B69" s="29" t="s">
        <v>20</v>
      </c>
      <c r="C69" s="25"/>
      <c r="D69" s="6"/>
      <c r="E69" s="6"/>
      <c r="F69" s="6"/>
      <c r="G69" s="23">
        <f>SUM(G52:G68)</f>
        <v>89.037916867336946</v>
      </c>
      <c r="H69" s="23" t="s">
        <v>26</v>
      </c>
      <c r="I69" s="26">
        <v>905.97</v>
      </c>
      <c r="J69" s="24">
        <f>G69*I69</f>
        <v>80665.68154430126</v>
      </c>
      <c r="K69" s="7"/>
    </row>
    <row r="70" spans="1:16" ht="15" customHeight="1" x14ac:dyDescent="0.25">
      <c r="A70" s="16"/>
      <c r="B70" s="29" t="s">
        <v>22</v>
      </c>
      <c r="C70" s="17"/>
      <c r="D70" s="18"/>
      <c r="E70" s="19"/>
      <c r="F70" s="19"/>
      <c r="G70" s="21"/>
      <c r="H70" s="20"/>
      <c r="I70" s="21"/>
      <c r="J70" s="23">
        <f>0.13*G69*46827.87/100</f>
        <v>5420.2927949748</v>
      </c>
      <c r="K70" s="19"/>
      <c r="M70" s="55"/>
      <c r="N70" s="56"/>
    </row>
    <row r="71" spans="1:16" ht="15" customHeight="1" x14ac:dyDescent="0.25">
      <c r="A71" s="16"/>
      <c r="B71" s="29"/>
      <c r="C71" s="17"/>
      <c r="D71" s="18"/>
      <c r="E71" s="19"/>
      <c r="F71" s="19"/>
      <c r="G71" s="21"/>
      <c r="H71" s="20"/>
      <c r="I71" s="21"/>
      <c r="J71" s="23"/>
      <c r="K71" s="19"/>
      <c r="M71" s="55"/>
      <c r="N71" s="56">
        <f>48*4</f>
        <v>192</v>
      </c>
      <c r="O71">
        <f>N72+N73+O73</f>
        <v>47.937267267267266</v>
      </c>
      <c r="P71">
        <f>O71*4</f>
        <v>191.74906906906907</v>
      </c>
    </row>
    <row r="72" spans="1:16" ht="45" x14ac:dyDescent="0.25">
      <c r="A72" s="16">
        <v>6</v>
      </c>
      <c r="B72" s="39" t="s">
        <v>36</v>
      </c>
      <c r="C72" s="7" t="s">
        <v>7</v>
      </c>
      <c r="D72" s="42" t="s">
        <v>37</v>
      </c>
      <c r="E72" s="42" t="s">
        <v>38</v>
      </c>
      <c r="F72" s="42" t="s">
        <v>39</v>
      </c>
      <c r="G72" s="42" t="s">
        <v>40</v>
      </c>
      <c r="H72" s="28"/>
      <c r="I72" s="23"/>
      <c r="J72" s="23"/>
      <c r="K72" s="19"/>
      <c r="M72" s="55">
        <f>16-0.75*3</f>
        <v>13.75</v>
      </c>
      <c r="N72" s="56">
        <f>M72/0.5</f>
        <v>27.5</v>
      </c>
    </row>
    <row r="73" spans="1:16" ht="15" customHeight="1" x14ac:dyDescent="0.25">
      <c r="A73" s="16"/>
      <c r="B73" s="29" t="str">
        <f>B51</f>
        <v>-For footing</v>
      </c>
      <c r="C73" s="17">
        <f>2*(TRUNC(((D73-0.1)/0.15),0)+1)</f>
        <v>32</v>
      </c>
      <c r="D73" s="18">
        <f>D27</f>
        <v>2.4406735751295336</v>
      </c>
      <c r="E73" s="19">
        <f>12*12/162</f>
        <v>0.88888888888888884</v>
      </c>
      <c r="F73" s="38">
        <f>PRODUCT(C73:E73)</f>
        <v>69.423603914795621</v>
      </c>
      <c r="G73" s="27">
        <f>F73/1000</f>
        <v>6.9423603914795615E-2</v>
      </c>
      <c r="H73" s="20"/>
      <c r="I73" s="21"/>
      <c r="J73" s="23"/>
      <c r="K73" s="19"/>
      <c r="M73" s="55">
        <f>8.17/2</f>
        <v>4.085</v>
      </c>
      <c r="N73" s="56">
        <f>M73/0.333</f>
        <v>12.267267267267266</v>
      </c>
      <c r="O73">
        <f>M73/0.5</f>
        <v>8.17</v>
      </c>
    </row>
    <row r="74" spans="1:16" ht="30" x14ac:dyDescent="0.25">
      <c r="A74" s="16"/>
      <c r="B74" s="29" t="str">
        <f>B54</f>
        <v>-Lower, mid &amp; upper plinth tie beam</v>
      </c>
      <c r="C74" s="17">
        <f>3*4*4</f>
        <v>48</v>
      </c>
      <c r="D74" s="6">
        <f>D73-0.1+((0.5*2)/3.281)</f>
        <v>2.645458701615361</v>
      </c>
      <c r="E74" s="6">
        <f>12*12/162</f>
        <v>0.88888888888888884</v>
      </c>
      <c r="F74" s="65">
        <f t="shared" ref="F74:F99" si="6">PRODUCT(C74:E74)</f>
        <v>112.8729046022554</v>
      </c>
      <c r="G74" s="27">
        <f t="shared" ref="G74:G99" si="7">F74/1000</f>
        <v>0.11287290460225541</v>
      </c>
      <c r="H74" s="20"/>
      <c r="I74" s="21"/>
      <c r="J74" s="23"/>
      <c r="K74" s="19"/>
      <c r="M74" s="55"/>
      <c r="N74" s="56"/>
    </row>
    <row r="75" spans="1:16" ht="15" customHeight="1" x14ac:dyDescent="0.25">
      <c r="A75" s="16"/>
      <c r="B75" s="29" t="s">
        <v>43</v>
      </c>
      <c r="C75" s="17">
        <f>3*4*(TRUNC(((D54/2))/0.1,0)+TRUNC(((D54/2))/0.15,0))</f>
        <v>180</v>
      </c>
      <c r="D75" s="6">
        <f>(0.583*4+0.17+0.17)/3.281</f>
        <v>0.81438585797013097</v>
      </c>
      <c r="E75" s="6">
        <f>8*8/162</f>
        <v>0.39506172839506171</v>
      </c>
      <c r="F75" s="65">
        <f t="shared" si="6"/>
        <v>57.911883233431531</v>
      </c>
      <c r="G75" s="27">
        <f t="shared" si="7"/>
        <v>5.7911883233431528E-2</v>
      </c>
      <c r="H75" s="20"/>
      <c r="I75" s="21"/>
      <c r="J75" s="23"/>
      <c r="K75" s="19"/>
      <c r="M75" s="55"/>
      <c r="N75" s="56"/>
    </row>
    <row r="76" spans="1:16" x14ac:dyDescent="0.25">
      <c r="A76" s="16"/>
      <c r="B76" s="29" t="str">
        <f>B32</f>
        <v>-For flooring</v>
      </c>
      <c r="C76" s="17">
        <f>2*TRUNC(7/0.5,0)</f>
        <v>28</v>
      </c>
      <c r="D76" s="6">
        <f>8.5/3.281</f>
        <v>2.5906735751295336</v>
      </c>
      <c r="E76" s="6">
        <f>8*8/162</f>
        <v>0.39506172839506171</v>
      </c>
      <c r="F76" s="65">
        <f t="shared" ref="F76" si="8">PRODUCT(C76:E76)</f>
        <v>28.657327448346447</v>
      </c>
      <c r="G76" s="27">
        <f t="shared" si="7"/>
        <v>2.8657327448346447E-2</v>
      </c>
      <c r="H76" s="20"/>
      <c r="I76" s="21"/>
      <c r="J76" s="23"/>
      <c r="K76" s="19"/>
      <c r="M76" s="55"/>
      <c r="N76" s="56"/>
    </row>
    <row r="77" spans="1:16" ht="15" customHeight="1" x14ac:dyDescent="0.25">
      <c r="A77" s="16"/>
      <c r="B77" s="29" t="s">
        <v>32</v>
      </c>
      <c r="C77" s="17">
        <f>C53*8</f>
        <v>32</v>
      </c>
      <c r="D77" s="6">
        <f>(23.667+2.25+2.25)/3.281</f>
        <v>8.5848826577263022</v>
      </c>
      <c r="E77" s="6">
        <f>12*12/162</f>
        <v>0.88888888888888884</v>
      </c>
      <c r="F77" s="65">
        <f t="shared" si="6"/>
        <v>244.19221781977035</v>
      </c>
      <c r="G77" s="27">
        <f t="shared" si="7"/>
        <v>0.24419221781977035</v>
      </c>
      <c r="H77" s="20"/>
      <c r="I77" s="21"/>
      <c r="J77" s="23"/>
      <c r="K77" s="19"/>
      <c r="M77" s="55">
        <f>12*57</f>
        <v>684</v>
      </c>
      <c r="N77" s="56">
        <f>M77/1000</f>
        <v>0.68400000000000005</v>
      </c>
      <c r="O77">
        <f>N77*3.281</f>
        <v>2.2442040000000003</v>
      </c>
    </row>
    <row r="78" spans="1:16" ht="15" customHeight="1" x14ac:dyDescent="0.25">
      <c r="A78" s="16"/>
      <c r="B78" s="29" t="s">
        <v>43</v>
      </c>
      <c r="C78" s="17">
        <f>4*(TRUNC(((16-0.75*3)/3.281)/0.15,0)+1+(TRUNC(((((8.17-0.333)/2)/3.281)/0.1),0)+1+TRUNC(((((8.17-0.333)/2)/3.281)/0.15),0)))</f>
        <v>188</v>
      </c>
      <c r="D78" s="6">
        <f>(0.75*4+0.17+0.17)/3.281</f>
        <v>1.0179823224626636</v>
      </c>
      <c r="E78" s="6">
        <f>8*8/162</f>
        <v>0.39506172839506171</v>
      </c>
      <c r="F78" s="65">
        <f t="shared" si="6"/>
        <v>75.607180888091165</v>
      </c>
      <c r="G78" s="27">
        <f t="shared" si="7"/>
        <v>7.5607180888091166E-2</v>
      </c>
      <c r="H78" s="20"/>
      <c r="I78" s="21"/>
      <c r="J78" s="23"/>
      <c r="K78" s="19"/>
      <c r="M78" s="55"/>
      <c r="N78" s="56"/>
    </row>
    <row r="79" spans="1:16" ht="15" customHeight="1" x14ac:dyDescent="0.25">
      <c r="A79" s="16"/>
      <c r="B79" s="29"/>
      <c r="C79" s="17">
        <f>4*(TRUNC(((16-0.75*3)/3.281)/0.15,0)+1+(TRUNC(((((8.17-0.333)/2)/3.281)/0.1),0)+1+TRUNC(((((8.17-0.333)/2)/3.281)/0.15),0)))</f>
        <v>188</v>
      </c>
      <c r="D79" s="6">
        <f>(0.583*4+0.17+0.17)/3.281</f>
        <v>0.81438585797013097</v>
      </c>
      <c r="E79" s="6">
        <f>8*8/162</f>
        <v>0.39506172839506171</v>
      </c>
      <c r="F79" s="65">
        <f t="shared" si="6"/>
        <v>60.485744710472929</v>
      </c>
      <c r="G79" s="27">
        <f t="shared" si="7"/>
        <v>6.0485744710472931E-2</v>
      </c>
      <c r="H79" s="20"/>
      <c r="I79" s="21"/>
      <c r="J79" s="23"/>
      <c r="K79" s="19"/>
      <c r="M79" s="55"/>
      <c r="N79" s="56"/>
    </row>
    <row r="80" spans="1:16" ht="15" customHeight="1" x14ac:dyDescent="0.25">
      <c r="A80" s="16"/>
      <c r="B80" s="29" t="s">
        <v>33</v>
      </c>
      <c r="C80" s="17">
        <f>4*5</f>
        <v>20</v>
      </c>
      <c r="D80" s="6">
        <f>D74</f>
        <v>2.645458701615361</v>
      </c>
      <c r="E80" s="6">
        <f t="shared" ref="E80:E81" si="9">12*12/162</f>
        <v>0.88888888888888884</v>
      </c>
      <c r="F80" s="65">
        <f t="shared" si="6"/>
        <v>47.030376917606418</v>
      </c>
      <c r="G80" s="27">
        <f t="shared" si="7"/>
        <v>4.703037691760642E-2</v>
      </c>
      <c r="H80" s="20"/>
      <c r="I80" s="21"/>
      <c r="J80" s="23"/>
      <c r="K80" s="19"/>
      <c r="M80" s="55">
        <f>6.5*12</f>
        <v>78</v>
      </c>
      <c r="N80" s="56">
        <f>3*M80/8</f>
        <v>29.25</v>
      </c>
      <c r="O80">
        <f>N80/12</f>
        <v>2.4375</v>
      </c>
    </row>
    <row r="81" spans="1:14" ht="15" customHeight="1" x14ac:dyDescent="0.25">
      <c r="A81" s="16"/>
      <c r="B81" s="29" t="s">
        <v>42</v>
      </c>
      <c r="C81" s="17">
        <f>8</f>
        <v>8</v>
      </c>
      <c r="D81" s="6">
        <f>2.42/3.281</f>
        <v>0.73758000609570251</v>
      </c>
      <c r="E81" s="6">
        <f t="shared" si="9"/>
        <v>0.88888888888888884</v>
      </c>
      <c r="F81" s="65">
        <f t="shared" si="6"/>
        <v>5.2450133766805509</v>
      </c>
      <c r="G81" s="27">
        <f t="shared" si="7"/>
        <v>5.2450133766805511E-3</v>
      </c>
      <c r="H81" s="20"/>
      <c r="I81" s="21"/>
      <c r="J81" s="23"/>
      <c r="K81" s="19"/>
      <c r="M81" s="55"/>
      <c r="N81" s="56"/>
    </row>
    <row r="82" spans="1:14" ht="15" customHeight="1" x14ac:dyDescent="0.25">
      <c r="A82" s="16"/>
      <c r="B82" s="29" t="s">
        <v>43</v>
      </c>
      <c r="C82" s="17">
        <f>C75</f>
        <v>180</v>
      </c>
      <c r="D82" s="6">
        <f>(0.667*4+0.17+0.17)/3.281</f>
        <v>0.91679366046936905</v>
      </c>
      <c r="E82" s="6">
        <f>8*8/162</f>
        <v>0.39506172839506171</v>
      </c>
      <c r="F82" s="65">
        <f t="shared" si="6"/>
        <v>65.194215855599566</v>
      </c>
      <c r="G82" s="27">
        <f t="shared" si="7"/>
        <v>6.5194215855599563E-2</v>
      </c>
      <c r="H82" s="20"/>
      <c r="I82" s="21"/>
      <c r="J82" s="23"/>
      <c r="K82" s="19"/>
      <c r="M82" s="55"/>
      <c r="N82" s="56">
        <f>(12-0.75*4)/3.281</f>
        <v>2.7430661383724475</v>
      </c>
    </row>
    <row r="83" spans="1:14" ht="15" customHeight="1" x14ac:dyDescent="0.25">
      <c r="A83" s="16"/>
      <c r="B83" s="29" t="str">
        <f>B57</f>
        <v>-Secondary beam</v>
      </c>
      <c r="C83" s="17">
        <f>4*5</f>
        <v>20</v>
      </c>
      <c r="D83" s="6">
        <f>D74</f>
        <v>2.645458701615361</v>
      </c>
      <c r="E83" s="6">
        <f>12*12/162</f>
        <v>0.88888888888888884</v>
      </c>
      <c r="F83" s="65">
        <f t="shared" si="6"/>
        <v>47.030376917606418</v>
      </c>
      <c r="G83" s="27">
        <f t="shared" si="7"/>
        <v>4.703037691760642E-2</v>
      </c>
      <c r="H83" s="20"/>
      <c r="I83" s="21"/>
      <c r="J83" s="23"/>
      <c r="K83" s="19"/>
      <c r="M83" s="55"/>
      <c r="N83" s="56"/>
    </row>
    <row r="84" spans="1:14" ht="15" customHeight="1" x14ac:dyDescent="0.25">
      <c r="A84" s="16"/>
      <c r="B84" s="29" t="s">
        <v>43</v>
      </c>
      <c r="C84" s="17">
        <f>4*TRUNC((4/0.333),0)</f>
        <v>48</v>
      </c>
      <c r="D84" s="6">
        <f>(0.667*4+0.17+0.17)/3.281</f>
        <v>0.91679366046936905</v>
      </c>
      <c r="E84" s="6">
        <f>8*8/162</f>
        <v>0.39506172839506171</v>
      </c>
      <c r="F84" s="65">
        <f t="shared" si="6"/>
        <v>17.385124228159885</v>
      </c>
      <c r="G84" s="27">
        <f t="shared" si="7"/>
        <v>1.7385124228159885E-2</v>
      </c>
      <c r="H84" s="20"/>
      <c r="I84" s="21"/>
      <c r="J84" s="23"/>
      <c r="K84" s="19"/>
      <c r="M84" s="55"/>
      <c r="N84" s="56"/>
    </row>
    <row r="85" spans="1:14" ht="15" customHeight="1" x14ac:dyDescent="0.25">
      <c r="A85" s="16"/>
      <c r="B85" s="29" t="s">
        <v>92</v>
      </c>
      <c r="C85" s="17">
        <f>4*(TRUNC((12-0.75*4)/0.15,0))</f>
        <v>240</v>
      </c>
      <c r="D85" s="6">
        <f>(12)/3.281</f>
        <v>3.6574215178299299</v>
      </c>
      <c r="E85" s="6">
        <f>8*8/162</f>
        <v>0.39506172839506171</v>
      </c>
      <c r="F85" s="65">
        <f t="shared" si="6"/>
        <v>346.7777439127637</v>
      </c>
      <c r="G85" s="27">
        <f t="shared" si="7"/>
        <v>0.34677774391276367</v>
      </c>
      <c r="H85" s="20"/>
      <c r="I85" s="21"/>
      <c r="J85" s="23"/>
      <c r="K85" s="19"/>
      <c r="M85" s="55"/>
      <c r="N85" s="56"/>
    </row>
    <row r="86" spans="1:14" ht="15" customHeight="1" x14ac:dyDescent="0.25">
      <c r="A86" s="16"/>
      <c r="B86" s="29" t="str">
        <f>B61</f>
        <v>-Deduction for opening</v>
      </c>
      <c r="C86" s="17">
        <f>-4*(TRUNC(D86/0.15,0)+1)</f>
        <v>-20</v>
      </c>
      <c r="D86" s="6">
        <f>D61</f>
        <v>0.6095702529716549</v>
      </c>
      <c r="E86" s="6">
        <f>8*8/162</f>
        <v>0.39506172839506171</v>
      </c>
      <c r="F86" s="65">
        <f t="shared" si="6"/>
        <v>-4.8163575543439396</v>
      </c>
      <c r="G86" s="66">
        <f t="shared" si="7"/>
        <v>-4.81635755434394E-3</v>
      </c>
      <c r="H86" s="20"/>
      <c r="I86" s="21"/>
      <c r="J86" s="23"/>
      <c r="K86" s="19"/>
      <c r="M86" s="55"/>
      <c r="N86" s="56"/>
    </row>
    <row r="87" spans="1:14" ht="15" customHeight="1" x14ac:dyDescent="0.25">
      <c r="A87" s="16"/>
      <c r="B87" s="29" t="str">
        <f>B62</f>
        <v>-1st floor Inclined Surface</v>
      </c>
      <c r="C87" s="17"/>
      <c r="D87" s="6"/>
      <c r="E87" s="6"/>
      <c r="F87" s="65"/>
      <c r="G87" s="27"/>
      <c r="H87" s="20"/>
      <c r="I87" s="21"/>
      <c r="J87" s="23"/>
      <c r="K87" s="19"/>
      <c r="M87" s="55"/>
      <c r="N87" s="56"/>
    </row>
    <row r="88" spans="1:14" ht="15" customHeight="1" x14ac:dyDescent="0.25">
      <c r="A88" s="16"/>
      <c r="B88" s="29" t="s">
        <v>93</v>
      </c>
      <c r="C88" s="17">
        <f>4*TRUNC(D62/0.15,0)</f>
        <v>32</v>
      </c>
      <c r="D88" s="6">
        <f>E62</f>
        <v>2.4260896068271869</v>
      </c>
      <c r="E88" s="6">
        <f>10*10/162</f>
        <v>0.61728395061728392</v>
      </c>
      <c r="F88" s="65">
        <f t="shared" si="6"/>
        <v>47.922757665722209</v>
      </c>
      <c r="G88" s="27">
        <f t="shared" si="7"/>
        <v>4.792275766572221E-2</v>
      </c>
      <c r="H88" s="20"/>
      <c r="I88" s="21"/>
      <c r="J88" s="23"/>
      <c r="K88" s="19"/>
      <c r="M88" s="55"/>
      <c r="N88" s="56"/>
    </row>
    <row r="89" spans="1:14" ht="15" customHeight="1" x14ac:dyDescent="0.25">
      <c r="A89" s="16"/>
      <c r="B89" s="29" t="s">
        <v>94</v>
      </c>
      <c r="C89" s="17">
        <f>4*TRUNC(E62/0.15,0)</f>
        <v>64</v>
      </c>
      <c r="D89" s="6">
        <f>D62</f>
        <v>1.3471502590673574</v>
      </c>
      <c r="E89" s="6">
        <f>10*10/162</f>
        <v>0.61728395061728392</v>
      </c>
      <c r="F89" s="65">
        <f t="shared" si="6"/>
        <v>53.220750975500536</v>
      </c>
      <c r="G89" s="27">
        <f t="shared" si="7"/>
        <v>5.3220750975500539E-2</v>
      </c>
      <c r="H89" s="20"/>
      <c r="I89" s="21"/>
      <c r="J89" s="23"/>
      <c r="K89" s="19"/>
      <c r="M89" s="55"/>
      <c r="N89" s="56"/>
    </row>
    <row r="90" spans="1:14" ht="15" customHeight="1" x14ac:dyDescent="0.25">
      <c r="A90" s="16"/>
      <c r="B90" s="29" t="str">
        <f>B63</f>
        <v>-1st floor column</v>
      </c>
      <c r="C90" s="17">
        <f>8*4</f>
        <v>32</v>
      </c>
      <c r="D90" s="6">
        <f>F63+1.5*2</f>
        <v>4.3715330691862242</v>
      </c>
      <c r="E90" s="6">
        <f>12*12/162</f>
        <v>0.88888888888888884</v>
      </c>
      <c r="F90" s="65">
        <f t="shared" si="6"/>
        <v>124.34582952351926</v>
      </c>
      <c r="G90" s="27">
        <f t="shared" si="7"/>
        <v>0.12434582952351926</v>
      </c>
      <c r="H90" s="20"/>
      <c r="I90" s="21"/>
      <c r="J90" s="23"/>
      <c r="K90" s="19"/>
      <c r="M90" s="55"/>
      <c r="N90" s="56"/>
    </row>
    <row r="91" spans="1:14" ht="15" customHeight="1" x14ac:dyDescent="0.25">
      <c r="A91" s="16"/>
      <c r="B91" s="29" t="s">
        <v>43</v>
      </c>
      <c r="C91" s="17">
        <f>4*TRUNC(4.07/0.333,0)</f>
        <v>48</v>
      </c>
      <c r="D91" s="6">
        <f>(0.75*4+0.17+0.17)/3.281</f>
        <v>1.0179823224626636</v>
      </c>
      <c r="E91" s="6">
        <f>8*8/162</f>
        <v>0.39506172839506171</v>
      </c>
      <c r="F91" s="65">
        <f t="shared" si="6"/>
        <v>19.303961077810509</v>
      </c>
      <c r="G91" s="27">
        <f t="shared" si="7"/>
        <v>1.9303961077810509E-2</v>
      </c>
      <c r="H91" s="20"/>
      <c r="I91" s="21"/>
      <c r="J91" s="23"/>
      <c r="K91" s="19"/>
      <c r="M91" s="55"/>
      <c r="N91" s="56"/>
    </row>
    <row r="92" spans="1:14" ht="15" customHeight="1" x14ac:dyDescent="0.25">
      <c r="A92" s="16"/>
      <c r="B92" s="29"/>
      <c r="C92" s="17">
        <f>4*TRUNC(4.07/0.333,0)</f>
        <v>48</v>
      </c>
      <c r="D92" s="6">
        <f>(0.583*4+0.17+0.17)/3.281</f>
        <v>0.81438585797013097</v>
      </c>
      <c r="E92" s="6">
        <f>8*8/162</f>
        <v>0.39506172839506171</v>
      </c>
      <c r="F92" s="65">
        <f t="shared" si="6"/>
        <v>15.443168862248408</v>
      </c>
      <c r="G92" s="27">
        <f t="shared" si="7"/>
        <v>1.5443168862248408E-2</v>
      </c>
      <c r="H92" s="20"/>
      <c r="I92" s="21"/>
      <c r="J92" s="23"/>
      <c r="K92" s="19"/>
      <c r="M92" s="55"/>
      <c r="N92" s="56"/>
    </row>
    <row r="93" spans="1:14" ht="15" customHeight="1" x14ac:dyDescent="0.25">
      <c r="A93" s="16"/>
      <c r="B93" s="29" t="str">
        <f>B64</f>
        <v>-2nd floor beam</v>
      </c>
      <c r="C93" s="17">
        <f>4*4</f>
        <v>16</v>
      </c>
      <c r="D93" s="6">
        <f>(3.17+0.583*2)/3.281</f>
        <v>1.3215483084425481</v>
      </c>
      <c r="E93" s="6">
        <f>12*12/162</f>
        <v>0.88888888888888884</v>
      </c>
      <c r="F93" s="65">
        <f t="shared" si="6"/>
        <v>18.795353720071795</v>
      </c>
      <c r="G93" s="27">
        <f t="shared" si="7"/>
        <v>1.8795353720071795E-2</v>
      </c>
      <c r="H93" s="20"/>
      <c r="I93" s="21"/>
      <c r="J93" s="23"/>
      <c r="K93" s="19"/>
      <c r="M93" s="55"/>
      <c r="N93" s="56"/>
    </row>
    <row r="94" spans="1:14" ht="15" customHeight="1" x14ac:dyDescent="0.25">
      <c r="A94" s="16"/>
      <c r="B94" s="29" t="s">
        <v>43</v>
      </c>
      <c r="C94" s="17">
        <f>4*TRUNC((1.667/0.333),0)</f>
        <v>20</v>
      </c>
      <c r="D94" s="6">
        <f>(0.667*4+0.17+0.17)/3.281</f>
        <v>0.91679366046936905</v>
      </c>
      <c r="E94" s="6">
        <f>8*8/162</f>
        <v>0.39506172839506171</v>
      </c>
      <c r="F94" s="65">
        <f t="shared" si="6"/>
        <v>7.2438017617332857</v>
      </c>
      <c r="G94" s="27">
        <f t="shared" si="7"/>
        <v>7.2438017617332861E-3</v>
      </c>
      <c r="H94" s="20"/>
      <c r="I94" s="21"/>
      <c r="J94" s="23"/>
      <c r="K94" s="19"/>
      <c r="M94" s="55"/>
      <c r="N94" s="56"/>
    </row>
    <row r="95" spans="1:14" ht="15" customHeight="1" x14ac:dyDescent="0.25">
      <c r="A95" s="16"/>
      <c r="B95" s="29" t="str">
        <f>B66</f>
        <v>-2nd floor slab</v>
      </c>
      <c r="C95" s="17">
        <f>2*(TRUNC((7.583-0.75*2)/0.15,0))</f>
        <v>80</v>
      </c>
      <c r="D95" s="6">
        <f>(7.583)/3.281</f>
        <v>2.3111856141420297</v>
      </c>
      <c r="E95" s="6">
        <f>10*10/162</f>
        <v>0.61728395061728392</v>
      </c>
      <c r="F95" s="65">
        <f t="shared" si="6"/>
        <v>114.13262292059406</v>
      </c>
      <c r="G95" s="27">
        <f t="shared" si="7"/>
        <v>0.11413262292059406</v>
      </c>
      <c r="H95" s="20"/>
      <c r="I95" s="21"/>
      <c r="J95" s="23"/>
      <c r="K95" s="19"/>
      <c r="M95" s="55"/>
      <c r="N95" s="56"/>
    </row>
    <row r="96" spans="1:14" ht="15" customHeight="1" x14ac:dyDescent="0.25">
      <c r="A96" s="16"/>
      <c r="B96" s="29" t="s">
        <v>83</v>
      </c>
      <c r="C96" s="17">
        <f>-2*(TRUNC(0.23/0.15,0)+1)</f>
        <v>-4</v>
      </c>
      <c r="D96" s="6">
        <v>0.23</v>
      </c>
      <c r="E96" s="6">
        <f>10*10/162</f>
        <v>0.61728395061728392</v>
      </c>
      <c r="F96" s="65">
        <f t="shared" si="6"/>
        <v>-0.5679012345679012</v>
      </c>
      <c r="G96" s="66">
        <f t="shared" si="7"/>
        <v>-5.6790123456790123E-4</v>
      </c>
      <c r="H96" s="20"/>
      <c r="I96" s="21"/>
      <c r="J96" s="23"/>
      <c r="K96" s="19"/>
      <c r="M96" s="55"/>
      <c r="N96" s="56"/>
    </row>
    <row r="97" spans="1:14" ht="15" customHeight="1" x14ac:dyDescent="0.25">
      <c r="A97" s="16"/>
      <c r="B97" s="29" t="str">
        <f>B68</f>
        <v>-2nd floor inclined roof slab</v>
      </c>
      <c r="D97" s="6"/>
      <c r="E97" s="6"/>
      <c r="F97" s="65"/>
      <c r="G97" s="27"/>
      <c r="H97" s="20"/>
      <c r="I97" s="21"/>
      <c r="J97" s="23"/>
      <c r="K97" s="19"/>
      <c r="M97" s="55"/>
      <c r="N97" s="56"/>
    </row>
    <row r="98" spans="1:14" ht="15" customHeight="1" x14ac:dyDescent="0.25">
      <c r="A98" s="16"/>
      <c r="B98" s="29" t="str">
        <f>B88</f>
        <v>-horizontal bars</v>
      </c>
      <c r="C98" s="17">
        <f>4*TRUNC(D68/0.15,0)</f>
        <v>28</v>
      </c>
      <c r="D98" s="6">
        <f>E68</f>
        <v>1.2</v>
      </c>
      <c r="E98" s="6">
        <f>10*10/162</f>
        <v>0.61728395061728392</v>
      </c>
      <c r="F98" s="65">
        <f t="shared" si="6"/>
        <v>20.74074074074074</v>
      </c>
      <c r="G98" s="27">
        <f t="shared" si="7"/>
        <v>2.074074074074074E-2</v>
      </c>
      <c r="H98" s="20"/>
      <c r="I98" s="21"/>
      <c r="J98" s="23"/>
      <c r="K98" s="19"/>
      <c r="M98" s="55"/>
      <c r="N98" s="56"/>
    </row>
    <row r="99" spans="1:14" ht="15" customHeight="1" x14ac:dyDescent="0.25">
      <c r="A99" s="16"/>
      <c r="B99" s="29" t="str">
        <f>B89</f>
        <v>-vertical bars</v>
      </c>
      <c r="C99" s="17">
        <f>4*TRUNC(E68/0.15,0)</f>
        <v>32</v>
      </c>
      <c r="D99" s="6">
        <f>D68</f>
        <v>1.0667479427003961</v>
      </c>
      <c r="E99" s="6">
        <f>10*10/162</f>
        <v>0.61728395061728392</v>
      </c>
      <c r="F99" s="65">
        <f t="shared" si="6"/>
        <v>21.071564300254735</v>
      </c>
      <c r="G99" s="27">
        <f t="shared" si="7"/>
        <v>2.1071564300254735E-2</v>
      </c>
      <c r="H99" s="20"/>
      <c r="I99" s="21"/>
      <c r="J99" s="23"/>
      <c r="K99" s="19"/>
      <c r="M99" s="55"/>
      <c r="N99" s="56"/>
    </row>
    <row r="100" spans="1:14" ht="15" customHeight="1" x14ac:dyDescent="0.25">
      <c r="A100" s="28"/>
      <c r="B100" s="29" t="s">
        <v>20</v>
      </c>
      <c r="C100" s="25"/>
      <c r="D100" s="6"/>
      <c r="E100" s="6"/>
      <c r="F100" s="6"/>
      <c r="G100" s="23">
        <f>SUM(G73:G99)</f>
        <v>1.6146500065848641</v>
      </c>
      <c r="H100" s="23" t="s">
        <v>41</v>
      </c>
      <c r="I100" s="26">
        <v>130210</v>
      </c>
      <c r="J100" s="24">
        <f>G100*I100</f>
        <v>210243.57735741517</v>
      </c>
      <c r="K100" s="7"/>
    </row>
    <row r="101" spans="1:14" ht="15" customHeight="1" x14ac:dyDescent="0.25">
      <c r="A101" s="16"/>
      <c r="B101" s="29" t="s">
        <v>22</v>
      </c>
      <c r="C101" s="17"/>
      <c r="D101" s="18"/>
      <c r="E101" s="19"/>
      <c r="F101" s="19"/>
      <c r="G101" s="21"/>
      <c r="H101" s="20"/>
      <c r="I101" s="21"/>
      <c r="J101" s="23">
        <f>0.13*G100*105010</f>
        <v>22042.071634891956</v>
      </c>
      <c r="K101" s="19"/>
      <c r="N101" s="56"/>
    </row>
    <row r="102" spans="1:14" ht="15" customHeight="1" x14ac:dyDescent="0.25">
      <c r="A102" s="16"/>
      <c r="B102" s="29"/>
      <c r="C102" s="17"/>
      <c r="D102" s="18"/>
      <c r="E102" s="19"/>
      <c r="F102" s="19"/>
      <c r="G102" s="21"/>
      <c r="H102" s="20"/>
      <c r="I102" s="21"/>
      <c r="J102" s="23"/>
      <c r="K102" s="19"/>
      <c r="M102" s="55"/>
      <c r="N102" s="56"/>
    </row>
    <row r="103" spans="1:14" ht="30" x14ac:dyDescent="0.25">
      <c r="A103" s="16">
        <v>7</v>
      </c>
      <c r="B103" s="39" t="s">
        <v>44</v>
      </c>
      <c r="C103" s="17"/>
      <c r="D103" s="18"/>
      <c r="E103" s="19"/>
      <c r="F103" s="19"/>
      <c r="G103" s="21"/>
      <c r="H103" s="20"/>
      <c r="I103" s="21"/>
      <c r="J103" s="23"/>
      <c r="K103" s="19"/>
      <c r="M103" s="55"/>
      <c r="N103" s="56"/>
    </row>
    <row r="104" spans="1:14" ht="30" x14ac:dyDescent="0.25">
      <c r="A104" s="16"/>
      <c r="B104" s="29" t="s">
        <v>48</v>
      </c>
      <c r="C104" s="17">
        <f>2*4</f>
        <v>8</v>
      </c>
      <c r="D104" s="18">
        <f>6.5/3.281</f>
        <v>1.9811033221578787</v>
      </c>
      <c r="E104" s="19">
        <v>0.23</v>
      </c>
      <c r="F104" s="19">
        <f>12.5/3.281</f>
        <v>3.8098140810728434</v>
      </c>
      <c r="G104" s="27">
        <f>PRODUCT(C104:F104)</f>
        <v>13.887649012383788</v>
      </c>
      <c r="H104" s="20"/>
      <c r="I104" s="21"/>
      <c r="J104" s="23"/>
      <c r="K104" s="19"/>
      <c r="M104" s="55"/>
      <c r="N104" s="56"/>
    </row>
    <row r="105" spans="1:14" ht="15" customHeight="1" x14ac:dyDescent="0.25">
      <c r="A105" s="28"/>
      <c r="B105" s="29" t="s">
        <v>20</v>
      </c>
      <c r="C105" s="25"/>
      <c r="D105" s="6"/>
      <c r="E105" s="6"/>
      <c r="F105" s="6"/>
      <c r="G105" s="23">
        <f>SUM(G104:G104)</f>
        <v>13.887649012383788</v>
      </c>
      <c r="H105" s="23" t="s">
        <v>16</v>
      </c>
      <c r="I105" s="26">
        <v>14520.78</v>
      </c>
      <c r="J105" s="24">
        <f>G105*I105</f>
        <v>201659.49602604227</v>
      </c>
      <c r="K105" s="7"/>
    </row>
    <row r="106" spans="1:14" ht="15" customHeight="1" x14ac:dyDescent="0.25">
      <c r="A106" s="16"/>
      <c r="B106" s="29" t="s">
        <v>22</v>
      </c>
      <c r="C106" s="17"/>
      <c r="D106" s="18"/>
      <c r="E106" s="19"/>
      <c r="F106" s="19"/>
      <c r="G106" s="21"/>
      <c r="H106" s="20"/>
      <c r="I106" s="21"/>
      <c r="J106" s="23">
        <f>0.13*G105*10560.79</f>
        <v>19066.390825754039</v>
      </c>
      <c r="K106" s="19"/>
      <c r="M106" s="55"/>
      <c r="N106" s="56"/>
    </row>
    <row r="107" spans="1:14" ht="15" customHeight="1" x14ac:dyDescent="0.25">
      <c r="A107" s="16"/>
      <c r="B107" s="29"/>
      <c r="C107" s="17"/>
      <c r="D107" s="18"/>
      <c r="E107" s="19"/>
      <c r="F107" s="19"/>
      <c r="G107" s="21"/>
      <c r="H107" s="20"/>
      <c r="I107" s="21"/>
      <c r="J107" s="23"/>
      <c r="K107" s="19"/>
      <c r="M107" s="55"/>
      <c r="N107" s="56"/>
    </row>
    <row r="108" spans="1:14" ht="30" x14ac:dyDescent="0.25">
      <c r="A108" s="16">
        <v>8</v>
      </c>
      <c r="B108" s="39" t="s">
        <v>63</v>
      </c>
      <c r="C108" s="17"/>
      <c r="D108" s="18"/>
      <c r="E108" s="19"/>
      <c r="F108" s="19"/>
      <c r="G108" s="21"/>
      <c r="H108" s="20"/>
      <c r="I108" s="21"/>
      <c r="J108" s="23"/>
      <c r="K108" s="19"/>
      <c r="M108" s="55"/>
      <c r="N108" s="56"/>
    </row>
    <row r="109" spans="1:14" ht="15" customHeight="1" x14ac:dyDescent="0.25">
      <c r="A109" s="16"/>
      <c r="B109" s="29" t="s">
        <v>47</v>
      </c>
      <c r="C109" s="17">
        <v>4</v>
      </c>
      <c r="D109" s="18">
        <f>6.5/3.81</f>
        <v>1.7060367454068242</v>
      </c>
      <c r="E109" s="19">
        <v>0.1</v>
      </c>
      <c r="F109" s="19">
        <f>8.17/3.281</f>
        <v>2.4900944833892105</v>
      </c>
      <c r="G109" s="27">
        <f>PRODUCT(C109:F109)</f>
        <v>1.6992770752787265</v>
      </c>
      <c r="H109" s="20"/>
      <c r="I109" s="21"/>
      <c r="J109" s="23"/>
      <c r="K109" s="19"/>
      <c r="M109" s="55"/>
      <c r="N109" s="56"/>
    </row>
    <row r="110" spans="1:14" ht="15" customHeight="1" x14ac:dyDescent="0.25">
      <c r="A110" s="16"/>
      <c r="B110" s="29" t="s">
        <v>64</v>
      </c>
      <c r="C110" s="17">
        <v>-2</v>
      </c>
      <c r="D110" s="18">
        <v>0.75</v>
      </c>
      <c r="E110" s="19">
        <v>0.1</v>
      </c>
      <c r="F110" s="19">
        <v>0.75</v>
      </c>
      <c r="G110" s="27">
        <f>PRODUCT(C110:F110)</f>
        <v>-0.11250000000000002</v>
      </c>
      <c r="H110" s="20"/>
      <c r="I110" s="21"/>
      <c r="J110" s="23"/>
      <c r="K110" s="19"/>
      <c r="M110" s="55"/>
      <c r="N110" s="56"/>
    </row>
    <row r="111" spans="1:14" ht="15" customHeight="1" x14ac:dyDescent="0.25">
      <c r="A111" s="16"/>
      <c r="B111" s="29" t="s">
        <v>95</v>
      </c>
      <c r="C111" s="17">
        <v>-1</v>
      </c>
      <c r="D111" s="18">
        <v>0.9</v>
      </c>
      <c r="E111" s="19">
        <v>0.1</v>
      </c>
      <c r="F111" s="19">
        <f>7/3.281</f>
        <v>2.1334958854007922</v>
      </c>
      <c r="G111" s="27">
        <f>PRODUCT(C111:F111)</f>
        <v>-0.1920146296860713</v>
      </c>
      <c r="H111" s="20"/>
      <c r="I111" s="21"/>
      <c r="J111" s="23"/>
      <c r="K111" s="19"/>
      <c r="M111" s="55"/>
      <c r="N111" s="56"/>
    </row>
    <row r="112" spans="1:14" ht="15" customHeight="1" x14ac:dyDescent="0.25">
      <c r="A112" s="16"/>
      <c r="B112" s="29" t="s">
        <v>99</v>
      </c>
      <c r="C112" s="17">
        <v>2</v>
      </c>
      <c r="D112" s="18">
        <f>1.5/3.281</f>
        <v>0.45717768972874123</v>
      </c>
      <c r="E112" s="19">
        <v>0.1</v>
      </c>
      <c r="F112" s="19">
        <f>1.333/3.281</f>
        <v>0.40627857360560804</v>
      </c>
      <c r="G112" s="27">
        <f t="shared" ref="G112:G113" si="10">PRODUCT(C112:F112)</f>
        <v>3.7148299933460048E-2</v>
      </c>
      <c r="H112" s="20"/>
      <c r="I112" s="21"/>
      <c r="J112" s="23"/>
      <c r="K112" s="19"/>
      <c r="M112" s="55"/>
      <c r="N112" s="56"/>
    </row>
    <row r="113" spans="1:14" ht="15" customHeight="1" x14ac:dyDescent="0.25">
      <c r="A113" s="16"/>
      <c r="B113" s="29"/>
      <c r="C113" s="17">
        <v>2</v>
      </c>
      <c r="D113" s="18">
        <v>0.23</v>
      </c>
      <c r="E113" s="19">
        <v>0.1</v>
      </c>
      <c r="F113" s="19">
        <f>1.333/3.281</f>
        <v>0.40627857360560804</v>
      </c>
      <c r="G113" s="27">
        <f t="shared" si="10"/>
        <v>1.8688814385857972E-2</v>
      </c>
      <c r="H113" s="20"/>
      <c r="I113" s="21"/>
      <c r="J113" s="23"/>
      <c r="K113" s="19"/>
      <c r="M113" s="55"/>
      <c r="N113" s="56"/>
    </row>
    <row r="114" spans="1:14" ht="15" customHeight="1" x14ac:dyDescent="0.25">
      <c r="A114" s="28"/>
      <c r="B114" s="29" t="s">
        <v>20</v>
      </c>
      <c r="C114" s="25"/>
      <c r="D114" s="6"/>
      <c r="E114" s="6"/>
      <c r="F114" s="6"/>
      <c r="G114" s="23">
        <f>SUM(G109:G113)</f>
        <v>1.4505995599119732</v>
      </c>
      <c r="H114" s="23" t="s">
        <v>16</v>
      </c>
      <c r="I114" s="26">
        <v>14911.97</v>
      </c>
      <c r="J114" s="24">
        <f>G114*I114</f>
        <v>21631.297119420546</v>
      </c>
      <c r="K114" s="7"/>
    </row>
    <row r="115" spans="1:14" ht="15" customHeight="1" x14ac:dyDescent="0.25">
      <c r="A115" s="16"/>
      <c r="B115" s="29" t="s">
        <v>22</v>
      </c>
      <c r="C115" s="17"/>
      <c r="D115" s="18"/>
      <c r="E115" s="19"/>
      <c r="F115" s="19"/>
      <c r="G115" s="21"/>
      <c r="H115" s="20"/>
      <c r="I115" s="21"/>
      <c r="J115" s="23">
        <f>0.13*G114*10946.58</f>
        <v>2064.2835369703571</v>
      </c>
      <c r="K115" s="19"/>
      <c r="M115" s="55"/>
      <c r="N115" s="56"/>
    </row>
    <row r="116" spans="1:14" ht="15" customHeight="1" x14ac:dyDescent="0.25">
      <c r="A116" s="16"/>
      <c r="B116" s="29"/>
      <c r="C116" s="17"/>
      <c r="D116" s="18"/>
      <c r="E116" s="19"/>
      <c r="F116" s="19"/>
      <c r="G116" s="21"/>
      <c r="H116" s="20"/>
      <c r="I116" s="21"/>
      <c r="J116" s="23"/>
      <c r="K116" s="19"/>
      <c r="M116" s="55"/>
      <c r="N116" s="56"/>
    </row>
    <row r="117" spans="1:14" ht="30" x14ac:dyDescent="0.25">
      <c r="A117" s="16">
        <v>9</v>
      </c>
      <c r="B117" s="39" t="s">
        <v>45</v>
      </c>
      <c r="C117" s="17"/>
      <c r="D117" s="18"/>
      <c r="E117" s="19"/>
      <c r="F117" s="19"/>
      <c r="G117" s="21"/>
      <c r="H117" s="20"/>
      <c r="I117" s="21"/>
      <c r="J117" s="23"/>
      <c r="K117" s="19"/>
      <c r="M117" s="55"/>
      <c r="N117" s="56"/>
    </row>
    <row r="118" spans="1:14" ht="15" customHeight="1" x14ac:dyDescent="0.25">
      <c r="A118" s="16"/>
      <c r="B118" s="29"/>
      <c r="C118" s="17">
        <v>0</v>
      </c>
      <c r="D118" s="18">
        <f>6.5/3.281</f>
        <v>1.9811033221578787</v>
      </c>
      <c r="E118" s="19">
        <f>6.5/3.281</f>
        <v>1.9811033221578787</v>
      </c>
      <c r="F118" s="19"/>
      <c r="G118" s="27">
        <f t="shared" ref="G118" si="11">PRODUCT(C118:F118)</f>
        <v>0</v>
      </c>
      <c r="H118" s="20"/>
      <c r="I118" s="21"/>
      <c r="J118" s="23"/>
      <c r="K118" s="19"/>
      <c r="M118" s="55"/>
      <c r="N118" s="56"/>
    </row>
    <row r="119" spans="1:14" ht="15" customHeight="1" x14ac:dyDescent="0.25">
      <c r="A119" s="28"/>
      <c r="B119" s="29" t="s">
        <v>20</v>
      </c>
      <c r="C119" s="25"/>
      <c r="D119" s="6"/>
      <c r="E119" s="6"/>
      <c r="F119" s="6"/>
      <c r="G119" s="23">
        <f>SUM(G118)</f>
        <v>0</v>
      </c>
      <c r="H119" s="23" t="s">
        <v>26</v>
      </c>
      <c r="I119" s="26">
        <v>843.66</v>
      </c>
      <c r="J119" s="24">
        <f>G119*I119</f>
        <v>0</v>
      </c>
      <c r="K119" s="7"/>
    </row>
    <row r="120" spans="1:14" ht="15" customHeight="1" x14ac:dyDescent="0.25">
      <c r="A120" s="16"/>
      <c r="B120" s="29" t="s">
        <v>22</v>
      </c>
      <c r="C120" s="17"/>
      <c r="D120" s="18"/>
      <c r="E120" s="19"/>
      <c r="F120" s="19"/>
      <c r="G120" s="21"/>
      <c r="H120" s="20"/>
      <c r="I120" s="21"/>
      <c r="J120" s="23">
        <f>0.13*G119*(4686.62/10)</f>
        <v>0</v>
      </c>
      <c r="K120" s="19"/>
      <c r="M120" s="55"/>
      <c r="N120" s="56"/>
    </row>
    <row r="121" spans="1:14" ht="15" customHeight="1" x14ac:dyDescent="0.25">
      <c r="A121" s="16"/>
      <c r="B121" s="29"/>
      <c r="C121" s="17"/>
      <c r="D121" s="18"/>
      <c r="E121" s="19"/>
      <c r="F121" s="19"/>
      <c r="G121" s="21"/>
      <c r="H121" s="20"/>
      <c r="I121" s="21"/>
      <c r="J121" s="23"/>
      <c r="K121" s="19"/>
      <c r="M121" s="55"/>
      <c r="N121" s="56"/>
    </row>
    <row r="122" spans="1:14" ht="30" x14ac:dyDescent="0.25">
      <c r="A122" s="16">
        <v>10</v>
      </c>
      <c r="B122" s="39" t="s">
        <v>56</v>
      </c>
      <c r="C122" s="17"/>
      <c r="D122" s="18"/>
      <c r="E122" s="19"/>
      <c r="F122" s="19"/>
      <c r="G122" s="21"/>
      <c r="H122" s="20"/>
      <c r="I122" s="21"/>
      <c r="J122" s="23"/>
      <c r="K122" s="19"/>
      <c r="M122" s="55"/>
      <c r="N122" s="56"/>
    </row>
    <row r="123" spans="1:14" ht="15" customHeight="1" x14ac:dyDescent="0.25">
      <c r="A123" s="16"/>
      <c r="B123" s="29"/>
      <c r="C123" s="17">
        <f>C118</f>
        <v>0</v>
      </c>
      <c r="D123" s="18">
        <f>D118</f>
        <v>1.9811033221578787</v>
      </c>
      <c r="E123" s="19">
        <f>E118</f>
        <v>1.9811033221578787</v>
      </c>
      <c r="F123" s="19"/>
      <c r="G123" s="27">
        <f t="shared" ref="G123" si="12">PRODUCT(C123:F123)</f>
        <v>0</v>
      </c>
      <c r="H123" s="20"/>
      <c r="I123" s="21"/>
      <c r="J123" s="23"/>
      <c r="K123" s="19"/>
      <c r="M123" s="55"/>
      <c r="N123" s="56"/>
    </row>
    <row r="124" spans="1:14" ht="15" customHeight="1" x14ac:dyDescent="0.25">
      <c r="A124" s="28"/>
      <c r="B124" s="29" t="s">
        <v>20</v>
      </c>
      <c r="C124" s="25"/>
      <c r="D124" s="6"/>
      <c r="E124" s="6"/>
      <c r="F124" s="6"/>
      <c r="G124" s="23">
        <f>SUM(G123)</f>
        <v>0</v>
      </c>
      <c r="H124" s="23" t="s">
        <v>26</v>
      </c>
      <c r="I124" s="26">
        <v>286.77</v>
      </c>
      <c r="J124" s="24">
        <f>G124*I124</f>
        <v>0</v>
      </c>
      <c r="K124" s="7"/>
    </row>
    <row r="125" spans="1:14" ht="15" customHeight="1" x14ac:dyDescent="0.25">
      <c r="A125" s="16"/>
      <c r="B125" s="29" t="s">
        <v>22</v>
      </c>
      <c r="C125" s="17"/>
      <c r="D125" s="18"/>
      <c r="E125" s="19"/>
      <c r="F125" s="19"/>
      <c r="G125" s="21"/>
      <c r="H125" s="20"/>
      <c r="I125" s="21"/>
      <c r="J125" s="23">
        <f>0.13*G124*(767.72/10)</f>
        <v>0</v>
      </c>
      <c r="K125" s="19"/>
      <c r="M125" s="55"/>
      <c r="N125" s="56"/>
    </row>
    <row r="126" spans="1:14" ht="15" customHeight="1" x14ac:dyDescent="0.25">
      <c r="A126" s="16"/>
      <c r="B126" s="29"/>
      <c r="C126" s="17"/>
      <c r="D126" s="18"/>
      <c r="E126" s="19"/>
      <c r="F126" s="19"/>
      <c r="G126" s="21"/>
      <c r="H126" s="20"/>
      <c r="I126" s="21"/>
      <c r="J126" s="23"/>
      <c r="K126" s="19"/>
      <c r="M126" s="55"/>
      <c r="N126" s="56"/>
    </row>
    <row r="127" spans="1:14" ht="30" x14ac:dyDescent="0.25">
      <c r="A127" s="16">
        <v>11</v>
      </c>
      <c r="B127" s="39" t="s">
        <v>46</v>
      </c>
      <c r="C127" s="17"/>
      <c r="D127" s="18"/>
      <c r="E127" s="19"/>
      <c r="F127" s="19"/>
      <c r="G127" s="21"/>
      <c r="H127" s="20"/>
      <c r="I127" s="21"/>
      <c r="J127" s="23"/>
      <c r="K127" s="19"/>
      <c r="M127" s="55"/>
      <c r="N127" s="56"/>
    </row>
    <row r="128" spans="1:14" ht="15" customHeight="1" x14ac:dyDescent="0.25">
      <c r="A128" s="16"/>
      <c r="B128" s="29" t="str">
        <f t="shared" ref="B128:D130" si="13">B109</f>
        <v>-At Ground floor</v>
      </c>
      <c r="C128" s="17">
        <f t="shared" si="13"/>
        <v>4</v>
      </c>
      <c r="D128" s="18">
        <f t="shared" si="13"/>
        <v>1.7060367454068242</v>
      </c>
      <c r="E128" s="19"/>
      <c r="F128" s="19">
        <f>8.917/3.281</f>
        <v>2.7177689728741234</v>
      </c>
      <c r="G128" s="27">
        <f>PRODUCT(C128:F128)</f>
        <v>18.546454932999268</v>
      </c>
      <c r="H128" s="20"/>
      <c r="I128" s="21"/>
      <c r="J128" s="23"/>
      <c r="K128" s="19"/>
      <c r="M128" s="55"/>
      <c r="N128" s="56"/>
    </row>
    <row r="129" spans="1:14" ht="15" customHeight="1" x14ac:dyDescent="0.25">
      <c r="A129" s="16"/>
      <c r="B129" s="29" t="str">
        <f t="shared" si="13"/>
        <v>-Deduction for window</v>
      </c>
      <c r="C129" s="17">
        <f t="shared" si="13"/>
        <v>-2</v>
      </c>
      <c r="D129" s="18">
        <f t="shared" si="13"/>
        <v>0.75</v>
      </c>
      <c r="E129" s="19"/>
      <c r="F129" s="19">
        <f>D129</f>
        <v>0.75</v>
      </c>
      <c r="G129" s="27">
        <f t="shared" ref="G129:G130" si="14">PRODUCT(C129:F129)</f>
        <v>-1.125</v>
      </c>
      <c r="H129" s="20"/>
      <c r="I129" s="21"/>
      <c r="J129" s="23"/>
      <c r="K129" s="19"/>
      <c r="M129" s="55"/>
      <c r="N129" s="56"/>
    </row>
    <row r="130" spans="1:14" ht="15" customHeight="1" x14ac:dyDescent="0.25">
      <c r="A130" s="16"/>
      <c r="B130" s="29" t="str">
        <f t="shared" si="13"/>
        <v>-Deduction for door</v>
      </c>
      <c r="C130" s="17">
        <f t="shared" si="13"/>
        <v>-1</v>
      </c>
      <c r="D130" s="18">
        <f t="shared" si="13"/>
        <v>0.9</v>
      </c>
      <c r="E130" s="19"/>
      <c r="F130" s="19">
        <f>7/3.281</f>
        <v>2.1334958854007922</v>
      </c>
      <c r="G130" s="27">
        <f t="shared" si="14"/>
        <v>-1.920146296860713</v>
      </c>
      <c r="H130" s="20"/>
      <c r="I130" s="21"/>
      <c r="J130" s="23"/>
      <c r="K130" s="19"/>
      <c r="M130" s="55"/>
      <c r="N130" s="56"/>
    </row>
    <row r="131" spans="1:14" ht="15" customHeight="1" x14ac:dyDescent="0.25">
      <c r="A131" s="16"/>
      <c r="B131" s="29" t="str">
        <f>B59</f>
        <v>-1st floor slab</v>
      </c>
      <c r="C131" s="17">
        <f>C59</f>
        <v>1</v>
      </c>
      <c r="D131" s="18">
        <f>12.42/3.281</f>
        <v>3.7854312709539775</v>
      </c>
      <c r="E131" s="19">
        <f>12.42/3.281</f>
        <v>3.7854312709539775</v>
      </c>
      <c r="F131" s="19"/>
      <c r="G131" s="27">
        <f t="shared" ref="G131:G134" si="15">PRODUCT(C131:F131)</f>
        <v>14.329489907116246</v>
      </c>
      <c r="H131" s="20"/>
      <c r="I131" s="21"/>
      <c r="J131" s="23"/>
      <c r="K131" s="19"/>
      <c r="M131" s="55"/>
      <c r="N131" s="67"/>
    </row>
    <row r="132" spans="1:14" ht="15" customHeight="1" x14ac:dyDescent="0.25">
      <c r="A132" s="16"/>
      <c r="B132" s="29" t="s">
        <v>100</v>
      </c>
      <c r="C132" s="17">
        <f>C60</f>
        <v>-4</v>
      </c>
      <c r="D132" s="18">
        <f>(8*2+6.5*2)/3.281</f>
        <v>8.8387686680889974</v>
      </c>
      <c r="E132" s="19">
        <f>E60</f>
        <v>0.23</v>
      </c>
      <c r="F132" s="19"/>
      <c r="G132" s="27">
        <f t="shared" si="15"/>
        <v>-8.131667174641878</v>
      </c>
      <c r="H132" s="20"/>
      <c r="I132" s="21"/>
      <c r="J132" s="23"/>
      <c r="K132" s="19"/>
      <c r="M132" s="55"/>
      <c r="N132" s="67"/>
    </row>
    <row r="133" spans="1:14" ht="15" customHeight="1" x14ac:dyDescent="0.25">
      <c r="A133" s="16"/>
      <c r="B133" s="29" t="str">
        <f>B61</f>
        <v>-Deduction for opening</v>
      </c>
      <c r="C133" s="17">
        <f>C61</f>
        <v>-1</v>
      </c>
      <c r="D133" s="18">
        <f>D61</f>
        <v>0.6095702529716549</v>
      </c>
      <c r="E133" s="19">
        <f>E61</f>
        <v>0.6095702529716549</v>
      </c>
      <c r="F133" s="19"/>
      <c r="G133" s="27">
        <f t="shared" si="15"/>
        <v>-0.37157589330792734</v>
      </c>
      <c r="H133" s="20"/>
      <c r="I133" s="21"/>
      <c r="J133" s="23"/>
      <c r="K133" s="19"/>
      <c r="M133" s="55"/>
      <c r="N133" s="67"/>
    </row>
    <row r="134" spans="1:14" ht="15" customHeight="1" x14ac:dyDescent="0.25">
      <c r="A134" s="16"/>
      <c r="B134" s="29" t="str">
        <f>B95</f>
        <v>-2nd floor slab</v>
      </c>
      <c r="C134" s="17">
        <v>1</v>
      </c>
      <c r="D134" s="18">
        <f>(7.917*2+3.5*2)/3.281</f>
        <v>6.9594635781773846</v>
      </c>
      <c r="E134" s="19">
        <f>2.17/3.281</f>
        <v>0.66138372447424565</v>
      </c>
      <c r="F134" s="19"/>
      <c r="G134" s="27">
        <f t="shared" si="15"/>
        <v>4.6028759416778193</v>
      </c>
      <c r="H134" s="20"/>
      <c r="I134" s="21"/>
      <c r="J134" s="23"/>
      <c r="K134" s="19"/>
      <c r="M134" s="55"/>
      <c r="N134" s="67"/>
    </row>
    <row r="135" spans="1:14" ht="15" customHeight="1" x14ac:dyDescent="0.25">
      <c r="A135" s="28"/>
      <c r="B135" s="29" t="s">
        <v>20</v>
      </c>
      <c r="C135" s="25"/>
      <c r="D135" s="6"/>
      <c r="E135" s="6"/>
      <c r="F135" s="6"/>
      <c r="G135" s="23">
        <f>SUM(G128:G134)</f>
        <v>25.930431416982817</v>
      </c>
      <c r="H135" s="23" t="s">
        <v>26</v>
      </c>
      <c r="I135" s="26">
        <v>402.23</v>
      </c>
      <c r="J135" s="24">
        <f>G135*I135</f>
        <v>10429.997428852999</v>
      </c>
      <c r="K135" s="7"/>
    </row>
    <row r="136" spans="1:14" ht="15" customHeight="1" x14ac:dyDescent="0.25">
      <c r="A136" s="16"/>
      <c r="B136" s="29" t="s">
        <v>22</v>
      </c>
      <c r="C136" s="17"/>
      <c r="D136" s="18"/>
      <c r="E136" s="19"/>
      <c r="F136" s="19"/>
      <c r="G136" s="21"/>
      <c r="H136" s="20"/>
      <c r="I136" s="21"/>
      <c r="J136" s="23">
        <f>0.13*G135*(11424.1/100)</f>
        <v>385.10139401597939</v>
      </c>
      <c r="K136" s="19"/>
      <c r="M136" s="55"/>
      <c r="N136" s="56"/>
    </row>
    <row r="137" spans="1:14" ht="15" customHeight="1" x14ac:dyDescent="0.25">
      <c r="A137" s="16"/>
      <c r="B137" s="29"/>
      <c r="C137" s="17"/>
      <c r="D137" s="18"/>
      <c r="E137" s="19"/>
      <c r="F137" s="19"/>
      <c r="G137" s="21"/>
      <c r="H137" s="20"/>
      <c r="I137" s="21"/>
      <c r="J137" s="23"/>
      <c r="K137" s="19"/>
      <c r="M137" s="55"/>
      <c r="N137" s="56"/>
    </row>
    <row r="138" spans="1:14" ht="30" x14ac:dyDescent="0.25">
      <c r="A138" s="16">
        <v>12</v>
      </c>
      <c r="B138" s="39" t="s">
        <v>101</v>
      </c>
      <c r="C138" s="17"/>
      <c r="D138" s="18"/>
      <c r="E138" s="19"/>
      <c r="F138" s="19"/>
      <c r="G138" s="21"/>
      <c r="H138" s="20"/>
      <c r="I138" s="21"/>
      <c r="J138" s="23"/>
      <c r="K138" s="19"/>
      <c r="M138" s="55"/>
      <c r="N138" s="56"/>
    </row>
    <row r="139" spans="1:14" ht="15" customHeight="1" x14ac:dyDescent="0.25">
      <c r="A139" s="28"/>
      <c r="B139" s="29" t="s">
        <v>20</v>
      </c>
      <c r="C139" s="25"/>
      <c r="D139" s="6"/>
      <c r="E139" s="6"/>
      <c r="F139" s="6"/>
      <c r="G139" s="23">
        <f>SUM(G138)</f>
        <v>0</v>
      </c>
      <c r="H139" s="23" t="s">
        <v>26</v>
      </c>
      <c r="I139" s="69">
        <v>2776.91</v>
      </c>
      <c r="J139" s="70">
        <f>G139*I139</f>
        <v>0</v>
      </c>
      <c r="K139" s="7"/>
    </row>
    <row r="140" spans="1:14" ht="15" customHeight="1" x14ac:dyDescent="0.25">
      <c r="A140" s="16"/>
      <c r="B140" s="29" t="s">
        <v>22</v>
      </c>
      <c r="C140" s="17"/>
      <c r="D140" s="18"/>
      <c r="E140" s="19"/>
      <c r="F140" s="19"/>
      <c r="G140" s="21"/>
      <c r="H140" s="20"/>
      <c r="I140" s="71"/>
      <c r="J140" s="24">
        <f>G139*0.13*(8119.19/10)</f>
        <v>0</v>
      </c>
      <c r="K140" s="19"/>
      <c r="M140" s="55"/>
      <c r="N140" s="56"/>
    </row>
    <row r="141" spans="1:14" ht="15" customHeight="1" x14ac:dyDescent="0.25">
      <c r="A141" s="16"/>
      <c r="B141" s="29"/>
      <c r="C141" s="17"/>
      <c r="D141" s="18"/>
      <c r="E141" s="19"/>
      <c r="F141" s="19"/>
      <c r="G141" s="21"/>
      <c r="H141" s="20"/>
      <c r="I141" s="21"/>
      <c r="J141" s="23"/>
      <c r="K141" s="19"/>
      <c r="M141" s="55"/>
      <c r="N141" s="56"/>
    </row>
    <row r="142" spans="1:14" ht="30" x14ac:dyDescent="0.25">
      <c r="A142" s="16">
        <v>12</v>
      </c>
      <c r="B142" s="39" t="s">
        <v>57</v>
      </c>
      <c r="C142" s="17"/>
      <c r="D142" s="18"/>
      <c r="E142" s="19"/>
      <c r="F142" s="19"/>
      <c r="G142" s="21"/>
      <c r="H142" s="20"/>
      <c r="I142" s="21"/>
      <c r="J142" s="23"/>
      <c r="K142" s="19"/>
      <c r="M142" s="55"/>
      <c r="N142" s="56"/>
    </row>
    <row r="143" spans="1:14" ht="15" customHeight="1" x14ac:dyDescent="0.25">
      <c r="A143" s="16"/>
      <c r="B143" s="29"/>
      <c r="C143" s="17">
        <v>0</v>
      </c>
      <c r="D143" s="18">
        <f>(12.42*4+7.917*4)/3.281</f>
        <v>24.793660469369094</v>
      </c>
      <c r="E143" s="19"/>
      <c r="F143" s="19"/>
      <c r="G143" s="27">
        <f t="shared" ref="G143" si="16">PRODUCT(C143:F143)</f>
        <v>0</v>
      </c>
      <c r="H143" s="20"/>
      <c r="I143" s="21"/>
      <c r="J143" s="23"/>
      <c r="K143" s="19"/>
      <c r="M143" s="55"/>
      <c r="N143" s="56"/>
    </row>
    <row r="144" spans="1:14" ht="15" customHeight="1" x14ac:dyDescent="0.25">
      <c r="A144" s="28"/>
      <c r="B144" s="29" t="s">
        <v>20</v>
      </c>
      <c r="C144" s="25"/>
      <c r="D144" s="6"/>
      <c r="E144" s="6"/>
      <c r="F144" s="6"/>
      <c r="G144" s="23">
        <f>SUM(G141:G143)</f>
        <v>0</v>
      </c>
      <c r="H144" s="23" t="s">
        <v>58</v>
      </c>
      <c r="I144" s="26">
        <v>150.04</v>
      </c>
      <c r="J144" s="24">
        <f>G144*I144</f>
        <v>0</v>
      </c>
      <c r="K144" s="7"/>
    </row>
    <row r="145" spans="1:19" ht="15" customHeight="1" x14ac:dyDescent="0.25">
      <c r="A145" s="16"/>
      <c r="B145" s="29" t="s">
        <v>22</v>
      </c>
      <c r="C145" s="17"/>
      <c r="D145" s="18"/>
      <c r="E145" s="19"/>
      <c r="F145" s="19"/>
      <c r="G145" s="21"/>
      <c r="H145" s="20"/>
      <c r="I145" s="21"/>
      <c r="J145" s="23">
        <f>0.13*G144*(111.05)</f>
        <v>0</v>
      </c>
      <c r="K145" s="19"/>
      <c r="M145" s="55"/>
      <c r="N145" s="56"/>
    </row>
    <row r="146" spans="1:19" ht="15" customHeight="1" x14ac:dyDescent="0.25">
      <c r="A146" s="16"/>
      <c r="B146" s="29"/>
      <c r="C146" s="17"/>
      <c r="D146" s="18"/>
      <c r="E146" s="19"/>
      <c r="F146" s="19"/>
      <c r="G146" s="21"/>
      <c r="H146" s="20"/>
      <c r="I146" s="21"/>
      <c r="J146" s="23"/>
      <c r="K146" s="19"/>
      <c r="M146" s="55"/>
      <c r="N146" s="56"/>
    </row>
    <row r="147" spans="1:19" ht="42.75" x14ac:dyDescent="0.25">
      <c r="A147" s="16">
        <v>13</v>
      </c>
      <c r="B147" s="59" t="s">
        <v>65</v>
      </c>
      <c r="C147" s="60"/>
      <c r="D147" s="60"/>
      <c r="E147" s="60"/>
      <c r="F147" s="60"/>
      <c r="G147" s="61"/>
      <c r="H147" s="20"/>
      <c r="I147" s="21"/>
      <c r="J147" s="21"/>
      <c r="K147" s="19"/>
      <c r="M147" s="62"/>
      <c r="N147" s="1"/>
      <c r="O147" s="1"/>
      <c r="P147" s="1"/>
      <c r="Q147" s="1"/>
      <c r="R147" s="62"/>
      <c r="S147" s="62"/>
    </row>
    <row r="148" spans="1:19" ht="15" customHeight="1" x14ac:dyDescent="0.25">
      <c r="A148" s="16"/>
      <c r="B148" s="29" t="str">
        <f t="shared" ref="B148:C150" si="17">B109</f>
        <v>-At Ground floor</v>
      </c>
      <c r="C148" s="17">
        <f t="shared" si="17"/>
        <v>4</v>
      </c>
      <c r="D148" s="18">
        <f>8/3.281</f>
        <v>2.4382810118866196</v>
      </c>
      <c r="E148" s="19"/>
      <c r="F148" s="19">
        <f>8.917/3.281</f>
        <v>2.7177689728741234</v>
      </c>
      <c r="G148" s="27">
        <f>PRODUCT(C148:F148)</f>
        <v>26.506737925014306</v>
      </c>
      <c r="H148" s="20"/>
      <c r="I148" s="21"/>
      <c r="J148" s="23"/>
      <c r="K148" s="19"/>
      <c r="M148" s="55"/>
      <c r="N148" s="56"/>
    </row>
    <row r="149" spans="1:19" ht="15" customHeight="1" x14ac:dyDescent="0.25">
      <c r="A149" s="16"/>
      <c r="B149" s="29" t="str">
        <f t="shared" si="17"/>
        <v>-Deduction for window</v>
      </c>
      <c r="C149" s="17">
        <f t="shared" si="17"/>
        <v>-2</v>
      </c>
      <c r="D149" s="18">
        <v>0.75</v>
      </c>
      <c r="E149" s="19"/>
      <c r="F149" s="19">
        <v>0.75</v>
      </c>
      <c r="G149" s="27">
        <f>PRODUCT(C149:F149)</f>
        <v>-1.125</v>
      </c>
      <c r="H149" s="20"/>
      <c r="I149" s="21"/>
      <c r="J149" s="23"/>
      <c r="K149" s="19"/>
      <c r="M149" s="55"/>
      <c r="N149" s="56"/>
    </row>
    <row r="150" spans="1:19" ht="15" customHeight="1" x14ac:dyDescent="0.25">
      <c r="A150" s="16"/>
      <c r="B150" s="29" t="str">
        <f t="shared" si="17"/>
        <v>-Deduction for door</v>
      </c>
      <c r="C150" s="17">
        <f t="shared" si="17"/>
        <v>-1</v>
      </c>
      <c r="D150" s="18">
        <f>D111</f>
        <v>0.9</v>
      </c>
      <c r="E150" s="19"/>
      <c r="F150" s="19">
        <f>F111</f>
        <v>2.1334958854007922</v>
      </c>
      <c r="G150" s="27">
        <f>PRODUCT(C150:F150)</f>
        <v>-1.920146296860713</v>
      </c>
      <c r="H150" s="20"/>
      <c r="I150" s="21"/>
      <c r="J150" s="23"/>
      <c r="K150" s="19"/>
      <c r="M150" s="55"/>
      <c r="N150" s="67">
        <f>SUM(J12:J157)</f>
        <v>919881.9989970614</v>
      </c>
    </row>
    <row r="151" spans="1:19" ht="15" customHeight="1" x14ac:dyDescent="0.25">
      <c r="A151" s="16"/>
      <c r="B151" s="63" t="s">
        <v>20</v>
      </c>
      <c r="C151" s="17"/>
      <c r="D151" s="18"/>
      <c r="E151" s="19"/>
      <c r="F151" s="19"/>
      <c r="G151" s="21">
        <f>SUM(G148:G150)</f>
        <v>23.461591628153592</v>
      </c>
      <c r="H151" s="20" t="s">
        <v>26</v>
      </c>
      <c r="I151" s="21">
        <f>556660.92/100</f>
        <v>5566.6092000000008</v>
      </c>
      <c r="J151" s="64">
        <f>G151*I151</f>
        <v>130601.51180392278</v>
      </c>
      <c r="K151" s="19"/>
      <c r="M151" s="62"/>
      <c r="N151" s="1"/>
      <c r="O151" s="1"/>
      <c r="P151" s="1"/>
      <c r="Q151" s="1"/>
      <c r="R151" s="62"/>
      <c r="S151" s="62"/>
    </row>
    <row r="152" spans="1:19" ht="15" customHeight="1" x14ac:dyDescent="0.25">
      <c r="A152" s="16"/>
      <c r="B152" s="63" t="s">
        <v>66</v>
      </c>
      <c r="C152" s="17"/>
      <c r="D152" s="18"/>
      <c r="E152" s="19"/>
      <c r="F152" s="19"/>
      <c r="G152" s="21"/>
      <c r="H152" s="20"/>
      <c r="I152" s="21"/>
      <c r="J152" s="64">
        <f>0.13*G151*370050.92/100</f>
        <v>11286.578636661294</v>
      </c>
      <c r="K152" s="19"/>
      <c r="M152" s="62"/>
      <c r="N152" s="1"/>
      <c r="O152" s="1"/>
      <c r="P152" s="1"/>
      <c r="Q152" s="1"/>
      <c r="R152" s="62"/>
      <c r="S152" s="62"/>
    </row>
    <row r="153" spans="1:19" ht="15" customHeight="1" x14ac:dyDescent="0.25">
      <c r="A153" s="16"/>
      <c r="B153" s="22"/>
      <c r="C153" s="17"/>
      <c r="D153" s="18"/>
      <c r="E153" s="19"/>
      <c r="F153" s="19"/>
      <c r="G153" s="21"/>
      <c r="H153" s="20"/>
      <c r="I153" s="21"/>
      <c r="J153" s="64"/>
      <c r="K153" s="19"/>
      <c r="M153" s="62"/>
      <c r="N153" s="1"/>
      <c r="O153" s="1"/>
      <c r="P153" s="1"/>
      <c r="Q153" s="1"/>
      <c r="R153" s="62"/>
      <c r="S153" s="62"/>
    </row>
    <row r="154" spans="1:19" ht="19.5" x14ac:dyDescent="0.25">
      <c r="A154" s="16">
        <v>14</v>
      </c>
      <c r="B154" s="39" t="s">
        <v>96</v>
      </c>
      <c r="C154" s="17"/>
      <c r="D154" s="18"/>
      <c r="E154" s="19"/>
      <c r="F154" s="19"/>
      <c r="G154" s="21"/>
      <c r="H154" s="20"/>
      <c r="I154" s="21"/>
      <c r="J154" s="64"/>
      <c r="K154" s="19"/>
      <c r="M154" s="62"/>
      <c r="N154" s="1"/>
      <c r="O154" s="1"/>
      <c r="P154" s="1"/>
      <c r="Q154" s="1"/>
      <c r="R154" s="62"/>
      <c r="S154" s="62"/>
    </row>
    <row r="155" spans="1:19" ht="15" customHeight="1" x14ac:dyDescent="0.25">
      <c r="A155" s="16"/>
      <c r="B155" s="29" t="s">
        <v>49</v>
      </c>
      <c r="C155" s="68">
        <v>0.5</v>
      </c>
      <c r="D155" s="18">
        <f>6.5/3.281</f>
        <v>1.9811033221578787</v>
      </c>
      <c r="E155" s="18">
        <f>6.5/3.281</f>
        <v>1.9811033221578787</v>
      </c>
      <c r="F155" s="19">
        <f>13/3.281</f>
        <v>3.9622066443157573</v>
      </c>
      <c r="G155" s="27">
        <f>PRODUCT(C155:F155)</f>
        <v>7.7753756247858554</v>
      </c>
      <c r="H155" s="20"/>
      <c r="I155" s="21"/>
      <c r="J155" s="23"/>
      <c r="K155" s="19"/>
      <c r="M155" s="55"/>
      <c r="N155" s="56"/>
    </row>
    <row r="156" spans="1:19" ht="15" customHeight="1" x14ac:dyDescent="0.25">
      <c r="A156" s="16"/>
      <c r="B156" s="63" t="s">
        <v>20</v>
      </c>
      <c r="C156" s="17"/>
      <c r="D156" s="18"/>
      <c r="E156" s="19"/>
      <c r="F156" s="19"/>
      <c r="G156" s="21">
        <f>SUM(G154:G155)</f>
        <v>7.7753756247858554</v>
      </c>
      <c r="H156" s="20" t="s">
        <v>16</v>
      </c>
      <c r="I156" s="21">
        <v>670.9</v>
      </c>
      <c r="J156" s="64">
        <f>G156*I156</f>
        <v>5216.4995066688298</v>
      </c>
      <c r="K156" s="19"/>
      <c r="M156" s="62"/>
      <c r="N156" s="1"/>
      <c r="O156" s="1"/>
      <c r="P156" s="1"/>
      <c r="Q156" s="1"/>
      <c r="R156" s="62"/>
      <c r="S156" s="62"/>
    </row>
    <row r="157" spans="1:19" ht="15" customHeight="1" x14ac:dyDescent="0.25">
      <c r="A157" s="16"/>
      <c r="B157" s="63" t="s">
        <v>66</v>
      </c>
      <c r="C157" s="17"/>
      <c r="D157" s="18"/>
      <c r="E157" s="19"/>
      <c r="F157" s="19"/>
      <c r="G157" s="21"/>
      <c r="H157" s="20"/>
      <c r="I157" s="21"/>
      <c r="J157" s="64">
        <f>0.13*G156*445.9</f>
        <v>450.71519884196164</v>
      </c>
      <c r="K157" s="19"/>
      <c r="M157" s="62"/>
      <c r="N157" s="1"/>
      <c r="O157" s="1"/>
      <c r="P157" s="1"/>
      <c r="Q157" s="1"/>
      <c r="R157" s="62"/>
      <c r="S157" s="62"/>
    </row>
    <row r="158" spans="1:19" ht="15" customHeight="1" x14ac:dyDescent="0.25">
      <c r="A158" s="16"/>
      <c r="B158" s="63"/>
      <c r="C158" s="17"/>
      <c r="D158" s="18"/>
      <c r="E158" s="19"/>
      <c r="F158" s="19"/>
      <c r="G158" s="21"/>
      <c r="H158" s="20"/>
      <c r="I158" s="21"/>
      <c r="J158" s="64"/>
      <c r="K158" s="19"/>
      <c r="M158" s="62"/>
      <c r="N158" s="1"/>
      <c r="O158" s="1"/>
      <c r="P158" s="1"/>
      <c r="Q158" s="1"/>
      <c r="R158" s="62"/>
      <c r="S158" s="62"/>
    </row>
    <row r="159" spans="1:19" ht="28.5" x14ac:dyDescent="0.25">
      <c r="A159" s="16">
        <v>15</v>
      </c>
      <c r="B159" s="59" t="s">
        <v>74</v>
      </c>
      <c r="C159" s="17"/>
      <c r="D159" s="18"/>
      <c r="E159" s="19"/>
      <c r="F159" s="19"/>
      <c r="G159" s="21"/>
      <c r="H159" s="20"/>
      <c r="I159" s="21"/>
      <c r="J159" s="64"/>
      <c r="K159" s="19"/>
      <c r="M159" s="62"/>
      <c r="N159" s="1"/>
      <c r="O159" s="1"/>
      <c r="P159" s="1"/>
      <c r="Q159" s="1"/>
      <c r="R159" s="62"/>
      <c r="S159" s="62"/>
    </row>
    <row r="160" spans="1:19" ht="15" customHeight="1" x14ac:dyDescent="0.25">
      <c r="A160" s="16"/>
      <c r="B160" s="29" t="str">
        <f>B40</f>
        <v>-1st floor Inclined Surface</v>
      </c>
      <c r="C160" s="17">
        <f>C40</f>
        <v>4</v>
      </c>
      <c r="D160" s="6">
        <f>D40</f>
        <v>1.3968302346845474</v>
      </c>
      <c r="E160" s="6">
        <f>E40</f>
        <v>2.4260896068271869</v>
      </c>
      <c r="F160" s="65"/>
      <c r="G160" s="27">
        <f>PRODUCT(C160:F160)</f>
        <v>13.555341259480644</v>
      </c>
      <c r="H160" s="20"/>
      <c r="I160" s="21"/>
      <c r="J160" s="23"/>
      <c r="K160" s="19"/>
      <c r="M160" s="55"/>
      <c r="N160" s="56"/>
    </row>
    <row r="161" spans="1:19" ht="15" customHeight="1" x14ac:dyDescent="0.25">
      <c r="A161" s="16"/>
      <c r="B161" s="29" t="str">
        <f>B46</f>
        <v>-2nd floor inclined roof slab</v>
      </c>
      <c r="C161" s="17">
        <f>C46</f>
        <v>4</v>
      </c>
      <c r="D161" s="6">
        <f>D46</f>
        <v>1.0667479427003961</v>
      </c>
      <c r="E161" s="6">
        <f>E46</f>
        <v>1.2</v>
      </c>
      <c r="F161" s="65"/>
      <c r="G161" s="27">
        <f>PRODUCT(C161:F161)</f>
        <v>5.1203901249619008</v>
      </c>
      <c r="H161" s="20"/>
      <c r="I161" s="21"/>
      <c r="J161" s="23"/>
      <c r="K161" s="19"/>
      <c r="M161" s="55"/>
      <c r="N161" s="56"/>
    </row>
    <row r="162" spans="1:19" ht="15" customHeight="1" x14ac:dyDescent="0.25">
      <c r="A162" s="28"/>
      <c r="B162" s="29" t="s">
        <v>20</v>
      </c>
      <c r="C162" s="25"/>
      <c r="D162" s="6"/>
      <c r="E162" s="6"/>
      <c r="F162" s="6"/>
      <c r="G162" s="23">
        <f>0*SUM(G160:G161)</f>
        <v>0</v>
      </c>
      <c r="H162" s="23" t="s">
        <v>26</v>
      </c>
      <c r="I162" s="21">
        <f>5999.55/10</f>
        <v>599.95500000000004</v>
      </c>
      <c r="J162" s="24">
        <f>G162*I162</f>
        <v>0</v>
      </c>
      <c r="K162" s="7"/>
    </row>
    <row r="163" spans="1:19" ht="15" customHeight="1" x14ac:dyDescent="0.25">
      <c r="A163" s="16"/>
      <c r="B163" s="29" t="s">
        <v>22</v>
      </c>
      <c r="C163" s="17"/>
      <c r="D163" s="18"/>
      <c r="E163" s="19"/>
      <c r="F163" s="19"/>
      <c r="G163" s="21"/>
      <c r="H163" s="20"/>
      <c r="I163" s="21"/>
      <c r="J163" s="23">
        <f>0.13*G162*1397.55/10</f>
        <v>0</v>
      </c>
      <c r="K163" s="19"/>
      <c r="M163" s="55"/>
      <c r="N163" s="56"/>
    </row>
    <row r="164" spans="1:19" ht="15" customHeight="1" x14ac:dyDescent="0.25">
      <c r="A164" s="16"/>
      <c r="B164" s="63"/>
      <c r="C164" s="17"/>
      <c r="D164" s="18"/>
      <c r="E164" s="19"/>
      <c r="F164" s="19"/>
      <c r="G164" s="21"/>
      <c r="H164" s="20"/>
      <c r="I164" s="21"/>
      <c r="J164" s="64"/>
      <c r="K164" s="19"/>
      <c r="M164" s="62"/>
      <c r="N164" s="1"/>
      <c r="O164" s="1"/>
      <c r="P164" s="1"/>
      <c r="Q164" s="1"/>
      <c r="R164" s="62"/>
      <c r="S164" s="62"/>
    </row>
    <row r="165" spans="1:19" ht="28.5" x14ac:dyDescent="0.25">
      <c r="A165" s="16"/>
      <c r="B165" s="59" t="s">
        <v>102</v>
      </c>
      <c r="C165" s="17"/>
      <c r="D165" s="18"/>
      <c r="E165" s="19"/>
      <c r="F165" s="19"/>
      <c r="G165" s="21"/>
      <c r="H165" s="20"/>
      <c r="I165" s="21"/>
      <c r="J165" s="64"/>
      <c r="K165" s="19"/>
      <c r="M165" s="62"/>
      <c r="N165" s="1"/>
      <c r="O165" s="1"/>
      <c r="P165" s="1"/>
      <c r="Q165" s="1"/>
      <c r="R165" s="62"/>
      <c r="S165" s="62"/>
    </row>
    <row r="166" spans="1:19" ht="15" customHeight="1" x14ac:dyDescent="0.25">
      <c r="A166" s="16"/>
      <c r="B166" s="29" t="str">
        <f t="shared" ref="B166:E167" si="18">B160</f>
        <v>-1st floor Inclined Surface</v>
      </c>
      <c r="C166" s="17">
        <f t="shared" si="18"/>
        <v>4</v>
      </c>
      <c r="D166" s="6">
        <f t="shared" si="18"/>
        <v>1.3968302346845474</v>
      </c>
      <c r="E166" s="6">
        <f t="shared" si="18"/>
        <v>2.4260896068271869</v>
      </c>
      <c r="F166" s="65"/>
      <c r="G166" s="27">
        <f>PRODUCT(C166:F166)</f>
        <v>13.555341259480644</v>
      </c>
      <c r="H166" s="20"/>
      <c r="I166" s="21"/>
      <c r="J166" s="23"/>
      <c r="K166" s="19"/>
      <c r="M166" s="55"/>
      <c r="N166" s="56"/>
    </row>
    <row r="167" spans="1:19" ht="15" customHeight="1" x14ac:dyDescent="0.25">
      <c r="A167" s="16"/>
      <c r="B167" s="29" t="str">
        <f t="shared" si="18"/>
        <v>-2nd floor inclined roof slab</v>
      </c>
      <c r="C167" s="17">
        <f t="shared" si="18"/>
        <v>4</v>
      </c>
      <c r="D167" s="6">
        <f t="shared" si="18"/>
        <v>1.0667479427003961</v>
      </c>
      <c r="E167" s="6">
        <f t="shared" si="18"/>
        <v>1.2</v>
      </c>
      <c r="F167" s="65"/>
      <c r="G167" s="27">
        <f>PRODUCT(C167:F167)</f>
        <v>5.1203901249619008</v>
      </c>
      <c r="H167" s="20"/>
      <c r="I167" s="21"/>
      <c r="J167" s="23"/>
      <c r="K167" s="19"/>
      <c r="M167" s="55"/>
      <c r="N167" s="56"/>
    </row>
    <row r="168" spans="1:19" ht="15" customHeight="1" x14ac:dyDescent="0.25">
      <c r="A168" s="28"/>
      <c r="B168" s="29" t="s">
        <v>20</v>
      </c>
      <c r="C168" s="25"/>
      <c r="D168" s="6"/>
      <c r="E168" s="6"/>
      <c r="F168" s="6"/>
      <c r="G168" s="23">
        <f>SUM(G166:G167)</f>
        <v>18.675731384442543</v>
      </c>
      <c r="H168" s="23" t="s">
        <v>26</v>
      </c>
      <c r="I168" s="21">
        <f>86791.54/10</f>
        <v>8679.1539999999986</v>
      </c>
      <c r="J168" s="24">
        <f>G168*I168</f>
        <v>162089.54874821001</v>
      </c>
      <c r="K168" s="7"/>
    </row>
    <row r="169" spans="1:19" ht="15" customHeight="1" x14ac:dyDescent="0.25">
      <c r="A169" s="16"/>
      <c r="B169" s="29" t="s">
        <v>22</v>
      </c>
      <c r="C169" s="17"/>
      <c r="D169" s="18"/>
      <c r="E169" s="19"/>
      <c r="F169" s="19"/>
      <c r="G169" s="21"/>
      <c r="H169" s="20"/>
      <c r="I169" s="21"/>
      <c r="J169" s="23">
        <f>0.13*G168*(74287.04+2178.9)/10</f>
        <v>18564.745621485701</v>
      </c>
      <c r="K169" s="19"/>
      <c r="M169" s="55"/>
      <c r="N169" s="56"/>
    </row>
    <row r="170" spans="1:19" ht="15" customHeight="1" x14ac:dyDescent="0.25">
      <c r="A170" s="16"/>
      <c r="B170" s="29"/>
      <c r="C170" s="17"/>
      <c r="D170" s="6"/>
      <c r="E170" s="6"/>
      <c r="F170" s="65"/>
      <c r="G170" s="27"/>
      <c r="H170" s="20"/>
      <c r="I170" s="21"/>
      <c r="J170" s="23"/>
      <c r="K170" s="19"/>
      <c r="M170" s="55"/>
      <c r="N170" s="56"/>
    </row>
    <row r="171" spans="1:19" ht="28.5" x14ac:dyDescent="0.25">
      <c r="A171" s="16">
        <v>16</v>
      </c>
      <c r="B171" s="59" t="s">
        <v>73</v>
      </c>
      <c r="C171" s="17"/>
      <c r="D171" s="18"/>
      <c r="E171" s="19"/>
      <c r="F171" s="19"/>
      <c r="G171" s="21"/>
      <c r="H171" s="20"/>
      <c r="I171" s="21"/>
      <c r="J171" s="64"/>
      <c r="K171" s="19"/>
      <c r="M171" s="62"/>
      <c r="N171" s="1"/>
      <c r="O171" s="1"/>
      <c r="P171" s="1"/>
      <c r="Q171" s="1"/>
      <c r="R171" s="62"/>
      <c r="S171" s="62"/>
    </row>
    <row r="172" spans="1:19" ht="15" customHeight="1" x14ac:dyDescent="0.25">
      <c r="A172" s="16"/>
      <c r="B172" s="29" t="str">
        <f t="shared" ref="B172:E173" si="19">B160</f>
        <v>-1st floor Inclined Surface</v>
      </c>
      <c r="C172" s="17">
        <f t="shared" si="19"/>
        <v>4</v>
      </c>
      <c r="D172" s="6">
        <f t="shared" si="19"/>
        <v>1.3968302346845474</v>
      </c>
      <c r="E172" s="6">
        <f t="shared" si="19"/>
        <v>2.4260896068271869</v>
      </c>
      <c r="F172" s="65"/>
      <c r="G172" s="27">
        <f t="shared" ref="G172" si="20">PRODUCT(C172:F172)</f>
        <v>13.555341259480644</v>
      </c>
      <c r="H172" s="20"/>
      <c r="I172" s="21"/>
      <c r="J172" s="23"/>
      <c r="K172" s="19"/>
      <c r="M172" s="55"/>
      <c r="N172" s="56"/>
    </row>
    <row r="173" spans="1:19" ht="15" customHeight="1" x14ac:dyDescent="0.25">
      <c r="A173" s="16"/>
      <c r="B173" s="29" t="str">
        <f t="shared" si="19"/>
        <v>-2nd floor inclined roof slab</v>
      </c>
      <c r="C173" s="17">
        <f t="shared" si="19"/>
        <v>4</v>
      </c>
      <c r="D173" s="6">
        <f t="shared" si="19"/>
        <v>1.0667479427003961</v>
      </c>
      <c r="E173" s="6">
        <f t="shared" si="19"/>
        <v>1.2</v>
      </c>
      <c r="F173" s="65"/>
      <c r="G173" s="27">
        <f>PRODUCT(C173:F173)</f>
        <v>5.1203901249619008</v>
      </c>
      <c r="H173" s="20"/>
      <c r="I173" s="21"/>
      <c r="J173" s="23"/>
      <c r="K173" s="19"/>
      <c r="M173" s="55"/>
      <c r="N173" s="56"/>
    </row>
    <row r="174" spans="1:19" ht="15" customHeight="1" x14ac:dyDescent="0.25">
      <c r="A174" s="28"/>
      <c r="B174" s="29" t="s">
        <v>20</v>
      </c>
      <c r="C174" s="25"/>
      <c r="D174" s="6"/>
      <c r="E174" s="6"/>
      <c r="F174" s="6"/>
      <c r="G174" s="23">
        <f>0*SUM(G172:G173)</f>
        <v>0</v>
      </c>
      <c r="H174" s="23" t="s">
        <v>26</v>
      </c>
      <c r="I174" s="21">
        <f>325188.75/100</f>
        <v>3251.8874999999998</v>
      </c>
      <c r="J174" s="24">
        <f>G174*I174</f>
        <v>0</v>
      </c>
      <c r="K174" s="7"/>
    </row>
    <row r="175" spans="1:19" ht="15" customHeight="1" x14ac:dyDescent="0.25">
      <c r="A175" s="16"/>
      <c r="B175" s="29" t="s">
        <v>22</v>
      </c>
      <c r="C175" s="17"/>
      <c r="D175" s="18"/>
      <c r="E175" s="19"/>
      <c r="F175" s="19"/>
      <c r="G175" s="21"/>
      <c r="H175" s="20"/>
      <c r="I175" s="21"/>
      <c r="J175" s="23">
        <f>0.13*G174*221748.75/100</f>
        <v>0</v>
      </c>
      <c r="K175" s="19"/>
      <c r="M175" s="55"/>
      <c r="N175" s="56"/>
    </row>
    <row r="176" spans="1:19" ht="15" customHeight="1" x14ac:dyDescent="0.25">
      <c r="A176" s="16"/>
      <c r="B176" s="29"/>
      <c r="C176" s="17"/>
      <c r="D176" s="18"/>
      <c r="E176" s="19"/>
      <c r="F176" s="19"/>
      <c r="G176" s="21"/>
      <c r="H176" s="20"/>
      <c r="I176" s="21"/>
      <c r="J176" s="23"/>
      <c r="K176" s="19"/>
      <c r="M176" s="55"/>
      <c r="N176" s="56"/>
    </row>
    <row r="177" spans="1:19" ht="28.5" x14ac:dyDescent="0.25">
      <c r="A177" s="16">
        <v>17</v>
      </c>
      <c r="B177" s="59" t="s">
        <v>76</v>
      </c>
      <c r="C177" s="17"/>
      <c r="D177" s="18"/>
      <c r="E177" s="19"/>
      <c r="F177" s="19"/>
      <c r="G177" s="21"/>
      <c r="H177" s="20"/>
      <c r="I177" s="21"/>
      <c r="J177" s="23"/>
      <c r="K177" s="19"/>
      <c r="M177" s="55"/>
      <c r="N177" s="56"/>
    </row>
    <row r="178" spans="1:19" ht="15" customHeight="1" x14ac:dyDescent="0.25">
      <c r="A178" s="16"/>
      <c r="B178" s="29" t="str">
        <f>B172</f>
        <v>-1st floor Inclined Surface</v>
      </c>
      <c r="C178" s="17">
        <f>C172</f>
        <v>4</v>
      </c>
      <c r="D178" s="17">
        <f>1.5</f>
        <v>1.5</v>
      </c>
      <c r="E178" s="19"/>
      <c r="F178" s="19"/>
      <c r="G178" s="27">
        <f>PRODUCT(C178:F178)</f>
        <v>6</v>
      </c>
      <c r="H178" s="20"/>
      <c r="I178" s="21"/>
      <c r="J178" s="23"/>
      <c r="K178" s="19"/>
      <c r="M178" s="55"/>
      <c r="N178" s="56"/>
    </row>
    <row r="179" spans="1:19" ht="15" customHeight="1" x14ac:dyDescent="0.25">
      <c r="A179" s="16"/>
      <c r="B179" s="29" t="str">
        <f>B173</f>
        <v>-2nd floor inclined roof slab</v>
      </c>
      <c r="C179" s="17">
        <f>C173</f>
        <v>4</v>
      </c>
      <c r="D179" s="17">
        <v>1.2</v>
      </c>
      <c r="E179" s="19"/>
      <c r="F179" s="19"/>
      <c r="G179" s="27">
        <f>PRODUCT(C179:F179)</f>
        <v>4.8</v>
      </c>
      <c r="H179" s="20"/>
      <c r="I179" s="21"/>
      <c r="J179" s="23"/>
      <c r="K179" s="19"/>
      <c r="M179" s="55"/>
      <c r="N179" s="56"/>
    </row>
    <row r="180" spans="1:19" ht="15" customHeight="1" x14ac:dyDescent="0.25">
      <c r="A180" s="28"/>
      <c r="B180" s="29" t="s">
        <v>20</v>
      </c>
      <c r="C180" s="25"/>
      <c r="D180" s="6"/>
      <c r="E180" s="6"/>
      <c r="F180" s="6"/>
      <c r="G180" s="23">
        <f>0*SUM(G178:G179)</f>
        <v>0</v>
      </c>
      <c r="H180" s="23" t="s">
        <v>58</v>
      </c>
      <c r="I180" s="21">
        <f>184285/100</f>
        <v>1842.85</v>
      </c>
      <c r="J180" s="24">
        <f>G180*I180</f>
        <v>0</v>
      </c>
      <c r="K180" s="7"/>
    </row>
    <row r="181" spans="1:19" ht="15" customHeight="1" x14ac:dyDescent="0.25">
      <c r="A181" s="16"/>
      <c r="B181" s="29" t="s">
        <v>22</v>
      </c>
      <c r="C181" s="17"/>
      <c r="D181" s="18"/>
      <c r="E181" s="19"/>
      <c r="F181" s="19"/>
      <c r="G181" s="21"/>
      <c r="H181" s="20"/>
      <c r="I181" s="21"/>
      <c r="J181" s="23">
        <f>0.13*G180*(164000/100)</f>
        <v>0</v>
      </c>
      <c r="K181" s="19"/>
      <c r="M181" s="55"/>
      <c r="N181" s="56"/>
    </row>
    <row r="182" spans="1:19" ht="15" customHeight="1" x14ac:dyDescent="0.25">
      <c r="A182" s="16"/>
      <c r="B182" s="29"/>
      <c r="C182" s="17"/>
      <c r="D182" s="18"/>
      <c r="E182" s="19"/>
      <c r="F182" s="19"/>
      <c r="G182" s="21"/>
      <c r="H182" s="20"/>
      <c r="I182" s="21"/>
      <c r="J182" s="23"/>
      <c r="K182" s="19"/>
      <c r="M182" s="55"/>
      <c r="N182" s="56"/>
    </row>
    <row r="183" spans="1:19" ht="15" customHeight="1" x14ac:dyDescent="0.25">
      <c r="A183" s="16">
        <v>18</v>
      </c>
      <c r="B183" s="59" t="s">
        <v>103</v>
      </c>
      <c r="C183" s="17">
        <v>1</v>
      </c>
      <c r="D183" s="18"/>
      <c r="E183" s="19"/>
      <c r="F183" s="19"/>
      <c r="G183" s="23">
        <f t="shared" ref="G183" si="21">PRODUCT(C183:F183)</f>
        <v>1</v>
      </c>
      <c r="H183" s="20" t="s">
        <v>77</v>
      </c>
      <c r="I183" s="21">
        <v>20000</v>
      </c>
      <c r="J183" s="23">
        <f>G183*I183</f>
        <v>20000</v>
      </c>
      <c r="K183" s="19"/>
      <c r="M183" s="55"/>
      <c r="N183" s="56"/>
    </row>
    <row r="184" spans="1:19" ht="28.5" hidden="1" x14ac:dyDescent="0.25">
      <c r="A184" s="16">
        <v>17</v>
      </c>
      <c r="B184" s="59" t="s">
        <v>75</v>
      </c>
      <c r="C184" s="17"/>
      <c r="D184" s="18"/>
      <c r="E184" s="19"/>
      <c r="F184" s="19"/>
      <c r="G184" s="21"/>
      <c r="H184" s="20"/>
      <c r="I184" s="21"/>
      <c r="J184" s="64"/>
      <c r="K184" s="19"/>
      <c r="M184" s="62"/>
      <c r="N184" s="1"/>
      <c r="O184" s="1"/>
      <c r="P184" s="1"/>
      <c r="Q184" s="1"/>
      <c r="R184" s="62"/>
      <c r="S184" s="62"/>
    </row>
    <row r="185" spans="1:19" ht="15" hidden="1" customHeight="1" x14ac:dyDescent="0.25">
      <c r="A185" s="16"/>
      <c r="B185" s="29" t="s">
        <v>34</v>
      </c>
      <c r="C185" s="17">
        <v>2</v>
      </c>
      <c r="D185" s="6">
        <f>(8+1.5*2)/3.281</f>
        <v>3.3526363913441024</v>
      </c>
      <c r="E185" s="6">
        <v>0.45</v>
      </c>
      <c r="F185" s="65"/>
      <c r="G185" s="27">
        <f t="shared" ref="G185:G186" si="22">PRODUCT(C185:F185)</f>
        <v>3.0173727522096923</v>
      </c>
      <c r="H185" s="20"/>
      <c r="I185" s="21"/>
      <c r="J185" s="23"/>
      <c r="K185" s="19"/>
      <c r="M185" s="55"/>
      <c r="N185" s="56"/>
    </row>
    <row r="186" spans="1:19" ht="15" hidden="1" customHeight="1" x14ac:dyDescent="0.25">
      <c r="A186" s="16"/>
      <c r="B186" s="29"/>
      <c r="C186" s="17">
        <v>2</v>
      </c>
      <c r="D186" s="6">
        <f>(8)/3.281</f>
        <v>2.4382810118866196</v>
      </c>
      <c r="E186" s="6">
        <v>0.45</v>
      </c>
      <c r="F186" s="65"/>
      <c r="G186" s="27">
        <f t="shared" si="22"/>
        <v>2.1944529106979576</v>
      </c>
      <c r="H186" s="20"/>
      <c r="I186" s="21"/>
      <c r="J186" s="23"/>
      <c r="K186" s="19"/>
      <c r="M186" s="55"/>
      <c r="N186" s="56"/>
    </row>
    <row r="187" spans="1:19" ht="15" hidden="1" customHeight="1" x14ac:dyDescent="0.25">
      <c r="A187" s="16"/>
      <c r="B187" s="29" t="s">
        <v>62</v>
      </c>
      <c r="C187" s="17">
        <v>4</v>
      </c>
      <c r="D187" s="6">
        <f>4.667/3.281</f>
        <v>1.4224321853093569</v>
      </c>
      <c r="E187" s="6">
        <v>1.2</v>
      </c>
      <c r="F187" s="65"/>
      <c r="G187" s="27">
        <f>4*0.5*(2*D187*E187)</f>
        <v>6.8276744894849131</v>
      </c>
      <c r="H187" s="20"/>
      <c r="I187" s="21"/>
      <c r="J187" s="23"/>
      <c r="K187" s="19"/>
      <c r="M187" s="55"/>
      <c r="N187" s="56"/>
    </row>
    <row r="188" spans="1:19" ht="15" hidden="1" customHeight="1" x14ac:dyDescent="0.25">
      <c r="A188" s="28"/>
      <c r="B188" s="29" t="s">
        <v>20</v>
      </c>
      <c r="C188" s="25"/>
      <c r="D188" s="6"/>
      <c r="E188" s="6"/>
      <c r="F188" s="6"/>
      <c r="G188" s="23">
        <f>0*SUM(G185:G187)</f>
        <v>0</v>
      </c>
      <c r="H188" s="23" t="s">
        <v>26</v>
      </c>
      <c r="I188" s="21">
        <f>325188.75/100</f>
        <v>3251.8874999999998</v>
      </c>
      <c r="J188" s="24">
        <f>G188*I188</f>
        <v>0</v>
      </c>
      <c r="K188" s="7"/>
    </row>
    <row r="189" spans="1:19" ht="15" hidden="1" customHeight="1" x14ac:dyDescent="0.25">
      <c r="A189" s="16"/>
      <c r="B189" s="29" t="s">
        <v>22</v>
      </c>
      <c r="C189" s="17"/>
      <c r="D189" s="18"/>
      <c r="E189" s="19"/>
      <c r="F189" s="19"/>
      <c r="G189" s="21"/>
      <c r="H189" s="20"/>
      <c r="I189" s="21"/>
      <c r="J189" s="23">
        <f>0.13*G188*221748.75/100</f>
        <v>0</v>
      </c>
      <c r="K189" s="19"/>
      <c r="M189" s="55"/>
      <c r="N189" s="56"/>
    </row>
    <row r="190" spans="1:19" ht="15" customHeight="1" x14ac:dyDescent="0.25">
      <c r="A190" s="16"/>
      <c r="B190" s="63"/>
      <c r="C190" s="17"/>
      <c r="D190" s="18"/>
      <c r="E190" s="19"/>
      <c r="F190" s="19"/>
      <c r="G190" s="21"/>
      <c r="H190" s="20"/>
      <c r="I190" s="21"/>
      <c r="J190" s="64"/>
      <c r="K190" s="19"/>
      <c r="M190" s="62"/>
      <c r="N190" s="1"/>
      <c r="O190" s="1"/>
      <c r="P190" s="1"/>
      <c r="Q190" s="1"/>
      <c r="R190" s="62"/>
      <c r="S190" s="62"/>
    </row>
    <row r="191" spans="1:19" x14ac:dyDescent="0.25">
      <c r="A191" s="16">
        <v>19</v>
      </c>
      <c r="B191" s="43" t="s">
        <v>18</v>
      </c>
      <c r="C191" s="17">
        <v>1</v>
      </c>
      <c r="D191" s="18"/>
      <c r="E191" s="19"/>
      <c r="F191" s="19"/>
      <c r="G191" s="23">
        <f t="shared" ref="G191" si="23">PRODUCT(C191:F191)</f>
        <v>1</v>
      </c>
      <c r="H191" s="20" t="s">
        <v>19</v>
      </c>
      <c r="I191" s="21">
        <v>500</v>
      </c>
      <c r="J191" s="23">
        <f>G191*I191</f>
        <v>500</v>
      </c>
      <c r="K191" s="19"/>
      <c r="M191" s="55"/>
      <c r="N191" s="56"/>
    </row>
    <row r="192" spans="1:19" ht="15" customHeight="1" x14ac:dyDescent="0.25">
      <c r="A192" s="16"/>
      <c r="B192" s="22"/>
      <c r="C192" s="17"/>
      <c r="D192" s="18"/>
      <c r="E192" s="19"/>
      <c r="F192" s="19"/>
      <c r="G192" s="21"/>
      <c r="H192" s="20"/>
      <c r="I192" s="21"/>
      <c r="J192" s="23"/>
      <c r="K192" s="19"/>
      <c r="M192" s="55"/>
      <c r="N192" s="56"/>
    </row>
    <row r="193" spans="1:14" x14ac:dyDescent="0.25">
      <c r="A193" s="28"/>
      <c r="B193" s="30" t="s">
        <v>14</v>
      </c>
      <c r="C193" s="25"/>
      <c r="D193" s="6"/>
      <c r="E193" s="6"/>
      <c r="F193" s="6"/>
      <c r="G193" s="23"/>
      <c r="H193" s="23"/>
      <c r="I193" s="23"/>
      <c r="J193" s="23">
        <f>SUM(J10:J191)</f>
        <v>1121036.293366757</v>
      </c>
      <c r="K193" s="7"/>
    </row>
    <row r="195" spans="1:14" s="1" customFormat="1" x14ac:dyDescent="0.25">
      <c r="B195" s="7" t="s">
        <v>50</v>
      </c>
      <c r="C195" s="79">
        <f>J193</f>
        <v>1121036.293366757</v>
      </c>
      <c r="D195" s="80"/>
      <c r="E195" s="6">
        <v>100</v>
      </c>
      <c r="F195" s="8"/>
      <c r="G195" s="9"/>
      <c r="H195" s="8"/>
      <c r="I195" s="10"/>
      <c r="J195" s="11"/>
      <c r="K195" s="12"/>
      <c r="M195" s="50"/>
      <c r="N195" s="54"/>
    </row>
    <row r="196" spans="1:14" x14ac:dyDescent="0.25">
      <c r="B196" s="7" t="s">
        <v>51</v>
      </c>
      <c r="C196" s="81">
        <v>1000000</v>
      </c>
      <c r="D196" s="82"/>
      <c r="E196" s="6"/>
      <c r="M196" s="50"/>
      <c r="N196" s="54"/>
    </row>
    <row r="197" spans="1:14" x14ac:dyDescent="0.25">
      <c r="B197" s="7" t="s">
        <v>52</v>
      </c>
      <c r="C197" s="81">
        <f>C196-C199-C200</f>
        <v>950000</v>
      </c>
      <c r="D197" s="82"/>
      <c r="E197" s="6">
        <f>C197/C195*100</f>
        <v>84.743019081648868</v>
      </c>
    </row>
    <row r="198" spans="1:14" x14ac:dyDescent="0.25">
      <c r="B198" s="7" t="s">
        <v>53</v>
      </c>
      <c r="C198" s="83">
        <f>C195-C197</f>
        <v>171036.29336675699</v>
      </c>
      <c r="D198" s="83"/>
      <c r="E198" s="6">
        <f>100-E197</f>
        <v>15.256980918351132</v>
      </c>
      <c r="M198" s="48" t="s">
        <v>70</v>
      </c>
      <c r="N198" s="52" t="s">
        <v>69</v>
      </c>
    </row>
    <row r="199" spans="1:14" x14ac:dyDescent="0.25">
      <c r="B199" s="7" t="s">
        <v>54</v>
      </c>
      <c r="C199" s="79">
        <f>C196*0.03</f>
        <v>30000</v>
      </c>
      <c r="D199" s="80"/>
      <c r="E199" s="6">
        <v>3</v>
      </c>
      <c r="M199" s="48" t="s">
        <v>67</v>
      </c>
      <c r="N199" s="52" t="s">
        <v>68</v>
      </c>
    </row>
    <row r="200" spans="1:14" x14ac:dyDescent="0.25">
      <c r="B200" s="7" t="s">
        <v>55</v>
      </c>
      <c r="C200" s="79">
        <f>C196*0.02</f>
        <v>20000</v>
      </c>
      <c r="D200" s="80"/>
      <c r="E200" s="6">
        <v>2</v>
      </c>
    </row>
    <row r="201" spans="1:14" x14ac:dyDescent="0.25">
      <c r="M201" s="48" t="s">
        <v>71</v>
      </c>
    </row>
  </sheetData>
  <mergeCells count="15">
    <mergeCell ref="C195:D195"/>
    <mergeCell ref="C196:D196"/>
    <mergeCell ref="C198:D198"/>
    <mergeCell ref="C199:D199"/>
    <mergeCell ref="C200:D200"/>
    <mergeCell ref="C197:D197"/>
    <mergeCell ref="A6:F6"/>
    <mergeCell ref="H6:K6"/>
    <mergeCell ref="A7:F7"/>
    <mergeCell ref="H7:K7"/>
    <mergeCell ref="A1:K1"/>
    <mergeCell ref="A2:K2"/>
    <mergeCell ref="A3:K3"/>
    <mergeCell ref="A4:K4"/>
    <mergeCell ref="A5:K5"/>
  </mergeCells>
  <hyperlinks>
    <hyperlink ref="B127"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5"/>
  <sheetViews>
    <sheetView topLeftCell="A144" zoomScaleNormal="100" zoomScaleSheetLayoutView="80" workbookViewId="0">
      <selection activeCell="B151" sqref="B151"/>
    </sheetView>
  </sheetViews>
  <sheetFormatPr defaultRowHeight="15" x14ac:dyDescent="0.25"/>
  <cols>
    <col min="1" max="1" width="4.42578125" style="5" customWidth="1"/>
    <col min="2" max="2" width="30.42578125" customWidth="1"/>
    <col min="3" max="3" width="5.5703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 style="48" bestFit="1" customWidth="1"/>
    <col min="14" max="14" width="9.5703125" style="52" bestFit="1" customWidth="1"/>
  </cols>
  <sheetData>
    <row r="1" spans="1:16" s="1" customFormat="1" x14ac:dyDescent="0.25">
      <c r="A1" s="75" t="s">
        <v>0</v>
      </c>
      <c r="B1" s="75"/>
      <c r="C1" s="75"/>
      <c r="D1" s="75"/>
      <c r="E1" s="75"/>
      <c r="F1" s="75"/>
      <c r="G1" s="75"/>
      <c r="H1" s="75"/>
      <c r="I1" s="75"/>
      <c r="J1" s="75"/>
      <c r="K1" s="75"/>
      <c r="M1" s="47"/>
      <c r="N1" s="51"/>
    </row>
    <row r="2" spans="1:16" s="1" customFormat="1" ht="22.5" x14ac:dyDescent="0.25">
      <c r="A2" s="76" t="s">
        <v>1</v>
      </c>
      <c r="B2" s="76"/>
      <c r="C2" s="76"/>
      <c r="D2" s="76"/>
      <c r="E2" s="76"/>
      <c r="F2" s="76"/>
      <c r="G2" s="76"/>
      <c r="H2" s="76"/>
      <c r="I2" s="76"/>
      <c r="J2" s="76"/>
      <c r="K2" s="76"/>
      <c r="M2" s="47"/>
      <c r="N2" s="51"/>
    </row>
    <row r="3" spans="1:16" s="1" customFormat="1" x14ac:dyDescent="0.25">
      <c r="A3" s="77" t="s">
        <v>2</v>
      </c>
      <c r="B3" s="77"/>
      <c r="C3" s="77"/>
      <c r="D3" s="77"/>
      <c r="E3" s="77"/>
      <c r="F3" s="77"/>
      <c r="G3" s="77"/>
      <c r="H3" s="77"/>
      <c r="I3" s="77"/>
      <c r="J3" s="77"/>
      <c r="K3" s="77"/>
      <c r="M3" s="47"/>
      <c r="N3" s="51"/>
    </row>
    <row r="4" spans="1:16" s="1" customFormat="1" x14ac:dyDescent="0.25">
      <c r="A4" s="77" t="s">
        <v>3</v>
      </c>
      <c r="B4" s="77"/>
      <c r="C4" s="77"/>
      <c r="D4" s="77"/>
      <c r="E4" s="77"/>
      <c r="F4" s="77"/>
      <c r="G4" s="77"/>
      <c r="H4" s="77"/>
      <c r="I4" s="77"/>
      <c r="J4" s="77"/>
      <c r="K4" s="77"/>
      <c r="M4" s="47"/>
      <c r="N4" s="51"/>
    </row>
    <row r="5" spans="1:16" ht="18.75" x14ac:dyDescent="0.3">
      <c r="A5" s="78" t="s">
        <v>4</v>
      </c>
      <c r="B5" s="78"/>
      <c r="C5" s="78"/>
      <c r="D5" s="78"/>
      <c r="E5" s="78"/>
      <c r="F5" s="78"/>
      <c r="G5" s="78"/>
      <c r="H5" s="78"/>
      <c r="I5" s="78"/>
      <c r="J5" s="78"/>
      <c r="K5" s="78"/>
    </row>
    <row r="6" spans="1:16" ht="15.75" x14ac:dyDescent="0.25">
      <c r="A6" s="72" t="s">
        <v>79</v>
      </c>
      <c r="B6" s="72"/>
      <c r="C6" s="72"/>
      <c r="D6" s="72"/>
      <c r="E6" s="72"/>
      <c r="F6" s="72"/>
      <c r="G6" s="2"/>
      <c r="H6" s="73" t="s">
        <v>78</v>
      </c>
      <c r="I6" s="73"/>
      <c r="J6" s="73"/>
      <c r="K6" s="73"/>
    </row>
    <row r="7" spans="1:16" ht="15.75" x14ac:dyDescent="0.25">
      <c r="A7" s="74" t="s">
        <v>15</v>
      </c>
      <c r="B7" s="74"/>
      <c r="C7" s="74"/>
      <c r="D7" s="74"/>
      <c r="E7" s="74"/>
      <c r="F7" s="74"/>
      <c r="G7" s="3"/>
      <c r="H7" s="73" t="s">
        <v>17</v>
      </c>
      <c r="I7" s="73"/>
      <c r="J7" s="73"/>
      <c r="K7" s="73"/>
    </row>
    <row r="8" spans="1:16" ht="15" customHeight="1" x14ac:dyDescent="0.25">
      <c r="A8" s="4" t="s">
        <v>5</v>
      </c>
      <c r="B8" s="13" t="s">
        <v>6</v>
      </c>
      <c r="C8" s="4" t="s">
        <v>7</v>
      </c>
      <c r="D8" s="14" t="s">
        <v>8</v>
      </c>
      <c r="E8" s="14" t="s">
        <v>9</v>
      </c>
      <c r="F8" s="14" t="s">
        <v>10</v>
      </c>
      <c r="G8" s="14" t="s">
        <v>11</v>
      </c>
      <c r="H8" s="4" t="s">
        <v>12</v>
      </c>
      <c r="I8" s="14" t="s">
        <v>59</v>
      </c>
      <c r="J8" s="14" t="s">
        <v>60</v>
      </c>
      <c r="K8" s="15" t="s">
        <v>13</v>
      </c>
    </row>
    <row r="9" spans="1:16" ht="15" customHeight="1" x14ac:dyDescent="0.25">
      <c r="A9" s="4" t="s">
        <v>21</v>
      </c>
      <c r="B9" s="13" t="s">
        <v>23</v>
      </c>
      <c r="C9" s="4"/>
      <c r="D9" s="14"/>
      <c r="E9" s="14"/>
      <c r="F9" s="14"/>
      <c r="G9" s="14"/>
      <c r="H9" s="4"/>
      <c r="I9" s="14"/>
      <c r="J9" s="14"/>
      <c r="K9" s="15"/>
    </row>
    <row r="10" spans="1:16" s="37" customFormat="1" ht="30.75" x14ac:dyDescent="0.25">
      <c r="A10" s="31">
        <v>1</v>
      </c>
      <c r="B10" s="40" t="s">
        <v>61</v>
      </c>
      <c r="C10" s="32"/>
      <c r="D10" s="32"/>
      <c r="E10" s="32"/>
      <c r="F10" s="32"/>
      <c r="G10" s="33"/>
      <c r="H10" s="34"/>
      <c r="I10" s="35"/>
      <c r="J10" s="35"/>
      <c r="K10" s="36"/>
      <c r="M10" s="55"/>
      <c r="N10" s="56"/>
      <c r="O10" s="44"/>
      <c r="P10" s="44"/>
    </row>
    <row r="11" spans="1:16" ht="15" customHeight="1" x14ac:dyDescent="0.25">
      <c r="A11" s="28"/>
      <c r="B11" s="29" t="s">
        <v>24</v>
      </c>
      <c r="C11" s="25">
        <v>1</v>
      </c>
      <c r="D11" s="6">
        <f>8.5/3.281</f>
        <v>2.5906735751295336</v>
      </c>
      <c r="E11" s="6">
        <f>8.5/3.281</f>
        <v>2.5906735751295336</v>
      </c>
      <c r="F11" s="6">
        <v>1.5</v>
      </c>
      <c r="G11" s="27">
        <f>PRODUCT(C11:F11)</f>
        <v>10.067384359311658</v>
      </c>
      <c r="H11" s="23"/>
      <c r="I11" s="26"/>
      <c r="J11" s="24"/>
      <c r="K11" s="7"/>
      <c r="M11" s="49"/>
      <c r="N11" s="53"/>
      <c r="O11" s="45"/>
      <c r="P11" s="45"/>
    </row>
    <row r="12" spans="1:16" ht="15" customHeight="1" x14ac:dyDescent="0.25">
      <c r="A12" s="16"/>
      <c r="B12" s="29" t="s">
        <v>20</v>
      </c>
      <c r="C12" s="17"/>
      <c r="D12" s="18"/>
      <c r="E12" s="19"/>
      <c r="F12" s="19"/>
      <c r="G12" s="21">
        <f>SUM(G11:G11)</f>
        <v>10.067384359311658</v>
      </c>
      <c r="H12" s="20" t="s">
        <v>16</v>
      </c>
      <c r="I12" s="21">
        <v>648.9</v>
      </c>
      <c r="J12" s="23">
        <f>G12*I12</f>
        <v>6532.725710757335</v>
      </c>
      <c r="K12" s="19"/>
      <c r="M12" s="55"/>
      <c r="N12" s="56"/>
      <c r="O12" s="45"/>
      <c r="P12" s="45"/>
    </row>
    <row r="13" spans="1:16" ht="15" customHeight="1" x14ac:dyDescent="0.25">
      <c r="A13" s="16"/>
      <c r="B13" s="29"/>
      <c r="C13" s="17"/>
      <c r="D13" s="18"/>
      <c r="E13" s="19"/>
      <c r="F13" s="19"/>
      <c r="G13" s="21"/>
      <c r="H13" s="20"/>
      <c r="I13" s="21"/>
      <c r="J13" s="23"/>
      <c r="K13" s="19"/>
      <c r="M13" s="55"/>
      <c r="N13" s="56"/>
      <c r="O13" s="45"/>
      <c r="P13" s="45"/>
    </row>
    <row r="14" spans="1:16" ht="15.75" x14ac:dyDescent="0.25">
      <c r="A14" s="28">
        <v>2</v>
      </c>
      <c r="B14" s="40" t="s">
        <v>25</v>
      </c>
      <c r="C14" s="25"/>
      <c r="D14" s="6"/>
      <c r="E14" s="6"/>
      <c r="F14" s="6"/>
      <c r="G14" s="27"/>
      <c r="H14" s="23"/>
      <c r="I14" s="26"/>
      <c r="J14" s="24"/>
      <c r="K14" s="7"/>
      <c r="M14" s="49"/>
      <c r="N14" s="53"/>
      <c r="O14" s="45"/>
      <c r="P14" s="45"/>
    </row>
    <row r="15" spans="1:16" ht="15" customHeight="1" x14ac:dyDescent="0.25">
      <c r="A15" s="28"/>
      <c r="B15" s="29" t="str">
        <f>B11</f>
        <v>-For foundation</v>
      </c>
      <c r="C15" s="25">
        <v>1</v>
      </c>
      <c r="D15" s="6">
        <f>D11</f>
        <v>2.5906735751295336</v>
      </c>
      <c r="E15" s="6">
        <f>E11</f>
        <v>2.5906735751295336</v>
      </c>
      <c r="F15" s="6"/>
      <c r="G15" s="27">
        <f t="shared" ref="G15:G16" si="0">PRODUCT(C15:F15)</f>
        <v>6.7115895728744386</v>
      </c>
      <c r="H15" s="23"/>
      <c r="I15" s="26"/>
      <c r="J15" s="24"/>
      <c r="K15" s="7"/>
      <c r="M15" s="49"/>
      <c r="N15" s="53"/>
      <c r="O15" s="45"/>
      <c r="P15" s="45"/>
    </row>
    <row r="16" spans="1:16" ht="15" customHeight="1" x14ac:dyDescent="0.25">
      <c r="A16" s="16"/>
      <c r="B16" s="29" t="s">
        <v>49</v>
      </c>
      <c r="C16" s="17">
        <v>1</v>
      </c>
      <c r="D16" s="6">
        <f>6.5/3.281</f>
        <v>1.9811033221578787</v>
      </c>
      <c r="E16" s="6">
        <f>6.5/3.281</f>
        <v>1.9811033221578787</v>
      </c>
      <c r="F16" s="65"/>
      <c r="G16" s="27">
        <f t="shared" si="0"/>
        <v>3.9247703730649834</v>
      </c>
      <c r="H16" s="20"/>
      <c r="I16" s="21"/>
      <c r="J16" s="23"/>
      <c r="K16" s="19"/>
      <c r="M16" s="55"/>
      <c r="N16" s="56"/>
      <c r="O16" s="45"/>
      <c r="P16" s="45"/>
    </row>
    <row r="17" spans="1:16" ht="15" customHeight="1" x14ac:dyDescent="0.25">
      <c r="A17" s="28"/>
      <c r="B17" s="29" t="s">
        <v>20</v>
      </c>
      <c r="C17" s="25"/>
      <c r="D17" s="6"/>
      <c r="E17" s="6"/>
      <c r="F17" s="6"/>
      <c r="G17" s="23">
        <f>SUM(G15:G16)</f>
        <v>10.636359945939422</v>
      </c>
      <c r="H17" s="23" t="s">
        <v>26</v>
      </c>
      <c r="I17" s="26">
        <v>985.38</v>
      </c>
      <c r="J17" s="24">
        <f>G17*I17</f>
        <v>10480.856363529787</v>
      </c>
      <c r="K17" s="7"/>
      <c r="M17" s="49"/>
      <c r="N17" s="53"/>
      <c r="O17" s="45"/>
      <c r="P17" s="45"/>
    </row>
    <row r="18" spans="1:16" ht="15" customHeight="1" x14ac:dyDescent="0.25">
      <c r="A18" s="16"/>
      <c r="B18" s="29" t="s">
        <v>22</v>
      </c>
      <c r="C18" s="17"/>
      <c r="D18" s="18"/>
      <c r="E18" s="19"/>
      <c r="F18" s="19"/>
      <c r="G18" s="21"/>
      <c r="H18" s="20"/>
      <c r="I18" s="21"/>
      <c r="J18" s="23">
        <f>0.13*G17*(8353.81)/10</f>
        <v>1155.1036910398466</v>
      </c>
      <c r="K18" s="19"/>
      <c r="M18" s="55"/>
      <c r="N18" s="56"/>
    </row>
    <row r="19" spans="1:16" ht="15" customHeight="1" x14ac:dyDescent="0.25">
      <c r="A19" s="16"/>
      <c r="B19" s="29"/>
      <c r="C19" s="7"/>
      <c r="D19" s="6"/>
      <c r="E19" s="6"/>
      <c r="F19" s="6"/>
      <c r="G19" s="23"/>
      <c r="H19" s="28"/>
      <c r="I19" s="23"/>
      <c r="J19" s="23"/>
      <c r="K19" s="19"/>
      <c r="M19" s="55"/>
      <c r="N19" s="56"/>
    </row>
    <row r="20" spans="1:16" ht="30.75" x14ac:dyDescent="0.25">
      <c r="A20" s="16">
        <v>3</v>
      </c>
      <c r="B20" s="40" t="s">
        <v>27</v>
      </c>
      <c r="C20" s="7"/>
      <c r="D20" s="6"/>
      <c r="E20" s="6"/>
      <c r="F20" s="6"/>
      <c r="G20" s="23"/>
      <c r="H20" s="28"/>
      <c r="I20" s="23"/>
      <c r="J20" s="23"/>
      <c r="K20" s="19"/>
      <c r="M20" s="55"/>
      <c r="N20" s="56"/>
    </row>
    <row r="21" spans="1:16" ht="15" customHeight="1" x14ac:dyDescent="0.25">
      <c r="A21" s="28"/>
      <c r="B21" s="29" t="str">
        <f>B11</f>
        <v>-For foundation</v>
      </c>
      <c r="C21" s="25">
        <f>C15</f>
        <v>1</v>
      </c>
      <c r="D21" s="6">
        <f>D11</f>
        <v>2.5906735751295336</v>
      </c>
      <c r="E21" s="6">
        <f>E11</f>
        <v>2.5906735751295336</v>
      </c>
      <c r="F21" s="6">
        <v>7.4999999999999997E-2</v>
      </c>
      <c r="G21" s="27">
        <f>PRODUCT(C21:F21)</f>
        <v>0.50336921796558287</v>
      </c>
      <c r="H21" s="23"/>
      <c r="I21" s="26"/>
      <c r="J21" s="24"/>
      <c r="K21" s="7"/>
    </row>
    <row r="22" spans="1:16" ht="15" customHeight="1" x14ac:dyDescent="0.25">
      <c r="A22" s="28"/>
      <c r="B22" s="29" t="s">
        <v>20</v>
      </c>
      <c r="C22" s="25"/>
      <c r="D22" s="6"/>
      <c r="E22" s="6"/>
      <c r="F22" s="6"/>
      <c r="G22" s="23">
        <f>SUM(G21:G21)</f>
        <v>0.50336921796558287</v>
      </c>
      <c r="H22" s="23" t="s">
        <v>16</v>
      </c>
      <c r="I22" s="26">
        <v>12300.32</v>
      </c>
      <c r="J22" s="24">
        <f>G22*I22</f>
        <v>6191.6024591264186</v>
      </c>
      <c r="K22" s="7"/>
    </row>
    <row r="23" spans="1:16" ht="15" customHeight="1" x14ac:dyDescent="0.25">
      <c r="A23" s="16"/>
      <c r="B23" s="29" t="s">
        <v>22</v>
      </c>
      <c r="C23" s="17"/>
      <c r="D23" s="18"/>
      <c r="E23" s="19"/>
      <c r="F23" s="19"/>
      <c r="G23" s="21"/>
      <c r="H23" s="20"/>
      <c r="I23" s="21"/>
      <c r="J23" s="23">
        <f>0.13*G22*7500.33</f>
        <v>490.80658205589401</v>
      </c>
      <c r="K23" s="19"/>
      <c r="M23" s="55"/>
      <c r="N23" s="56"/>
    </row>
    <row r="24" spans="1:16" ht="15" customHeight="1" x14ac:dyDescent="0.25">
      <c r="A24" s="28"/>
      <c r="B24" s="29"/>
      <c r="C24" s="25"/>
      <c r="D24" s="6"/>
      <c r="E24" s="6"/>
      <c r="F24" s="6"/>
      <c r="G24" s="27"/>
      <c r="H24" s="23"/>
      <c r="I24" s="26"/>
      <c r="J24" s="24"/>
      <c r="K24" s="7"/>
    </row>
    <row r="25" spans="1:16" s="1" customFormat="1" ht="30" x14ac:dyDescent="0.25">
      <c r="A25" s="16">
        <v>4</v>
      </c>
      <c r="B25" s="39" t="s">
        <v>28</v>
      </c>
      <c r="C25" s="17"/>
      <c r="D25" s="18"/>
      <c r="E25" s="19"/>
      <c r="F25" s="19"/>
      <c r="G25" s="21"/>
      <c r="H25" s="20"/>
      <c r="I25" s="21"/>
      <c r="J25" s="23"/>
      <c r="K25" s="19"/>
      <c r="M25" s="58"/>
      <c r="N25" s="57"/>
    </row>
    <row r="26" spans="1:16" ht="15" customHeight="1" x14ac:dyDescent="0.25">
      <c r="A26" s="16"/>
      <c r="B26" s="41" t="s">
        <v>29</v>
      </c>
      <c r="C26" s="17"/>
      <c r="D26" s="18"/>
      <c r="E26" s="19"/>
      <c r="F26" s="19"/>
      <c r="G26" s="21"/>
      <c r="H26" s="20"/>
      <c r="I26" s="21"/>
      <c r="J26" s="23"/>
      <c r="K26" s="19"/>
      <c r="M26" s="55"/>
      <c r="N26" s="56"/>
    </row>
    <row r="27" spans="1:16" ht="15" customHeight="1" x14ac:dyDescent="0.25">
      <c r="A27" s="16"/>
      <c r="B27" s="29" t="s">
        <v>30</v>
      </c>
      <c r="C27" s="17">
        <f>C21</f>
        <v>1</v>
      </c>
      <c r="D27" s="6">
        <f>D21-0.15</f>
        <v>2.4406735751295336</v>
      </c>
      <c r="E27" s="6">
        <f>E21-0.15</f>
        <v>2.4406735751295336</v>
      </c>
      <c r="F27" s="6">
        <v>0.45</v>
      </c>
      <c r="G27" s="27">
        <f>PRODUCT(C27:F27)</f>
        <v>2.6805993751510107</v>
      </c>
      <c r="H27" s="20"/>
      <c r="I27" s="21"/>
      <c r="J27" s="23"/>
      <c r="K27" s="19"/>
      <c r="M27" s="55"/>
      <c r="N27" s="56"/>
    </row>
    <row r="28" spans="1:16" ht="15" customHeight="1" x14ac:dyDescent="0.25">
      <c r="A28" s="16"/>
      <c r="B28" s="29" t="s">
        <v>31</v>
      </c>
      <c r="C28" s="17">
        <v>4</v>
      </c>
      <c r="D28" s="6">
        <v>0.23</v>
      </c>
      <c r="E28" s="6">
        <v>0.23</v>
      </c>
      <c r="F28" s="65">
        <f>14.75/3.281</f>
        <v>4.495580615665955</v>
      </c>
      <c r="G28" s="27">
        <f t="shared" ref="G28:G46" si="1">PRODUCT(C28:F28)</f>
        <v>0.95126485827491614</v>
      </c>
      <c r="H28" s="20"/>
      <c r="I28" s="21"/>
      <c r="J28" s="23"/>
      <c r="K28" s="19"/>
      <c r="M28" s="55">
        <f>10/12</f>
        <v>0.83333333333333337</v>
      </c>
      <c r="N28" s="56">
        <f>M28/3.281</f>
        <v>0.25398760540485626</v>
      </c>
    </row>
    <row r="29" spans="1:16" x14ac:dyDescent="0.25">
      <c r="A29" s="16"/>
      <c r="B29" s="29" t="s">
        <v>81</v>
      </c>
      <c r="C29" s="17">
        <v>4</v>
      </c>
      <c r="D29" s="6">
        <f>6.5/3.28</f>
        <v>1.9817073170731709</v>
      </c>
      <c r="E29" s="6">
        <v>0.23</v>
      </c>
      <c r="F29" s="65">
        <v>0.23</v>
      </c>
      <c r="G29" s="27">
        <f t="shared" si="1"/>
        <v>0.41932926829268302</v>
      </c>
      <c r="H29" s="20"/>
      <c r="I29" s="21"/>
      <c r="J29" s="23"/>
      <c r="K29" s="19"/>
      <c r="M29" s="55"/>
      <c r="N29" s="56"/>
    </row>
    <row r="30" spans="1:16" x14ac:dyDescent="0.25">
      <c r="A30" s="16"/>
      <c r="B30" s="29" t="s">
        <v>80</v>
      </c>
      <c r="C30" s="17">
        <v>4</v>
      </c>
      <c r="D30" s="6">
        <f>D29</f>
        <v>1.9817073170731709</v>
      </c>
      <c r="E30" s="6">
        <v>0.23</v>
      </c>
      <c r="F30" s="65">
        <v>0.23</v>
      </c>
      <c r="G30" s="27">
        <f t="shared" si="1"/>
        <v>0.41932926829268302</v>
      </c>
      <c r="H30" s="20"/>
      <c r="I30" s="21"/>
      <c r="J30" s="23"/>
      <c r="K30" s="19"/>
      <c r="M30" s="55"/>
      <c r="N30" s="56"/>
    </row>
    <row r="31" spans="1:16" ht="15" customHeight="1" x14ac:dyDescent="0.25">
      <c r="A31" s="16"/>
      <c r="B31" s="29" t="s">
        <v>72</v>
      </c>
      <c r="C31" s="17">
        <v>4</v>
      </c>
      <c r="D31" s="6">
        <f>D30</f>
        <v>1.9817073170731709</v>
      </c>
      <c r="E31" s="6">
        <v>0.23</v>
      </c>
      <c r="F31" s="65">
        <v>0.23</v>
      </c>
      <c r="G31" s="27">
        <f t="shared" si="1"/>
        <v>0.41932926829268302</v>
      </c>
      <c r="H31" s="20"/>
      <c r="I31" s="21"/>
      <c r="J31" s="23"/>
      <c r="K31" s="19"/>
      <c r="M31" s="55"/>
      <c r="N31" s="56"/>
    </row>
    <row r="32" spans="1:16" ht="15" customHeight="1" x14ac:dyDescent="0.25">
      <c r="A32" s="16"/>
      <c r="B32" s="29" t="str">
        <f>B16</f>
        <v>-For flooring</v>
      </c>
      <c r="C32" s="17">
        <v>1</v>
      </c>
      <c r="D32" s="6">
        <f>D16</f>
        <v>1.9811033221578787</v>
      </c>
      <c r="E32" s="6">
        <f>E16</f>
        <v>1.9811033221578787</v>
      </c>
      <c r="F32" s="65">
        <v>7.4999999999999997E-2</v>
      </c>
      <c r="G32" s="27">
        <f t="shared" si="1"/>
        <v>0.29435777797987372</v>
      </c>
      <c r="H32" s="20"/>
      <c r="I32" s="21"/>
      <c r="J32" s="23"/>
      <c r="K32" s="19"/>
      <c r="M32" s="55"/>
      <c r="N32" s="56"/>
    </row>
    <row r="33" spans="1:14" ht="15" customHeight="1" x14ac:dyDescent="0.25">
      <c r="A33" s="16"/>
      <c r="B33" s="29"/>
      <c r="C33" s="17">
        <v>1</v>
      </c>
      <c r="D33" s="6">
        <f>(8*2+8.667*2)</f>
        <v>33.334000000000003</v>
      </c>
      <c r="E33" s="6">
        <v>0.115</v>
      </c>
      <c r="F33" s="65">
        <v>0.1</v>
      </c>
      <c r="G33" s="27">
        <f t="shared" si="1"/>
        <v>0.3833410000000001</v>
      </c>
      <c r="H33" s="20"/>
      <c r="I33" s="21"/>
      <c r="J33" s="23"/>
      <c r="K33" s="19"/>
      <c r="M33" s="55"/>
      <c r="N33" s="56"/>
    </row>
    <row r="34" spans="1:14" ht="15" customHeight="1" x14ac:dyDescent="0.25">
      <c r="A34" s="16"/>
      <c r="B34" s="29" t="s">
        <v>32</v>
      </c>
      <c r="C34" s="17">
        <v>4</v>
      </c>
      <c r="D34" s="6">
        <v>0.23</v>
      </c>
      <c r="E34" s="6">
        <v>0.23</v>
      </c>
      <c r="F34" s="65">
        <f>(8.917)/3.281</f>
        <v>2.7177689728741234</v>
      </c>
      <c r="G34" s="27">
        <f t="shared" si="1"/>
        <v>0.5750799146601645</v>
      </c>
      <c r="H34" s="20"/>
      <c r="I34" s="21"/>
      <c r="J34" s="23"/>
      <c r="K34" s="19"/>
      <c r="M34" s="55"/>
      <c r="N34" s="56"/>
    </row>
    <row r="35" spans="1:14" ht="15" customHeight="1" x14ac:dyDescent="0.25">
      <c r="A35" s="16"/>
      <c r="B35" s="29" t="s">
        <v>33</v>
      </c>
      <c r="C35" s="17">
        <v>4</v>
      </c>
      <c r="D35" s="6">
        <f>((6.5)/3.281)</f>
        <v>1.9811033221578787</v>
      </c>
      <c r="E35" s="6">
        <v>0.23</v>
      </c>
      <c r="F35" s="65">
        <v>0.23</v>
      </c>
      <c r="G35" s="27">
        <f t="shared" si="1"/>
        <v>0.41920146296860716</v>
      </c>
      <c r="H35" s="20"/>
      <c r="I35" s="21"/>
      <c r="J35" s="23"/>
      <c r="K35" s="19"/>
      <c r="M35" s="55"/>
      <c r="N35" s="56"/>
    </row>
    <row r="36" spans="1:14" ht="15" customHeight="1" x14ac:dyDescent="0.25">
      <c r="A36" s="16"/>
      <c r="B36" s="29" t="s">
        <v>82</v>
      </c>
      <c r="C36" s="17">
        <v>2</v>
      </c>
      <c r="D36" s="6">
        <f>((6.5)/3.281)</f>
        <v>1.9811033221578787</v>
      </c>
      <c r="E36" s="6">
        <v>0.23</v>
      </c>
      <c r="F36" s="65">
        <v>0.23</v>
      </c>
      <c r="G36" s="27">
        <f t="shared" si="1"/>
        <v>0.20960073148430358</v>
      </c>
      <c r="H36" s="20"/>
      <c r="I36" s="21"/>
      <c r="J36" s="23"/>
      <c r="K36" s="19"/>
      <c r="M36" s="55"/>
      <c r="N36" s="56"/>
    </row>
    <row r="37" spans="1:14" ht="15" customHeight="1" x14ac:dyDescent="0.25">
      <c r="A37" s="16"/>
      <c r="B37" s="29"/>
      <c r="C37" s="17">
        <v>2</v>
      </c>
      <c r="D37" s="6">
        <f>((6.5-0.75*2)/3.281)</f>
        <v>1.5239256324291375</v>
      </c>
      <c r="E37" s="6">
        <v>0.23</v>
      </c>
      <c r="F37" s="65">
        <v>0.23</v>
      </c>
      <c r="G37" s="27">
        <f t="shared" si="1"/>
        <v>0.16123133191100275</v>
      </c>
      <c r="H37" s="20"/>
      <c r="I37" s="21"/>
      <c r="J37" s="23"/>
      <c r="K37" s="19"/>
      <c r="M37" s="55"/>
      <c r="N37" s="56"/>
    </row>
    <row r="38" spans="1:14" ht="15" customHeight="1" x14ac:dyDescent="0.25">
      <c r="A38" s="16"/>
      <c r="B38" s="29" t="s">
        <v>90</v>
      </c>
      <c r="C38" s="17">
        <v>1</v>
      </c>
      <c r="D38" s="6">
        <f>(12.333)/3.281</f>
        <v>3.7589149649497102</v>
      </c>
      <c r="E38" s="6">
        <f>(12.333)/3.281</f>
        <v>3.7589149649497102</v>
      </c>
      <c r="F38" s="65">
        <v>0.125</v>
      </c>
      <c r="G38" s="27">
        <f t="shared" si="1"/>
        <v>1.7661802142153602</v>
      </c>
      <c r="H38" s="20"/>
      <c r="I38" s="21"/>
      <c r="J38" s="23"/>
      <c r="K38" s="19"/>
      <c r="M38" s="55"/>
      <c r="N38" s="56"/>
    </row>
    <row r="39" spans="1:14" ht="15" customHeight="1" x14ac:dyDescent="0.25">
      <c r="A39" s="16"/>
      <c r="B39" s="29" t="s">
        <v>83</v>
      </c>
      <c r="C39" s="17">
        <v>-1</v>
      </c>
      <c r="D39" s="6">
        <f>2/3.281</f>
        <v>0.6095702529716549</v>
      </c>
      <c r="E39" s="6">
        <f>2/3.281</f>
        <v>0.6095702529716549</v>
      </c>
      <c r="F39" s="65">
        <v>0.125</v>
      </c>
      <c r="G39" s="27">
        <f t="shared" si="1"/>
        <v>-4.6446986663490918E-2</v>
      </c>
      <c r="H39" s="20"/>
      <c r="I39" s="21"/>
      <c r="J39" s="23"/>
      <c r="K39" s="19"/>
      <c r="M39" s="55"/>
      <c r="N39" s="56"/>
    </row>
    <row r="40" spans="1:14" ht="15" customHeight="1" x14ac:dyDescent="0.25">
      <c r="A40" s="16"/>
      <c r="B40" s="29" t="s">
        <v>85</v>
      </c>
      <c r="C40" s="17">
        <v>4</v>
      </c>
      <c r="D40" s="6">
        <f>4.583/3.281</f>
        <v>1.3968302346845474</v>
      </c>
      <c r="E40" s="6">
        <f>((3.5+12.42)/2)/3.281</f>
        <v>2.4260896068271869</v>
      </c>
      <c r="F40" s="65">
        <v>0.1</v>
      </c>
      <c r="G40" s="27">
        <f t="shared" si="1"/>
        <v>1.3555341259480644</v>
      </c>
      <c r="H40" s="20"/>
      <c r="I40" s="21"/>
      <c r="J40" s="23"/>
      <c r="K40" s="19"/>
      <c r="M40" s="55"/>
      <c r="N40" s="56"/>
    </row>
    <row r="41" spans="1:14" ht="15" customHeight="1" x14ac:dyDescent="0.25">
      <c r="A41" s="16"/>
      <c r="B41" s="29" t="s">
        <v>84</v>
      </c>
      <c r="C41" s="17">
        <v>4</v>
      </c>
      <c r="D41" s="6">
        <v>0.23</v>
      </c>
      <c r="E41" s="6">
        <v>0.23</v>
      </c>
      <c r="F41" s="65">
        <f>4.5/3.281</f>
        <v>1.3715330691862238</v>
      </c>
      <c r="G41" s="27">
        <f t="shared" si="1"/>
        <v>0.29021639743980499</v>
      </c>
      <c r="H41" s="20"/>
      <c r="I41" s="21"/>
      <c r="J41" s="23"/>
      <c r="K41" s="19"/>
      <c r="M41" s="55"/>
      <c r="N41" s="56"/>
    </row>
    <row r="42" spans="1:14" ht="15" customHeight="1" x14ac:dyDescent="0.25">
      <c r="A42" s="16"/>
      <c r="B42" s="29" t="s">
        <v>97</v>
      </c>
      <c r="C42" s="17">
        <f>-C41</f>
        <v>-4</v>
      </c>
      <c r="D42" s="6">
        <f>D41</f>
        <v>0.23</v>
      </c>
      <c r="E42" s="6">
        <f>E41</f>
        <v>0.23</v>
      </c>
      <c r="F42" s="65">
        <v>0.23</v>
      </c>
      <c r="G42" s="27">
        <f t="shared" si="1"/>
        <v>-4.8668000000000003E-2</v>
      </c>
      <c r="H42" s="20"/>
      <c r="I42" s="21"/>
      <c r="J42" s="23"/>
      <c r="K42" s="19"/>
      <c r="M42" s="55"/>
      <c r="N42" s="56"/>
    </row>
    <row r="43" spans="1:14" ht="15" customHeight="1" x14ac:dyDescent="0.25">
      <c r="A43" s="16"/>
      <c r="B43" s="29" t="s">
        <v>86</v>
      </c>
      <c r="C43" s="17">
        <f>4</f>
        <v>4</v>
      </c>
      <c r="D43" s="6">
        <v>0.6</v>
      </c>
      <c r="E43" s="6">
        <v>0.23</v>
      </c>
      <c r="F43" s="65">
        <v>0.23</v>
      </c>
      <c r="G43" s="27">
        <f t="shared" si="1"/>
        <v>0.12696000000000002</v>
      </c>
      <c r="H43" s="20"/>
      <c r="I43" s="21"/>
      <c r="J43" s="23"/>
      <c r="K43" s="19"/>
      <c r="M43" s="55"/>
      <c r="N43" s="56"/>
    </row>
    <row r="44" spans="1:14" ht="15" customHeight="1" x14ac:dyDescent="0.25">
      <c r="A44" s="16"/>
      <c r="B44" s="29" t="s">
        <v>87</v>
      </c>
      <c r="C44" s="17">
        <v>1</v>
      </c>
      <c r="D44" s="6">
        <f>7.917/3.281</f>
        <v>2.412983846388296</v>
      </c>
      <c r="E44" s="6">
        <f>7.917/3.281</f>
        <v>2.412983846388296</v>
      </c>
      <c r="F44" s="65">
        <v>7.4999999999999997E-2</v>
      </c>
      <c r="G44" s="27">
        <f>PRODUCT(C44:F44)</f>
        <v>0.43668682821981414</v>
      </c>
      <c r="H44" s="20"/>
      <c r="I44" s="21"/>
      <c r="J44" s="23"/>
      <c r="K44" s="19"/>
      <c r="M44" s="55"/>
      <c r="N44" s="56"/>
    </row>
    <row r="45" spans="1:14" ht="15" customHeight="1" x14ac:dyDescent="0.25">
      <c r="A45" s="16"/>
      <c r="B45" s="29" t="s">
        <v>83</v>
      </c>
      <c r="C45" s="17">
        <v>-1</v>
      </c>
      <c r="D45" s="6">
        <v>0.23</v>
      </c>
      <c r="E45" s="6">
        <v>0.23</v>
      </c>
      <c r="F45" s="65">
        <v>7.4999999999999997E-2</v>
      </c>
      <c r="G45" s="27">
        <f>PRODUCT(C45:F45)</f>
        <v>-3.9674999999999997E-3</v>
      </c>
      <c r="H45" s="20"/>
      <c r="I45" s="21"/>
      <c r="J45" s="23"/>
      <c r="K45" s="19"/>
      <c r="M45" s="55"/>
      <c r="N45" s="56"/>
    </row>
    <row r="46" spans="1:14" ht="15" customHeight="1" x14ac:dyDescent="0.25">
      <c r="A46" s="16"/>
      <c r="B46" s="29" t="s">
        <v>88</v>
      </c>
      <c r="C46" s="17">
        <v>4</v>
      </c>
      <c r="D46" s="6">
        <f>3.5/3.281</f>
        <v>1.0667479427003961</v>
      </c>
      <c r="E46" s="6">
        <v>1.2</v>
      </c>
      <c r="F46" s="65">
        <v>7.4999999999999997E-2</v>
      </c>
      <c r="G46" s="27">
        <f t="shared" si="1"/>
        <v>0.38402925937214255</v>
      </c>
      <c r="H46" s="20"/>
      <c r="I46" s="21"/>
      <c r="J46" s="23"/>
      <c r="K46" s="19"/>
      <c r="M46" s="55"/>
      <c r="N46" s="56"/>
    </row>
    <row r="47" spans="1:14" ht="15" customHeight="1" x14ac:dyDescent="0.25">
      <c r="A47" s="28"/>
      <c r="B47" s="29" t="s">
        <v>20</v>
      </c>
      <c r="C47" s="25"/>
      <c r="D47" s="6"/>
      <c r="E47" s="6"/>
      <c r="F47" s="6"/>
      <c r="G47" s="23">
        <f>SUM(G27:G46)</f>
        <v>11.193188595839624</v>
      </c>
      <c r="H47" s="23" t="s">
        <v>16</v>
      </c>
      <c r="I47" s="26">
        <v>14200.82</v>
      </c>
      <c r="J47" s="24">
        <f>G47*I47</f>
        <v>158952.45647557123</v>
      </c>
      <c r="K47" s="7"/>
    </row>
    <row r="48" spans="1:14" ht="15" customHeight="1" x14ac:dyDescent="0.25">
      <c r="A48" s="16"/>
      <c r="B48" s="29" t="s">
        <v>22</v>
      </c>
      <c r="C48" s="17"/>
      <c r="D48" s="18"/>
      <c r="E48" s="19"/>
      <c r="F48" s="19"/>
      <c r="G48" s="21"/>
      <c r="H48" s="20"/>
      <c r="I48" s="21"/>
      <c r="J48" s="23">
        <f>0.13*G47*10250.02</f>
        <v>14914.952906246648</v>
      </c>
      <c r="K48" s="19"/>
      <c r="M48" s="55"/>
      <c r="N48" s="56"/>
    </row>
    <row r="49" spans="1:14" ht="15" customHeight="1" x14ac:dyDescent="0.25">
      <c r="A49" s="16"/>
      <c r="B49" s="29"/>
      <c r="C49" s="17"/>
      <c r="D49" s="18"/>
      <c r="E49" s="19"/>
      <c r="F49" s="19"/>
      <c r="G49" s="21"/>
      <c r="H49" s="20"/>
      <c r="I49" s="21"/>
      <c r="J49" s="23"/>
      <c r="K49" s="19"/>
      <c r="M49" s="55"/>
      <c r="N49" s="56"/>
    </row>
    <row r="50" spans="1:14" ht="30" x14ac:dyDescent="0.25">
      <c r="A50" s="16">
        <v>5</v>
      </c>
      <c r="B50" s="39" t="s">
        <v>35</v>
      </c>
      <c r="C50" s="7"/>
      <c r="D50" s="6"/>
      <c r="E50" s="6"/>
      <c r="F50" s="6"/>
      <c r="G50" s="23"/>
      <c r="H50" s="28"/>
      <c r="I50" s="23"/>
      <c r="J50" s="23"/>
      <c r="K50" s="19"/>
      <c r="M50" s="55"/>
      <c r="N50" s="56"/>
    </row>
    <row r="51" spans="1:14" ht="15" customHeight="1" x14ac:dyDescent="0.25">
      <c r="A51" s="16"/>
      <c r="B51" s="41" t="s">
        <v>29</v>
      </c>
      <c r="C51" s="17"/>
      <c r="D51" s="18"/>
      <c r="E51" s="19"/>
      <c r="F51" s="19"/>
      <c r="G51" s="21"/>
      <c r="H51" s="20"/>
      <c r="I51" s="21"/>
      <c r="J51" s="23"/>
      <c r="K51" s="19"/>
      <c r="M51" s="55"/>
      <c r="N51" s="56"/>
    </row>
    <row r="52" spans="1:14" ht="15" customHeight="1" x14ac:dyDescent="0.25">
      <c r="A52" s="16"/>
      <c r="B52" s="29" t="s">
        <v>30</v>
      </c>
      <c r="C52" s="17">
        <f>C27</f>
        <v>1</v>
      </c>
      <c r="D52" s="6">
        <f>D27*4</f>
        <v>9.7626943005181346</v>
      </c>
      <c r="E52" s="6"/>
      <c r="F52" s="6">
        <f>F27</f>
        <v>0.45</v>
      </c>
      <c r="G52" s="27">
        <f>PRODUCT(C52:F52)</f>
        <v>4.3932124352331607</v>
      </c>
      <c r="H52" s="20"/>
      <c r="I52" s="21"/>
      <c r="J52" s="23"/>
      <c r="K52" s="19"/>
      <c r="M52" s="55"/>
      <c r="N52" s="56"/>
    </row>
    <row r="53" spans="1:14" ht="15" customHeight="1" x14ac:dyDescent="0.25">
      <c r="A53" s="16"/>
      <c r="B53" s="29" t="s">
        <v>31</v>
      </c>
      <c r="C53" s="17">
        <f>C28</f>
        <v>4</v>
      </c>
      <c r="D53" s="6">
        <f>D28*4</f>
        <v>0.92</v>
      </c>
      <c r="E53" s="6"/>
      <c r="F53" s="65">
        <f>F28-(2.25/3.281)</f>
        <v>3.8098140810728429</v>
      </c>
      <c r="G53" s="27">
        <f t="shared" ref="G53:G68" si="2">PRODUCT(C53:F53)</f>
        <v>14.020115818348062</v>
      </c>
      <c r="H53" s="20"/>
      <c r="I53" s="21"/>
      <c r="J53" s="23"/>
      <c r="K53" s="19"/>
      <c r="M53" s="55"/>
      <c r="N53" s="56"/>
    </row>
    <row r="54" spans="1:14" ht="30" x14ac:dyDescent="0.25">
      <c r="A54" s="16"/>
      <c r="B54" s="29" t="s">
        <v>89</v>
      </c>
      <c r="C54" s="17">
        <f>C29+C30+C31</f>
        <v>12</v>
      </c>
      <c r="D54" s="6">
        <f>D29</f>
        <v>1.9817073170731709</v>
      </c>
      <c r="E54" s="6"/>
      <c r="F54" s="65">
        <f>F29*2</f>
        <v>0.46</v>
      </c>
      <c r="G54" s="27">
        <f t="shared" si="2"/>
        <v>10.939024390243903</v>
      </c>
      <c r="H54" s="20"/>
      <c r="I54" s="21"/>
      <c r="J54" s="23"/>
      <c r="K54" s="19"/>
      <c r="M54" s="55"/>
      <c r="N54" s="56"/>
    </row>
    <row r="55" spans="1:14" ht="15" customHeight="1" x14ac:dyDescent="0.25">
      <c r="A55" s="16"/>
      <c r="B55" s="29" t="str">
        <f t="shared" ref="B55:C57" si="3">B34</f>
        <v>-Column</v>
      </c>
      <c r="C55" s="17">
        <f t="shared" si="3"/>
        <v>4</v>
      </c>
      <c r="D55" s="6">
        <f>D34*4</f>
        <v>0.92</v>
      </c>
      <c r="E55" s="6"/>
      <c r="F55" s="65">
        <f>F34</f>
        <v>2.7177689728741234</v>
      </c>
      <c r="G55" s="27">
        <f t="shared" si="2"/>
        <v>10.001389820176774</v>
      </c>
      <c r="H55" s="20"/>
      <c r="I55" s="21"/>
      <c r="J55" s="23"/>
      <c r="K55" s="19"/>
      <c r="M55" s="55"/>
      <c r="N55" s="56"/>
    </row>
    <row r="56" spans="1:14" ht="15" customHeight="1" x14ac:dyDescent="0.25">
      <c r="A56" s="16"/>
      <c r="B56" s="29" t="str">
        <f t="shared" si="3"/>
        <v>-Beam</v>
      </c>
      <c r="C56" s="17">
        <f t="shared" si="3"/>
        <v>4</v>
      </c>
      <c r="D56" s="6">
        <f>D35</f>
        <v>1.9811033221578787</v>
      </c>
      <c r="E56" s="6"/>
      <c r="F56" s="65">
        <f>F35*2</f>
        <v>0.46</v>
      </c>
      <c r="G56" s="27">
        <f t="shared" si="2"/>
        <v>3.6452301127704967</v>
      </c>
      <c r="H56" s="20"/>
      <c r="I56" s="21"/>
      <c r="J56" s="23"/>
      <c r="K56" s="19"/>
      <c r="M56" s="55"/>
      <c r="N56" s="56"/>
    </row>
    <row r="57" spans="1:14" ht="15" customHeight="1" x14ac:dyDescent="0.25">
      <c r="A57" s="16"/>
      <c r="B57" s="29" t="str">
        <f t="shared" si="3"/>
        <v>-Secondary beam</v>
      </c>
      <c r="C57" s="17">
        <f t="shared" si="3"/>
        <v>2</v>
      </c>
      <c r="D57" s="6">
        <f>D36</f>
        <v>1.9811033221578787</v>
      </c>
      <c r="E57" s="6"/>
      <c r="F57" s="65">
        <f>F36*2</f>
        <v>0.46</v>
      </c>
      <c r="G57" s="27">
        <f t="shared" si="2"/>
        <v>1.8226150563852483</v>
      </c>
      <c r="H57" s="20"/>
      <c r="I57" s="21"/>
      <c r="J57" s="23"/>
      <c r="K57" s="19"/>
      <c r="M57" s="55"/>
      <c r="N57" s="56"/>
    </row>
    <row r="58" spans="1:14" ht="15" customHeight="1" x14ac:dyDescent="0.25">
      <c r="A58" s="16"/>
      <c r="B58" s="29"/>
      <c r="C58" s="17">
        <f>C37</f>
        <v>2</v>
      </c>
      <c r="D58" s="6">
        <f>D37</f>
        <v>1.5239256324291375</v>
      </c>
      <c r="E58" s="6"/>
      <c r="F58" s="65">
        <f>F37*2</f>
        <v>0.46</v>
      </c>
      <c r="G58" s="27">
        <f t="shared" si="2"/>
        <v>1.4020115818348065</v>
      </c>
      <c r="H58" s="20"/>
      <c r="I58" s="21"/>
      <c r="J58" s="23"/>
      <c r="K58" s="19"/>
      <c r="M58" s="55"/>
      <c r="N58" s="56"/>
    </row>
    <row r="59" spans="1:14" ht="15" customHeight="1" x14ac:dyDescent="0.25">
      <c r="A59" s="16"/>
      <c r="B59" s="29" t="str">
        <f>B38</f>
        <v>-1st floor slab</v>
      </c>
      <c r="C59" s="17">
        <f>C38</f>
        <v>1</v>
      </c>
      <c r="D59" s="6">
        <f>D38</f>
        <v>3.7589149649497102</v>
      </c>
      <c r="E59" s="6">
        <f>E38</f>
        <v>3.7589149649497102</v>
      </c>
      <c r="F59" s="65"/>
      <c r="G59" s="27">
        <f t="shared" si="2"/>
        <v>14.129441713722882</v>
      </c>
      <c r="H59" s="20"/>
      <c r="I59" s="21"/>
      <c r="J59" s="23"/>
      <c r="K59" s="19"/>
      <c r="M59" s="55"/>
      <c r="N59" s="56"/>
    </row>
    <row r="60" spans="1:14" ht="15" customHeight="1" x14ac:dyDescent="0.25">
      <c r="A60" s="16"/>
      <c r="B60" s="29" t="s">
        <v>91</v>
      </c>
      <c r="C60" s="17">
        <f>-C55</f>
        <v>-4</v>
      </c>
      <c r="D60" s="6">
        <f>D34</f>
        <v>0.23</v>
      </c>
      <c r="E60" s="6">
        <f>E34</f>
        <v>0.23</v>
      </c>
      <c r="F60" s="65"/>
      <c r="G60" s="27">
        <f t="shared" si="2"/>
        <v>-0.21160000000000001</v>
      </c>
      <c r="H60" s="20"/>
      <c r="I60" s="21"/>
      <c r="J60" s="23"/>
      <c r="K60" s="19"/>
      <c r="M60" s="55"/>
      <c r="N60" s="56"/>
    </row>
    <row r="61" spans="1:14" ht="15" customHeight="1" x14ac:dyDescent="0.25">
      <c r="A61" s="16"/>
      <c r="B61" s="29" t="str">
        <f>B39</f>
        <v>-Deduction for opening</v>
      </c>
      <c r="C61" s="17">
        <f>C39</f>
        <v>-1</v>
      </c>
      <c r="D61" s="6">
        <f>D39</f>
        <v>0.6095702529716549</v>
      </c>
      <c r="E61" s="6">
        <f>E39</f>
        <v>0.6095702529716549</v>
      </c>
      <c r="F61" s="65"/>
      <c r="G61" s="27">
        <f t="shared" si="2"/>
        <v>-0.37157589330792734</v>
      </c>
      <c r="H61" s="20"/>
      <c r="I61" s="21"/>
      <c r="J61" s="23"/>
      <c r="K61" s="19"/>
      <c r="M61" s="55"/>
      <c r="N61" s="56"/>
    </row>
    <row r="62" spans="1:14" ht="15" customHeight="1" x14ac:dyDescent="0.25">
      <c r="A62" s="16"/>
      <c r="B62" s="29" t="str">
        <f>B40</f>
        <v>-1st floor Inclined Surface</v>
      </c>
      <c r="C62" s="17">
        <f>C40</f>
        <v>4</v>
      </c>
      <c r="D62" s="6">
        <f>4.42/3.281</f>
        <v>1.3471502590673574</v>
      </c>
      <c r="E62" s="6">
        <f>E40</f>
        <v>2.4260896068271869</v>
      </c>
      <c r="F62" s="65"/>
      <c r="G62" s="27">
        <f t="shared" si="2"/>
        <v>13.073228969431472</v>
      </c>
      <c r="H62" s="20"/>
      <c r="I62" s="21"/>
      <c r="J62" s="23"/>
      <c r="K62" s="19"/>
      <c r="M62" s="55"/>
      <c r="N62" s="56"/>
    </row>
    <row r="63" spans="1:14" ht="15" customHeight="1" x14ac:dyDescent="0.25">
      <c r="A63" s="16"/>
      <c r="B63" s="29" t="str">
        <f>B41</f>
        <v>-1st floor column</v>
      </c>
      <c r="C63" s="17">
        <f>C41</f>
        <v>4</v>
      </c>
      <c r="D63" s="6">
        <f>D41*4</f>
        <v>0.92</v>
      </c>
      <c r="E63" s="6"/>
      <c r="F63" s="65">
        <f>F41</f>
        <v>1.3715330691862238</v>
      </c>
      <c r="G63" s="27">
        <f t="shared" si="2"/>
        <v>5.0472416946053036</v>
      </c>
      <c r="H63" s="20"/>
      <c r="I63" s="21"/>
      <c r="J63" s="23"/>
      <c r="K63" s="19"/>
      <c r="M63" s="55"/>
      <c r="N63" s="56"/>
    </row>
    <row r="64" spans="1:14" ht="15" customHeight="1" x14ac:dyDescent="0.25">
      <c r="A64" s="16"/>
      <c r="B64" s="29" t="str">
        <f>B43</f>
        <v>-2nd floor beam</v>
      </c>
      <c r="C64" s="17">
        <f>C43</f>
        <v>4</v>
      </c>
      <c r="D64" s="6">
        <f>D43</f>
        <v>0.6</v>
      </c>
      <c r="E64" s="6"/>
      <c r="F64" s="65">
        <f>F43*2</f>
        <v>0.46</v>
      </c>
      <c r="G64" s="27">
        <f t="shared" si="2"/>
        <v>1.1040000000000001</v>
      </c>
      <c r="H64" s="20"/>
      <c r="I64" s="21"/>
      <c r="J64" s="23"/>
      <c r="K64" s="19"/>
      <c r="M64" s="55"/>
      <c r="N64" s="56"/>
    </row>
    <row r="65" spans="1:16" ht="30" x14ac:dyDescent="0.25">
      <c r="A65" s="16"/>
      <c r="B65" s="29" t="s">
        <v>98</v>
      </c>
      <c r="C65" s="17">
        <f>-C63</f>
        <v>-4</v>
      </c>
      <c r="D65" s="6">
        <f>D63</f>
        <v>0.92</v>
      </c>
      <c r="E65" s="6"/>
      <c r="F65" s="65">
        <v>0.23</v>
      </c>
      <c r="G65" s="27">
        <f t="shared" si="2"/>
        <v>-0.84640000000000004</v>
      </c>
      <c r="H65" s="20"/>
      <c r="I65" s="21"/>
      <c r="J65" s="23"/>
      <c r="K65" s="19"/>
      <c r="M65" s="55"/>
      <c r="N65" s="56"/>
    </row>
    <row r="66" spans="1:16" ht="15" customHeight="1" x14ac:dyDescent="0.25">
      <c r="A66" s="16"/>
      <c r="B66" s="29" t="str">
        <f t="shared" ref="B66:E67" si="4">B44</f>
        <v>-2nd floor slab</v>
      </c>
      <c r="C66" s="17">
        <f t="shared" si="4"/>
        <v>1</v>
      </c>
      <c r="D66" s="6">
        <f t="shared" si="4"/>
        <v>2.412983846388296</v>
      </c>
      <c r="E66" s="6">
        <f t="shared" si="4"/>
        <v>2.412983846388296</v>
      </c>
      <c r="F66" s="65"/>
      <c r="G66" s="27">
        <f t="shared" si="2"/>
        <v>5.8224910429308556</v>
      </c>
      <c r="H66" s="20"/>
      <c r="I66" s="21"/>
      <c r="J66" s="23"/>
      <c r="K66" s="19"/>
      <c r="M66" s="55"/>
      <c r="N66" s="56"/>
    </row>
    <row r="67" spans="1:16" ht="15" customHeight="1" x14ac:dyDescent="0.25">
      <c r="A67" s="16"/>
      <c r="B67" s="29" t="str">
        <f t="shared" si="4"/>
        <v>-Deduction for opening</v>
      </c>
      <c r="C67" s="17">
        <f t="shared" si="4"/>
        <v>-1</v>
      </c>
      <c r="D67" s="6">
        <f t="shared" si="4"/>
        <v>0.23</v>
      </c>
      <c r="E67" s="6">
        <f t="shared" si="4"/>
        <v>0.23</v>
      </c>
      <c r="F67" s="65"/>
      <c r="G67" s="27">
        <f t="shared" si="2"/>
        <v>-5.2900000000000003E-2</v>
      </c>
      <c r="H67" s="20"/>
      <c r="I67" s="21"/>
      <c r="J67" s="23"/>
      <c r="K67" s="19"/>
      <c r="M67" s="55"/>
      <c r="N67" s="56"/>
    </row>
    <row r="68" spans="1:16" ht="15" customHeight="1" x14ac:dyDescent="0.25">
      <c r="A68" s="16"/>
      <c r="B68" s="29" t="str">
        <f>B46</f>
        <v>-2nd floor inclined roof slab</v>
      </c>
      <c r="C68" s="17">
        <f>C46</f>
        <v>4</v>
      </c>
      <c r="D68" s="6">
        <f>3.5/3.281</f>
        <v>1.0667479427003961</v>
      </c>
      <c r="E68" s="6">
        <f>E46</f>
        <v>1.2</v>
      </c>
      <c r="F68" s="65"/>
      <c r="G68" s="27">
        <f t="shared" si="2"/>
        <v>5.1203901249619008</v>
      </c>
      <c r="H68" s="20"/>
      <c r="I68" s="21"/>
      <c r="J68" s="23"/>
      <c r="K68" s="19"/>
      <c r="M68" s="55"/>
      <c r="N68" s="56"/>
    </row>
    <row r="69" spans="1:16" ht="15" customHeight="1" x14ac:dyDescent="0.25">
      <c r="A69" s="28"/>
      <c r="B69" s="29" t="s">
        <v>20</v>
      </c>
      <c r="C69" s="25"/>
      <c r="D69" s="6"/>
      <c r="E69" s="6"/>
      <c r="F69" s="6"/>
      <c r="G69" s="23">
        <f>SUM(G52:G68)</f>
        <v>89.037916867336946</v>
      </c>
      <c r="H69" s="23" t="s">
        <v>26</v>
      </c>
      <c r="I69" s="26">
        <v>905.97</v>
      </c>
      <c r="J69" s="24">
        <f>G69*I69</f>
        <v>80665.68154430126</v>
      </c>
      <c r="K69" s="7"/>
    </row>
    <row r="70" spans="1:16" ht="15" customHeight="1" x14ac:dyDescent="0.25">
      <c r="A70" s="16"/>
      <c r="B70" s="29" t="s">
        <v>22</v>
      </c>
      <c r="C70" s="17"/>
      <c r="D70" s="18"/>
      <c r="E70" s="19"/>
      <c r="F70" s="19"/>
      <c r="G70" s="21"/>
      <c r="H70" s="20"/>
      <c r="I70" s="21"/>
      <c r="J70" s="23">
        <f>0.13*G69*46827.87/100</f>
        <v>5420.2927949748</v>
      </c>
      <c r="K70" s="19"/>
      <c r="M70" s="55"/>
      <c r="N70" s="56"/>
    </row>
    <row r="71" spans="1:16" ht="15" customHeight="1" x14ac:dyDescent="0.25">
      <c r="A71" s="16"/>
      <c r="B71" s="29"/>
      <c r="C71" s="17"/>
      <c r="D71" s="18"/>
      <c r="E71" s="19"/>
      <c r="F71" s="19"/>
      <c r="G71" s="21"/>
      <c r="H71" s="20"/>
      <c r="I71" s="21"/>
      <c r="J71" s="23"/>
      <c r="K71" s="19"/>
      <c r="M71" s="55"/>
      <c r="N71" s="56">
        <f>48*4</f>
        <v>192</v>
      </c>
      <c r="O71">
        <f>N72+N73+O73</f>
        <v>47.937267267267266</v>
      </c>
      <c r="P71">
        <f>O71*4</f>
        <v>191.74906906906907</v>
      </c>
    </row>
    <row r="72" spans="1:16" ht="45" x14ac:dyDescent="0.25">
      <c r="A72" s="16">
        <v>6</v>
      </c>
      <c r="B72" s="39" t="s">
        <v>36</v>
      </c>
      <c r="C72" s="7" t="s">
        <v>7</v>
      </c>
      <c r="D72" s="42" t="s">
        <v>37</v>
      </c>
      <c r="E72" s="42" t="s">
        <v>38</v>
      </c>
      <c r="F72" s="42" t="s">
        <v>39</v>
      </c>
      <c r="G72" s="42" t="s">
        <v>40</v>
      </c>
      <c r="H72" s="28"/>
      <c r="I72" s="23"/>
      <c r="J72" s="23"/>
      <c r="K72" s="19"/>
      <c r="M72" s="55">
        <f>16-0.75*3</f>
        <v>13.75</v>
      </c>
      <c r="N72" s="56">
        <f>M72/0.5</f>
        <v>27.5</v>
      </c>
    </row>
    <row r="73" spans="1:16" ht="15" customHeight="1" x14ac:dyDescent="0.25">
      <c r="A73" s="16"/>
      <c r="B73" s="29" t="str">
        <f>B51</f>
        <v>-For footing</v>
      </c>
      <c r="C73" s="17">
        <f>2*(TRUNC(((D73-0.1)/0.15),0)+1)</f>
        <v>32</v>
      </c>
      <c r="D73" s="18">
        <f>D27</f>
        <v>2.4406735751295336</v>
      </c>
      <c r="E73" s="19">
        <f>12*12/162</f>
        <v>0.88888888888888884</v>
      </c>
      <c r="F73" s="65">
        <f>PRODUCT(C73:E73)</f>
        <v>69.423603914795621</v>
      </c>
      <c r="G73" s="27">
        <f>F73/1000</f>
        <v>6.9423603914795615E-2</v>
      </c>
      <c r="H73" s="20"/>
      <c r="I73" s="21"/>
      <c r="J73" s="23"/>
      <c r="K73" s="19"/>
      <c r="M73" s="55">
        <f>8.17/2</f>
        <v>4.085</v>
      </c>
      <c r="N73" s="56">
        <f>M73/0.333</f>
        <v>12.267267267267266</v>
      </c>
      <c r="O73">
        <f>M73/0.5</f>
        <v>8.17</v>
      </c>
    </row>
    <row r="74" spans="1:16" ht="30" x14ac:dyDescent="0.25">
      <c r="A74" s="16"/>
      <c r="B74" s="29" t="str">
        <f>B54</f>
        <v>-Lower, mid &amp; upper plinth tie beam</v>
      </c>
      <c r="C74" s="17">
        <f>3*4*4</f>
        <v>48</v>
      </c>
      <c r="D74" s="6">
        <f>D73-0.1+((0.5*2)/3.281)</f>
        <v>2.645458701615361</v>
      </c>
      <c r="E74" s="6">
        <f>12*12/162</f>
        <v>0.88888888888888884</v>
      </c>
      <c r="F74" s="65">
        <f t="shared" ref="F74:F99" si="5">PRODUCT(C74:E74)</f>
        <v>112.8729046022554</v>
      </c>
      <c r="G74" s="27">
        <f t="shared" ref="G74:G99" si="6">F74/1000</f>
        <v>0.11287290460225541</v>
      </c>
      <c r="H74" s="20"/>
      <c r="I74" s="21"/>
      <c r="J74" s="23"/>
      <c r="K74" s="19"/>
      <c r="M74" s="55"/>
      <c r="N74" s="56"/>
    </row>
    <row r="75" spans="1:16" ht="15" customHeight="1" x14ac:dyDescent="0.25">
      <c r="A75" s="16"/>
      <c r="B75" s="29" t="s">
        <v>43</v>
      </c>
      <c r="C75" s="17">
        <f>3*4*(TRUNC(((D54/2))/0.1,0)+TRUNC(((D54/2))/0.15,0))</f>
        <v>180</v>
      </c>
      <c r="D75" s="6">
        <f>(0.583*4+0.17+0.17)/3.281</f>
        <v>0.81438585797013097</v>
      </c>
      <c r="E75" s="6">
        <f>8*8/162</f>
        <v>0.39506172839506171</v>
      </c>
      <c r="F75" s="65">
        <f t="shared" si="5"/>
        <v>57.911883233431531</v>
      </c>
      <c r="G75" s="27">
        <f t="shared" si="6"/>
        <v>5.7911883233431528E-2</v>
      </c>
      <c r="H75" s="20"/>
      <c r="I75" s="21"/>
      <c r="J75" s="23"/>
      <c r="K75" s="19"/>
      <c r="M75" s="55"/>
      <c r="N75" s="56"/>
    </row>
    <row r="76" spans="1:16" x14ac:dyDescent="0.25">
      <c r="A76" s="16"/>
      <c r="B76" s="29" t="str">
        <f>B32</f>
        <v>-For flooring</v>
      </c>
      <c r="C76" s="17">
        <f>2*TRUNC(7/0.5,0)</f>
        <v>28</v>
      </c>
      <c r="D76" s="6">
        <f>8.5/3.281</f>
        <v>2.5906735751295336</v>
      </c>
      <c r="E76" s="6">
        <f>8*8/162</f>
        <v>0.39506172839506171</v>
      </c>
      <c r="F76" s="65">
        <f t="shared" si="5"/>
        <v>28.657327448346447</v>
      </c>
      <c r="G76" s="27">
        <f t="shared" si="6"/>
        <v>2.8657327448346447E-2</v>
      </c>
      <c r="H76" s="20"/>
      <c r="I76" s="21"/>
      <c r="J76" s="23"/>
      <c r="K76" s="19"/>
      <c r="M76" s="55"/>
      <c r="N76" s="56"/>
    </row>
    <row r="77" spans="1:16" ht="15" customHeight="1" x14ac:dyDescent="0.25">
      <c r="A77" s="16"/>
      <c r="B77" s="29" t="s">
        <v>32</v>
      </c>
      <c r="C77" s="17">
        <f>C53*8</f>
        <v>32</v>
      </c>
      <c r="D77" s="6">
        <f>(23.667+2.25+2.25)/3.281</f>
        <v>8.5848826577263022</v>
      </c>
      <c r="E77" s="6">
        <f>12*12/162</f>
        <v>0.88888888888888884</v>
      </c>
      <c r="F77" s="65">
        <f t="shared" si="5"/>
        <v>244.19221781977035</v>
      </c>
      <c r="G77" s="27">
        <f t="shared" si="6"/>
        <v>0.24419221781977035</v>
      </c>
      <c r="H77" s="20"/>
      <c r="I77" s="21"/>
      <c r="J77" s="23"/>
      <c r="K77" s="19"/>
      <c r="M77" s="55">
        <f>12*57</f>
        <v>684</v>
      </c>
      <c r="N77" s="56">
        <f>M77/1000</f>
        <v>0.68400000000000005</v>
      </c>
      <c r="O77">
        <f>N77*3.281</f>
        <v>2.2442040000000003</v>
      </c>
    </row>
    <row r="78" spans="1:16" ht="15" customHeight="1" x14ac:dyDescent="0.25">
      <c r="A78" s="16"/>
      <c r="B78" s="29" t="s">
        <v>43</v>
      </c>
      <c r="C78" s="17">
        <f>4*(TRUNC(((16-0.75*3)/3.281)/0.15,0)+1+(TRUNC(((((8.17-0.333)/2)/3.281)/0.1),0)+1+TRUNC(((((8.17-0.333)/2)/3.281)/0.15),0)))</f>
        <v>188</v>
      </c>
      <c r="D78" s="6">
        <f>(0.75*4+0.17+0.17)/3.281</f>
        <v>1.0179823224626636</v>
      </c>
      <c r="E78" s="6">
        <f>8*8/162</f>
        <v>0.39506172839506171</v>
      </c>
      <c r="F78" s="65">
        <f t="shared" si="5"/>
        <v>75.607180888091165</v>
      </c>
      <c r="G78" s="27">
        <f t="shared" si="6"/>
        <v>7.5607180888091166E-2</v>
      </c>
      <c r="H78" s="20"/>
      <c r="I78" s="21"/>
      <c r="J78" s="23"/>
      <c r="K78" s="19"/>
      <c r="M78" s="55"/>
      <c r="N78" s="56"/>
    </row>
    <row r="79" spans="1:16" ht="15" customHeight="1" x14ac:dyDescent="0.25">
      <c r="A79" s="16"/>
      <c r="B79" s="29"/>
      <c r="C79" s="17">
        <f>4*(TRUNC(((16-0.75*3)/3.281)/0.15,0)+1+(TRUNC(((((8.17-0.333)/2)/3.281)/0.1),0)+1+TRUNC(((((8.17-0.333)/2)/3.281)/0.15),0)))</f>
        <v>188</v>
      </c>
      <c r="D79" s="6">
        <f>(0.583*4+0.17+0.17)/3.281</f>
        <v>0.81438585797013097</v>
      </c>
      <c r="E79" s="6">
        <f>8*8/162</f>
        <v>0.39506172839506171</v>
      </c>
      <c r="F79" s="65">
        <f t="shared" si="5"/>
        <v>60.485744710472929</v>
      </c>
      <c r="G79" s="27">
        <f t="shared" si="6"/>
        <v>6.0485744710472931E-2</v>
      </c>
      <c r="H79" s="20"/>
      <c r="I79" s="21"/>
      <c r="J79" s="23"/>
      <c r="K79" s="19"/>
      <c r="M79" s="55"/>
      <c r="N79" s="56"/>
    </row>
    <row r="80" spans="1:16" ht="15" customHeight="1" x14ac:dyDescent="0.25">
      <c r="A80" s="16"/>
      <c r="B80" s="29" t="s">
        <v>33</v>
      </c>
      <c r="C80" s="17">
        <f>4*5</f>
        <v>20</v>
      </c>
      <c r="D80" s="6">
        <f>D74</f>
        <v>2.645458701615361</v>
      </c>
      <c r="E80" s="6">
        <f t="shared" ref="E80:E81" si="7">12*12/162</f>
        <v>0.88888888888888884</v>
      </c>
      <c r="F80" s="65">
        <f t="shared" si="5"/>
        <v>47.030376917606418</v>
      </c>
      <c r="G80" s="27">
        <f t="shared" si="6"/>
        <v>4.703037691760642E-2</v>
      </c>
      <c r="H80" s="20"/>
      <c r="I80" s="21"/>
      <c r="J80" s="23"/>
      <c r="K80" s="19"/>
      <c r="M80" s="55">
        <f>6.5*12</f>
        <v>78</v>
      </c>
      <c r="N80" s="56">
        <f>3*M80/8</f>
        <v>29.25</v>
      </c>
      <c r="O80">
        <f>N80/12</f>
        <v>2.4375</v>
      </c>
    </row>
    <row r="81" spans="1:14" ht="15" customHeight="1" x14ac:dyDescent="0.25">
      <c r="A81" s="16"/>
      <c r="B81" s="29" t="s">
        <v>42</v>
      </c>
      <c r="C81" s="17">
        <f>8</f>
        <v>8</v>
      </c>
      <c r="D81" s="6">
        <f>2.42/3.281</f>
        <v>0.73758000609570251</v>
      </c>
      <c r="E81" s="6">
        <f t="shared" si="7"/>
        <v>0.88888888888888884</v>
      </c>
      <c r="F81" s="65">
        <f t="shared" si="5"/>
        <v>5.2450133766805509</v>
      </c>
      <c r="G81" s="27">
        <f t="shared" si="6"/>
        <v>5.2450133766805511E-3</v>
      </c>
      <c r="H81" s="20"/>
      <c r="I81" s="21"/>
      <c r="J81" s="23"/>
      <c r="K81" s="19"/>
      <c r="M81" s="55"/>
      <c r="N81" s="56"/>
    </row>
    <row r="82" spans="1:14" ht="15" customHeight="1" x14ac:dyDescent="0.25">
      <c r="A82" s="16"/>
      <c r="B82" s="29" t="s">
        <v>43</v>
      </c>
      <c r="C82" s="17">
        <f>C75</f>
        <v>180</v>
      </c>
      <c r="D82" s="6">
        <f>(0.667*4+0.17+0.17)/3.281</f>
        <v>0.91679366046936905</v>
      </c>
      <c r="E82" s="6">
        <f>8*8/162</f>
        <v>0.39506172839506171</v>
      </c>
      <c r="F82" s="65">
        <f t="shared" si="5"/>
        <v>65.194215855599566</v>
      </c>
      <c r="G82" s="27">
        <f t="shared" si="6"/>
        <v>6.5194215855599563E-2</v>
      </c>
      <c r="H82" s="20"/>
      <c r="I82" s="21"/>
      <c r="J82" s="23"/>
      <c r="K82" s="19"/>
      <c r="M82" s="55"/>
      <c r="N82" s="56">
        <f>(12-0.75*4)/3.281</f>
        <v>2.7430661383724475</v>
      </c>
    </row>
    <row r="83" spans="1:14" ht="15" customHeight="1" x14ac:dyDescent="0.25">
      <c r="A83" s="16"/>
      <c r="B83" s="29" t="str">
        <f>B57</f>
        <v>-Secondary beam</v>
      </c>
      <c r="C83" s="17">
        <f>4*5</f>
        <v>20</v>
      </c>
      <c r="D83" s="6">
        <f>D74</f>
        <v>2.645458701615361</v>
      </c>
      <c r="E83" s="6">
        <f>12*12/162</f>
        <v>0.88888888888888884</v>
      </c>
      <c r="F83" s="65">
        <f t="shared" si="5"/>
        <v>47.030376917606418</v>
      </c>
      <c r="G83" s="27">
        <f t="shared" si="6"/>
        <v>4.703037691760642E-2</v>
      </c>
      <c r="H83" s="20"/>
      <c r="I83" s="21"/>
      <c r="J83" s="23"/>
      <c r="K83" s="19"/>
      <c r="M83" s="55"/>
      <c r="N83" s="56"/>
    </row>
    <row r="84" spans="1:14" ht="15" customHeight="1" x14ac:dyDescent="0.25">
      <c r="A84" s="16"/>
      <c r="B84" s="29" t="s">
        <v>43</v>
      </c>
      <c r="C84" s="17">
        <f>4*TRUNC((4/0.333),0)</f>
        <v>48</v>
      </c>
      <c r="D84" s="6">
        <f>(0.667*4+0.17+0.17)/3.281</f>
        <v>0.91679366046936905</v>
      </c>
      <c r="E84" s="6">
        <f>8*8/162</f>
        <v>0.39506172839506171</v>
      </c>
      <c r="F84" s="65">
        <f t="shared" si="5"/>
        <v>17.385124228159885</v>
      </c>
      <c r="G84" s="27">
        <f t="shared" si="6"/>
        <v>1.7385124228159885E-2</v>
      </c>
      <c r="H84" s="20"/>
      <c r="I84" s="21"/>
      <c r="J84" s="23"/>
      <c r="K84" s="19"/>
      <c r="M84" s="55"/>
      <c r="N84" s="56"/>
    </row>
    <row r="85" spans="1:14" ht="15" customHeight="1" x14ac:dyDescent="0.25">
      <c r="A85" s="16"/>
      <c r="B85" s="29" t="s">
        <v>92</v>
      </c>
      <c r="C85" s="17">
        <f>4*(TRUNC((12-0.75*4)/0.15,0))</f>
        <v>240</v>
      </c>
      <c r="D85" s="6">
        <f>(12)/3.281</f>
        <v>3.6574215178299299</v>
      </c>
      <c r="E85" s="6">
        <f>8*8/162</f>
        <v>0.39506172839506171</v>
      </c>
      <c r="F85" s="65">
        <f t="shared" si="5"/>
        <v>346.7777439127637</v>
      </c>
      <c r="G85" s="27">
        <f t="shared" si="6"/>
        <v>0.34677774391276367</v>
      </c>
      <c r="H85" s="20"/>
      <c r="I85" s="21"/>
      <c r="J85" s="23"/>
      <c r="K85" s="19"/>
      <c r="M85" s="55"/>
      <c r="N85" s="56"/>
    </row>
    <row r="86" spans="1:14" ht="15" customHeight="1" x14ac:dyDescent="0.25">
      <c r="A86" s="16"/>
      <c r="B86" s="29" t="str">
        <f>B61</f>
        <v>-Deduction for opening</v>
      </c>
      <c r="C86" s="17">
        <f>-4*(TRUNC(D86/0.15,0)+1)</f>
        <v>-20</v>
      </c>
      <c r="D86" s="6">
        <f>D61</f>
        <v>0.6095702529716549</v>
      </c>
      <c r="E86" s="6">
        <f>8*8/162</f>
        <v>0.39506172839506171</v>
      </c>
      <c r="F86" s="65">
        <f t="shared" si="5"/>
        <v>-4.8163575543439396</v>
      </c>
      <c r="G86" s="66">
        <f t="shared" si="6"/>
        <v>-4.81635755434394E-3</v>
      </c>
      <c r="H86" s="20"/>
      <c r="I86" s="21"/>
      <c r="J86" s="23"/>
      <c r="K86" s="19"/>
      <c r="M86" s="55"/>
      <c r="N86" s="56"/>
    </row>
    <row r="87" spans="1:14" ht="15" customHeight="1" x14ac:dyDescent="0.25">
      <c r="A87" s="16"/>
      <c r="B87" s="29" t="str">
        <f>B62</f>
        <v>-1st floor Inclined Surface</v>
      </c>
      <c r="C87" s="17"/>
      <c r="D87" s="6"/>
      <c r="E87" s="6"/>
      <c r="F87" s="65"/>
      <c r="G87" s="27"/>
      <c r="H87" s="20"/>
      <c r="I87" s="21"/>
      <c r="J87" s="23"/>
      <c r="K87" s="19"/>
      <c r="M87" s="55"/>
      <c r="N87" s="56"/>
    </row>
    <row r="88" spans="1:14" ht="15" customHeight="1" x14ac:dyDescent="0.25">
      <c r="A88" s="16"/>
      <c r="B88" s="29" t="s">
        <v>93</v>
      </c>
      <c r="C88" s="17">
        <f>4*TRUNC(D62/0.15,0)</f>
        <v>32</v>
      </c>
      <c r="D88" s="6">
        <f>E62</f>
        <v>2.4260896068271869</v>
      </c>
      <c r="E88" s="6">
        <f>10*10/162</f>
        <v>0.61728395061728392</v>
      </c>
      <c r="F88" s="65">
        <f t="shared" si="5"/>
        <v>47.922757665722209</v>
      </c>
      <c r="G88" s="27">
        <f t="shared" si="6"/>
        <v>4.792275766572221E-2</v>
      </c>
      <c r="H88" s="20"/>
      <c r="I88" s="21"/>
      <c r="J88" s="23"/>
      <c r="K88" s="19"/>
      <c r="M88" s="55"/>
      <c r="N88" s="56"/>
    </row>
    <row r="89" spans="1:14" ht="15" customHeight="1" x14ac:dyDescent="0.25">
      <c r="A89" s="16"/>
      <c r="B89" s="29" t="s">
        <v>94</v>
      </c>
      <c r="C89" s="17">
        <f>4*TRUNC(E62/0.15,0)</f>
        <v>64</v>
      </c>
      <c r="D89" s="6">
        <f>D62</f>
        <v>1.3471502590673574</v>
      </c>
      <c r="E89" s="6">
        <f>10*10/162</f>
        <v>0.61728395061728392</v>
      </c>
      <c r="F89" s="65">
        <f t="shared" si="5"/>
        <v>53.220750975500536</v>
      </c>
      <c r="G89" s="27">
        <f t="shared" si="6"/>
        <v>5.3220750975500539E-2</v>
      </c>
      <c r="H89" s="20"/>
      <c r="I89" s="21"/>
      <c r="J89" s="23"/>
      <c r="K89" s="19"/>
      <c r="M89" s="55"/>
      <c r="N89" s="56"/>
    </row>
    <row r="90" spans="1:14" ht="15" customHeight="1" x14ac:dyDescent="0.25">
      <c r="A90" s="16"/>
      <c r="B90" s="29" t="str">
        <f>B63</f>
        <v>-1st floor column</v>
      </c>
      <c r="C90" s="17">
        <f>8*4</f>
        <v>32</v>
      </c>
      <c r="D90" s="6">
        <f>F63+1.5*2</f>
        <v>4.3715330691862242</v>
      </c>
      <c r="E90" s="6">
        <f>12*12/162</f>
        <v>0.88888888888888884</v>
      </c>
      <c r="F90" s="65">
        <f t="shared" si="5"/>
        <v>124.34582952351926</v>
      </c>
      <c r="G90" s="27">
        <f t="shared" si="6"/>
        <v>0.12434582952351926</v>
      </c>
      <c r="H90" s="20"/>
      <c r="I90" s="21"/>
      <c r="J90" s="23"/>
      <c r="K90" s="19"/>
      <c r="M90" s="55"/>
      <c r="N90" s="56"/>
    </row>
    <row r="91" spans="1:14" ht="15" customHeight="1" x14ac:dyDescent="0.25">
      <c r="A91" s="16"/>
      <c r="B91" s="29" t="s">
        <v>43</v>
      </c>
      <c r="C91" s="17">
        <f>4*TRUNC(4.07/0.333,0)</f>
        <v>48</v>
      </c>
      <c r="D91" s="6">
        <f>(0.75*4+0.17+0.17)/3.281</f>
        <v>1.0179823224626636</v>
      </c>
      <c r="E91" s="6">
        <f>8*8/162</f>
        <v>0.39506172839506171</v>
      </c>
      <c r="F91" s="65">
        <f t="shared" si="5"/>
        <v>19.303961077810509</v>
      </c>
      <c r="G91" s="27">
        <f t="shared" si="6"/>
        <v>1.9303961077810509E-2</v>
      </c>
      <c r="H91" s="20"/>
      <c r="I91" s="21"/>
      <c r="J91" s="23"/>
      <c r="K91" s="19"/>
      <c r="M91" s="55"/>
      <c r="N91" s="56"/>
    </row>
    <row r="92" spans="1:14" ht="15" customHeight="1" x14ac:dyDescent="0.25">
      <c r="A92" s="16"/>
      <c r="B92" s="29"/>
      <c r="C92" s="17">
        <f>4*TRUNC(4.07/0.333,0)</f>
        <v>48</v>
      </c>
      <c r="D92" s="6">
        <f>(0.583*4+0.17+0.17)/3.281</f>
        <v>0.81438585797013097</v>
      </c>
      <c r="E92" s="6">
        <f>8*8/162</f>
        <v>0.39506172839506171</v>
      </c>
      <c r="F92" s="65">
        <f t="shared" si="5"/>
        <v>15.443168862248408</v>
      </c>
      <c r="G92" s="27">
        <f t="shared" si="6"/>
        <v>1.5443168862248408E-2</v>
      </c>
      <c r="H92" s="20"/>
      <c r="I92" s="21"/>
      <c r="J92" s="23"/>
      <c r="K92" s="19"/>
      <c r="M92" s="55"/>
      <c r="N92" s="56"/>
    </row>
    <row r="93" spans="1:14" ht="15" customHeight="1" x14ac:dyDescent="0.25">
      <c r="A93" s="16"/>
      <c r="B93" s="29" t="str">
        <f>B64</f>
        <v>-2nd floor beam</v>
      </c>
      <c r="C93" s="17">
        <f>4*4</f>
        <v>16</v>
      </c>
      <c r="D93" s="6">
        <f>(3.17+0.583*2)/3.281</f>
        <v>1.3215483084425481</v>
      </c>
      <c r="E93" s="6">
        <f>12*12/162</f>
        <v>0.88888888888888884</v>
      </c>
      <c r="F93" s="65">
        <f t="shared" si="5"/>
        <v>18.795353720071795</v>
      </c>
      <c r="G93" s="27">
        <f t="shared" si="6"/>
        <v>1.8795353720071795E-2</v>
      </c>
      <c r="H93" s="20"/>
      <c r="I93" s="21"/>
      <c r="J93" s="23"/>
      <c r="K93" s="19"/>
      <c r="M93" s="55"/>
      <c r="N93" s="56"/>
    </row>
    <row r="94" spans="1:14" ht="15" customHeight="1" x14ac:dyDescent="0.25">
      <c r="A94" s="16"/>
      <c r="B94" s="29" t="s">
        <v>43</v>
      </c>
      <c r="C94" s="17">
        <f>4*TRUNC((1.667/0.333),0)</f>
        <v>20</v>
      </c>
      <c r="D94" s="6">
        <f>(0.667*4+0.17+0.17)/3.281</f>
        <v>0.91679366046936905</v>
      </c>
      <c r="E94" s="6">
        <f>8*8/162</f>
        <v>0.39506172839506171</v>
      </c>
      <c r="F94" s="65">
        <f t="shared" si="5"/>
        <v>7.2438017617332857</v>
      </c>
      <c r="G94" s="27">
        <f t="shared" si="6"/>
        <v>7.2438017617332861E-3</v>
      </c>
      <c r="H94" s="20"/>
      <c r="I94" s="21"/>
      <c r="J94" s="23"/>
      <c r="K94" s="19"/>
      <c r="M94" s="55"/>
      <c r="N94" s="56"/>
    </row>
    <row r="95" spans="1:14" ht="15" customHeight="1" x14ac:dyDescent="0.25">
      <c r="A95" s="16"/>
      <c r="B95" s="29" t="str">
        <f>B66</f>
        <v>-2nd floor slab</v>
      </c>
      <c r="C95" s="17">
        <f>2*(TRUNC((7.583-0.75*2)/0.15,0))</f>
        <v>80</v>
      </c>
      <c r="D95" s="6">
        <f>(7.583)/3.281</f>
        <v>2.3111856141420297</v>
      </c>
      <c r="E95" s="6">
        <f>10*10/162</f>
        <v>0.61728395061728392</v>
      </c>
      <c r="F95" s="65">
        <f t="shared" si="5"/>
        <v>114.13262292059406</v>
      </c>
      <c r="G95" s="27">
        <f t="shared" si="6"/>
        <v>0.11413262292059406</v>
      </c>
      <c r="H95" s="20"/>
      <c r="I95" s="21"/>
      <c r="J95" s="23"/>
      <c r="K95" s="19"/>
      <c r="M95" s="55"/>
      <c r="N95" s="56"/>
    </row>
    <row r="96" spans="1:14" ht="15" customHeight="1" x14ac:dyDescent="0.25">
      <c r="A96" s="16"/>
      <c r="B96" s="29" t="s">
        <v>83</v>
      </c>
      <c r="C96" s="17">
        <f>-2*(TRUNC(0.23/0.15,0)+1)</f>
        <v>-4</v>
      </c>
      <c r="D96" s="6">
        <v>0.23</v>
      </c>
      <c r="E96" s="6">
        <f>10*10/162</f>
        <v>0.61728395061728392</v>
      </c>
      <c r="F96" s="65">
        <f t="shared" si="5"/>
        <v>-0.5679012345679012</v>
      </c>
      <c r="G96" s="66">
        <f t="shared" si="6"/>
        <v>-5.6790123456790123E-4</v>
      </c>
      <c r="H96" s="20"/>
      <c r="I96" s="21"/>
      <c r="J96" s="23"/>
      <c r="K96" s="19"/>
      <c r="M96" s="55"/>
      <c r="N96" s="56"/>
    </row>
    <row r="97" spans="1:14" ht="15" customHeight="1" x14ac:dyDescent="0.25">
      <c r="A97" s="16"/>
      <c r="B97" s="29" t="str">
        <f>B68</f>
        <v>-2nd floor inclined roof slab</v>
      </c>
      <c r="D97" s="6"/>
      <c r="E97" s="6"/>
      <c r="F97" s="65"/>
      <c r="G97" s="27"/>
      <c r="H97" s="20"/>
      <c r="I97" s="21"/>
      <c r="J97" s="23"/>
      <c r="K97" s="19"/>
      <c r="M97" s="55"/>
      <c r="N97" s="56"/>
    </row>
    <row r="98" spans="1:14" ht="15" customHeight="1" x14ac:dyDescent="0.25">
      <c r="A98" s="16"/>
      <c r="B98" s="29" t="str">
        <f>B88</f>
        <v>-horizontal bars</v>
      </c>
      <c r="C98" s="17">
        <f>4*TRUNC(D68/0.15,0)</f>
        <v>28</v>
      </c>
      <c r="D98" s="6">
        <f>E68</f>
        <v>1.2</v>
      </c>
      <c r="E98" s="6">
        <f>10*10/162</f>
        <v>0.61728395061728392</v>
      </c>
      <c r="F98" s="65">
        <f t="shared" si="5"/>
        <v>20.74074074074074</v>
      </c>
      <c r="G98" s="27">
        <f t="shared" si="6"/>
        <v>2.074074074074074E-2</v>
      </c>
      <c r="H98" s="20"/>
      <c r="I98" s="21"/>
      <c r="J98" s="23"/>
      <c r="K98" s="19"/>
      <c r="M98" s="55"/>
      <c r="N98" s="56"/>
    </row>
    <row r="99" spans="1:14" ht="15" customHeight="1" x14ac:dyDescent="0.25">
      <c r="A99" s="16"/>
      <c r="B99" s="29" t="str">
        <f>B89</f>
        <v>-vertical bars</v>
      </c>
      <c r="C99" s="17">
        <f>4*TRUNC(E68/0.15,0)</f>
        <v>32</v>
      </c>
      <c r="D99" s="6">
        <f>D68</f>
        <v>1.0667479427003961</v>
      </c>
      <c r="E99" s="6">
        <f>10*10/162</f>
        <v>0.61728395061728392</v>
      </c>
      <c r="F99" s="65">
        <f t="shared" si="5"/>
        <v>21.071564300254735</v>
      </c>
      <c r="G99" s="27">
        <f t="shared" si="6"/>
        <v>2.1071564300254735E-2</v>
      </c>
      <c r="H99" s="20"/>
      <c r="I99" s="21"/>
      <c r="J99" s="23"/>
      <c r="K99" s="19"/>
      <c r="M99" s="55"/>
      <c r="N99" s="56"/>
    </row>
    <row r="100" spans="1:14" ht="15" customHeight="1" x14ac:dyDescent="0.25">
      <c r="A100" s="28"/>
      <c r="B100" s="29" t="s">
        <v>20</v>
      </c>
      <c r="C100" s="25"/>
      <c r="D100" s="6"/>
      <c r="E100" s="6"/>
      <c r="F100" s="6"/>
      <c r="G100" s="23">
        <f>SUM(G73:G99)</f>
        <v>1.6146500065848641</v>
      </c>
      <c r="H100" s="23" t="s">
        <v>41</v>
      </c>
      <c r="I100" s="26">
        <v>130210</v>
      </c>
      <c r="J100" s="24">
        <f>G100*I100</f>
        <v>210243.57735741517</v>
      </c>
      <c r="K100" s="7"/>
    </row>
    <row r="101" spans="1:14" ht="15" customHeight="1" x14ac:dyDescent="0.25">
      <c r="A101" s="16"/>
      <c r="B101" s="29" t="s">
        <v>22</v>
      </c>
      <c r="C101" s="17"/>
      <c r="D101" s="18"/>
      <c r="E101" s="19"/>
      <c r="F101" s="19"/>
      <c r="G101" s="21"/>
      <c r="H101" s="20"/>
      <c r="I101" s="21"/>
      <c r="J101" s="23">
        <f>0.13*G100*105010</f>
        <v>22042.071634891956</v>
      </c>
      <c r="K101" s="19"/>
      <c r="N101" s="56"/>
    </row>
    <row r="102" spans="1:14" ht="15" customHeight="1" x14ac:dyDescent="0.25">
      <c r="A102" s="16"/>
      <c r="B102" s="29"/>
      <c r="C102" s="17"/>
      <c r="D102" s="18"/>
      <c r="E102" s="19"/>
      <c r="F102" s="19"/>
      <c r="G102" s="21"/>
      <c r="H102" s="20"/>
      <c r="I102" s="21"/>
      <c r="J102" s="23"/>
      <c r="K102" s="19"/>
      <c r="M102" s="55"/>
      <c r="N102" s="56"/>
    </row>
    <row r="103" spans="1:14" ht="30" x14ac:dyDescent="0.25">
      <c r="A103" s="16">
        <v>7</v>
      </c>
      <c r="B103" s="39" t="s">
        <v>44</v>
      </c>
      <c r="C103" s="17"/>
      <c r="D103" s="18"/>
      <c r="E103" s="19"/>
      <c r="F103" s="19"/>
      <c r="G103" s="21"/>
      <c r="H103" s="20"/>
      <c r="I103" s="21"/>
      <c r="J103" s="23"/>
      <c r="K103" s="19"/>
      <c r="M103" s="55"/>
      <c r="N103" s="56"/>
    </row>
    <row r="104" spans="1:14" ht="30" x14ac:dyDescent="0.25">
      <c r="A104" s="16"/>
      <c r="B104" s="29" t="s">
        <v>48</v>
      </c>
      <c r="C104" s="17">
        <f>2*4</f>
        <v>8</v>
      </c>
      <c r="D104" s="18">
        <f>6.5/3.281</f>
        <v>1.9811033221578787</v>
      </c>
      <c r="E104" s="19">
        <v>0.23</v>
      </c>
      <c r="F104" s="19">
        <f>12.5/3.281</f>
        <v>3.8098140810728434</v>
      </c>
      <c r="G104" s="27">
        <f>PRODUCT(C104:F104)</f>
        <v>13.887649012383788</v>
      </c>
      <c r="H104" s="20"/>
      <c r="I104" s="21"/>
      <c r="J104" s="23"/>
      <c r="K104" s="19"/>
      <c r="M104" s="55"/>
      <c r="N104" s="56"/>
    </row>
    <row r="105" spans="1:14" ht="15" customHeight="1" x14ac:dyDescent="0.25">
      <c r="A105" s="28"/>
      <c r="B105" s="29" t="s">
        <v>20</v>
      </c>
      <c r="C105" s="25"/>
      <c r="D105" s="6"/>
      <c r="E105" s="6"/>
      <c r="F105" s="6"/>
      <c r="G105" s="23">
        <f>SUM(G104:G104)</f>
        <v>13.887649012383788</v>
      </c>
      <c r="H105" s="23" t="s">
        <v>16</v>
      </c>
      <c r="I105" s="26">
        <v>14520.78</v>
      </c>
      <c r="J105" s="24">
        <f>G105*I105</f>
        <v>201659.49602604227</v>
      </c>
      <c r="K105" s="7"/>
    </row>
    <row r="106" spans="1:14" ht="15" customHeight="1" x14ac:dyDescent="0.25">
      <c r="A106" s="16"/>
      <c r="B106" s="29" t="s">
        <v>22</v>
      </c>
      <c r="C106" s="17"/>
      <c r="D106" s="18"/>
      <c r="E106" s="19"/>
      <c r="F106" s="19"/>
      <c r="G106" s="21"/>
      <c r="H106" s="20"/>
      <c r="I106" s="21"/>
      <c r="J106" s="23">
        <f>0.13*G105*10560.79</f>
        <v>19066.390825754039</v>
      </c>
      <c r="K106" s="19"/>
      <c r="M106" s="55"/>
      <c r="N106" s="56"/>
    </row>
    <row r="107" spans="1:14" ht="15" customHeight="1" x14ac:dyDescent="0.25">
      <c r="A107" s="16"/>
      <c r="B107" s="29"/>
      <c r="C107" s="17"/>
      <c r="D107" s="18"/>
      <c r="E107" s="19"/>
      <c r="F107" s="19"/>
      <c r="G107" s="21"/>
      <c r="H107" s="20"/>
      <c r="I107" s="21"/>
      <c r="J107" s="23"/>
      <c r="K107" s="19"/>
      <c r="M107" s="55"/>
      <c r="N107" s="56"/>
    </row>
    <row r="108" spans="1:14" ht="30" x14ac:dyDescent="0.25">
      <c r="A108" s="16">
        <v>8</v>
      </c>
      <c r="B108" s="39" t="s">
        <v>63</v>
      </c>
      <c r="C108" s="17"/>
      <c r="D108" s="18"/>
      <c r="E108" s="19"/>
      <c r="F108" s="19"/>
      <c r="G108" s="21"/>
      <c r="H108" s="20"/>
      <c r="I108" s="21"/>
      <c r="J108" s="23"/>
      <c r="K108" s="19"/>
      <c r="M108" s="55"/>
      <c r="N108" s="56"/>
    </row>
    <row r="109" spans="1:14" ht="15" customHeight="1" x14ac:dyDescent="0.25">
      <c r="A109" s="16"/>
      <c r="B109" s="29" t="s">
        <v>47</v>
      </c>
      <c r="C109" s="17">
        <v>4</v>
      </c>
      <c r="D109" s="18">
        <f>6.5/3.81</f>
        <v>1.7060367454068242</v>
      </c>
      <c r="E109" s="19">
        <v>0.1</v>
      </c>
      <c r="F109" s="19">
        <f>8.17/3.281</f>
        <v>2.4900944833892105</v>
      </c>
      <c r="G109" s="27">
        <f>PRODUCT(C109:F109)</f>
        <v>1.6992770752787265</v>
      </c>
      <c r="H109" s="20"/>
      <c r="I109" s="21"/>
      <c r="J109" s="23"/>
      <c r="K109" s="19"/>
      <c r="M109" s="55"/>
      <c r="N109" s="56"/>
    </row>
    <row r="110" spans="1:14" ht="15" customHeight="1" x14ac:dyDescent="0.25">
      <c r="A110" s="16"/>
      <c r="B110" s="29" t="s">
        <v>64</v>
      </c>
      <c r="C110" s="17">
        <v>-2</v>
      </c>
      <c r="D110" s="18">
        <v>0.75</v>
      </c>
      <c r="E110" s="19">
        <v>0.1</v>
      </c>
      <c r="F110" s="19">
        <v>0.75</v>
      </c>
      <c r="G110" s="27">
        <f>PRODUCT(C110:F110)</f>
        <v>-0.11250000000000002</v>
      </c>
      <c r="H110" s="20"/>
      <c r="I110" s="21"/>
      <c r="J110" s="23"/>
      <c r="K110" s="19"/>
      <c r="M110" s="55"/>
      <c r="N110" s="56"/>
    </row>
    <row r="111" spans="1:14" ht="15" customHeight="1" x14ac:dyDescent="0.25">
      <c r="A111" s="16"/>
      <c r="B111" s="29" t="s">
        <v>95</v>
      </c>
      <c r="C111" s="17">
        <v>-1</v>
      </c>
      <c r="D111" s="18">
        <v>1.2</v>
      </c>
      <c r="E111" s="19">
        <v>0.1</v>
      </c>
      <c r="F111" s="19">
        <f>8/3.281</f>
        <v>2.4382810118866196</v>
      </c>
      <c r="G111" s="27">
        <f>PRODUCT(C111:F111)</f>
        <v>-0.29259372142639434</v>
      </c>
      <c r="H111" s="20"/>
      <c r="I111" s="21"/>
      <c r="J111" s="23"/>
      <c r="K111" s="19"/>
      <c r="M111" s="55"/>
      <c r="N111" s="56"/>
    </row>
    <row r="112" spans="1:14" ht="15" customHeight="1" x14ac:dyDescent="0.25">
      <c r="A112" s="16"/>
      <c r="B112" s="29" t="s">
        <v>99</v>
      </c>
      <c r="C112" s="17">
        <v>2</v>
      </c>
      <c r="D112" s="18">
        <f>1.5/3.281</f>
        <v>0.45717768972874123</v>
      </c>
      <c r="E112" s="19">
        <v>0.1</v>
      </c>
      <c r="F112" s="19">
        <f>1.333/3.281</f>
        <v>0.40627857360560804</v>
      </c>
      <c r="G112" s="27">
        <f t="shared" ref="G112:G113" si="8">PRODUCT(C112:F112)</f>
        <v>3.7148299933460048E-2</v>
      </c>
      <c r="H112" s="20"/>
      <c r="I112" s="21"/>
      <c r="J112" s="23"/>
      <c r="K112" s="19"/>
      <c r="M112" s="55"/>
      <c r="N112" s="56"/>
    </row>
    <row r="113" spans="1:19" ht="15" customHeight="1" x14ac:dyDescent="0.25">
      <c r="A113" s="16"/>
      <c r="B113" s="29"/>
      <c r="C113" s="17">
        <v>2</v>
      </c>
      <c r="D113" s="18">
        <v>0.23</v>
      </c>
      <c r="E113" s="19">
        <v>0.1</v>
      </c>
      <c r="F113" s="19">
        <f>1.333/3.281</f>
        <v>0.40627857360560804</v>
      </c>
      <c r="G113" s="27">
        <f t="shared" si="8"/>
        <v>1.8688814385857972E-2</v>
      </c>
      <c r="H113" s="20"/>
      <c r="I113" s="21"/>
      <c r="J113" s="23"/>
      <c r="K113" s="19"/>
      <c r="M113" s="55"/>
      <c r="N113" s="56"/>
    </row>
    <row r="114" spans="1:19" ht="15" customHeight="1" x14ac:dyDescent="0.25">
      <c r="A114" s="28"/>
      <c r="B114" s="29" t="s">
        <v>20</v>
      </c>
      <c r="C114" s="25"/>
      <c r="D114" s="6"/>
      <c r="E114" s="6"/>
      <c r="F114" s="6"/>
      <c r="G114" s="23">
        <f>SUM(G109:G113)</f>
        <v>1.3500204681716501</v>
      </c>
      <c r="H114" s="23" t="s">
        <v>16</v>
      </c>
      <c r="I114" s="26">
        <v>14911.97</v>
      </c>
      <c r="J114" s="24">
        <f>G114*I114</f>
        <v>20131.4647207616</v>
      </c>
      <c r="K114" s="7"/>
    </row>
    <row r="115" spans="1:19" ht="15" customHeight="1" x14ac:dyDescent="0.25">
      <c r="A115" s="16"/>
      <c r="B115" s="29" t="s">
        <v>22</v>
      </c>
      <c r="C115" s="17"/>
      <c r="D115" s="18"/>
      <c r="E115" s="19"/>
      <c r="F115" s="19"/>
      <c r="G115" s="21"/>
      <c r="H115" s="20"/>
      <c r="I115" s="21"/>
      <c r="J115" s="23">
        <f>0.13*G114*10946.58</f>
        <v>1921.153917342195</v>
      </c>
      <c r="K115" s="19"/>
      <c r="M115" s="55"/>
      <c r="N115" s="56"/>
    </row>
    <row r="116" spans="1:19" ht="15" customHeight="1" x14ac:dyDescent="0.25">
      <c r="A116" s="16"/>
      <c r="B116" s="29"/>
      <c r="C116" s="17"/>
      <c r="D116" s="18"/>
      <c r="E116" s="19"/>
      <c r="F116" s="19"/>
      <c r="G116" s="21"/>
      <c r="H116" s="20"/>
      <c r="I116" s="21"/>
      <c r="J116" s="23"/>
      <c r="K116" s="19"/>
      <c r="M116" s="55"/>
      <c r="N116" s="56"/>
    </row>
    <row r="117" spans="1:19" ht="30" x14ac:dyDescent="0.25">
      <c r="A117" s="16">
        <v>9</v>
      </c>
      <c r="B117" s="39" t="s">
        <v>46</v>
      </c>
      <c r="C117" s="17"/>
      <c r="D117" s="18"/>
      <c r="E117" s="19"/>
      <c r="F117" s="19"/>
      <c r="G117" s="21"/>
      <c r="H117" s="20"/>
      <c r="I117" s="21"/>
      <c r="J117" s="23"/>
      <c r="K117" s="19"/>
      <c r="M117" s="55"/>
      <c r="N117" s="56"/>
    </row>
    <row r="118" spans="1:19" ht="15" customHeight="1" x14ac:dyDescent="0.25">
      <c r="A118" s="16"/>
      <c r="B118" s="29" t="str">
        <f t="shared" ref="B118:D120" si="9">B109</f>
        <v>-At Ground floor</v>
      </c>
      <c r="C118" s="17">
        <f t="shared" si="9"/>
        <v>4</v>
      </c>
      <c r="D118" s="18">
        <f t="shared" si="9"/>
        <v>1.7060367454068242</v>
      </c>
      <c r="E118" s="19"/>
      <c r="F118" s="19">
        <f>8.917/3.281</f>
        <v>2.7177689728741234</v>
      </c>
      <c r="G118" s="27">
        <f>PRODUCT(C118:F118)</f>
        <v>18.546454932999268</v>
      </c>
      <c r="H118" s="20"/>
      <c r="I118" s="21"/>
      <c r="J118" s="23"/>
      <c r="K118" s="19"/>
      <c r="M118" s="55"/>
      <c r="N118" s="56"/>
    </row>
    <row r="119" spans="1:19" ht="15" customHeight="1" x14ac:dyDescent="0.25">
      <c r="A119" s="16"/>
      <c r="B119" s="29" t="str">
        <f t="shared" si="9"/>
        <v>-Deduction for window</v>
      </c>
      <c r="C119" s="17">
        <f t="shared" si="9"/>
        <v>-2</v>
      </c>
      <c r="D119" s="18">
        <f t="shared" si="9"/>
        <v>0.75</v>
      </c>
      <c r="E119" s="19"/>
      <c r="F119" s="19">
        <f>D119</f>
        <v>0.75</v>
      </c>
      <c r="G119" s="27">
        <f t="shared" ref="G119:G124" si="10">PRODUCT(C119:F119)</f>
        <v>-1.125</v>
      </c>
      <c r="H119" s="20"/>
      <c r="I119" s="21"/>
      <c r="J119" s="23"/>
      <c r="K119" s="19"/>
      <c r="M119" s="55"/>
      <c r="N119" s="56"/>
    </row>
    <row r="120" spans="1:19" ht="15" customHeight="1" x14ac:dyDescent="0.25">
      <c r="A120" s="16"/>
      <c r="B120" s="29" t="str">
        <f t="shared" si="9"/>
        <v>-Deduction for door</v>
      </c>
      <c r="C120" s="17">
        <f t="shared" si="9"/>
        <v>-1</v>
      </c>
      <c r="D120" s="18">
        <f t="shared" si="9"/>
        <v>1.2</v>
      </c>
      <c r="E120" s="19"/>
      <c r="F120" s="19">
        <f>F111</f>
        <v>2.4382810118866196</v>
      </c>
      <c r="G120" s="27">
        <f t="shared" si="10"/>
        <v>-2.9259372142639433</v>
      </c>
      <c r="H120" s="20"/>
      <c r="I120" s="21"/>
      <c r="J120" s="23"/>
      <c r="K120" s="19"/>
      <c r="M120" s="55"/>
      <c r="N120" s="56"/>
    </row>
    <row r="121" spans="1:19" ht="15" customHeight="1" x14ac:dyDescent="0.25">
      <c r="A121" s="16"/>
      <c r="B121" s="29" t="str">
        <f>B59</f>
        <v>-1st floor slab</v>
      </c>
      <c r="C121" s="17">
        <f>C59</f>
        <v>1</v>
      </c>
      <c r="D121" s="18">
        <f>12.42/3.281</f>
        <v>3.7854312709539775</v>
      </c>
      <c r="E121" s="19">
        <f>12.42/3.281</f>
        <v>3.7854312709539775</v>
      </c>
      <c r="F121" s="19"/>
      <c r="G121" s="27">
        <f t="shared" si="10"/>
        <v>14.329489907116246</v>
      </c>
      <c r="H121" s="20"/>
      <c r="I121" s="21"/>
      <c r="J121" s="23"/>
      <c r="K121" s="19"/>
      <c r="M121" s="55"/>
      <c r="N121" s="67"/>
    </row>
    <row r="122" spans="1:19" ht="15" customHeight="1" x14ac:dyDescent="0.25">
      <c r="A122" s="16"/>
      <c r="B122" s="29" t="s">
        <v>100</v>
      </c>
      <c r="C122" s="17">
        <f>C60</f>
        <v>-4</v>
      </c>
      <c r="D122" s="18">
        <f>(8*2+6.5*2)/3.281</f>
        <v>8.8387686680889974</v>
      </c>
      <c r="E122" s="19">
        <f>E60</f>
        <v>0.23</v>
      </c>
      <c r="F122" s="19"/>
      <c r="G122" s="27">
        <f t="shared" si="10"/>
        <v>-8.131667174641878</v>
      </c>
      <c r="H122" s="20"/>
      <c r="I122" s="21"/>
      <c r="J122" s="23"/>
      <c r="K122" s="19"/>
      <c r="M122" s="55"/>
      <c r="N122" s="67"/>
    </row>
    <row r="123" spans="1:19" ht="15" customHeight="1" x14ac:dyDescent="0.25">
      <c r="A123" s="16"/>
      <c r="B123" s="29" t="str">
        <f>B61</f>
        <v>-Deduction for opening</v>
      </c>
      <c r="C123" s="17">
        <f>C61</f>
        <v>-1</v>
      </c>
      <c r="D123" s="18">
        <f>D61</f>
        <v>0.6095702529716549</v>
      </c>
      <c r="E123" s="19">
        <f>E61</f>
        <v>0.6095702529716549</v>
      </c>
      <c r="F123" s="19"/>
      <c r="G123" s="27">
        <f t="shared" si="10"/>
        <v>-0.37157589330792734</v>
      </c>
      <c r="H123" s="20"/>
      <c r="I123" s="21"/>
      <c r="J123" s="23"/>
      <c r="K123" s="19"/>
      <c r="M123" s="55"/>
      <c r="N123" s="67"/>
    </row>
    <row r="124" spans="1:19" ht="15" customHeight="1" x14ac:dyDescent="0.25">
      <c r="A124" s="16"/>
      <c r="B124" s="29" t="str">
        <f>B95</f>
        <v>-2nd floor slab</v>
      </c>
      <c r="C124" s="17">
        <v>1</v>
      </c>
      <c r="D124" s="18">
        <f>(7.917*2+3.5*2)/3.281</f>
        <v>6.9594635781773846</v>
      </c>
      <c r="E124" s="19">
        <f>2.17/3.281</f>
        <v>0.66138372447424565</v>
      </c>
      <c r="F124" s="19"/>
      <c r="G124" s="27">
        <f t="shared" si="10"/>
        <v>4.6028759416778193</v>
      </c>
      <c r="H124" s="20"/>
      <c r="I124" s="21"/>
      <c r="J124" s="23"/>
      <c r="K124" s="19"/>
      <c r="M124" s="55"/>
      <c r="N124" s="67"/>
    </row>
    <row r="125" spans="1:19" ht="15" customHeight="1" x14ac:dyDescent="0.25">
      <c r="A125" s="28"/>
      <c r="B125" s="29" t="s">
        <v>20</v>
      </c>
      <c r="C125" s="25"/>
      <c r="D125" s="6"/>
      <c r="E125" s="6"/>
      <c r="F125" s="6"/>
      <c r="G125" s="23">
        <f>SUM(G118:G124)</f>
        <v>24.924640499579585</v>
      </c>
      <c r="H125" s="23" t="s">
        <v>26</v>
      </c>
      <c r="I125" s="26">
        <v>402.23</v>
      </c>
      <c r="J125" s="24">
        <f>G125*I125</f>
        <v>10025.438148145897</v>
      </c>
      <c r="K125" s="7"/>
    </row>
    <row r="126" spans="1:19" ht="15" customHeight="1" x14ac:dyDescent="0.25">
      <c r="A126" s="16"/>
      <c r="B126" s="29" t="s">
        <v>22</v>
      </c>
      <c r="C126" s="17"/>
      <c r="D126" s="18"/>
      <c r="E126" s="19"/>
      <c r="F126" s="19"/>
      <c r="G126" s="21"/>
      <c r="H126" s="20"/>
      <c r="I126" s="21"/>
      <c r="J126" s="23">
        <f>0.13*G125*(11424.1/100)</f>
        <v>370.16406119062128</v>
      </c>
      <c r="K126" s="19"/>
      <c r="M126" s="55"/>
      <c r="N126" s="56"/>
    </row>
    <row r="127" spans="1:19" ht="15" customHeight="1" x14ac:dyDescent="0.25">
      <c r="A127" s="16"/>
      <c r="B127" s="29"/>
      <c r="C127" s="17"/>
      <c r="D127" s="18"/>
      <c r="E127" s="19"/>
      <c r="F127" s="19"/>
      <c r="G127" s="21"/>
      <c r="H127" s="20"/>
      <c r="I127" s="21"/>
      <c r="J127" s="23"/>
      <c r="K127" s="19"/>
      <c r="M127" s="55"/>
      <c r="N127" s="56"/>
    </row>
    <row r="128" spans="1:19" ht="42.75" x14ac:dyDescent="0.25">
      <c r="A128" s="16">
        <v>10</v>
      </c>
      <c r="B128" s="59" t="s">
        <v>65</v>
      </c>
      <c r="C128" s="60"/>
      <c r="D128" s="60"/>
      <c r="E128" s="60"/>
      <c r="F128" s="60"/>
      <c r="G128" s="61"/>
      <c r="H128" s="20"/>
      <c r="I128" s="21"/>
      <c r="J128" s="21"/>
      <c r="K128" s="19"/>
      <c r="M128" s="62"/>
      <c r="N128" s="1"/>
      <c r="O128" s="1"/>
      <c r="P128" s="1"/>
      <c r="Q128" s="1"/>
      <c r="R128" s="62"/>
      <c r="S128" s="62"/>
    </row>
    <row r="129" spans="1:19" ht="15" customHeight="1" x14ac:dyDescent="0.25">
      <c r="A129" s="16"/>
      <c r="B129" s="29" t="str">
        <f t="shared" ref="B129:C131" si="11">B109</f>
        <v>-At Ground floor</v>
      </c>
      <c r="C129" s="17">
        <f t="shared" si="11"/>
        <v>4</v>
      </c>
      <c r="D129" s="18">
        <f>8/3.281</f>
        <v>2.4382810118866196</v>
      </c>
      <c r="E129" s="19"/>
      <c r="F129" s="19">
        <f>8.917/3.281</f>
        <v>2.7177689728741234</v>
      </c>
      <c r="G129" s="27">
        <f>PRODUCT(C129:F129)</f>
        <v>26.506737925014306</v>
      </c>
      <c r="H129" s="20"/>
      <c r="I129" s="21"/>
      <c r="J129" s="23"/>
      <c r="K129" s="19"/>
      <c r="M129" s="55"/>
      <c r="N129" s="56"/>
    </row>
    <row r="130" spans="1:19" ht="15" customHeight="1" x14ac:dyDescent="0.25">
      <c r="A130" s="16"/>
      <c r="B130" s="29" t="str">
        <f t="shared" si="11"/>
        <v>-Deduction for window</v>
      </c>
      <c r="C130" s="17">
        <f t="shared" si="11"/>
        <v>-2</v>
      </c>
      <c r="D130" s="18">
        <f>D110</f>
        <v>0.75</v>
      </c>
      <c r="E130" s="19"/>
      <c r="F130" s="19">
        <f>F110</f>
        <v>0.75</v>
      </c>
      <c r="G130" s="27">
        <f>PRODUCT(C130:F130)</f>
        <v>-1.125</v>
      </c>
      <c r="H130" s="20"/>
      <c r="I130" s="21"/>
      <c r="J130" s="23"/>
      <c r="K130" s="19"/>
      <c r="M130" s="55"/>
      <c r="N130" s="56"/>
    </row>
    <row r="131" spans="1:19" ht="15" customHeight="1" x14ac:dyDescent="0.25">
      <c r="A131" s="16"/>
      <c r="B131" s="29" t="str">
        <f t="shared" si="11"/>
        <v>-Deduction for door</v>
      </c>
      <c r="C131" s="17">
        <f t="shared" si="11"/>
        <v>-1</v>
      </c>
      <c r="D131" s="18">
        <f>D111</f>
        <v>1.2</v>
      </c>
      <c r="E131" s="19"/>
      <c r="F131" s="19">
        <f>F111</f>
        <v>2.4382810118866196</v>
      </c>
      <c r="G131" s="27">
        <f>PRODUCT(C131:F131)</f>
        <v>-2.9259372142639433</v>
      </c>
      <c r="H131" s="20"/>
      <c r="I131" s="21"/>
      <c r="J131" s="23"/>
      <c r="K131" s="19"/>
      <c r="M131" s="55"/>
      <c r="N131" s="67">
        <f>SUM(J12:J149)</f>
        <v>1107941.1546796695</v>
      </c>
    </row>
    <row r="132" spans="1:19" ht="15" customHeight="1" x14ac:dyDescent="0.25">
      <c r="A132" s="16"/>
      <c r="B132" s="63" t="s">
        <v>20</v>
      </c>
      <c r="C132" s="17"/>
      <c r="D132" s="18"/>
      <c r="E132" s="19"/>
      <c r="F132" s="19"/>
      <c r="G132" s="21">
        <f>SUM(G129:G131)</f>
        <v>22.455800710750363</v>
      </c>
      <c r="H132" s="20" t="s">
        <v>26</v>
      </c>
      <c r="I132" s="21">
        <f>556660.92/100</f>
        <v>5566.6092000000008</v>
      </c>
      <c r="J132" s="64">
        <f>G132*I132</f>
        <v>125002.66682982953</v>
      </c>
      <c r="K132" s="19"/>
      <c r="M132" s="62"/>
      <c r="N132" s="1"/>
      <c r="O132" s="1"/>
      <c r="P132" s="1"/>
      <c r="Q132" s="1"/>
      <c r="R132" s="62"/>
      <c r="S132" s="62"/>
    </row>
    <row r="133" spans="1:19" ht="15" customHeight="1" x14ac:dyDescent="0.25">
      <c r="A133" s="16"/>
      <c r="B133" s="63" t="s">
        <v>66</v>
      </c>
      <c r="C133" s="17"/>
      <c r="D133" s="18"/>
      <c r="E133" s="19"/>
      <c r="F133" s="19"/>
      <c r="G133" s="21"/>
      <c r="H133" s="20"/>
      <c r="I133" s="21"/>
      <c r="J133" s="64">
        <f>0.13*G132*370050.92/100</f>
        <v>10802.726626054773</v>
      </c>
      <c r="K133" s="19"/>
      <c r="M133" s="62"/>
      <c r="N133" s="1"/>
      <c r="O133" s="1"/>
      <c r="P133" s="1"/>
      <c r="Q133" s="1"/>
      <c r="R133" s="62"/>
      <c r="S133" s="62"/>
    </row>
    <row r="134" spans="1:19" ht="15" customHeight="1" x14ac:dyDescent="0.25">
      <c r="A134" s="16"/>
      <c r="B134" s="63"/>
      <c r="C134" s="17"/>
      <c r="D134" s="18"/>
      <c r="E134" s="19"/>
      <c r="F134" s="19"/>
      <c r="G134" s="21"/>
      <c r="H134" s="20"/>
      <c r="I134" s="21"/>
      <c r="J134" s="64"/>
      <c r="K134" s="19"/>
      <c r="M134" s="62"/>
      <c r="N134" s="1"/>
      <c r="O134" s="1"/>
      <c r="P134" s="1"/>
      <c r="Q134" s="1"/>
      <c r="R134" s="62"/>
      <c r="S134" s="62"/>
    </row>
    <row r="135" spans="1:19" ht="30" x14ac:dyDescent="0.25">
      <c r="A135" s="16"/>
      <c r="B135" s="39" t="s">
        <v>104</v>
      </c>
      <c r="C135" s="17"/>
      <c r="D135" s="18"/>
      <c r="E135" s="19"/>
      <c r="F135" s="19"/>
      <c r="G135" s="21"/>
      <c r="H135" s="20"/>
      <c r="I135" s="21"/>
      <c r="J135" s="64"/>
      <c r="K135" s="19"/>
      <c r="M135" s="62"/>
      <c r="N135" s="1"/>
      <c r="O135" s="1"/>
      <c r="P135" s="1"/>
      <c r="Q135" s="1"/>
      <c r="R135" s="62"/>
      <c r="S135" s="62"/>
    </row>
    <row r="136" spans="1:19" ht="15" customHeight="1" x14ac:dyDescent="0.25">
      <c r="A136" s="16"/>
      <c r="B136" s="22" t="s">
        <v>107</v>
      </c>
      <c r="C136" s="17">
        <v>1</v>
      </c>
      <c r="D136" s="18">
        <f>(7.5*2+4*2)/3.281</f>
        <v>7.0100579091740318</v>
      </c>
      <c r="E136" s="19">
        <v>7.4999999999999997E-2</v>
      </c>
      <c r="F136" s="19">
        <v>0.125</v>
      </c>
      <c r="G136" s="27">
        <f>PRODUCT(C136:F136)</f>
        <v>6.5719292898506546E-2</v>
      </c>
      <c r="H136" s="20"/>
      <c r="I136" s="21"/>
      <c r="J136" s="64"/>
      <c r="K136" s="19"/>
      <c r="M136" s="62"/>
      <c r="N136" s="1"/>
      <c r="O136" s="1"/>
      <c r="P136" s="1"/>
      <c r="Q136" s="1"/>
      <c r="R136" s="62"/>
      <c r="S136" s="62"/>
    </row>
    <row r="137" spans="1:19" ht="15" customHeight="1" x14ac:dyDescent="0.25">
      <c r="A137" s="16"/>
      <c r="B137" s="63" t="s">
        <v>20</v>
      </c>
      <c r="C137" s="17"/>
      <c r="D137" s="18"/>
      <c r="E137" s="19"/>
      <c r="F137" s="19"/>
      <c r="G137" s="21">
        <f>SUM(G134:G136)</f>
        <v>6.5719292898506546E-2</v>
      </c>
      <c r="H137" s="20" t="s">
        <v>16</v>
      </c>
      <c r="I137" s="21">
        <v>283082.83</v>
      </c>
      <c r="J137" s="64">
        <f>G137*I137</f>
        <v>18604.003419308137</v>
      </c>
      <c r="K137" s="19"/>
      <c r="M137" s="62"/>
      <c r="N137" s="1"/>
      <c r="O137" s="1"/>
      <c r="P137" s="1"/>
      <c r="Q137" s="1"/>
      <c r="R137" s="62"/>
      <c r="S137" s="62"/>
    </row>
    <row r="138" spans="1:19" ht="15" customHeight="1" x14ac:dyDescent="0.25">
      <c r="A138" s="16"/>
      <c r="B138" s="63" t="s">
        <v>66</v>
      </c>
      <c r="C138" s="17"/>
      <c r="D138" s="18"/>
      <c r="E138" s="19"/>
      <c r="F138" s="19"/>
      <c r="G138" s="21"/>
      <c r="H138" s="20"/>
      <c r="I138" s="21"/>
      <c r="J138" s="64">
        <f>0.13*G137*239222.83</f>
        <v>2043.802180261353</v>
      </c>
      <c r="K138" s="19"/>
      <c r="M138" s="62"/>
      <c r="N138" s="1"/>
      <c r="O138" s="1"/>
      <c r="P138" s="1"/>
      <c r="Q138" s="1"/>
      <c r="R138" s="62"/>
      <c r="S138" s="62"/>
    </row>
    <row r="139" spans="1:19" ht="15" customHeight="1" x14ac:dyDescent="0.25">
      <c r="A139" s="16"/>
      <c r="B139" s="63"/>
      <c r="C139" s="17"/>
      <c r="D139" s="18"/>
      <c r="E139" s="19"/>
      <c r="F139" s="19"/>
      <c r="G139" s="21"/>
      <c r="H139" s="20"/>
      <c r="I139" s="21"/>
      <c r="J139" s="64"/>
      <c r="K139" s="19"/>
      <c r="M139" s="62"/>
      <c r="N139" s="1"/>
      <c r="O139" s="1"/>
      <c r="P139" s="1"/>
      <c r="Q139" s="1"/>
      <c r="R139" s="62"/>
      <c r="S139" s="62"/>
    </row>
    <row r="140" spans="1:19" ht="42.75" x14ac:dyDescent="0.25">
      <c r="A140" s="16"/>
      <c r="B140" s="59" t="s">
        <v>105</v>
      </c>
      <c r="C140" s="17"/>
      <c r="D140" s="18"/>
      <c r="E140" s="19"/>
      <c r="F140" s="19"/>
      <c r="G140" s="21"/>
      <c r="H140" s="20"/>
      <c r="I140" s="21"/>
      <c r="J140" s="64"/>
      <c r="K140" s="19"/>
      <c r="M140" s="62"/>
      <c r="N140" s="1"/>
      <c r="O140" s="1"/>
      <c r="P140" s="1"/>
      <c r="Q140" s="1"/>
      <c r="R140" s="62"/>
      <c r="S140" s="62"/>
    </row>
    <row r="141" spans="1:19" ht="15" customHeight="1" x14ac:dyDescent="0.25">
      <c r="A141" s="16"/>
      <c r="B141" s="22" t="s">
        <v>106</v>
      </c>
      <c r="C141" s="17">
        <v>2</v>
      </c>
      <c r="D141" s="18">
        <f>D130</f>
        <v>0.75</v>
      </c>
      <c r="E141" s="19"/>
      <c r="F141" s="19">
        <f>F130</f>
        <v>0.75</v>
      </c>
      <c r="G141" s="27">
        <f>PRODUCT(C141:F141)</f>
        <v>1.125</v>
      </c>
      <c r="H141" s="20"/>
      <c r="I141" s="21"/>
      <c r="J141" s="64"/>
      <c r="K141" s="19"/>
      <c r="M141" s="62"/>
      <c r="N141" s="1"/>
      <c r="O141" s="1"/>
      <c r="P141" s="1"/>
      <c r="Q141" s="1"/>
      <c r="R141" s="62"/>
      <c r="S141" s="62"/>
    </row>
    <row r="142" spans="1:19" ht="15" customHeight="1" x14ac:dyDescent="0.25">
      <c r="A142" s="16"/>
      <c r="B142" s="22"/>
      <c r="C142" s="17">
        <v>4</v>
      </c>
      <c r="D142" s="18">
        <f>2/3.281</f>
        <v>0.6095702529716549</v>
      </c>
      <c r="E142" s="19"/>
      <c r="F142" s="19">
        <f>1.25/3.281</f>
        <v>0.38098140810728437</v>
      </c>
      <c r="G142" s="27">
        <f>PRODUCT(C142:F142)</f>
        <v>0.92893973326981849</v>
      </c>
      <c r="H142" s="20"/>
      <c r="I142" s="21"/>
      <c r="J142" s="64"/>
      <c r="K142" s="19"/>
      <c r="M142" s="62"/>
      <c r="N142" s="1"/>
      <c r="O142" s="1"/>
      <c r="P142" s="1"/>
      <c r="Q142" s="1"/>
      <c r="R142" s="62"/>
      <c r="S142" s="62"/>
    </row>
    <row r="143" spans="1:19" ht="15" customHeight="1" x14ac:dyDescent="0.25">
      <c r="A143" s="16"/>
      <c r="B143" s="22" t="str">
        <f>B136</f>
        <v>Door</v>
      </c>
      <c r="C143" s="17">
        <f>C136</f>
        <v>1</v>
      </c>
      <c r="D143" s="18">
        <f>D131</f>
        <v>1.2</v>
      </c>
      <c r="E143" s="19"/>
      <c r="F143" s="19">
        <f>F131</f>
        <v>2.4382810118866196</v>
      </c>
      <c r="G143" s="27">
        <f>PRODUCT(C143:F143)</f>
        <v>2.9259372142639433</v>
      </c>
      <c r="H143" s="20"/>
      <c r="I143" s="21"/>
      <c r="J143" s="64"/>
      <c r="K143" s="19"/>
      <c r="M143" s="62"/>
      <c r="N143" s="1"/>
      <c r="O143" s="1"/>
      <c r="P143" s="1"/>
      <c r="Q143" s="1"/>
      <c r="R143" s="62"/>
      <c r="S143" s="62"/>
    </row>
    <row r="144" spans="1:19" ht="15" customHeight="1" x14ac:dyDescent="0.25">
      <c r="A144" s="16"/>
      <c r="B144" s="63" t="s">
        <v>20</v>
      </c>
      <c r="C144" s="17"/>
      <c r="D144" s="18"/>
      <c r="E144" s="19"/>
      <c r="F144" s="19"/>
      <c r="G144" s="21">
        <f>SUM(G141:G143)</f>
        <v>4.9798769475337616</v>
      </c>
      <c r="H144" s="20" t="s">
        <v>26</v>
      </c>
      <c r="I144" s="21">
        <f>31552.5/0.92</f>
        <v>34296.195652173912</v>
      </c>
      <c r="J144" s="64">
        <f>G144*I144</f>
        <v>170790.8341163685</v>
      </c>
      <c r="K144" s="19"/>
      <c r="M144" s="62"/>
      <c r="N144" s="1"/>
      <c r="O144" s="1"/>
      <c r="P144" s="1"/>
      <c r="Q144" s="1"/>
      <c r="R144" s="62"/>
      <c r="S144" s="62"/>
    </row>
    <row r="145" spans="1:19" ht="15" customHeight="1" x14ac:dyDescent="0.25">
      <c r="A145" s="16"/>
      <c r="B145" s="63" t="s">
        <v>66</v>
      </c>
      <c r="C145" s="17"/>
      <c r="D145" s="18"/>
      <c r="E145" s="19"/>
      <c r="F145" s="19"/>
      <c r="G145" s="21"/>
      <c r="H145" s="20"/>
      <c r="I145" s="21"/>
      <c r="J145" s="64">
        <f>0.13*G144*9742.5/0.92</f>
        <v>6855.5854901904313</v>
      </c>
      <c r="K145" s="19"/>
      <c r="M145" s="62"/>
      <c r="N145" s="1"/>
      <c r="O145" s="1"/>
      <c r="P145" s="1"/>
      <c r="Q145" s="1"/>
      <c r="R145" s="62"/>
      <c r="S145" s="62"/>
    </row>
    <row r="146" spans="1:19" ht="15" customHeight="1" x14ac:dyDescent="0.25">
      <c r="A146" s="16"/>
      <c r="B146" s="22"/>
      <c r="C146" s="17"/>
      <c r="D146" s="18"/>
      <c r="E146" s="19"/>
      <c r="F146" s="19"/>
      <c r="G146" s="21"/>
      <c r="H146" s="20"/>
      <c r="I146" s="21"/>
      <c r="J146" s="64"/>
      <c r="K146" s="19"/>
      <c r="M146" s="62"/>
      <c r="N146" s="1"/>
      <c r="O146" s="1"/>
      <c r="P146" s="1"/>
      <c r="Q146" s="1"/>
      <c r="R146" s="62"/>
      <c r="S146" s="62"/>
    </row>
    <row r="147" spans="1:19" ht="30" x14ac:dyDescent="0.25">
      <c r="A147" s="16">
        <v>11</v>
      </c>
      <c r="B147" s="39" t="s">
        <v>108</v>
      </c>
      <c r="C147" s="17"/>
      <c r="D147" s="18"/>
      <c r="E147" s="19"/>
      <c r="F147" s="19"/>
      <c r="G147" s="21"/>
      <c r="H147" s="20"/>
      <c r="I147" s="21"/>
      <c r="J147" s="64"/>
      <c r="K147" s="19"/>
      <c r="M147" s="62"/>
      <c r="N147" s="1"/>
      <c r="O147" s="1"/>
      <c r="P147" s="1"/>
      <c r="Q147" s="1"/>
      <c r="R147" s="62"/>
      <c r="S147" s="62"/>
    </row>
    <row r="148" spans="1:19" ht="15" customHeight="1" x14ac:dyDescent="0.25">
      <c r="A148" s="16"/>
      <c r="B148" s="29" t="s">
        <v>49</v>
      </c>
      <c r="C148" s="68">
        <v>0.5</v>
      </c>
      <c r="D148" s="18">
        <f>6.5/3.281</f>
        <v>1.9811033221578787</v>
      </c>
      <c r="E148" s="18">
        <f>6.5/3.281</f>
        <v>1.9811033221578787</v>
      </c>
      <c r="F148" s="19">
        <f>13.25/3.281</f>
        <v>4.0384029259372145</v>
      </c>
      <c r="G148" s="27">
        <f>PRODUCT(C148:F148)</f>
        <v>7.9249020791086613</v>
      </c>
      <c r="H148" s="20"/>
      <c r="I148" s="21"/>
      <c r="J148" s="23"/>
      <c r="K148" s="19"/>
      <c r="M148" s="55"/>
      <c r="N148" s="56"/>
    </row>
    <row r="149" spans="1:19" ht="15" customHeight="1" x14ac:dyDescent="0.25">
      <c r="A149" s="16"/>
      <c r="B149" s="63" t="s">
        <v>20</v>
      </c>
      <c r="C149" s="17"/>
      <c r="D149" s="18"/>
      <c r="E149" s="19"/>
      <c r="F149" s="19"/>
      <c r="G149" s="21">
        <f>SUM(G147:G148)</f>
        <v>7.9249020791086613</v>
      </c>
      <c r="H149" s="20" t="s">
        <v>16</v>
      </c>
      <c r="I149" s="21">
        <v>451.4</v>
      </c>
      <c r="J149" s="64">
        <f>G149*I149</f>
        <v>3577.3007985096497</v>
      </c>
      <c r="K149" s="19"/>
      <c r="M149" s="62"/>
      <c r="N149" s="1"/>
      <c r="O149" s="1"/>
      <c r="P149" s="1"/>
      <c r="Q149" s="1"/>
      <c r="R149" s="62"/>
      <c r="S149" s="62"/>
    </row>
    <row r="150" spans="1:19" ht="15" customHeight="1" x14ac:dyDescent="0.25">
      <c r="A150" s="16"/>
      <c r="B150" s="63"/>
      <c r="C150" s="17"/>
      <c r="D150" s="18"/>
      <c r="E150" s="19"/>
      <c r="F150" s="19"/>
      <c r="G150" s="21"/>
      <c r="H150" s="20"/>
      <c r="I150" s="21"/>
      <c r="J150" s="64"/>
      <c r="K150" s="19"/>
      <c r="M150" s="62"/>
      <c r="N150" s="1"/>
      <c r="O150" s="1"/>
      <c r="P150" s="1"/>
      <c r="Q150" s="1"/>
      <c r="R150" s="62"/>
      <c r="S150" s="62"/>
    </row>
    <row r="151" spans="1:19" ht="28.5" x14ac:dyDescent="0.25">
      <c r="A151" s="16">
        <v>12</v>
      </c>
      <c r="B151" s="59" t="s">
        <v>102</v>
      </c>
      <c r="C151" s="17"/>
      <c r="D151" s="18"/>
      <c r="E151" s="19"/>
      <c r="F151" s="19"/>
      <c r="G151" s="21"/>
      <c r="H151" s="20"/>
      <c r="I151" s="21"/>
      <c r="J151" s="64"/>
      <c r="K151" s="19"/>
      <c r="M151" s="62"/>
      <c r="N151" s="1"/>
      <c r="O151" s="1"/>
      <c r="P151" s="1"/>
      <c r="Q151" s="1"/>
      <c r="R151" s="62"/>
      <c r="S151" s="62"/>
    </row>
    <row r="152" spans="1:19" ht="15" customHeight="1" x14ac:dyDescent="0.25">
      <c r="A152" s="16"/>
      <c r="B152" s="29" t="str">
        <f>B40</f>
        <v>-1st floor Inclined Surface</v>
      </c>
      <c r="C152" s="68">
        <f>C40</f>
        <v>4</v>
      </c>
      <c r="D152" s="18">
        <f>D40</f>
        <v>1.3968302346845474</v>
      </c>
      <c r="E152" s="18">
        <f>E40</f>
        <v>2.4260896068271869</v>
      </c>
      <c r="F152" s="19"/>
      <c r="G152" s="27">
        <f>PRODUCT(C152:F152)</f>
        <v>13.555341259480644</v>
      </c>
      <c r="H152" s="20"/>
      <c r="I152" s="21"/>
      <c r="J152" s="23"/>
      <c r="K152" s="19"/>
      <c r="M152" s="55"/>
      <c r="N152" s="56"/>
    </row>
    <row r="153" spans="1:19" ht="15" customHeight="1" x14ac:dyDescent="0.25">
      <c r="A153" s="16"/>
      <c r="B153" s="29" t="str">
        <f>B46</f>
        <v>-2nd floor inclined roof slab</v>
      </c>
      <c r="C153" s="68">
        <f>C46</f>
        <v>4</v>
      </c>
      <c r="D153" s="18">
        <f>D46</f>
        <v>1.0667479427003961</v>
      </c>
      <c r="E153" s="18">
        <f>E46</f>
        <v>1.2</v>
      </c>
      <c r="F153" s="19"/>
      <c r="G153" s="27">
        <f>PRODUCT(C153:F153)</f>
        <v>5.1203901249619008</v>
      </c>
      <c r="H153" s="20"/>
      <c r="I153" s="21"/>
      <c r="J153" s="23"/>
      <c r="K153" s="19"/>
      <c r="M153" s="55"/>
      <c r="N153" s="56"/>
    </row>
    <row r="154" spans="1:19" ht="15" customHeight="1" x14ac:dyDescent="0.25">
      <c r="A154" s="28"/>
      <c r="B154" s="29" t="s">
        <v>20</v>
      </c>
      <c r="C154" s="25"/>
      <c r="D154" s="6"/>
      <c r="E154" s="6"/>
      <c r="F154" s="6"/>
      <c r="G154" s="23">
        <f>0*SUM(G152:G153)</f>
        <v>0</v>
      </c>
      <c r="H154" s="23" t="s">
        <v>26</v>
      </c>
      <c r="I154" s="21">
        <f>86791.54/10</f>
        <v>8679.1539999999986</v>
      </c>
      <c r="J154" s="24">
        <f>G154*I154</f>
        <v>0</v>
      </c>
      <c r="K154" s="7"/>
    </row>
    <row r="155" spans="1:19" ht="15" customHeight="1" x14ac:dyDescent="0.25">
      <c r="A155" s="16"/>
      <c r="B155" s="29" t="s">
        <v>22</v>
      </c>
      <c r="C155" s="17"/>
      <c r="D155" s="18"/>
      <c r="E155" s="19"/>
      <c r="F155" s="19"/>
      <c r="G155" s="21"/>
      <c r="H155" s="20"/>
      <c r="I155" s="21"/>
      <c r="J155" s="23">
        <f>0.13*G154*(74287.04+2178.9)/10</f>
        <v>0</v>
      </c>
      <c r="K155" s="19"/>
      <c r="M155" s="55"/>
      <c r="N155" s="56"/>
    </row>
    <row r="156" spans="1:19" ht="15" customHeight="1" x14ac:dyDescent="0.25">
      <c r="A156" s="16"/>
      <c r="B156" s="29"/>
      <c r="C156" s="17"/>
      <c r="D156" s="6"/>
      <c r="E156" s="6"/>
      <c r="F156" s="65"/>
      <c r="G156" s="27"/>
      <c r="H156" s="20"/>
      <c r="I156" s="21"/>
      <c r="J156" s="23"/>
      <c r="K156" s="19"/>
      <c r="M156" s="55"/>
      <c r="N156" s="56"/>
    </row>
    <row r="157" spans="1:19" ht="15" customHeight="1" x14ac:dyDescent="0.25">
      <c r="A157" s="16">
        <v>13</v>
      </c>
      <c r="B157" s="59" t="s">
        <v>103</v>
      </c>
      <c r="C157" s="17">
        <v>1</v>
      </c>
      <c r="D157" s="18"/>
      <c r="E157" s="19"/>
      <c r="F157" s="19"/>
      <c r="G157" s="23">
        <f t="shared" ref="G157" si="12">PRODUCT(C157:F157)</f>
        <v>1</v>
      </c>
      <c r="H157" s="20" t="s">
        <v>77</v>
      </c>
      <c r="I157" s="21">
        <v>20000</v>
      </c>
      <c r="J157" s="23">
        <f>G157*I157</f>
        <v>20000</v>
      </c>
      <c r="K157" s="19"/>
      <c r="M157" s="55"/>
      <c r="N157" s="56"/>
    </row>
    <row r="158" spans="1:19" ht="28.5" hidden="1" x14ac:dyDescent="0.25">
      <c r="A158" s="16">
        <v>17</v>
      </c>
      <c r="B158" s="59" t="s">
        <v>75</v>
      </c>
      <c r="C158" s="17"/>
      <c r="D158" s="18"/>
      <c r="E158" s="19"/>
      <c r="F158" s="19"/>
      <c r="G158" s="21"/>
      <c r="H158" s="20"/>
      <c r="I158" s="21"/>
      <c r="J158" s="64"/>
      <c r="K158" s="19"/>
      <c r="M158" s="62"/>
      <c r="N158" s="1"/>
      <c r="O158" s="1"/>
      <c r="P158" s="1"/>
      <c r="Q158" s="1"/>
      <c r="R158" s="62"/>
      <c r="S158" s="62"/>
    </row>
    <row r="159" spans="1:19" ht="15" hidden="1" customHeight="1" x14ac:dyDescent="0.25">
      <c r="A159" s="16"/>
      <c r="B159" s="29" t="s">
        <v>34</v>
      </c>
      <c r="C159" s="17">
        <v>2</v>
      </c>
      <c r="D159" s="6">
        <f>(8+1.5*2)/3.281</f>
        <v>3.3526363913441024</v>
      </c>
      <c r="E159" s="6">
        <v>0.45</v>
      </c>
      <c r="F159" s="65"/>
      <c r="G159" s="27">
        <f t="shared" ref="G159:G160" si="13">PRODUCT(C159:F159)</f>
        <v>3.0173727522096923</v>
      </c>
      <c r="H159" s="20"/>
      <c r="I159" s="21"/>
      <c r="J159" s="23"/>
      <c r="K159" s="19"/>
      <c r="M159" s="55"/>
      <c r="N159" s="56"/>
    </row>
    <row r="160" spans="1:19" ht="15" hidden="1" customHeight="1" x14ac:dyDescent="0.25">
      <c r="A160" s="16"/>
      <c r="B160" s="29"/>
      <c r="C160" s="17">
        <v>2</v>
      </c>
      <c r="D160" s="6">
        <f>(8)/3.281</f>
        <v>2.4382810118866196</v>
      </c>
      <c r="E160" s="6">
        <v>0.45</v>
      </c>
      <c r="F160" s="65"/>
      <c r="G160" s="27">
        <f t="shared" si="13"/>
        <v>2.1944529106979576</v>
      </c>
      <c r="H160" s="20"/>
      <c r="I160" s="21"/>
      <c r="J160" s="23"/>
      <c r="K160" s="19"/>
      <c r="M160" s="55"/>
      <c r="N160" s="56"/>
    </row>
    <row r="161" spans="1:19" ht="15" hidden="1" customHeight="1" x14ac:dyDescent="0.25">
      <c r="A161" s="16"/>
      <c r="B161" s="29" t="s">
        <v>62</v>
      </c>
      <c r="C161" s="17">
        <v>4</v>
      </c>
      <c r="D161" s="6">
        <f>4.667/3.281</f>
        <v>1.4224321853093569</v>
      </c>
      <c r="E161" s="6">
        <v>1.2</v>
      </c>
      <c r="F161" s="65"/>
      <c r="G161" s="27">
        <f>4*0.5*(2*D161*E161)</f>
        <v>6.8276744894849131</v>
      </c>
      <c r="H161" s="20"/>
      <c r="I161" s="21"/>
      <c r="J161" s="23"/>
      <c r="K161" s="19"/>
      <c r="M161" s="55"/>
      <c r="N161" s="56"/>
    </row>
    <row r="162" spans="1:19" ht="15" hidden="1" customHeight="1" x14ac:dyDescent="0.25">
      <c r="A162" s="28"/>
      <c r="B162" s="29" t="s">
        <v>20</v>
      </c>
      <c r="C162" s="25"/>
      <c r="D162" s="6"/>
      <c r="E162" s="6"/>
      <c r="F162" s="6"/>
      <c r="G162" s="23">
        <f>0*SUM(G159:G161)</f>
        <v>0</v>
      </c>
      <c r="H162" s="23" t="s">
        <v>26</v>
      </c>
      <c r="I162" s="21">
        <f>325188.75/100</f>
        <v>3251.8874999999998</v>
      </c>
      <c r="J162" s="24">
        <f>G162*I162</f>
        <v>0</v>
      </c>
      <c r="K162" s="7"/>
    </row>
    <row r="163" spans="1:19" ht="15" hidden="1" customHeight="1" x14ac:dyDescent="0.25">
      <c r="A163" s="16"/>
      <c r="B163" s="29" t="s">
        <v>22</v>
      </c>
      <c r="C163" s="17"/>
      <c r="D163" s="18"/>
      <c r="E163" s="19"/>
      <c r="F163" s="19"/>
      <c r="G163" s="21"/>
      <c r="H163" s="20"/>
      <c r="I163" s="21"/>
      <c r="J163" s="23">
        <f>0.13*G162*221748.75/100</f>
        <v>0</v>
      </c>
      <c r="K163" s="19"/>
      <c r="M163" s="55"/>
      <c r="N163" s="56"/>
    </row>
    <row r="164" spans="1:19" ht="15" customHeight="1" x14ac:dyDescent="0.25">
      <c r="A164" s="16"/>
      <c r="B164" s="63"/>
      <c r="C164" s="17"/>
      <c r="D164" s="18"/>
      <c r="E164" s="19"/>
      <c r="F164" s="19"/>
      <c r="G164" s="21"/>
      <c r="H164" s="20"/>
      <c r="I164" s="21"/>
      <c r="J164" s="64"/>
      <c r="K164" s="19"/>
      <c r="M164" s="62"/>
      <c r="N164" s="1"/>
      <c r="O164" s="1"/>
      <c r="P164" s="1"/>
      <c r="Q164" s="1"/>
      <c r="R164" s="62"/>
      <c r="S164" s="62"/>
    </row>
    <row r="165" spans="1:19" x14ac:dyDescent="0.25">
      <c r="A165" s="16">
        <v>14</v>
      </c>
      <c r="B165" s="43" t="s">
        <v>18</v>
      </c>
      <c r="C165" s="17">
        <v>1</v>
      </c>
      <c r="D165" s="18"/>
      <c r="E165" s="19"/>
      <c r="F165" s="19"/>
      <c r="G165" s="23">
        <f t="shared" ref="G165" si="14">PRODUCT(C165:F165)</f>
        <v>1</v>
      </c>
      <c r="H165" s="20" t="s">
        <v>19</v>
      </c>
      <c r="I165" s="21">
        <v>500</v>
      </c>
      <c r="J165" s="23">
        <f>G165*I165</f>
        <v>500</v>
      </c>
      <c r="K165" s="19"/>
      <c r="M165" s="55"/>
      <c r="N165" s="56"/>
    </row>
    <row r="166" spans="1:19" ht="15" customHeight="1" x14ac:dyDescent="0.25">
      <c r="A166" s="16"/>
      <c r="B166" s="22"/>
      <c r="C166" s="17"/>
      <c r="D166" s="18"/>
      <c r="E166" s="19"/>
      <c r="F166" s="19"/>
      <c r="G166" s="21"/>
      <c r="H166" s="20"/>
      <c r="I166" s="21"/>
      <c r="J166" s="23"/>
      <c r="K166" s="19"/>
      <c r="M166" s="55"/>
      <c r="N166" s="56"/>
    </row>
    <row r="167" spans="1:19" x14ac:dyDescent="0.25">
      <c r="A167" s="28"/>
      <c r="B167" s="30" t="s">
        <v>14</v>
      </c>
      <c r="C167" s="25"/>
      <c r="D167" s="6"/>
      <c r="E167" s="6"/>
      <c r="F167" s="6"/>
      <c r="G167" s="23"/>
      <c r="H167" s="23"/>
      <c r="I167" s="23"/>
      <c r="J167" s="23">
        <f>SUM(J10:J165)</f>
        <v>1128441.1546796695</v>
      </c>
      <c r="K167" s="7"/>
    </row>
    <row r="169" spans="1:19" s="1" customFormat="1" x14ac:dyDescent="0.25">
      <c r="B169" s="7" t="s">
        <v>50</v>
      </c>
      <c r="C169" s="79">
        <f>J167</f>
        <v>1128441.1546796695</v>
      </c>
      <c r="D169" s="80"/>
      <c r="E169" s="6">
        <v>100</v>
      </c>
      <c r="F169" s="8"/>
      <c r="G169" s="9"/>
      <c r="H169" s="8"/>
      <c r="I169" s="10"/>
      <c r="J169" s="11"/>
      <c r="K169" s="12"/>
      <c r="M169" s="50"/>
      <c r="N169" s="54"/>
    </row>
    <row r="170" spans="1:19" x14ac:dyDescent="0.25">
      <c r="B170" s="7" t="s">
        <v>51</v>
      </c>
      <c r="C170" s="81">
        <v>1000000</v>
      </c>
      <c r="D170" s="82"/>
      <c r="E170" s="6"/>
      <c r="M170" s="50"/>
      <c r="N170" s="54"/>
    </row>
    <row r="171" spans="1:19" x14ac:dyDescent="0.25">
      <c r="B171" s="7" t="s">
        <v>52</v>
      </c>
      <c r="C171" s="81">
        <f>C170-C173-C174</f>
        <v>950000</v>
      </c>
      <c r="D171" s="82"/>
      <c r="E171" s="6">
        <f>C171/C169*100</f>
        <v>84.186933103275237</v>
      </c>
    </row>
    <row r="172" spans="1:19" x14ac:dyDescent="0.25">
      <c r="B172" s="7" t="s">
        <v>53</v>
      </c>
      <c r="C172" s="83">
        <f>C169-C171</f>
        <v>178441.15467966953</v>
      </c>
      <c r="D172" s="83"/>
      <c r="E172" s="6">
        <f>100-E171</f>
        <v>15.813066896724763</v>
      </c>
      <c r="M172" s="48" t="s">
        <v>70</v>
      </c>
      <c r="N172" s="52" t="s">
        <v>69</v>
      </c>
    </row>
    <row r="173" spans="1:19" x14ac:dyDescent="0.25">
      <c r="B173" s="7" t="s">
        <v>54</v>
      </c>
      <c r="C173" s="79">
        <f>C170*0.03</f>
        <v>30000</v>
      </c>
      <c r="D173" s="80"/>
      <c r="E173" s="6">
        <v>3</v>
      </c>
      <c r="M173" s="48" t="s">
        <v>67</v>
      </c>
      <c r="N173" s="52" t="s">
        <v>68</v>
      </c>
    </row>
    <row r="174" spans="1:19" x14ac:dyDescent="0.25">
      <c r="B174" s="7" t="s">
        <v>55</v>
      </c>
      <c r="C174" s="79">
        <f>C170*0.02</f>
        <v>20000</v>
      </c>
      <c r="D174" s="80"/>
      <c r="E174" s="6">
        <v>2</v>
      </c>
    </row>
    <row r="175" spans="1:19" x14ac:dyDescent="0.25">
      <c r="M175" s="48" t="s">
        <v>71</v>
      </c>
    </row>
  </sheetData>
  <mergeCells count="15">
    <mergeCell ref="A6:F6"/>
    <mergeCell ref="H6:K6"/>
    <mergeCell ref="A1:K1"/>
    <mergeCell ref="A2:K2"/>
    <mergeCell ref="A3:K3"/>
    <mergeCell ref="A4:K4"/>
    <mergeCell ref="A5:K5"/>
    <mergeCell ref="C173:D173"/>
    <mergeCell ref="C174:D174"/>
    <mergeCell ref="A7:F7"/>
    <mergeCell ref="H7:K7"/>
    <mergeCell ref="C169:D169"/>
    <mergeCell ref="C170:D170"/>
    <mergeCell ref="C171:D171"/>
    <mergeCell ref="C172:D172"/>
  </mergeCells>
  <hyperlinks>
    <hyperlink ref="B117" r:id="rId1"/>
  </hyperlinks>
  <printOptions horizontalCentered="1"/>
  <pageMargins left="0.7" right="0.7" top="0.75" bottom="0.75" header="0.3" footer="0.3"/>
  <pageSetup paperSize="9" scale="75" orientation="portrait" horizontalDpi="300" verticalDpi="300" r:id="rId2"/>
  <headerFooter>
    <oddFooter>&amp;LPrepared By:
Kristal Suwal&amp;CChecked By:
Er. Milan Phuyal&amp;RApproved By:
Er. Prakash Singh Saud</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8"/>
  <sheetViews>
    <sheetView tabSelected="1" view="pageBreakPreview" topLeftCell="A76" zoomScale="80" zoomScaleNormal="100" zoomScaleSheetLayoutView="80" workbookViewId="0">
      <selection activeCell="D93" sqref="D93"/>
    </sheetView>
  </sheetViews>
  <sheetFormatPr defaultRowHeight="15" x14ac:dyDescent="0.25"/>
  <cols>
    <col min="1" max="1" width="4.42578125" style="5" customWidth="1"/>
    <col min="2" max="2" width="30.42578125" customWidth="1"/>
    <col min="3" max="3" width="5.5703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 style="48" bestFit="1" customWidth="1"/>
    <col min="14" max="14" width="9.5703125" style="52" bestFit="1" customWidth="1"/>
  </cols>
  <sheetData>
    <row r="1" spans="1:16" s="1" customFormat="1" x14ac:dyDescent="0.25">
      <c r="A1" s="75" t="s">
        <v>0</v>
      </c>
      <c r="B1" s="75"/>
      <c r="C1" s="75"/>
      <c r="D1" s="75"/>
      <c r="E1" s="75"/>
      <c r="F1" s="75"/>
      <c r="G1" s="75"/>
      <c r="H1" s="75"/>
      <c r="I1" s="75"/>
      <c r="J1" s="75"/>
      <c r="K1" s="75"/>
      <c r="M1" s="47"/>
      <c r="N1" s="51"/>
    </row>
    <row r="2" spans="1:16" s="1" customFormat="1" ht="22.5" x14ac:dyDescent="0.25">
      <c r="A2" s="76" t="s">
        <v>1</v>
      </c>
      <c r="B2" s="76"/>
      <c r="C2" s="76"/>
      <c r="D2" s="76"/>
      <c r="E2" s="76"/>
      <c r="F2" s="76"/>
      <c r="G2" s="76"/>
      <c r="H2" s="76"/>
      <c r="I2" s="76"/>
      <c r="J2" s="76"/>
      <c r="K2" s="76"/>
      <c r="M2" s="47"/>
      <c r="N2" s="51"/>
    </row>
    <row r="3" spans="1:16" s="1" customFormat="1" x14ac:dyDescent="0.25">
      <c r="A3" s="77" t="s">
        <v>2</v>
      </c>
      <c r="B3" s="77"/>
      <c r="C3" s="77"/>
      <c r="D3" s="77"/>
      <c r="E3" s="77"/>
      <c r="F3" s="77"/>
      <c r="G3" s="77"/>
      <c r="H3" s="77"/>
      <c r="I3" s="77"/>
      <c r="J3" s="77"/>
      <c r="K3" s="77"/>
      <c r="M3" s="47"/>
      <c r="N3" s="51"/>
    </row>
    <row r="4" spans="1:16" s="1" customFormat="1" x14ac:dyDescent="0.25">
      <c r="A4" s="77" t="s">
        <v>3</v>
      </c>
      <c r="B4" s="77"/>
      <c r="C4" s="77"/>
      <c r="D4" s="77"/>
      <c r="E4" s="77"/>
      <c r="F4" s="77"/>
      <c r="G4" s="77"/>
      <c r="H4" s="77"/>
      <c r="I4" s="77"/>
      <c r="J4" s="77"/>
      <c r="K4" s="77"/>
      <c r="M4" s="47"/>
      <c r="N4" s="51"/>
    </row>
    <row r="5" spans="1:16" ht="18.75" x14ac:dyDescent="0.3">
      <c r="A5" s="78" t="s">
        <v>4</v>
      </c>
      <c r="B5" s="78"/>
      <c r="C5" s="78"/>
      <c r="D5" s="78"/>
      <c r="E5" s="78"/>
      <c r="F5" s="78"/>
      <c r="G5" s="78"/>
      <c r="H5" s="78"/>
      <c r="I5" s="78"/>
      <c r="J5" s="78"/>
      <c r="K5" s="78"/>
    </row>
    <row r="6" spans="1:16" ht="15.75" x14ac:dyDescent="0.25">
      <c r="A6" s="72" t="s">
        <v>79</v>
      </c>
      <c r="B6" s="72"/>
      <c r="C6" s="72"/>
      <c r="D6" s="72"/>
      <c r="E6" s="72"/>
      <c r="F6" s="72"/>
      <c r="G6" s="2"/>
      <c r="H6" s="73" t="s">
        <v>111</v>
      </c>
      <c r="I6" s="73"/>
      <c r="J6" s="73"/>
      <c r="K6" s="73"/>
    </row>
    <row r="7" spans="1:16" ht="15.75" x14ac:dyDescent="0.25">
      <c r="A7" s="74" t="s">
        <v>15</v>
      </c>
      <c r="B7" s="74"/>
      <c r="C7" s="74"/>
      <c r="D7" s="74"/>
      <c r="E7" s="74"/>
      <c r="F7" s="74"/>
      <c r="G7" s="3"/>
      <c r="H7" s="73" t="s">
        <v>110</v>
      </c>
      <c r="I7" s="73"/>
      <c r="J7" s="73"/>
      <c r="K7" s="73"/>
    </row>
    <row r="8" spans="1:16" ht="15" customHeight="1" x14ac:dyDescent="0.25">
      <c r="A8" s="4" t="s">
        <v>5</v>
      </c>
      <c r="B8" s="13" t="s">
        <v>6</v>
      </c>
      <c r="C8" s="4" t="s">
        <v>7</v>
      </c>
      <c r="D8" s="14" t="s">
        <v>8</v>
      </c>
      <c r="E8" s="14" t="s">
        <v>9</v>
      </c>
      <c r="F8" s="14" t="s">
        <v>10</v>
      </c>
      <c r="G8" s="14" t="s">
        <v>11</v>
      </c>
      <c r="H8" s="4" t="s">
        <v>12</v>
      </c>
      <c r="I8" s="14" t="s">
        <v>59</v>
      </c>
      <c r="J8" s="14" t="s">
        <v>60</v>
      </c>
      <c r="K8" s="15" t="s">
        <v>13</v>
      </c>
    </row>
    <row r="9" spans="1:16" ht="15" customHeight="1" x14ac:dyDescent="0.25">
      <c r="A9" s="4" t="s">
        <v>21</v>
      </c>
      <c r="B9" s="13" t="s">
        <v>23</v>
      </c>
      <c r="C9" s="4"/>
      <c r="D9" s="14"/>
      <c r="E9" s="14"/>
      <c r="F9" s="14"/>
      <c r="G9" s="14"/>
      <c r="H9" s="4"/>
      <c r="I9" s="14"/>
      <c r="J9" s="14"/>
      <c r="K9" s="15"/>
    </row>
    <row r="10" spans="1:16" s="37" customFormat="1" ht="30.75" x14ac:dyDescent="0.25">
      <c r="A10" s="31">
        <v>1</v>
      </c>
      <c r="B10" s="40" t="s">
        <v>61</v>
      </c>
      <c r="C10" s="32"/>
      <c r="D10" s="32"/>
      <c r="E10" s="32"/>
      <c r="F10" s="32"/>
      <c r="G10" s="33"/>
      <c r="H10" s="34"/>
      <c r="I10" s="35"/>
      <c r="J10" s="35"/>
      <c r="K10" s="36"/>
      <c r="M10" s="55"/>
      <c r="N10" s="56"/>
      <c r="O10" s="44"/>
      <c r="P10" s="44"/>
    </row>
    <row r="11" spans="1:16" ht="15" customHeight="1" x14ac:dyDescent="0.25">
      <c r="A11" s="28"/>
      <c r="B11" s="29" t="s">
        <v>24</v>
      </c>
      <c r="C11" s="25">
        <v>1</v>
      </c>
      <c r="D11" s="6">
        <f>8.5/3.281</f>
        <v>2.5906735751295336</v>
      </c>
      <c r="E11" s="6">
        <f>8.5/3.281</f>
        <v>2.5906735751295336</v>
      </c>
      <c r="F11" s="6">
        <v>1.5</v>
      </c>
      <c r="G11" s="27">
        <f>PRODUCT(C11:F11)</f>
        <v>10.067384359311658</v>
      </c>
      <c r="H11" s="23"/>
      <c r="I11" s="26"/>
      <c r="J11" s="24"/>
      <c r="K11" s="7"/>
      <c r="M11" s="49"/>
      <c r="N11" s="53"/>
      <c r="O11" s="45"/>
      <c r="P11" s="45"/>
    </row>
    <row r="12" spans="1:16" ht="15" customHeight="1" x14ac:dyDescent="0.25">
      <c r="A12" s="16"/>
      <c r="B12" s="29" t="s">
        <v>20</v>
      </c>
      <c r="C12" s="17"/>
      <c r="D12" s="18"/>
      <c r="E12" s="19"/>
      <c r="F12" s="19"/>
      <c r="G12" s="21">
        <f>SUM(G11:G11)</f>
        <v>10.067384359311658</v>
      </c>
      <c r="H12" s="20" t="s">
        <v>16</v>
      </c>
      <c r="I12" s="21">
        <v>648.9</v>
      </c>
      <c r="J12" s="23">
        <f>G12*I12</f>
        <v>6532.725710757335</v>
      </c>
      <c r="K12" s="19"/>
      <c r="M12" s="55"/>
      <c r="N12" s="56"/>
      <c r="O12" s="45"/>
      <c r="P12" s="45"/>
    </row>
    <row r="13" spans="1:16" ht="15" customHeight="1" x14ac:dyDescent="0.25">
      <c r="A13" s="16"/>
      <c r="B13" s="29"/>
      <c r="C13" s="17"/>
      <c r="D13" s="18"/>
      <c r="E13" s="19"/>
      <c r="F13" s="19"/>
      <c r="G13" s="21"/>
      <c r="H13" s="20"/>
      <c r="I13" s="21"/>
      <c r="J13" s="23"/>
      <c r="K13" s="19"/>
      <c r="M13" s="55"/>
      <c r="N13" s="56"/>
      <c r="O13" s="45"/>
      <c r="P13" s="45"/>
    </row>
    <row r="14" spans="1:16" ht="15.75" x14ac:dyDescent="0.25">
      <c r="A14" s="28">
        <v>2</v>
      </c>
      <c r="B14" s="40" t="s">
        <v>25</v>
      </c>
      <c r="C14" s="25"/>
      <c r="D14" s="6"/>
      <c r="E14" s="6"/>
      <c r="F14" s="6"/>
      <c r="G14" s="27"/>
      <c r="H14" s="23"/>
      <c r="I14" s="26"/>
      <c r="J14" s="24"/>
      <c r="K14" s="7"/>
      <c r="M14" s="49"/>
      <c r="N14" s="53"/>
      <c r="O14" s="45"/>
      <c r="P14" s="45"/>
    </row>
    <row r="15" spans="1:16" ht="15" customHeight="1" x14ac:dyDescent="0.25">
      <c r="A15" s="28"/>
      <c r="B15" s="29" t="str">
        <f>B11</f>
        <v>-For foundation</v>
      </c>
      <c r="C15" s="25">
        <v>1</v>
      </c>
      <c r="D15" s="6">
        <f>D11</f>
        <v>2.5906735751295336</v>
      </c>
      <c r="E15" s="6">
        <f>E11</f>
        <v>2.5906735751295336</v>
      </c>
      <c r="F15" s="6"/>
      <c r="G15" s="27">
        <f t="shared" ref="G15:G16" si="0">PRODUCT(C15:F15)</f>
        <v>6.7115895728744386</v>
      </c>
      <c r="H15" s="23"/>
      <c r="I15" s="26"/>
      <c r="J15" s="24"/>
      <c r="K15" s="7"/>
      <c r="M15" s="49"/>
      <c r="N15" s="53"/>
      <c r="O15" s="45"/>
      <c r="P15" s="45"/>
    </row>
    <row r="16" spans="1:16" ht="15" customHeight="1" x14ac:dyDescent="0.25">
      <c r="A16" s="16"/>
      <c r="B16" s="29" t="s">
        <v>49</v>
      </c>
      <c r="C16" s="17">
        <v>1</v>
      </c>
      <c r="D16" s="6">
        <f>6.5/3.281</f>
        <v>1.9811033221578787</v>
      </c>
      <c r="E16" s="6">
        <f>6.5/3.281</f>
        <v>1.9811033221578787</v>
      </c>
      <c r="F16" s="65"/>
      <c r="G16" s="27">
        <f t="shared" si="0"/>
        <v>3.9247703730649834</v>
      </c>
      <c r="H16" s="20"/>
      <c r="I16" s="21"/>
      <c r="J16" s="23"/>
      <c r="K16" s="19"/>
      <c r="M16" s="55"/>
      <c r="N16" s="56"/>
      <c r="O16" s="45"/>
      <c r="P16" s="45"/>
    </row>
    <row r="17" spans="1:16" ht="15" customHeight="1" x14ac:dyDescent="0.25">
      <c r="A17" s="28"/>
      <c r="B17" s="29" t="s">
        <v>20</v>
      </c>
      <c r="C17" s="25"/>
      <c r="D17" s="6"/>
      <c r="E17" s="6"/>
      <c r="F17" s="6"/>
      <c r="G17" s="23">
        <f>SUM(G15:G16)</f>
        <v>10.636359945939422</v>
      </c>
      <c r="H17" s="23" t="s">
        <v>26</v>
      </c>
      <c r="I17" s="26">
        <v>985.38</v>
      </c>
      <c r="J17" s="24">
        <f>G17*I17</f>
        <v>10480.856363529787</v>
      </c>
      <c r="K17" s="7"/>
      <c r="M17" s="49"/>
      <c r="N17" s="53"/>
      <c r="O17" s="45"/>
      <c r="P17" s="45"/>
    </row>
    <row r="18" spans="1:16" ht="15" customHeight="1" x14ac:dyDescent="0.25">
      <c r="A18" s="16"/>
      <c r="B18" s="29" t="s">
        <v>22</v>
      </c>
      <c r="C18" s="17"/>
      <c r="D18" s="18"/>
      <c r="E18" s="19"/>
      <c r="F18" s="19"/>
      <c r="G18" s="21"/>
      <c r="H18" s="20"/>
      <c r="I18" s="21"/>
      <c r="J18" s="23">
        <f>0.13*G17*(8353.81)/10</f>
        <v>1155.1036910398466</v>
      </c>
      <c r="K18" s="19"/>
      <c r="M18" s="55"/>
      <c r="N18" s="56"/>
    </row>
    <row r="19" spans="1:16" ht="15" customHeight="1" x14ac:dyDescent="0.25">
      <c r="A19" s="16"/>
      <c r="B19" s="29"/>
      <c r="C19" s="7"/>
      <c r="D19" s="6"/>
      <c r="E19" s="6"/>
      <c r="F19" s="6"/>
      <c r="G19" s="23"/>
      <c r="H19" s="28"/>
      <c r="I19" s="23"/>
      <c r="J19" s="23"/>
      <c r="K19" s="19"/>
      <c r="M19" s="55"/>
      <c r="N19" s="56"/>
    </row>
    <row r="20" spans="1:16" ht="30.75" x14ac:dyDescent="0.25">
      <c r="A20" s="16">
        <v>3</v>
      </c>
      <c r="B20" s="40" t="s">
        <v>27</v>
      </c>
      <c r="C20" s="7"/>
      <c r="D20" s="6"/>
      <c r="E20" s="6"/>
      <c r="F20" s="6"/>
      <c r="G20" s="23"/>
      <c r="H20" s="28"/>
      <c r="I20" s="23"/>
      <c r="J20" s="23"/>
      <c r="K20" s="19"/>
      <c r="M20" s="55"/>
      <c r="N20" s="56"/>
    </row>
    <row r="21" spans="1:16" ht="15" customHeight="1" x14ac:dyDescent="0.25">
      <c r="A21" s="28"/>
      <c r="B21" s="29" t="str">
        <f>B11</f>
        <v>-For foundation</v>
      </c>
      <c r="C21" s="25">
        <f>C15</f>
        <v>1</v>
      </c>
      <c r="D21" s="6">
        <f>D11</f>
        <v>2.5906735751295336</v>
      </c>
      <c r="E21" s="6">
        <f>E11</f>
        <v>2.5906735751295336</v>
      </c>
      <c r="F21" s="6">
        <v>7.4999999999999997E-2</v>
      </c>
      <c r="G21" s="27">
        <f>PRODUCT(C21:F21)</f>
        <v>0.50336921796558287</v>
      </c>
      <c r="H21" s="23"/>
      <c r="I21" s="26"/>
      <c r="J21" s="24"/>
      <c r="K21" s="7"/>
    </row>
    <row r="22" spans="1:16" ht="15" customHeight="1" x14ac:dyDescent="0.25">
      <c r="A22" s="28"/>
      <c r="B22" s="29" t="s">
        <v>20</v>
      </c>
      <c r="C22" s="25"/>
      <c r="D22" s="6"/>
      <c r="E22" s="6"/>
      <c r="F22" s="6"/>
      <c r="G22" s="23">
        <f>SUM(G21:G21)</f>
        <v>0.50336921796558287</v>
      </c>
      <c r="H22" s="23" t="s">
        <v>16</v>
      </c>
      <c r="I22" s="26">
        <v>12300.32</v>
      </c>
      <c r="J22" s="24">
        <f>G22*I22</f>
        <v>6191.6024591264186</v>
      </c>
      <c r="K22" s="7"/>
    </row>
    <row r="23" spans="1:16" ht="15" customHeight="1" x14ac:dyDescent="0.25">
      <c r="A23" s="16"/>
      <c r="B23" s="29" t="s">
        <v>22</v>
      </c>
      <c r="C23" s="17"/>
      <c r="D23" s="18"/>
      <c r="E23" s="19"/>
      <c r="F23" s="19"/>
      <c r="G23" s="21"/>
      <c r="H23" s="20"/>
      <c r="I23" s="21"/>
      <c r="J23" s="23">
        <f>0.13*G22*7500.33</f>
        <v>490.80658205589401</v>
      </c>
      <c r="K23" s="19"/>
      <c r="M23" s="55"/>
      <c r="N23" s="56"/>
    </row>
    <row r="24" spans="1:16" ht="15" customHeight="1" x14ac:dyDescent="0.25">
      <c r="A24" s="28"/>
      <c r="B24" s="29"/>
      <c r="C24" s="25"/>
      <c r="D24" s="6"/>
      <c r="E24" s="6"/>
      <c r="F24" s="6"/>
      <c r="G24" s="27"/>
      <c r="H24" s="23"/>
      <c r="I24" s="26"/>
      <c r="J24" s="24"/>
      <c r="K24" s="7"/>
    </row>
    <row r="25" spans="1:16" s="1" customFormat="1" ht="30" x14ac:dyDescent="0.25">
      <c r="A25" s="16">
        <v>4</v>
      </c>
      <c r="B25" s="39" t="s">
        <v>28</v>
      </c>
      <c r="C25" s="17"/>
      <c r="D25" s="18"/>
      <c r="E25" s="19"/>
      <c r="F25" s="19"/>
      <c r="G25" s="21"/>
      <c r="H25" s="20"/>
      <c r="I25" s="21"/>
      <c r="J25" s="23"/>
      <c r="K25" s="19"/>
      <c r="M25" s="58"/>
      <c r="N25" s="57"/>
    </row>
    <row r="26" spans="1:16" ht="15" customHeight="1" x14ac:dyDescent="0.25">
      <c r="A26" s="16"/>
      <c r="B26" s="41" t="s">
        <v>29</v>
      </c>
      <c r="C26" s="17"/>
      <c r="D26" s="18"/>
      <c r="E26" s="19"/>
      <c r="F26" s="19"/>
      <c r="G26" s="21"/>
      <c r="H26" s="20"/>
      <c r="I26" s="21"/>
      <c r="J26" s="23"/>
      <c r="K26" s="19"/>
      <c r="M26" s="55"/>
      <c r="N26" s="56"/>
    </row>
    <row r="27" spans="1:16" ht="15" customHeight="1" x14ac:dyDescent="0.25">
      <c r="A27" s="16"/>
      <c r="B27" s="29" t="s">
        <v>30</v>
      </c>
      <c r="C27" s="17">
        <f>C21</f>
        <v>1</v>
      </c>
      <c r="D27" s="6">
        <f>D21-0.15</f>
        <v>2.4406735751295336</v>
      </c>
      <c r="E27" s="6">
        <f>E21-0.15</f>
        <v>2.4406735751295336</v>
      </c>
      <c r="F27" s="6">
        <v>0.45</v>
      </c>
      <c r="G27" s="27">
        <f>PRODUCT(C27:F27)</f>
        <v>2.6805993751510107</v>
      </c>
      <c r="H27" s="20"/>
      <c r="I27" s="21"/>
      <c r="J27" s="23"/>
      <c r="K27" s="19"/>
      <c r="M27" s="55"/>
      <c r="N27" s="56"/>
    </row>
    <row r="28" spans="1:16" ht="15" customHeight="1" x14ac:dyDescent="0.25">
      <c r="A28" s="16"/>
      <c r="B28" s="29" t="s">
        <v>31</v>
      </c>
      <c r="C28" s="17">
        <v>4</v>
      </c>
      <c r="D28" s="6">
        <v>0.23</v>
      </c>
      <c r="E28" s="6">
        <v>0.23</v>
      </c>
      <c r="F28" s="65">
        <f>14.75/3.281</f>
        <v>4.495580615665955</v>
      </c>
      <c r="G28" s="27">
        <f t="shared" ref="G28:G46" si="1">PRODUCT(C28:F28)</f>
        <v>0.95126485827491614</v>
      </c>
      <c r="H28" s="20"/>
      <c r="I28" s="21"/>
      <c r="J28" s="23"/>
      <c r="K28" s="19"/>
      <c r="M28" s="55">
        <f>10/12</f>
        <v>0.83333333333333337</v>
      </c>
      <c r="N28" s="56">
        <f>M28/3.281</f>
        <v>0.25398760540485626</v>
      </c>
    </row>
    <row r="29" spans="1:16" x14ac:dyDescent="0.25">
      <c r="A29" s="16"/>
      <c r="B29" s="29" t="s">
        <v>81</v>
      </c>
      <c r="C29" s="17">
        <v>4</v>
      </c>
      <c r="D29" s="6">
        <f>6.5/3.28</f>
        <v>1.9817073170731709</v>
      </c>
      <c r="E29" s="6">
        <v>0.23</v>
      </c>
      <c r="F29" s="65">
        <v>0.23</v>
      </c>
      <c r="G29" s="27">
        <f t="shared" si="1"/>
        <v>0.41932926829268302</v>
      </c>
      <c r="H29" s="20"/>
      <c r="I29" s="21"/>
      <c r="J29" s="23"/>
      <c r="K29" s="19"/>
      <c r="M29" s="55"/>
      <c r="N29" s="56"/>
    </row>
    <row r="30" spans="1:16" x14ac:dyDescent="0.25">
      <c r="A30" s="16"/>
      <c r="B30" s="29" t="s">
        <v>80</v>
      </c>
      <c r="C30" s="17">
        <v>4</v>
      </c>
      <c r="D30" s="6">
        <f>D29</f>
        <v>1.9817073170731709</v>
      </c>
      <c r="E30" s="6">
        <v>0.23</v>
      </c>
      <c r="F30" s="65">
        <v>0.23</v>
      </c>
      <c r="G30" s="27">
        <f t="shared" si="1"/>
        <v>0.41932926829268302</v>
      </c>
      <c r="H30" s="20"/>
      <c r="I30" s="21"/>
      <c r="J30" s="23"/>
      <c r="K30" s="19"/>
      <c r="M30" s="55"/>
      <c r="N30" s="56"/>
    </row>
    <row r="31" spans="1:16" ht="15" customHeight="1" x14ac:dyDescent="0.25">
      <c r="A31" s="16"/>
      <c r="B31" s="29" t="s">
        <v>72</v>
      </c>
      <c r="C31" s="17">
        <v>4</v>
      </c>
      <c r="D31" s="6">
        <f>D30</f>
        <v>1.9817073170731709</v>
      </c>
      <c r="E31" s="6">
        <v>0.23</v>
      </c>
      <c r="F31" s="65">
        <v>0.23</v>
      </c>
      <c r="G31" s="27">
        <f t="shared" si="1"/>
        <v>0.41932926829268302</v>
      </c>
      <c r="H31" s="20"/>
      <c r="I31" s="21"/>
      <c r="J31" s="23"/>
      <c r="K31" s="19"/>
      <c r="M31" s="55"/>
      <c r="N31" s="56"/>
    </row>
    <row r="32" spans="1:16" ht="15" customHeight="1" x14ac:dyDescent="0.25">
      <c r="A32" s="16"/>
      <c r="B32" s="29" t="str">
        <f>B16</f>
        <v>-For flooring</v>
      </c>
      <c r="C32" s="17">
        <v>1</v>
      </c>
      <c r="D32" s="6">
        <f>D16</f>
        <v>1.9811033221578787</v>
      </c>
      <c r="E32" s="6">
        <f>E16</f>
        <v>1.9811033221578787</v>
      </c>
      <c r="F32" s="65">
        <v>7.4999999999999997E-2</v>
      </c>
      <c r="G32" s="27">
        <f t="shared" si="1"/>
        <v>0.29435777797987372</v>
      </c>
      <c r="H32" s="20"/>
      <c r="I32" s="21"/>
      <c r="J32" s="23"/>
      <c r="K32" s="19"/>
      <c r="M32" s="55"/>
      <c r="N32" s="56"/>
    </row>
    <row r="33" spans="1:14" ht="15" customHeight="1" x14ac:dyDescent="0.25">
      <c r="A33" s="16"/>
      <c r="B33" s="29"/>
      <c r="C33" s="17">
        <v>1</v>
      </c>
      <c r="D33" s="6">
        <f>(8*2+8.667*2)</f>
        <v>33.334000000000003</v>
      </c>
      <c r="E33" s="6">
        <v>0.115</v>
      </c>
      <c r="F33" s="65">
        <v>0.1</v>
      </c>
      <c r="G33" s="27">
        <f t="shared" si="1"/>
        <v>0.3833410000000001</v>
      </c>
      <c r="H33" s="20"/>
      <c r="I33" s="21"/>
      <c r="J33" s="23"/>
      <c r="K33" s="19"/>
      <c r="M33" s="55"/>
      <c r="N33" s="56"/>
    </row>
    <row r="34" spans="1:14" ht="15" customHeight="1" x14ac:dyDescent="0.25">
      <c r="A34" s="16"/>
      <c r="B34" s="29" t="s">
        <v>32</v>
      </c>
      <c r="C34" s="17">
        <v>4</v>
      </c>
      <c r="D34" s="6">
        <v>0.23</v>
      </c>
      <c r="E34" s="6">
        <v>0.23</v>
      </c>
      <c r="F34" s="65">
        <f>(8.917)/3.281</f>
        <v>2.7177689728741234</v>
      </c>
      <c r="G34" s="27">
        <f t="shared" si="1"/>
        <v>0.5750799146601645</v>
      </c>
      <c r="H34" s="20"/>
      <c r="I34" s="21"/>
      <c r="J34" s="23"/>
      <c r="K34" s="19"/>
      <c r="M34" s="55"/>
      <c r="N34" s="56"/>
    </row>
    <row r="35" spans="1:14" ht="15" customHeight="1" x14ac:dyDescent="0.25">
      <c r="A35" s="16"/>
      <c r="B35" s="29" t="s">
        <v>33</v>
      </c>
      <c r="C35" s="17">
        <v>4</v>
      </c>
      <c r="D35" s="6">
        <f>((6.5)/3.281)</f>
        <v>1.9811033221578787</v>
      </c>
      <c r="E35" s="6">
        <v>0.23</v>
      </c>
      <c r="F35" s="65">
        <v>0.23</v>
      </c>
      <c r="G35" s="27">
        <f t="shared" si="1"/>
        <v>0.41920146296860716</v>
      </c>
      <c r="H35" s="20"/>
      <c r="I35" s="21"/>
      <c r="J35" s="23"/>
      <c r="K35" s="19"/>
      <c r="M35" s="55"/>
      <c r="N35" s="56"/>
    </row>
    <row r="36" spans="1:14" ht="15" customHeight="1" x14ac:dyDescent="0.25">
      <c r="A36" s="16"/>
      <c r="B36" s="29" t="s">
        <v>82</v>
      </c>
      <c r="C36" s="17">
        <v>2</v>
      </c>
      <c r="D36" s="6">
        <f>((6.5)/3.281)</f>
        <v>1.9811033221578787</v>
      </c>
      <c r="E36" s="6">
        <v>0.23</v>
      </c>
      <c r="F36" s="65">
        <v>0.23</v>
      </c>
      <c r="G36" s="27">
        <f t="shared" si="1"/>
        <v>0.20960073148430358</v>
      </c>
      <c r="H36" s="20"/>
      <c r="I36" s="21"/>
      <c r="J36" s="23"/>
      <c r="K36" s="19"/>
      <c r="M36" s="55"/>
      <c r="N36" s="56"/>
    </row>
    <row r="37" spans="1:14" ht="15" customHeight="1" x14ac:dyDescent="0.25">
      <c r="A37" s="16"/>
      <c r="B37" s="29"/>
      <c r="C37" s="17">
        <v>2</v>
      </c>
      <c r="D37" s="6">
        <f>((6.5-0.75*2)/3.281)</f>
        <v>1.5239256324291375</v>
      </c>
      <c r="E37" s="6">
        <v>0.23</v>
      </c>
      <c r="F37" s="65">
        <v>0.23</v>
      </c>
      <c r="G37" s="27">
        <f t="shared" si="1"/>
        <v>0.16123133191100275</v>
      </c>
      <c r="H37" s="20"/>
      <c r="I37" s="21"/>
      <c r="J37" s="23"/>
      <c r="K37" s="19"/>
      <c r="M37" s="55"/>
      <c r="N37" s="56"/>
    </row>
    <row r="38" spans="1:14" ht="15" customHeight="1" x14ac:dyDescent="0.25">
      <c r="A38" s="16"/>
      <c r="B38" s="29" t="s">
        <v>90</v>
      </c>
      <c r="C38" s="17">
        <v>1</v>
      </c>
      <c r="D38" s="6">
        <f>(12.333)/3.281</f>
        <v>3.7589149649497102</v>
      </c>
      <c r="E38" s="6">
        <f>(12.333)/3.281</f>
        <v>3.7589149649497102</v>
      </c>
      <c r="F38" s="65">
        <v>0.125</v>
      </c>
      <c r="G38" s="27">
        <f t="shared" si="1"/>
        <v>1.7661802142153602</v>
      </c>
      <c r="H38" s="20"/>
      <c r="I38" s="21"/>
      <c r="J38" s="23"/>
      <c r="K38" s="19"/>
      <c r="M38" s="55"/>
      <c r="N38" s="56"/>
    </row>
    <row r="39" spans="1:14" ht="15" customHeight="1" x14ac:dyDescent="0.25">
      <c r="A39" s="16"/>
      <c r="B39" s="29" t="s">
        <v>83</v>
      </c>
      <c r="C39" s="17">
        <v>-1</v>
      </c>
      <c r="D39" s="6">
        <f>2/3.281</f>
        <v>0.6095702529716549</v>
      </c>
      <c r="E39" s="6">
        <f>2/3.281</f>
        <v>0.6095702529716549</v>
      </c>
      <c r="F39" s="65">
        <v>0.125</v>
      </c>
      <c r="G39" s="27">
        <f t="shared" si="1"/>
        <v>-4.6446986663490918E-2</v>
      </c>
      <c r="H39" s="20"/>
      <c r="I39" s="21"/>
      <c r="J39" s="23"/>
      <c r="K39" s="19"/>
      <c r="M39" s="55"/>
      <c r="N39" s="56"/>
    </row>
    <row r="40" spans="1:14" ht="15" customHeight="1" x14ac:dyDescent="0.25">
      <c r="A40" s="16"/>
      <c r="B40" s="29" t="s">
        <v>85</v>
      </c>
      <c r="C40" s="17">
        <v>4</v>
      </c>
      <c r="D40" s="6">
        <f>4.583/3.281</f>
        <v>1.3968302346845474</v>
      </c>
      <c r="E40" s="6">
        <f>((3.5+12.42)/2)/3.281</f>
        <v>2.4260896068271869</v>
      </c>
      <c r="F40" s="65">
        <v>0.1</v>
      </c>
      <c r="G40" s="27">
        <f t="shared" si="1"/>
        <v>1.3555341259480644</v>
      </c>
      <c r="H40" s="20"/>
      <c r="I40" s="21"/>
      <c r="J40" s="23"/>
      <c r="K40" s="19"/>
      <c r="M40" s="55"/>
      <c r="N40" s="56"/>
    </row>
    <row r="41" spans="1:14" ht="15" customHeight="1" x14ac:dyDescent="0.25">
      <c r="A41" s="16"/>
      <c r="B41" s="29" t="s">
        <v>84</v>
      </c>
      <c r="C41" s="17">
        <v>4</v>
      </c>
      <c r="D41" s="6">
        <v>0.23</v>
      </c>
      <c r="E41" s="6">
        <v>0.23</v>
      </c>
      <c r="F41" s="65">
        <f>4.5/3.281</f>
        <v>1.3715330691862238</v>
      </c>
      <c r="G41" s="27">
        <f t="shared" si="1"/>
        <v>0.29021639743980499</v>
      </c>
      <c r="H41" s="20"/>
      <c r="I41" s="21"/>
      <c r="J41" s="23"/>
      <c r="K41" s="19"/>
      <c r="M41" s="55"/>
      <c r="N41" s="56"/>
    </row>
    <row r="42" spans="1:14" ht="15" customHeight="1" x14ac:dyDescent="0.25">
      <c r="A42" s="16"/>
      <c r="B42" s="29" t="s">
        <v>97</v>
      </c>
      <c r="C42" s="17">
        <f>-C41</f>
        <v>-4</v>
      </c>
      <c r="D42" s="6">
        <f>D41</f>
        <v>0.23</v>
      </c>
      <c r="E42" s="6">
        <f>E41</f>
        <v>0.23</v>
      </c>
      <c r="F42" s="65">
        <v>0.23</v>
      </c>
      <c r="G42" s="27">
        <f t="shared" si="1"/>
        <v>-4.8668000000000003E-2</v>
      </c>
      <c r="H42" s="20"/>
      <c r="I42" s="21"/>
      <c r="J42" s="23"/>
      <c r="K42" s="19"/>
      <c r="M42" s="55"/>
      <c r="N42" s="56"/>
    </row>
    <row r="43" spans="1:14" ht="15" customHeight="1" x14ac:dyDescent="0.25">
      <c r="A43" s="16"/>
      <c r="B43" s="29" t="s">
        <v>86</v>
      </c>
      <c r="C43" s="17">
        <f>4</f>
        <v>4</v>
      </c>
      <c r="D43" s="6">
        <v>0.6</v>
      </c>
      <c r="E43" s="6">
        <v>0.23</v>
      </c>
      <c r="F43" s="65">
        <v>0.23</v>
      </c>
      <c r="G43" s="27">
        <f t="shared" si="1"/>
        <v>0.12696000000000002</v>
      </c>
      <c r="H43" s="20"/>
      <c r="I43" s="21"/>
      <c r="J43" s="23"/>
      <c r="K43" s="19"/>
      <c r="M43" s="55"/>
      <c r="N43" s="56"/>
    </row>
    <row r="44" spans="1:14" ht="15" customHeight="1" x14ac:dyDescent="0.25">
      <c r="A44" s="16"/>
      <c r="B44" s="29" t="s">
        <v>87</v>
      </c>
      <c r="C44" s="17">
        <v>1</v>
      </c>
      <c r="D44" s="6">
        <f>7.917/3.281</f>
        <v>2.412983846388296</v>
      </c>
      <c r="E44" s="6">
        <f>7.917/3.281</f>
        <v>2.412983846388296</v>
      </c>
      <c r="F44" s="65">
        <v>7.4999999999999997E-2</v>
      </c>
      <c r="G44" s="27">
        <f>PRODUCT(C44:F44)</f>
        <v>0.43668682821981414</v>
      </c>
      <c r="H44" s="20"/>
      <c r="I44" s="21"/>
      <c r="J44" s="23"/>
      <c r="K44" s="19"/>
      <c r="M44" s="55"/>
      <c r="N44" s="56"/>
    </row>
    <row r="45" spans="1:14" ht="15" customHeight="1" x14ac:dyDescent="0.25">
      <c r="A45" s="16"/>
      <c r="B45" s="29" t="s">
        <v>83</v>
      </c>
      <c r="C45" s="17">
        <v>-1</v>
      </c>
      <c r="D45" s="6">
        <v>0.23</v>
      </c>
      <c r="E45" s="6">
        <v>0.23</v>
      </c>
      <c r="F45" s="65">
        <v>7.4999999999999997E-2</v>
      </c>
      <c r="G45" s="27">
        <f>PRODUCT(C45:F45)</f>
        <v>-3.9674999999999997E-3</v>
      </c>
      <c r="H45" s="20"/>
      <c r="I45" s="21"/>
      <c r="J45" s="23"/>
      <c r="K45" s="19"/>
      <c r="M45" s="55"/>
      <c r="N45" s="56"/>
    </row>
    <row r="46" spans="1:14" ht="15" customHeight="1" x14ac:dyDescent="0.25">
      <c r="A46" s="16"/>
      <c r="B46" s="29" t="s">
        <v>88</v>
      </c>
      <c r="C46" s="17">
        <v>4</v>
      </c>
      <c r="D46" s="6">
        <f>3.5/3.281</f>
        <v>1.0667479427003961</v>
      </c>
      <c r="E46" s="6">
        <v>1.2</v>
      </c>
      <c r="F46" s="65">
        <v>7.4999999999999997E-2</v>
      </c>
      <c r="G46" s="27">
        <f t="shared" si="1"/>
        <v>0.38402925937214255</v>
      </c>
      <c r="H46" s="20"/>
      <c r="I46" s="21"/>
      <c r="J46" s="23"/>
      <c r="K46" s="19"/>
      <c r="M46" s="55"/>
      <c r="N46" s="56"/>
    </row>
    <row r="47" spans="1:14" ht="15" customHeight="1" x14ac:dyDescent="0.25">
      <c r="A47" s="28"/>
      <c r="B47" s="29" t="s">
        <v>20</v>
      </c>
      <c r="C47" s="25"/>
      <c r="D47" s="6"/>
      <c r="E47" s="6"/>
      <c r="F47" s="6"/>
      <c r="G47" s="23">
        <f>SUM(G27:G46)</f>
        <v>11.193188595839624</v>
      </c>
      <c r="H47" s="23" t="s">
        <v>16</v>
      </c>
      <c r="I47" s="26">
        <v>14200.82</v>
      </c>
      <c r="J47" s="24">
        <f>G47*I47</f>
        <v>158952.45647557123</v>
      </c>
      <c r="K47" s="7"/>
    </row>
    <row r="48" spans="1:14" ht="15" customHeight="1" x14ac:dyDescent="0.25">
      <c r="A48" s="16"/>
      <c r="B48" s="29" t="s">
        <v>22</v>
      </c>
      <c r="C48" s="17"/>
      <c r="D48" s="18"/>
      <c r="E48" s="19"/>
      <c r="F48" s="19"/>
      <c r="G48" s="21"/>
      <c r="H48" s="20"/>
      <c r="I48" s="21"/>
      <c r="J48" s="23">
        <f>0.13*G47*10250.02</f>
        <v>14914.952906246648</v>
      </c>
      <c r="K48" s="19"/>
      <c r="M48" s="55"/>
      <c r="N48" s="56"/>
    </row>
    <row r="49" spans="1:14" ht="15" customHeight="1" x14ac:dyDescent="0.25">
      <c r="A49" s="16"/>
      <c r="B49" s="29"/>
      <c r="C49" s="17"/>
      <c r="D49" s="18"/>
      <c r="E49" s="19"/>
      <c r="F49" s="19"/>
      <c r="G49" s="21"/>
      <c r="H49" s="20"/>
      <c r="I49" s="21"/>
      <c r="J49" s="23"/>
      <c r="K49" s="19"/>
      <c r="M49" s="55"/>
      <c r="N49" s="56"/>
    </row>
    <row r="50" spans="1:14" ht="30" x14ac:dyDescent="0.25">
      <c r="A50" s="16">
        <v>5</v>
      </c>
      <c r="B50" s="39" t="s">
        <v>35</v>
      </c>
      <c r="C50" s="7"/>
      <c r="D50" s="6"/>
      <c r="E50" s="6"/>
      <c r="F50" s="6"/>
      <c r="G50" s="23"/>
      <c r="H50" s="28"/>
      <c r="I50" s="23"/>
      <c r="J50" s="23"/>
      <c r="K50" s="19"/>
      <c r="M50" s="55"/>
      <c r="N50" s="56"/>
    </row>
    <row r="51" spans="1:14" ht="15" customHeight="1" x14ac:dyDescent="0.25">
      <c r="A51" s="16"/>
      <c r="B51" s="41" t="s">
        <v>29</v>
      </c>
      <c r="C51" s="17"/>
      <c r="D51" s="18"/>
      <c r="E51" s="19"/>
      <c r="F51" s="19"/>
      <c r="G51" s="21"/>
      <c r="H51" s="20"/>
      <c r="I51" s="21"/>
      <c r="J51" s="23"/>
      <c r="K51" s="19"/>
      <c r="M51" s="55"/>
      <c r="N51" s="56"/>
    </row>
    <row r="52" spans="1:14" ht="15" customHeight="1" x14ac:dyDescent="0.25">
      <c r="A52" s="16"/>
      <c r="B52" s="29" t="s">
        <v>30</v>
      </c>
      <c r="C52" s="17">
        <f>C27</f>
        <v>1</v>
      </c>
      <c r="D52" s="6">
        <f>D27*4</f>
        <v>9.7626943005181346</v>
      </c>
      <c r="E52" s="6"/>
      <c r="F52" s="6">
        <f>F27</f>
        <v>0.45</v>
      </c>
      <c r="G52" s="27">
        <f>PRODUCT(C52:F52)</f>
        <v>4.3932124352331607</v>
      </c>
      <c r="H52" s="20"/>
      <c r="I52" s="21"/>
      <c r="J52" s="23"/>
      <c r="K52" s="19"/>
      <c r="M52" s="55"/>
      <c r="N52" s="56"/>
    </row>
    <row r="53" spans="1:14" ht="15" customHeight="1" x14ac:dyDescent="0.25">
      <c r="A53" s="16"/>
      <c r="B53" s="29" t="s">
        <v>31</v>
      </c>
      <c r="C53" s="17">
        <f>C28</f>
        <v>4</v>
      </c>
      <c r="D53" s="6">
        <f>D28*4</f>
        <v>0.92</v>
      </c>
      <c r="E53" s="6"/>
      <c r="F53" s="65">
        <f>F28-(2.25/3.281)</f>
        <v>3.8098140810728429</v>
      </c>
      <c r="G53" s="27">
        <f t="shared" ref="G53:G68" si="2">PRODUCT(C53:F53)</f>
        <v>14.020115818348062</v>
      </c>
      <c r="H53" s="20"/>
      <c r="I53" s="21"/>
      <c r="J53" s="23"/>
      <c r="K53" s="19"/>
      <c r="M53" s="55"/>
      <c r="N53" s="56"/>
    </row>
    <row r="54" spans="1:14" ht="30" x14ac:dyDescent="0.25">
      <c r="A54" s="16"/>
      <c r="B54" s="29" t="s">
        <v>89</v>
      </c>
      <c r="C54" s="17">
        <f>C29+C30+C31</f>
        <v>12</v>
      </c>
      <c r="D54" s="6">
        <f>D29</f>
        <v>1.9817073170731709</v>
      </c>
      <c r="E54" s="6"/>
      <c r="F54" s="65">
        <f>F29*2</f>
        <v>0.46</v>
      </c>
      <c r="G54" s="27">
        <f t="shared" si="2"/>
        <v>10.939024390243903</v>
      </c>
      <c r="H54" s="20"/>
      <c r="I54" s="21"/>
      <c r="J54" s="23"/>
      <c r="K54" s="19"/>
      <c r="M54" s="55"/>
      <c r="N54" s="56"/>
    </row>
    <row r="55" spans="1:14" ht="15" customHeight="1" x14ac:dyDescent="0.25">
      <c r="A55" s="16"/>
      <c r="B55" s="29" t="str">
        <f t="shared" ref="B55:C57" si="3">B34</f>
        <v>-Column</v>
      </c>
      <c r="C55" s="17">
        <f t="shared" si="3"/>
        <v>4</v>
      </c>
      <c r="D55" s="6">
        <f>D34*4</f>
        <v>0.92</v>
      </c>
      <c r="E55" s="6"/>
      <c r="F55" s="65">
        <f>F34</f>
        <v>2.7177689728741234</v>
      </c>
      <c r="G55" s="27">
        <f t="shared" si="2"/>
        <v>10.001389820176774</v>
      </c>
      <c r="H55" s="20"/>
      <c r="I55" s="21"/>
      <c r="J55" s="23"/>
      <c r="K55" s="19"/>
      <c r="M55" s="55"/>
      <c r="N55" s="56"/>
    </row>
    <row r="56" spans="1:14" ht="15" customHeight="1" x14ac:dyDescent="0.25">
      <c r="A56" s="16"/>
      <c r="B56" s="29" t="str">
        <f t="shared" si="3"/>
        <v>-Beam</v>
      </c>
      <c r="C56" s="17">
        <f t="shared" si="3"/>
        <v>4</v>
      </c>
      <c r="D56" s="6">
        <f>D35</f>
        <v>1.9811033221578787</v>
      </c>
      <c r="E56" s="6"/>
      <c r="F56" s="65">
        <f>F35*2</f>
        <v>0.46</v>
      </c>
      <c r="G56" s="27">
        <f t="shared" si="2"/>
        <v>3.6452301127704967</v>
      </c>
      <c r="H56" s="20"/>
      <c r="I56" s="21"/>
      <c r="J56" s="23"/>
      <c r="K56" s="19"/>
      <c r="M56" s="55"/>
      <c r="N56" s="56"/>
    </row>
    <row r="57" spans="1:14" ht="15" customHeight="1" x14ac:dyDescent="0.25">
      <c r="A57" s="16"/>
      <c r="B57" s="29" t="str">
        <f t="shared" si="3"/>
        <v>-Secondary beam</v>
      </c>
      <c r="C57" s="17">
        <f t="shared" si="3"/>
        <v>2</v>
      </c>
      <c r="D57" s="6">
        <f>D36</f>
        <v>1.9811033221578787</v>
      </c>
      <c r="E57" s="6"/>
      <c r="F57" s="65">
        <f>F36*2</f>
        <v>0.46</v>
      </c>
      <c r="G57" s="27">
        <f t="shared" si="2"/>
        <v>1.8226150563852483</v>
      </c>
      <c r="H57" s="20"/>
      <c r="I57" s="21"/>
      <c r="J57" s="23"/>
      <c r="K57" s="19"/>
      <c r="M57" s="55"/>
      <c r="N57" s="56"/>
    </row>
    <row r="58" spans="1:14" ht="15" customHeight="1" x14ac:dyDescent="0.25">
      <c r="A58" s="16"/>
      <c r="B58" s="29"/>
      <c r="C58" s="17">
        <f>C37</f>
        <v>2</v>
      </c>
      <c r="D58" s="6">
        <f>D37</f>
        <v>1.5239256324291375</v>
      </c>
      <c r="E58" s="6"/>
      <c r="F58" s="65">
        <f>F37*2</f>
        <v>0.46</v>
      </c>
      <c r="G58" s="27">
        <f t="shared" si="2"/>
        <v>1.4020115818348065</v>
      </c>
      <c r="H58" s="20"/>
      <c r="I58" s="21"/>
      <c r="J58" s="23"/>
      <c r="K58" s="19"/>
      <c r="M58" s="55"/>
      <c r="N58" s="56"/>
    </row>
    <row r="59" spans="1:14" ht="15" customHeight="1" x14ac:dyDescent="0.25">
      <c r="A59" s="16"/>
      <c r="B59" s="29" t="str">
        <f>B38</f>
        <v>-1st floor slab</v>
      </c>
      <c r="C59" s="17">
        <f>C38</f>
        <v>1</v>
      </c>
      <c r="D59" s="6">
        <f>D38</f>
        <v>3.7589149649497102</v>
      </c>
      <c r="E59" s="6">
        <f>E38</f>
        <v>3.7589149649497102</v>
      </c>
      <c r="F59" s="65"/>
      <c r="G59" s="27">
        <f t="shared" si="2"/>
        <v>14.129441713722882</v>
      </c>
      <c r="H59" s="20"/>
      <c r="I59" s="21"/>
      <c r="J59" s="23"/>
      <c r="K59" s="19"/>
      <c r="M59" s="55"/>
      <c r="N59" s="56"/>
    </row>
    <row r="60" spans="1:14" ht="15" customHeight="1" x14ac:dyDescent="0.25">
      <c r="A60" s="16"/>
      <c r="B60" s="29" t="s">
        <v>91</v>
      </c>
      <c r="C60" s="17">
        <f>-C55</f>
        <v>-4</v>
      </c>
      <c r="D60" s="6">
        <f>D34</f>
        <v>0.23</v>
      </c>
      <c r="E60" s="6">
        <f>E34</f>
        <v>0.23</v>
      </c>
      <c r="F60" s="65"/>
      <c r="G60" s="27">
        <f t="shared" si="2"/>
        <v>-0.21160000000000001</v>
      </c>
      <c r="H60" s="20"/>
      <c r="I60" s="21"/>
      <c r="J60" s="23"/>
      <c r="K60" s="19"/>
      <c r="M60" s="55"/>
      <c r="N60" s="56"/>
    </row>
    <row r="61" spans="1:14" ht="15" customHeight="1" x14ac:dyDescent="0.25">
      <c r="A61" s="16"/>
      <c r="B61" s="29" t="str">
        <f>B39</f>
        <v>-Deduction for opening</v>
      </c>
      <c r="C61" s="17">
        <f>C39</f>
        <v>-1</v>
      </c>
      <c r="D61" s="6">
        <f>D39</f>
        <v>0.6095702529716549</v>
      </c>
      <c r="E61" s="6">
        <f>E39</f>
        <v>0.6095702529716549</v>
      </c>
      <c r="F61" s="65"/>
      <c r="G61" s="27">
        <f t="shared" si="2"/>
        <v>-0.37157589330792734</v>
      </c>
      <c r="H61" s="20"/>
      <c r="I61" s="21"/>
      <c r="J61" s="23"/>
      <c r="K61" s="19"/>
      <c r="M61" s="55"/>
      <c r="N61" s="56"/>
    </row>
    <row r="62" spans="1:14" ht="15" customHeight="1" x14ac:dyDescent="0.25">
      <c r="A62" s="16"/>
      <c r="B62" s="29" t="str">
        <f>B40</f>
        <v>-1st floor Inclined Surface</v>
      </c>
      <c r="C62" s="17">
        <f>C40</f>
        <v>4</v>
      </c>
      <c r="D62" s="6">
        <f>4.42/3.281</f>
        <v>1.3471502590673574</v>
      </c>
      <c r="E62" s="6">
        <f>E40</f>
        <v>2.4260896068271869</v>
      </c>
      <c r="F62" s="65"/>
      <c r="G62" s="27">
        <f t="shared" si="2"/>
        <v>13.073228969431472</v>
      </c>
      <c r="H62" s="20"/>
      <c r="I62" s="21"/>
      <c r="J62" s="23"/>
      <c r="K62" s="19"/>
      <c r="M62" s="55"/>
      <c r="N62" s="56"/>
    </row>
    <row r="63" spans="1:14" ht="15" customHeight="1" x14ac:dyDescent="0.25">
      <c r="A63" s="16"/>
      <c r="B63" s="29" t="str">
        <f>B41</f>
        <v>-1st floor column</v>
      </c>
      <c r="C63" s="17">
        <f>C41</f>
        <v>4</v>
      </c>
      <c r="D63" s="6">
        <f>D41*4</f>
        <v>0.92</v>
      </c>
      <c r="E63" s="6"/>
      <c r="F63" s="65">
        <f>F41</f>
        <v>1.3715330691862238</v>
      </c>
      <c r="G63" s="27">
        <f t="shared" si="2"/>
        <v>5.0472416946053036</v>
      </c>
      <c r="H63" s="20"/>
      <c r="I63" s="21"/>
      <c r="J63" s="23"/>
      <c r="K63" s="19"/>
      <c r="M63" s="55"/>
      <c r="N63" s="56"/>
    </row>
    <row r="64" spans="1:14" ht="15" customHeight="1" x14ac:dyDescent="0.25">
      <c r="A64" s="16"/>
      <c r="B64" s="29" t="str">
        <f>B43</f>
        <v>-2nd floor beam</v>
      </c>
      <c r="C64" s="17">
        <f>C43</f>
        <v>4</v>
      </c>
      <c r="D64" s="6">
        <f>D43</f>
        <v>0.6</v>
      </c>
      <c r="E64" s="6"/>
      <c r="F64" s="65">
        <f>F43*2</f>
        <v>0.46</v>
      </c>
      <c r="G64" s="27">
        <f t="shared" si="2"/>
        <v>1.1040000000000001</v>
      </c>
      <c r="H64" s="20"/>
      <c r="I64" s="21"/>
      <c r="J64" s="23"/>
      <c r="K64" s="19"/>
      <c r="M64" s="55"/>
      <c r="N64" s="56"/>
    </row>
    <row r="65" spans="1:16" ht="30" x14ac:dyDescent="0.25">
      <c r="A65" s="16"/>
      <c r="B65" s="29" t="s">
        <v>98</v>
      </c>
      <c r="C65" s="17">
        <f>-C63</f>
        <v>-4</v>
      </c>
      <c r="D65" s="6">
        <f>D63</f>
        <v>0.92</v>
      </c>
      <c r="E65" s="6"/>
      <c r="F65" s="65">
        <v>0.23</v>
      </c>
      <c r="G65" s="27">
        <f t="shared" si="2"/>
        <v>-0.84640000000000004</v>
      </c>
      <c r="H65" s="20"/>
      <c r="I65" s="21"/>
      <c r="J65" s="23"/>
      <c r="K65" s="19"/>
      <c r="M65" s="55"/>
      <c r="N65" s="56"/>
    </row>
    <row r="66" spans="1:16" ht="15" customHeight="1" x14ac:dyDescent="0.25">
      <c r="A66" s="16"/>
      <c r="B66" s="29" t="str">
        <f t="shared" ref="B66:E67" si="4">B44</f>
        <v>-2nd floor slab</v>
      </c>
      <c r="C66" s="17">
        <f t="shared" si="4"/>
        <v>1</v>
      </c>
      <c r="D66" s="6">
        <f t="shared" si="4"/>
        <v>2.412983846388296</v>
      </c>
      <c r="E66" s="6">
        <f t="shared" si="4"/>
        <v>2.412983846388296</v>
      </c>
      <c r="F66" s="65"/>
      <c r="G66" s="27">
        <f t="shared" si="2"/>
        <v>5.8224910429308556</v>
      </c>
      <c r="H66" s="20"/>
      <c r="I66" s="21"/>
      <c r="J66" s="23"/>
      <c r="K66" s="19"/>
      <c r="M66" s="55"/>
      <c r="N66" s="56"/>
    </row>
    <row r="67" spans="1:16" ht="15" customHeight="1" x14ac:dyDescent="0.25">
      <c r="A67" s="16"/>
      <c r="B67" s="29" t="str">
        <f t="shared" si="4"/>
        <v>-Deduction for opening</v>
      </c>
      <c r="C67" s="17">
        <f t="shared" si="4"/>
        <v>-1</v>
      </c>
      <c r="D67" s="6">
        <f t="shared" si="4"/>
        <v>0.23</v>
      </c>
      <c r="E67" s="6">
        <f t="shared" si="4"/>
        <v>0.23</v>
      </c>
      <c r="F67" s="65"/>
      <c r="G67" s="27">
        <f t="shared" si="2"/>
        <v>-5.2900000000000003E-2</v>
      </c>
      <c r="H67" s="20"/>
      <c r="I67" s="21"/>
      <c r="J67" s="23"/>
      <c r="K67" s="19"/>
      <c r="M67" s="55"/>
      <c r="N67" s="56"/>
    </row>
    <row r="68" spans="1:16" ht="15" customHeight="1" x14ac:dyDescent="0.25">
      <c r="A68" s="16"/>
      <c r="B68" s="29" t="str">
        <f>B46</f>
        <v>-2nd floor inclined roof slab</v>
      </c>
      <c r="C68" s="17">
        <f>C46</f>
        <v>4</v>
      </c>
      <c r="D68" s="6">
        <f>3.5/3.281</f>
        <v>1.0667479427003961</v>
      </c>
      <c r="E68" s="6">
        <f>E46</f>
        <v>1.2</v>
      </c>
      <c r="F68" s="65"/>
      <c r="G68" s="27">
        <f t="shared" si="2"/>
        <v>5.1203901249619008</v>
      </c>
      <c r="H68" s="20"/>
      <c r="I68" s="21"/>
      <c r="J68" s="23"/>
      <c r="K68" s="19"/>
      <c r="M68" s="55"/>
      <c r="N68" s="56"/>
    </row>
    <row r="69" spans="1:16" ht="15" customHeight="1" x14ac:dyDescent="0.25">
      <c r="A69" s="28"/>
      <c r="B69" s="29" t="s">
        <v>20</v>
      </c>
      <c r="C69" s="25"/>
      <c r="D69" s="6"/>
      <c r="E69" s="6"/>
      <c r="F69" s="6"/>
      <c r="G69" s="23">
        <f>SUM(G52:G68)</f>
        <v>89.037916867336946</v>
      </c>
      <c r="H69" s="23" t="s">
        <v>26</v>
      </c>
      <c r="I69" s="26">
        <v>905.97</v>
      </c>
      <c r="J69" s="24">
        <f>G69*I69</f>
        <v>80665.68154430126</v>
      </c>
      <c r="K69" s="7"/>
    </row>
    <row r="70" spans="1:16" ht="15" customHeight="1" x14ac:dyDescent="0.25">
      <c r="A70" s="16"/>
      <c r="B70" s="29" t="s">
        <v>22</v>
      </c>
      <c r="C70" s="17"/>
      <c r="D70" s="18"/>
      <c r="E70" s="19"/>
      <c r="F70" s="19"/>
      <c r="G70" s="21"/>
      <c r="H70" s="20"/>
      <c r="I70" s="21"/>
      <c r="J70" s="23">
        <f>0.13*G69*46827.87/100</f>
        <v>5420.2927949748</v>
      </c>
      <c r="K70" s="19"/>
      <c r="M70" s="55"/>
      <c r="N70" s="56"/>
    </row>
    <row r="71" spans="1:16" ht="15" customHeight="1" x14ac:dyDescent="0.25">
      <c r="A71" s="16"/>
      <c r="B71" s="29"/>
      <c r="C71" s="17"/>
      <c r="D71" s="18"/>
      <c r="E71" s="19"/>
      <c r="F71" s="19"/>
      <c r="G71" s="21"/>
      <c r="H71" s="20"/>
      <c r="I71" s="21"/>
      <c r="J71" s="23"/>
      <c r="K71" s="19"/>
      <c r="M71" s="55"/>
      <c r="N71" s="56">
        <f>48*4</f>
        <v>192</v>
      </c>
      <c r="O71">
        <f>N72+N73+O73</f>
        <v>47.937267267267266</v>
      </c>
      <c r="P71">
        <f>O71*4</f>
        <v>191.74906906906907</v>
      </c>
    </row>
    <row r="72" spans="1:16" ht="45" x14ac:dyDescent="0.25">
      <c r="A72" s="16">
        <v>6</v>
      </c>
      <c r="B72" s="39" t="s">
        <v>36</v>
      </c>
      <c r="C72" s="7" t="s">
        <v>7</v>
      </c>
      <c r="D72" s="42" t="s">
        <v>37</v>
      </c>
      <c r="E72" s="42" t="s">
        <v>38</v>
      </c>
      <c r="F72" s="42" t="s">
        <v>39</v>
      </c>
      <c r="G72" s="42" t="s">
        <v>40</v>
      </c>
      <c r="H72" s="28"/>
      <c r="I72" s="23"/>
      <c r="J72" s="23"/>
      <c r="K72" s="19"/>
      <c r="M72" s="55">
        <f>16-0.75*3</f>
        <v>13.75</v>
      </c>
      <c r="N72" s="56">
        <f>M72/0.5</f>
        <v>27.5</v>
      </c>
    </row>
    <row r="73" spans="1:16" ht="15" customHeight="1" x14ac:dyDescent="0.25">
      <c r="A73" s="16"/>
      <c r="B73" s="29" t="str">
        <f>B51</f>
        <v>-For footing</v>
      </c>
      <c r="C73" s="17">
        <f>2*(TRUNC(((D73-0.1)/0.15),0)+1)</f>
        <v>32</v>
      </c>
      <c r="D73" s="18">
        <f>D27</f>
        <v>2.4406735751295336</v>
      </c>
      <c r="E73" s="19">
        <f>12*12/162</f>
        <v>0.88888888888888884</v>
      </c>
      <c r="F73" s="65">
        <f>PRODUCT(C73:E73)</f>
        <v>69.423603914795621</v>
      </c>
      <c r="G73" s="27">
        <f>F73/1000</f>
        <v>6.9423603914795615E-2</v>
      </c>
      <c r="H73" s="20"/>
      <c r="I73" s="21"/>
      <c r="J73" s="23"/>
      <c r="K73" s="19"/>
      <c r="M73" s="55">
        <f>8.17/2</f>
        <v>4.085</v>
      </c>
      <c r="N73" s="56">
        <f>M73/0.333</f>
        <v>12.267267267267266</v>
      </c>
      <c r="O73">
        <f>M73/0.5</f>
        <v>8.17</v>
      </c>
    </row>
    <row r="74" spans="1:16" ht="30" x14ac:dyDescent="0.25">
      <c r="A74" s="16"/>
      <c r="B74" s="29" t="str">
        <f>B54</f>
        <v>-Lower, mid &amp; upper plinth tie beam</v>
      </c>
      <c r="C74" s="17">
        <f>3*4*4</f>
        <v>48</v>
      </c>
      <c r="D74" s="6">
        <f>D73-0.1+((0.5*2)/3.281)</f>
        <v>2.645458701615361</v>
      </c>
      <c r="E74" s="6">
        <f>12*12/162</f>
        <v>0.88888888888888884</v>
      </c>
      <c r="F74" s="65">
        <f t="shared" ref="F74:F99" si="5">PRODUCT(C74:E74)</f>
        <v>112.8729046022554</v>
      </c>
      <c r="G74" s="27">
        <f t="shared" ref="G74:G99" si="6">F74/1000</f>
        <v>0.11287290460225541</v>
      </c>
      <c r="H74" s="20"/>
      <c r="I74" s="21"/>
      <c r="J74" s="23"/>
      <c r="K74" s="19"/>
      <c r="M74" s="55"/>
      <c r="N74" s="56"/>
    </row>
    <row r="75" spans="1:16" ht="15" customHeight="1" x14ac:dyDescent="0.25">
      <c r="A75" s="16"/>
      <c r="B75" s="29" t="s">
        <v>43</v>
      </c>
      <c r="C75" s="17">
        <f>3*4*(TRUNC(((D54/2))/0.1,0)+TRUNC(((D54/2))/0.15,0))</f>
        <v>180</v>
      </c>
      <c r="D75" s="6">
        <f>(0.583*4+0.17+0.17)/3.281</f>
        <v>0.81438585797013097</v>
      </c>
      <c r="E75" s="6">
        <f>8*8/162</f>
        <v>0.39506172839506171</v>
      </c>
      <c r="F75" s="65">
        <f t="shared" si="5"/>
        <v>57.911883233431531</v>
      </c>
      <c r="G75" s="27">
        <f t="shared" si="6"/>
        <v>5.7911883233431528E-2</v>
      </c>
      <c r="H75" s="20"/>
      <c r="I75" s="21"/>
      <c r="J75" s="23"/>
      <c r="K75" s="19"/>
      <c r="M75" s="55"/>
      <c r="N75" s="56"/>
    </row>
    <row r="76" spans="1:16" x14ac:dyDescent="0.25">
      <c r="A76" s="16"/>
      <c r="B76" s="29" t="str">
        <f>B32</f>
        <v>-For flooring</v>
      </c>
      <c r="C76" s="17">
        <f>2*TRUNC(7/0.5,0)</f>
        <v>28</v>
      </c>
      <c r="D76" s="6">
        <f>8.5/3.281</f>
        <v>2.5906735751295336</v>
      </c>
      <c r="E76" s="6">
        <f>8*8/162</f>
        <v>0.39506172839506171</v>
      </c>
      <c r="F76" s="65">
        <f t="shared" si="5"/>
        <v>28.657327448346447</v>
      </c>
      <c r="G76" s="27">
        <f t="shared" si="6"/>
        <v>2.8657327448346447E-2</v>
      </c>
      <c r="H76" s="20"/>
      <c r="I76" s="21"/>
      <c r="J76" s="23"/>
      <c r="K76" s="19"/>
      <c r="M76" s="55"/>
      <c r="N76" s="56"/>
    </row>
    <row r="77" spans="1:16" ht="15" customHeight="1" x14ac:dyDescent="0.25">
      <c r="A77" s="16"/>
      <c r="B77" s="29" t="s">
        <v>32</v>
      </c>
      <c r="C77" s="17">
        <f>C53*8</f>
        <v>32</v>
      </c>
      <c r="D77" s="6">
        <f>(23.667+2.25+2.25)/3.281</f>
        <v>8.5848826577263022</v>
      </c>
      <c r="E77" s="6">
        <f>12*12/162</f>
        <v>0.88888888888888884</v>
      </c>
      <c r="F77" s="65">
        <f t="shared" si="5"/>
        <v>244.19221781977035</v>
      </c>
      <c r="G77" s="27">
        <f t="shared" si="6"/>
        <v>0.24419221781977035</v>
      </c>
      <c r="H77" s="20"/>
      <c r="I77" s="21"/>
      <c r="J77" s="23"/>
      <c r="K77" s="19"/>
      <c r="M77" s="55">
        <f>12*57</f>
        <v>684</v>
      </c>
      <c r="N77" s="56">
        <f>M77/1000</f>
        <v>0.68400000000000005</v>
      </c>
      <c r="O77">
        <f>N77*3.281</f>
        <v>2.2442040000000003</v>
      </c>
    </row>
    <row r="78" spans="1:16" ht="15" customHeight="1" x14ac:dyDescent="0.25">
      <c r="A78" s="16"/>
      <c r="B78" s="29" t="s">
        <v>43</v>
      </c>
      <c r="C78" s="17">
        <f>4*(TRUNC(((16-0.75*3)/3.281)/0.15,0)+1+(TRUNC(((((8.17-0.333)/2)/3.281)/0.1),0)+1+TRUNC(((((8.17-0.333)/2)/3.281)/0.15),0)))</f>
        <v>188</v>
      </c>
      <c r="D78" s="6">
        <f>(0.583*4+0.17+0.17)/3.281</f>
        <v>0.81438585797013097</v>
      </c>
      <c r="E78" s="6">
        <f>8*8/162</f>
        <v>0.39506172839506171</v>
      </c>
      <c r="F78" s="65">
        <f t="shared" si="5"/>
        <v>60.485744710472929</v>
      </c>
      <c r="G78" s="27">
        <f t="shared" si="6"/>
        <v>6.0485744710472931E-2</v>
      </c>
      <c r="H78" s="20"/>
      <c r="I78" s="21"/>
      <c r="J78" s="23"/>
      <c r="K78" s="19"/>
      <c r="M78" s="55"/>
      <c r="N78" s="56"/>
    </row>
    <row r="79" spans="1:16" ht="15" customHeight="1" x14ac:dyDescent="0.25">
      <c r="A79" s="16"/>
      <c r="B79" s="29"/>
      <c r="C79" s="17">
        <f>4*(TRUNC(((16-0.75*3)/3.281)/0.15,0)+1+(TRUNC(((((8.17-0.333)/2)/3.281)/0.1),0)+1+TRUNC(((((8.17-0.333)/2)/3.281)/0.15),0)))</f>
        <v>188</v>
      </c>
      <c r="D79" s="6">
        <f>(0.42*4+0.17+0.17)/3.281</f>
        <v>0.61566595550137149</v>
      </c>
      <c r="E79" s="6">
        <f>8*8/162</f>
        <v>0.39506172839506171</v>
      </c>
      <c r="F79" s="65">
        <f t="shared" si="5"/>
        <v>45.726498620941371</v>
      </c>
      <c r="G79" s="27">
        <f t="shared" si="6"/>
        <v>4.5726498620941372E-2</v>
      </c>
      <c r="H79" s="20"/>
      <c r="I79" s="21"/>
      <c r="J79" s="23"/>
      <c r="K79" s="19"/>
      <c r="M79" s="55"/>
      <c r="N79" s="56"/>
    </row>
    <row r="80" spans="1:16" ht="15" customHeight="1" x14ac:dyDescent="0.25">
      <c r="A80" s="16"/>
      <c r="B80" s="29" t="s">
        <v>33</v>
      </c>
      <c r="C80" s="17">
        <f>4*5</f>
        <v>20</v>
      </c>
      <c r="D80" s="6">
        <f>D74</f>
        <v>2.645458701615361</v>
      </c>
      <c r="E80" s="6">
        <f t="shared" ref="E80:E81" si="7">12*12/162</f>
        <v>0.88888888888888884</v>
      </c>
      <c r="F80" s="65">
        <f t="shared" si="5"/>
        <v>47.030376917606418</v>
      </c>
      <c r="G80" s="27">
        <f t="shared" si="6"/>
        <v>4.703037691760642E-2</v>
      </c>
      <c r="H80" s="20"/>
      <c r="I80" s="21"/>
      <c r="J80" s="23"/>
      <c r="K80" s="19"/>
      <c r="M80" s="55">
        <f>6.5*12</f>
        <v>78</v>
      </c>
      <c r="N80" s="56">
        <f>3*M80/8</f>
        <v>29.25</v>
      </c>
      <c r="O80">
        <f>N80/12</f>
        <v>2.4375</v>
      </c>
    </row>
    <row r="81" spans="1:14" ht="15" customHeight="1" x14ac:dyDescent="0.25">
      <c r="A81" s="16"/>
      <c r="B81" s="29" t="s">
        <v>42</v>
      </c>
      <c r="C81" s="17">
        <f>8</f>
        <v>8</v>
      </c>
      <c r="D81" s="6">
        <f>2.42/3.281</f>
        <v>0.73758000609570251</v>
      </c>
      <c r="E81" s="6">
        <f t="shared" si="7"/>
        <v>0.88888888888888884</v>
      </c>
      <c r="F81" s="65">
        <f t="shared" si="5"/>
        <v>5.2450133766805509</v>
      </c>
      <c r="G81" s="27">
        <f t="shared" si="6"/>
        <v>5.2450133766805511E-3</v>
      </c>
      <c r="H81" s="20"/>
      <c r="I81" s="21"/>
      <c r="J81" s="23"/>
      <c r="K81" s="19"/>
      <c r="M81" s="55"/>
      <c r="N81" s="56"/>
    </row>
    <row r="82" spans="1:14" ht="15" customHeight="1" x14ac:dyDescent="0.25">
      <c r="A82" s="16"/>
      <c r="B82" s="29" t="s">
        <v>43</v>
      </c>
      <c r="C82" s="17">
        <f>C75</f>
        <v>180</v>
      </c>
      <c r="D82" s="6">
        <f>(0.667*4+0.17+0.17)/3.281</f>
        <v>0.91679366046936905</v>
      </c>
      <c r="E82" s="6">
        <f>8*8/162</f>
        <v>0.39506172839506171</v>
      </c>
      <c r="F82" s="65">
        <f t="shared" si="5"/>
        <v>65.194215855599566</v>
      </c>
      <c r="G82" s="27">
        <f t="shared" si="6"/>
        <v>6.5194215855599563E-2</v>
      </c>
      <c r="H82" s="20"/>
      <c r="I82" s="21"/>
      <c r="J82" s="23"/>
      <c r="K82" s="19"/>
      <c r="M82" s="55"/>
      <c r="N82" s="56">
        <f>(12-0.75*4)/3.281</f>
        <v>2.7430661383724475</v>
      </c>
    </row>
    <row r="83" spans="1:14" ht="15" customHeight="1" x14ac:dyDescent="0.25">
      <c r="A83" s="16"/>
      <c r="B83" s="29" t="str">
        <f>B57</f>
        <v>-Secondary beam</v>
      </c>
      <c r="C83" s="17">
        <f>4*5</f>
        <v>20</v>
      </c>
      <c r="D83" s="6">
        <f>D74</f>
        <v>2.645458701615361</v>
      </c>
      <c r="E83" s="6">
        <f>12*12/162</f>
        <v>0.88888888888888884</v>
      </c>
      <c r="F83" s="65">
        <f t="shared" si="5"/>
        <v>47.030376917606418</v>
      </c>
      <c r="G83" s="27">
        <f t="shared" si="6"/>
        <v>4.703037691760642E-2</v>
      </c>
      <c r="H83" s="20"/>
      <c r="I83" s="21"/>
      <c r="J83" s="23"/>
      <c r="K83" s="19"/>
      <c r="M83" s="55"/>
      <c r="N83" s="56"/>
    </row>
    <row r="84" spans="1:14" ht="15" customHeight="1" x14ac:dyDescent="0.25">
      <c r="A84" s="16"/>
      <c r="B84" s="29" t="s">
        <v>43</v>
      </c>
      <c r="C84" s="17">
        <f>4*TRUNC((4/0.333),0)</f>
        <v>48</v>
      </c>
      <c r="D84" s="6">
        <f>(0.667*4+0.17+0.17)/3.281</f>
        <v>0.91679366046936905</v>
      </c>
      <c r="E84" s="6">
        <f>8*8/162</f>
        <v>0.39506172839506171</v>
      </c>
      <c r="F84" s="65">
        <f t="shared" si="5"/>
        <v>17.385124228159885</v>
      </c>
      <c r="G84" s="27">
        <f t="shared" si="6"/>
        <v>1.7385124228159885E-2</v>
      </c>
      <c r="H84" s="20"/>
      <c r="I84" s="21"/>
      <c r="J84" s="23"/>
      <c r="K84" s="19"/>
      <c r="M84" s="55"/>
      <c r="N84" s="56"/>
    </row>
    <row r="85" spans="1:14" ht="15" customHeight="1" x14ac:dyDescent="0.25">
      <c r="A85" s="16"/>
      <c r="B85" s="29" t="s">
        <v>92</v>
      </c>
      <c r="C85" s="17">
        <f>4*(TRUNC((12-0.75*4)/0.15,0))</f>
        <v>240</v>
      </c>
      <c r="D85" s="6">
        <f>(12)/3.281</f>
        <v>3.6574215178299299</v>
      </c>
      <c r="E85" s="6">
        <f>8*8/162</f>
        <v>0.39506172839506171</v>
      </c>
      <c r="F85" s="65">
        <f t="shared" si="5"/>
        <v>346.7777439127637</v>
      </c>
      <c r="G85" s="27">
        <f t="shared" si="6"/>
        <v>0.34677774391276367</v>
      </c>
      <c r="H85" s="20"/>
      <c r="I85" s="21"/>
      <c r="J85" s="23"/>
      <c r="K85" s="19"/>
      <c r="M85" s="55"/>
      <c r="N85" s="56"/>
    </row>
    <row r="86" spans="1:14" ht="15" customHeight="1" x14ac:dyDescent="0.25">
      <c r="A86" s="16"/>
      <c r="B86" s="29" t="str">
        <f>B61</f>
        <v>-Deduction for opening</v>
      </c>
      <c r="C86" s="17">
        <f>-4*(TRUNC(D86/0.15,0)+1)</f>
        <v>-20</v>
      </c>
      <c r="D86" s="6">
        <f>D61</f>
        <v>0.6095702529716549</v>
      </c>
      <c r="E86" s="6">
        <f>8*8/162</f>
        <v>0.39506172839506171</v>
      </c>
      <c r="F86" s="65">
        <f t="shared" si="5"/>
        <v>-4.8163575543439396</v>
      </c>
      <c r="G86" s="66">
        <f t="shared" si="6"/>
        <v>-4.81635755434394E-3</v>
      </c>
      <c r="H86" s="20"/>
      <c r="I86" s="21"/>
      <c r="J86" s="23"/>
      <c r="K86" s="19"/>
      <c r="M86" s="55"/>
      <c r="N86" s="56"/>
    </row>
    <row r="87" spans="1:14" ht="15" customHeight="1" x14ac:dyDescent="0.25">
      <c r="A87" s="16"/>
      <c r="B87" s="29" t="str">
        <f>B62</f>
        <v>-1st floor Inclined Surface</v>
      </c>
      <c r="C87" s="17"/>
      <c r="D87" s="6"/>
      <c r="E87" s="6"/>
      <c r="F87" s="65"/>
      <c r="G87" s="27"/>
      <c r="H87" s="20"/>
      <c r="I87" s="21"/>
      <c r="J87" s="23"/>
      <c r="K87" s="19"/>
      <c r="M87" s="55"/>
      <c r="N87" s="56"/>
    </row>
    <row r="88" spans="1:14" ht="15" customHeight="1" x14ac:dyDescent="0.25">
      <c r="A88" s="16"/>
      <c r="B88" s="29" t="s">
        <v>93</v>
      </c>
      <c r="C88" s="17">
        <f>4*TRUNC(D62/0.15,0)</f>
        <v>32</v>
      </c>
      <c r="D88" s="6">
        <f>E62</f>
        <v>2.4260896068271869</v>
      </c>
      <c r="E88" s="6">
        <f>10*10/162</f>
        <v>0.61728395061728392</v>
      </c>
      <c r="F88" s="65">
        <f t="shared" si="5"/>
        <v>47.922757665722209</v>
      </c>
      <c r="G88" s="27">
        <f t="shared" si="6"/>
        <v>4.792275766572221E-2</v>
      </c>
      <c r="H88" s="20"/>
      <c r="I88" s="21"/>
      <c r="J88" s="23"/>
      <c r="K88" s="19"/>
      <c r="M88" s="55"/>
      <c r="N88" s="56"/>
    </row>
    <row r="89" spans="1:14" ht="15" customHeight="1" x14ac:dyDescent="0.25">
      <c r="A89" s="16"/>
      <c r="B89" s="29" t="s">
        <v>94</v>
      </c>
      <c r="C89" s="17">
        <f>4*TRUNC(E62/0.15,0)</f>
        <v>64</v>
      </c>
      <c r="D89" s="6">
        <f>D62</f>
        <v>1.3471502590673574</v>
      </c>
      <c r="E89" s="6">
        <f>10*10/162</f>
        <v>0.61728395061728392</v>
      </c>
      <c r="F89" s="65">
        <f t="shared" si="5"/>
        <v>53.220750975500536</v>
      </c>
      <c r="G89" s="27">
        <f t="shared" si="6"/>
        <v>5.3220750975500539E-2</v>
      </c>
      <c r="H89" s="20"/>
      <c r="I89" s="21"/>
      <c r="J89" s="23"/>
      <c r="K89" s="19"/>
      <c r="M89" s="55"/>
      <c r="N89" s="56"/>
    </row>
    <row r="90" spans="1:14" ht="15" customHeight="1" x14ac:dyDescent="0.25">
      <c r="A90" s="16"/>
      <c r="B90" s="29" t="str">
        <f>B63</f>
        <v>-1st floor column</v>
      </c>
      <c r="C90" s="17">
        <f>8*4</f>
        <v>32</v>
      </c>
      <c r="D90" s="6">
        <f>F63+1.5*2</f>
        <v>4.3715330691862242</v>
      </c>
      <c r="E90" s="6">
        <f>12*12/162</f>
        <v>0.88888888888888884</v>
      </c>
      <c r="F90" s="65">
        <f t="shared" si="5"/>
        <v>124.34582952351926</v>
      </c>
      <c r="G90" s="27">
        <f t="shared" si="6"/>
        <v>0.12434582952351926</v>
      </c>
      <c r="H90" s="20"/>
      <c r="I90" s="21"/>
      <c r="J90" s="23"/>
      <c r="K90" s="19"/>
      <c r="M90" s="55"/>
      <c r="N90" s="56"/>
    </row>
    <row r="91" spans="1:14" ht="15" customHeight="1" x14ac:dyDescent="0.25">
      <c r="A91" s="16"/>
      <c r="B91" s="29" t="s">
        <v>43</v>
      </c>
      <c r="C91" s="17">
        <f>4*TRUNC(4.07/0.333,0)</f>
        <v>48</v>
      </c>
      <c r="D91" s="6">
        <f>(0.583*4+0.17+0.17)/3.281</f>
        <v>0.81438585797013097</v>
      </c>
      <c r="E91" s="6">
        <f>8*8/162</f>
        <v>0.39506172839506171</v>
      </c>
      <c r="F91" s="65">
        <f t="shared" si="5"/>
        <v>15.443168862248408</v>
      </c>
      <c r="G91" s="27">
        <f t="shared" si="6"/>
        <v>1.5443168862248408E-2</v>
      </c>
      <c r="H91" s="20"/>
      <c r="I91" s="21"/>
      <c r="J91" s="23"/>
      <c r="K91" s="19"/>
      <c r="M91" s="55"/>
      <c r="N91" s="56"/>
    </row>
    <row r="92" spans="1:14" ht="15" customHeight="1" x14ac:dyDescent="0.25">
      <c r="A92" s="16"/>
      <c r="B92" s="29"/>
      <c r="C92" s="17">
        <f>4*TRUNC(4.07/0.333,0)</f>
        <v>48</v>
      </c>
      <c r="D92" s="6">
        <f>(0.42*4+0.17+0.17)/3.281</f>
        <v>0.61566595550137149</v>
      </c>
      <c r="E92" s="6">
        <f>8*8/162</f>
        <v>0.39506172839506171</v>
      </c>
      <c r="F92" s="65">
        <f t="shared" si="5"/>
        <v>11.674850711729711</v>
      </c>
      <c r="G92" s="27">
        <f t="shared" si="6"/>
        <v>1.167485071172971E-2</v>
      </c>
      <c r="H92" s="20"/>
      <c r="I92" s="21"/>
      <c r="J92" s="23"/>
      <c r="K92" s="19"/>
      <c r="M92" s="55"/>
      <c r="N92" s="56"/>
    </row>
    <row r="93" spans="1:14" ht="15" customHeight="1" x14ac:dyDescent="0.25">
      <c r="A93" s="16"/>
      <c r="B93" s="29" t="str">
        <f>B64</f>
        <v>-2nd floor beam</v>
      </c>
      <c r="C93" s="17">
        <f>4*4</f>
        <v>16</v>
      </c>
      <c r="D93" s="6">
        <f>(3.17+0.583*2)/3.281</f>
        <v>1.3215483084425481</v>
      </c>
      <c r="E93" s="6">
        <f>12*12/162</f>
        <v>0.88888888888888884</v>
      </c>
      <c r="F93" s="65">
        <f t="shared" si="5"/>
        <v>18.795353720071795</v>
      </c>
      <c r="G93" s="27">
        <f t="shared" si="6"/>
        <v>1.8795353720071795E-2</v>
      </c>
      <c r="H93" s="20"/>
      <c r="I93" s="21"/>
      <c r="J93" s="23"/>
      <c r="K93" s="19"/>
      <c r="M93" s="55"/>
      <c r="N93" s="56"/>
    </row>
    <row r="94" spans="1:14" ht="15" customHeight="1" x14ac:dyDescent="0.25">
      <c r="A94" s="16"/>
      <c r="B94" s="29" t="s">
        <v>43</v>
      </c>
      <c r="C94" s="17">
        <f>4*TRUNC((1.667/0.333),0)</f>
        <v>20</v>
      </c>
      <c r="D94" s="6">
        <f>(0.667*4+0.17+0.17)/3.281</f>
        <v>0.91679366046936905</v>
      </c>
      <c r="E94" s="6">
        <f>8*8/162</f>
        <v>0.39506172839506171</v>
      </c>
      <c r="F94" s="65">
        <f t="shared" si="5"/>
        <v>7.2438017617332857</v>
      </c>
      <c r="G94" s="27">
        <f t="shared" si="6"/>
        <v>7.2438017617332861E-3</v>
      </c>
      <c r="H94" s="20"/>
      <c r="I94" s="21"/>
      <c r="J94" s="23"/>
      <c r="K94" s="19"/>
      <c r="M94" s="55"/>
      <c r="N94" s="56"/>
    </row>
    <row r="95" spans="1:14" ht="15" customHeight="1" x14ac:dyDescent="0.25">
      <c r="A95" s="16"/>
      <c r="B95" s="29" t="str">
        <f>B66</f>
        <v>-2nd floor slab</v>
      </c>
      <c r="C95" s="17">
        <f>2*(TRUNC((7.583-0.75*2)/0.15,0))</f>
        <v>80</v>
      </c>
      <c r="D95" s="6">
        <f>(7.583)/3.281</f>
        <v>2.3111856141420297</v>
      </c>
      <c r="E95" s="6">
        <f>10*10/162</f>
        <v>0.61728395061728392</v>
      </c>
      <c r="F95" s="65">
        <f t="shared" si="5"/>
        <v>114.13262292059406</v>
      </c>
      <c r="G95" s="27">
        <f t="shared" si="6"/>
        <v>0.11413262292059406</v>
      </c>
      <c r="H95" s="20"/>
      <c r="I95" s="21"/>
      <c r="J95" s="23"/>
      <c r="K95" s="19"/>
      <c r="M95" s="55"/>
      <c r="N95" s="56"/>
    </row>
    <row r="96" spans="1:14" ht="15" customHeight="1" x14ac:dyDescent="0.25">
      <c r="A96" s="16"/>
      <c r="B96" s="29" t="s">
        <v>83</v>
      </c>
      <c r="C96" s="17">
        <f>-2*(TRUNC(0.23/0.15,0)+1)</f>
        <v>-4</v>
      </c>
      <c r="D96" s="6">
        <v>0.23</v>
      </c>
      <c r="E96" s="6">
        <f>10*10/162</f>
        <v>0.61728395061728392</v>
      </c>
      <c r="F96" s="65">
        <f t="shared" si="5"/>
        <v>-0.5679012345679012</v>
      </c>
      <c r="G96" s="66">
        <f t="shared" si="6"/>
        <v>-5.6790123456790123E-4</v>
      </c>
      <c r="H96" s="20"/>
      <c r="I96" s="21"/>
      <c r="J96" s="23"/>
      <c r="K96" s="19"/>
      <c r="M96" s="55"/>
      <c r="N96" s="56"/>
    </row>
    <row r="97" spans="1:14" ht="15" customHeight="1" x14ac:dyDescent="0.25">
      <c r="A97" s="16"/>
      <c r="B97" s="29" t="str">
        <f>B68</f>
        <v>-2nd floor inclined roof slab</v>
      </c>
      <c r="D97" s="6"/>
      <c r="E97" s="6"/>
      <c r="F97" s="65"/>
      <c r="G97" s="27"/>
      <c r="H97" s="20"/>
      <c r="I97" s="21"/>
      <c r="J97" s="23"/>
      <c r="K97" s="19"/>
      <c r="M97" s="55"/>
      <c r="N97" s="56"/>
    </row>
    <row r="98" spans="1:14" ht="15" customHeight="1" x14ac:dyDescent="0.25">
      <c r="A98" s="16"/>
      <c r="B98" s="29" t="str">
        <f>B88</f>
        <v>-horizontal bars</v>
      </c>
      <c r="C98" s="17">
        <f>4*TRUNC(D68/0.15,0)</f>
        <v>28</v>
      </c>
      <c r="D98" s="6">
        <f>E68</f>
        <v>1.2</v>
      </c>
      <c r="E98" s="6">
        <f>10*10/162</f>
        <v>0.61728395061728392</v>
      </c>
      <c r="F98" s="65">
        <f t="shared" si="5"/>
        <v>20.74074074074074</v>
      </c>
      <c r="G98" s="27">
        <f t="shared" si="6"/>
        <v>2.074074074074074E-2</v>
      </c>
      <c r="H98" s="20"/>
      <c r="I98" s="21"/>
      <c r="J98" s="23"/>
      <c r="K98" s="19"/>
      <c r="M98" s="55"/>
      <c r="N98" s="56"/>
    </row>
    <row r="99" spans="1:14" ht="15" customHeight="1" x14ac:dyDescent="0.25">
      <c r="A99" s="16"/>
      <c r="B99" s="29" t="str">
        <f>B89</f>
        <v>-vertical bars</v>
      </c>
      <c r="C99" s="17">
        <f>4*TRUNC(E68/0.15,0)</f>
        <v>32</v>
      </c>
      <c r="D99" s="6">
        <f>D68</f>
        <v>1.0667479427003961</v>
      </c>
      <c r="E99" s="6">
        <f>10*10/162</f>
        <v>0.61728395061728392</v>
      </c>
      <c r="F99" s="65">
        <f t="shared" si="5"/>
        <v>21.071564300254735</v>
      </c>
      <c r="G99" s="27">
        <f t="shared" si="6"/>
        <v>2.1071564300254735E-2</v>
      </c>
      <c r="H99" s="20"/>
      <c r="I99" s="21"/>
      <c r="J99" s="23"/>
      <c r="K99" s="19"/>
      <c r="M99" s="55"/>
      <c r="N99" s="56"/>
    </row>
    <row r="100" spans="1:14" ht="15" customHeight="1" x14ac:dyDescent="0.25">
      <c r="A100" s="28"/>
      <c r="B100" s="29" t="s">
        <v>20</v>
      </c>
      <c r="C100" s="25"/>
      <c r="D100" s="6"/>
      <c r="E100" s="6"/>
      <c r="F100" s="6"/>
      <c r="G100" s="23">
        <f>SUM(G73:G99)</f>
        <v>1.5771402139516335</v>
      </c>
      <c r="H100" s="23" t="s">
        <v>41</v>
      </c>
      <c r="I100" s="26">
        <v>130210</v>
      </c>
      <c r="J100" s="24">
        <f>G100*I100</f>
        <v>205359.42725864219</v>
      </c>
      <c r="K100" s="7"/>
    </row>
    <row r="101" spans="1:14" ht="15" customHeight="1" x14ac:dyDescent="0.25">
      <c r="A101" s="16"/>
      <c r="B101" s="29" t="s">
        <v>22</v>
      </c>
      <c r="C101" s="17"/>
      <c r="D101" s="18"/>
      <c r="E101" s="19"/>
      <c r="F101" s="19"/>
      <c r="G101" s="21"/>
      <c r="H101" s="20"/>
      <c r="I101" s="21"/>
      <c r="J101" s="23">
        <f>0.13*G100*105010</f>
        <v>21530.014202717935</v>
      </c>
      <c r="K101" s="19"/>
      <c r="N101" s="56"/>
    </row>
    <row r="102" spans="1:14" ht="15" customHeight="1" x14ac:dyDescent="0.25">
      <c r="A102" s="16"/>
      <c r="B102" s="29"/>
      <c r="C102" s="17"/>
      <c r="D102" s="18"/>
      <c r="E102" s="19"/>
      <c r="F102" s="19"/>
      <c r="G102" s="21"/>
      <c r="H102" s="20"/>
      <c r="I102" s="21"/>
      <c r="J102" s="23"/>
      <c r="K102" s="19"/>
      <c r="M102" s="55"/>
      <c r="N102" s="56"/>
    </row>
    <row r="103" spans="1:14" ht="30" x14ac:dyDescent="0.25">
      <c r="A103" s="16">
        <v>7</v>
      </c>
      <c r="B103" s="39" t="s">
        <v>44</v>
      </c>
      <c r="C103" s="17"/>
      <c r="D103" s="18"/>
      <c r="E103" s="19"/>
      <c r="F103" s="19"/>
      <c r="G103" s="21"/>
      <c r="H103" s="20"/>
      <c r="I103" s="21"/>
      <c r="J103" s="23"/>
      <c r="K103" s="19"/>
      <c r="M103" s="55"/>
      <c r="N103" s="56"/>
    </row>
    <row r="104" spans="1:14" ht="30" x14ac:dyDescent="0.25">
      <c r="A104" s="16"/>
      <c r="B104" s="29" t="s">
        <v>48</v>
      </c>
      <c r="C104" s="17">
        <f>2*4</f>
        <v>8</v>
      </c>
      <c r="D104" s="18">
        <f>6.5/3.281</f>
        <v>1.9811033221578787</v>
      </c>
      <c r="E104" s="19">
        <v>0.23</v>
      </c>
      <c r="F104" s="19">
        <f>12.5/3.281</f>
        <v>3.8098140810728434</v>
      </c>
      <c r="G104" s="27">
        <f>PRODUCT(C104:F104)</f>
        <v>13.887649012383788</v>
      </c>
      <c r="H104" s="20"/>
      <c r="I104" s="21"/>
      <c r="J104" s="23"/>
      <c r="K104" s="19"/>
      <c r="M104" s="55"/>
      <c r="N104" s="56"/>
    </row>
    <row r="105" spans="1:14" ht="15" customHeight="1" x14ac:dyDescent="0.25">
      <c r="A105" s="28"/>
      <c r="B105" s="29" t="s">
        <v>20</v>
      </c>
      <c r="C105" s="25"/>
      <c r="D105" s="6"/>
      <c r="E105" s="6"/>
      <c r="F105" s="6"/>
      <c r="G105" s="23">
        <f>SUM(G104:G104)</f>
        <v>13.887649012383788</v>
      </c>
      <c r="H105" s="23" t="s">
        <v>16</v>
      </c>
      <c r="I105" s="26">
        <v>14520.78</v>
      </c>
      <c r="J105" s="24">
        <f>G105*I105</f>
        <v>201659.49602604227</v>
      </c>
      <c r="K105" s="7"/>
    </row>
    <row r="106" spans="1:14" ht="15" customHeight="1" x14ac:dyDescent="0.25">
      <c r="A106" s="16"/>
      <c r="B106" s="29" t="s">
        <v>22</v>
      </c>
      <c r="C106" s="17"/>
      <c r="D106" s="18"/>
      <c r="E106" s="19"/>
      <c r="F106" s="19"/>
      <c r="G106" s="21"/>
      <c r="H106" s="20"/>
      <c r="I106" s="21"/>
      <c r="J106" s="23">
        <f>0.13*G105*10560.79</f>
        <v>19066.390825754039</v>
      </c>
      <c r="K106" s="19"/>
      <c r="M106" s="55"/>
      <c r="N106" s="56"/>
    </row>
    <row r="107" spans="1:14" ht="15" customHeight="1" x14ac:dyDescent="0.25">
      <c r="A107" s="16"/>
      <c r="B107" s="29"/>
      <c r="C107" s="17"/>
      <c r="D107" s="18"/>
      <c r="E107" s="19"/>
      <c r="F107" s="19"/>
      <c r="G107" s="21"/>
      <c r="H107" s="20"/>
      <c r="I107" s="21"/>
      <c r="J107" s="23"/>
      <c r="K107" s="19"/>
      <c r="M107" s="55"/>
      <c r="N107" s="56"/>
    </row>
    <row r="108" spans="1:14" ht="30" x14ac:dyDescent="0.25">
      <c r="A108" s="16">
        <v>8</v>
      </c>
      <c r="B108" s="39" t="s">
        <v>63</v>
      </c>
      <c r="C108" s="17"/>
      <c r="D108" s="18"/>
      <c r="E108" s="19"/>
      <c r="F108" s="19"/>
      <c r="G108" s="21"/>
      <c r="H108" s="20"/>
      <c r="I108" s="21"/>
      <c r="J108" s="23"/>
      <c r="K108" s="19"/>
      <c r="M108" s="55"/>
      <c r="N108" s="56"/>
    </row>
    <row r="109" spans="1:14" ht="15" customHeight="1" x14ac:dyDescent="0.25">
      <c r="A109" s="16"/>
      <c r="B109" s="29" t="s">
        <v>47</v>
      </c>
      <c r="C109" s="17">
        <v>4</v>
      </c>
      <c r="D109" s="18">
        <f>6.5/3.81</f>
        <v>1.7060367454068242</v>
      </c>
      <c r="E109" s="19">
        <v>0.1</v>
      </c>
      <c r="F109" s="19">
        <f>8.17/3.281</f>
        <v>2.4900944833892105</v>
      </c>
      <c r="G109" s="27">
        <f>PRODUCT(C109:F109)</f>
        <v>1.6992770752787265</v>
      </c>
      <c r="H109" s="20"/>
      <c r="I109" s="21"/>
      <c r="J109" s="23"/>
      <c r="K109" s="19"/>
      <c r="M109" s="55"/>
      <c r="N109" s="56"/>
    </row>
    <row r="110" spans="1:14" ht="15" customHeight="1" x14ac:dyDescent="0.25">
      <c r="A110" s="16"/>
      <c r="B110" s="29" t="s">
        <v>64</v>
      </c>
      <c r="C110" s="17">
        <v>-2</v>
      </c>
      <c r="D110" s="18">
        <v>0.75</v>
      </c>
      <c r="E110" s="19">
        <v>0.1</v>
      </c>
      <c r="F110" s="19">
        <v>0.75</v>
      </c>
      <c r="G110" s="27">
        <f>PRODUCT(C110:F110)</f>
        <v>-0.11250000000000002</v>
      </c>
      <c r="H110" s="20"/>
      <c r="I110" s="21"/>
      <c r="J110" s="23"/>
      <c r="K110" s="19"/>
      <c r="M110" s="55"/>
      <c r="N110" s="56"/>
    </row>
    <row r="111" spans="1:14" ht="15" customHeight="1" x14ac:dyDescent="0.25">
      <c r="A111" s="16"/>
      <c r="B111" s="29" t="s">
        <v>95</v>
      </c>
      <c r="C111" s="17">
        <v>-1</v>
      </c>
      <c r="D111" s="18">
        <v>1.2</v>
      </c>
      <c r="E111" s="19">
        <v>0.1</v>
      </c>
      <c r="F111" s="19">
        <f>8/3.281</f>
        <v>2.4382810118866196</v>
      </c>
      <c r="G111" s="27">
        <f>PRODUCT(C111:F111)</f>
        <v>-0.29259372142639434</v>
      </c>
      <c r="H111" s="20"/>
      <c r="I111" s="21"/>
      <c r="J111" s="23"/>
      <c r="K111" s="19"/>
      <c r="M111" s="55"/>
      <c r="N111" s="56"/>
    </row>
    <row r="112" spans="1:14" ht="15" customHeight="1" x14ac:dyDescent="0.25">
      <c r="A112" s="16"/>
      <c r="B112" s="29" t="s">
        <v>99</v>
      </c>
      <c r="C112" s="17">
        <v>2</v>
      </c>
      <c r="D112" s="18">
        <f>1.5/3.281</f>
        <v>0.45717768972874123</v>
      </c>
      <c r="E112" s="19">
        <v>0.1</v>
      </c>
      <c r="F112" s="19">
        <f>1.333/3.281</f>
        <v>0.40627857360560804</v>
      </c>
      <c r="G112" s="27">
        <f t="shared" ref="G112:G113" si="8">PRODUCT(C112:F112)</f>
        <v>3.7148299933460048E-2</v>
      </c>
      <c r="H112" s="20"/>
      <c r="I112" s="21"/>
      <c r="J112" s="23"/>
      <c r="K112" s="19"/>
      <c r="M112" s="55"/>
      <c r="N112" s="56"/>
    </row>
    <row r="113" spans="1:19" ht="15" customHeight="1" x14ac:dyDescent="0.25">
      <c r="A113" s="16"/>
      <c r="B113" s="29"/>
      <c r="C113" s="17">
        <v>2</v>
      </c>
      <c r="D113" s="18">
        <v>0.23</v>
      </c>
      <c r="E113" s="19">
        <v>0.1</v>
      </c>
      <c r="F113" s="19">
        <f>1.333/3.281</f>
        <v>0.40627857360560804</v>
      </c>
      <c r="G113" s="27">
        <f t="shared" si="8"/>
        <v>1.8688814385857972E-2</v>
      </c>
      <c r="H113" s="20"/>
      <c r="I113" s="21"/>
      <c r="J113" s="23"/>
      <c r="K113" s="19"/>
      <c r="M113" s="55"/>
      <c r="N113" s="56"/>
    </row>
    <row r="114" spans="1:19" ht="15" customHeight="1" x14ac:dyDescent="0.25">
      <c r="A114" s="28"/>
      <c r="B114" s="29" t="s">
        <v>20</v>
      </c>
      <c r="C114" s="25"/>
      <c r="D114" s="6"/>
      <c r="E114" s="6"/>
      <c r="F114" s="6"/>
      <c r="G114" s="23">
        <f>SUM(G109:G113)</f>
        <v>1.3500204681716501</v>
      </c>
      <c r="H114" s="23" t="s">
        <v>16</v>
      </c>
      <c r="I114" s="26">
        <v>14911.97</v>
      </c>
      <c r="J114" s="24">
        <f>G114*I114</f>
        <v>20131.4647207616</v>
      </c>
      <c r="K114" s="7"/>
    </row>
    <row r="115" spans="1:19" ht="15" customHeight="1" x14ac:dyDescent="0.25">
      <c r="A115" s="16"/>
      <c r="B115" s="29" t="s">
        <v>22</v>
      </c>
      <c r="C115" s="17"/>
      <c r="D115" s="18"/>
      <c r="E115" s="19"/>
      <c r="F115" s="19"/>
      <c r="G115" s="21"/>
      <c r="H115" s="20"/>
      <c r="I115" s="21"/>
      <c r="J115" s="23">
        <f>0.13*G114*10946.58</f>
        <v>1921.153917342195</v>
      </c>
      <c r="K115" s="19"/>
      <c r="M115" s="55"/>
      <c r="N115" s="56"/>
    </row>
    <row r="116" spans="1:19" ht="15" customHeight="1" x14ac:dyDescent="0.25">
      <c r="A116" s="16"/>
      <c r="B116" s="29"/>
      <c r="C116" s="17"/>
      <c r="D116" s="18"/>
      <c r="E116" s="19"/>
      <c r="F116" s="19"/>
      <c r="G116" s="21"/>
      <c r="H116" s="20"/>
      <c r="I116" s="21"/>
      <c r="J116" s="23"/>
      <c r="K116" s="19"/>
      <c r="M116" s="55"/>
      <c r="N116" s="56"/>
    </row>
    <row r="117" spans="1:19" ht="30" x14ac:dyDescent="0.25">
      <c r="A117" s="16">
        <v>9</v>
      </c>
      <c r="B117" s="39" t="s">
        <v>46</v>
      </c>
      <c r="C117" s="17"/>
      <c r="D117" s="18"/>
      <c r="E117" s="19"/>
      <c r="F117" s="19"/>
      <c r="G117" s="21"/>
      <c r="H117" s="20"/>
      <c r="I117" s="21"/>
      <c r="J117" s="23"/>
      <c r="K117" s="19"/>
      <c r="M117" s="55"/>
      <c r="N117" s="56"/>
    </row>
    <row r="118" spans="1:19" ht="15" customHeight="1" x14ac:dyDescent="0.25">
      <c r="A118" s="16"/>
      <c r="B118" s="29" t="str">
        <f t="shared" ref="B118:D120" si="9">B109</f>
        <v>-At Ground floor</v>
      </c>
      <c r="C118" s="17">
        <f t="shared" si="9"/>
        <v>4</v>
      </c>
      <c r="D118" s="18">
        <f t="shared" si="9"/>
        <v>1.7060367454068242</v>
      </c>
      <c r="E118" s="19"/>
      <c r="F118" s="19">
        <f>8.917/3.281</f>
        <v>2.7177689728741234</v>
      </c>
      <c r="G118" s="27">
        <f>PRODUCT(C118:F118)</f>
        <v>18.546454932999268</v>
      </c>
      <c r="H118" s="20"/>
      <c r="I118" s="21"/>
      <c r="J118" s="23"/>
      <c r="K118" s="19"/>
      <c r="M118" s="55"/>
      <c r="N118" s="56"/>
    </row>
    <row r="119" spans="1:19" ht="15" customHeight="1" x14ac:dyDescent="0.25">
      <c r="A119" s="16"/>
      <c r="B119" s="29" t="str">
        <f t="shared" si="9"/>
        <v>-Deduction for window</v>
      </c>
      <c r="C119" s="17">
        <f t="shared" si="9"/>
        <v>-2</v>
      </c>
      <c r="D119" s="18">
        <f t="shared" si="9"/>
        <v>0.75</v>
      </c>
      <c r="E119" s="19"/>
      <c r="F119" s="19">
        <f>D119</f>
        <v>0.75</v>
      </c>
      <c r="G119" s="27">
        <f t="shared" ref="G119:G123" si="10">PRODUCT(C119:F119)</f>
        <v>-1.125</v>
      </c>
      <c r="H119" s="20"/>
      <c r="I119" s="21"/>
      <c r="J119" s="23"/>
      <c r="K119" s="19"/>
      <c r="M119" s="55"/>
      <c r="N119" s="56"/>
    </row>
    <row r="120" spans="1:19" ht="15" customHeight="1" x14ac:dyDescent="0.25">
      <c r="A120" s="16"/>
      <c r="B120" s="29" t="str">
        <f t="shared" si="9"/>
        <v>-Deduction for door</v>
      </c>
      <c r="C120" s="17">
        <f t="shared" si="9"/>
        <v>-1</v>
      </c>
      <c r="D120" s="18">
        <f t="shared" si="9"/>
        <v>1.2</v>
      </c>
      <c r="E120" s="19"/>
      <c r="F120" s="19">
        <f>F111</f>
        <v>2.4382810118866196</v>
      </c>
      <c r="G120" s="27">
        <f t="shared" si="10"/>
        <v>-2.9259372142639433</v>
      </c>
      <c r="H120" s="20"/>
      <c r="I120" s="21"/>
      <c r="J120" s="23"/>
      <c r="K120" s="19"/>
      <c r="M120" s="55"/>
      <c r="N120" s="56"/>
    </row>
    <row r="121" spans="1:19" ht="15" customHeight="1" x14ac:dyDescent="0.25">
      <c r="A121" s="16"/>
      <c r="B121" s="29" t="str">
        <f>B59</f>
        <v>-1st floor slab</v>
      </c>
      <c r="C121" s="17">
        <f>C59</f>
        <v>1</v>
      </c>
      <c r="D121" s="18">
        <f>12.42/3.281</f>
        <v>3.7854312709539775</v>
      </c>
      <c r="E121" s="19">
        <f>12.42/3.281</f>
        <v>3.7854312709539775</v>
      </c>
      <c r="F121" s="19"/>
      <c r="G121" s="27">
        <f t="shared" si="10"/>
        <v>14.329489907116246</v>
      </c>
      <c r="H121" s="20"/>
      <c r="I121" s="21"/>
      <c r="J121" s="23"/>
      <c r="K121" s="19"/>
      <c r="M121" s="55"/>
      <c r="N121" s="67"/>
    </row>
    <row r="122" spans="1:19" ht="15" customHeight="1" x14ac:dyDescent="0.25">
      <c r="A122" s="16"/>
      <c r="B122" s="29" t="s">
        <v>100</v>
      </c>
      <c r="C122" s="17">
        <f>C60</f>
        <v>-4</v>
      </c>
      <c r="D122" s="18">
        <f>(8*2+6.5*2)/3.281</f>
        <v>8.8387686680889974</v>
      </c>
      <c r="E122" s="19">
        <f>E60</f>
        <v>0.23</v>
      </c>
      <c r="F122" s="19"/>
      <c r="G122" s="27">
        <f t="shared" si="10"/>
        <v>-8.131667174641878</v>
      </c>
      <c r="H122" s="20"/>
      <c r="I122" s="21"/>
      <c r="J122" s="23"/>
      <c r="K122" s="19"/>
      <c r="M122" s="55"/>
      <c r="N122" s="67"/>
    </row>
    <row r="123" spans="1:19" ht="15" customHeight="1" x14ac:dyDescent="0.25">
      <c r="A123" s="16"/>
      <c r="B123" s="29" t="str">
        <f>B61</f>
        <v>-Deduction for opening</v>
      </c>
      <c r="C123" s="17">
        <f>C61</f>
        <v>-1</v>
      </c>
      <c r="D123" s="18">
        <f>D61</f>
        <v>0.6095702529716549</v>
      </c>
      <c r="E123" s="19">
        <f>E61</f>
        <v>0.6095702529716549</v>
      </c>
      <c r="F123" s="19"/>
      <c r="G123" s="27">
        <f t="shared" si="10"/>
        <v>-0.37157589330792734</v>
      </c>
      <c r="H123" s="20"/>
      <c r="I123" s="21"/>
      <c r="J123" s="23"/>
      <c r="K123" s="19"/>
      <c r="M123" s="55"/>
      <c r="N123" s="67"/>
    </row>
    <row r="124" spans="1:19" ht="15" customHeight="1" x14ac:dyDescent="0.25">
      <c r="A124" s="28"/>
      <c r="B124" s="29" t="s">
        <v>20</v>
      </c>
      <c r="C124" s="25"/>
      <c r="D124" s="6"/>
      <c r="E124" s="6"/>
      <c r="F124" s="6"/>
      <c r="G124" s="23">
        <f>SUM(G118:G123)</f>
        <v>20.321764557901766</v>
      </c>
      <c r="H124" s="23" t="s">
        <v>26</v>
      </c>
      <c r="I124" s="26">
        <v>402.23</v>
      </c>
      <c r="J124" s="24">
        <f>G124*I124</f>
        <v>8174.0233581248276</v>
      </c>
      <c r="K124" s="7"/>
    </row>
    <row r="125" spans="1:19" ht="15" customHeight="1" x14ac:dyDescent="0.25">
      <c r="A125" s="16"/>
      <c r="B125" s="29" t="s">
        <v>22</v>
      </c>
      <c r="C125" s="17"/>
      <c r="D125" s="18"/>
      <c r="E125" s="19"/>
      <c r="F125" s="19"/>
      <c r="G125" s="21"/>
      <c r="H125" s="20"/>
      <c r="I125" s="21"/>
      <c r="J125" s="23">
        <f>0.13*G124*(11424.1/100)</f>
        <v>301.80523163170324</v>
      </c>
      <c r="K125" s="19"/>
      <c r="M125" s="55"/>
      <c r="N125" s="56"/>
    </row>
    <row r="126" spans="1:19" ht="15" customHeight="1" x14ac:dyDescent="0.25">
      <c r="A126" s="16"/>
      <c r="B126" s="29"/>
      <c r="C126" s="17"/>
      <c r="D126" s="18"/>
      <c r="E126" s="19"/>
      <c r="F126" s="19"/>
      <c r="G126" s="21"/>
      <c r="H126" s="20"/>
      <c r="I126" s="21"/>
      <c r="J126" s="23"/>
      <c r="K126" s="19"/>
      <c r="M126" s="55"/>
      <c r="N126" s="56"/>
    </row>
    <row r="127" spans="1:19" ht="42.75" x14ac:dyDescent="0.25">
      <c r="A127" s="16">
        <v>10</v>
      </c>
      <c r="B127" s="59" t="s">
        <v>65</v>
      </c>
      <c r="C127" s="60"/>
      <c r="D127" s="60"/>
      <c r="E127" s="60"/>
      <c r="F127" s="60"/>
      <c r="G127" s="61"/>
      <c r="H127" s="20"/>
      <c r="I127" s="21"/>
      <c r="J127" s="21"/>
      <c r="K127" s="19"/>
      <c r="M127" s="62"/>
      <c r="N127" s="1"/>
      <c r="O127" s="1"/>
      <c r="P127" s="1"/>
      <c r="Q127" s="1"/>
      <c r="R127" s="62"/>
      <c r="S127" s="62"/>
    </row>
    <row r="128" spans="1:19" ht="15" customHeight="1" x14ac:dyDescent="0.25">
      <c r="A128" s="16"/>
      <c r="B128" s="29" t="str">
        <f t="shared" ref="B128:C130" si="11">B109</f>
        <v>-At Ground floor</v>
      </c>
      <c r="C128" s="17">
        <f t="shared" si="11"/>
        <v>4</v>
      </c>
      <c r="D128" s="18">
        <f>8/3.281</f>
        <v>2.4382810118866196</v>
      </c>
      <c r="E128" s="19"/>
      <c r="F128" s="19">
        <f>8.917/3.281</f>
        <v>2.7177689728741234</v>
      </c>
      <c r="G128" s="27">
        <f>PRODUCT(C128:F128)</f>
        <v>26.506737925014306</v>
      </c>
      <c r="H128" s="20"/>
      <c r="I128" s="21"/>
      <c r="J128" s="23"/>
      <c r="K128" s="19"/>
      <c r="M128" s="55"/>
      <c r="N128" s="56"/>
    </row>
    <row r="129" spans="1:19" ht="15" customHeight="1" x14ac:dyDescent="0.25">
      <c r="A129" s="16"/>
      <c r="B129" s="29" t="str">
        <f t="shared" si="11"/>
        <v>-Deduction for window</v>
      </c>
      <c r="C129" s="17">
        <f t="shared" si="11"/>
        <v>-2</v>
      </c>
      <c r="D129" s="18">
        <f>D110</f>
        <v>0.75</v>
      </c>
      <c r="E129" s="19"/>
      <c r="F129" s="19">
        <f>F110</f>
        <v>0.75</v>
      </c>
      <c r="G129" s="27">
        <f>PRODUCT(C129:F129)</f>
        <v>-1.125</v>
      </c>
      <c r="H129" s="20"/>
      <c r="I129" s="21"/>
      <c r="J129" s="23"/>
      <c r="K129" s="19"/>
      <c r="M129" s="55"/>
      <c r="N129" s="56"/>
    </row>
    <row r="130" spans="1:19" ht="15" customHeight="1" x14ac:dyDescent="0.25">
      <c r="A130" s="16"/>
      <c r="B130" s="29" t="str">
        <f t="shared" si="11"/>
        <v>-Deduction for door</v>
      </c>
      <c r="C130" s="17">
        <f t="shared" si="11"/>
        <v>-1</v>
      </c>
      <c r="D130" s="18">
        <f>D111</f>
        <v>1.2</v>
      </c>
      <c r="E130" s="19"/>
      <c r="F130" s="19">
        <f>F111</f>
        <v>2.4382810118866196</v>
      </c>
      <c r="G130" s="27">
        <f>PRODUCT(C130:F130)</f>
        <v>-2.9259372142639433</v>
      </c>
      <c r="H130" s="20"/>
      <c r="I130" s="21"/>
      <c r="J130" s="23"/>
      <c r="K130" s="19"/>
      <c r="M130" s="55"/>
      <c r="N130" s="67"/>
    </row>
    <row r="131" spans="1:19" ht="15" customHeight="1" x14ac:dyDescent="0.25">
      <c r="A131" s="16"/>
      <c r="B131" s="63" t="s">
        <v>20</v>
      </c>
      <c r="C131" s="17"/>
      <c r="D131" s="18"/>
      <c r="E131" s="19"/>
      <c r="F131" s="19"/>
      <c r="G131" s="21">
        <f>SUM(G128:G130)</f>
        <v>22.455800710750363</v>
      </c>
      <c r="H131" s="20" t="s">
        <v>26</v>
      </c>
      <c r="I131" s="21">
        <f>556660.92/100</f>
        <v>5566.6092000000008</v>
      </c>
      <c r="J131" s="64">
        <f>G131*I131</f>
        <v>125002.66682982953</v>
      </c>
      <c r="K131" s="19"/>
      <c r="M131" s="62"/>
      <c r="N131" s="1"/>
      <c r="O131" s="1"/>
      <c r="P131" s="1"/>
      <c r="Q131" s="1"/>
      <c r="R131" s="62"/>
      <c r="S131" s="62"/>
    </row>
    <row r="132" spans="1:19" ht="15" customHeight="1" x14ac:dyDescent="0.25">
      <c r="A132" s="16"/>
      <c r="B132" s="63" t="s">
        <v>66</v>
      </c>
      <c r="C132" s="17"/>
      <c r="D132" s="18"/>
      <c r="E132" s="19"/>
      <c r="F132" s="19"/>
      <c r="G132" s="21"/>
      <c r="H132" s="20"/>
      <c r="I132" s="21"/>
      <c r="J132" s="64">
        <f>0.13*G131*370050.92/100</f>
        <v>10802.726626054773</v>
      </c>
      <c r="K132" s="19"/>
      <c r="M132" s="62"/>
      <c r="N132" s="1"/>
      <c r="O132" s="1"/>
      <c r="P132" s="1"/>
      <c r="Q132" s="1"/>
      <c r="R132" s="62"/>
      <c r="S132" s="62"/>
    </row>
    <row r="133" spans="1:19" ht="15" customHeight="1" x14ac:dyDescent="0.25">
      <c r="A133" s="16"/>
      <c r="B133" s="63"/>
      <c r="C133" s="17"/>
      <c r="D133" s="18"/>
      <c r="E133" s="19"/>
      <c r="F133" s="19"/>
      <c r="G133" s="21"/>
      <c r="H133" s="20"/>
      <c r="I133" s="21"/>
      <c r="J133" s="64"/>
      <c r="K133" s="19"/>
      <c r="M133" s="62"/>
      <c r="N133" s="1"/>
      <c r="O133" s="1"/>
      <c r="P133" s="1"/>
      <c r="Q133" s="1"/>
      <c r="R133" s="62"/>
      <c r="S133" s="62"/>
    </row>
    <row r="134" spans="1:19" ht="30" x14ac:dyDescent="0.25">
      <c r="A134" s="16">
        <v>11</v>
      </c>
      <c r="B134" s="39" t="s">
        <v>104</v>
      </c>
      <c r="C134" s="17"/>
      <c r="D134" s="18"/>
      <c r="E134" s="19"/>
      <c r="F134" s="19"/>
      <c r="G134" s="21"/>
      <c r="H134" s="20"/>
      <c r="I134" s="21"/>
      <c r="J134" s="64"/>
      <c r="K134" s="19"/>
      <c r="M134" s="62"/>
      <c r="N134" s="1"/>
      <c r="O134" s="1"/>
      <c r="P134" s="1"/>
      <c r="Q134" s="1"/>
      <c r="R134" s="62"/>
      <c r="S134" s="62"/>
    </row>
    <row r="135" spans="1:19" ht="15" customHeight="1" x14ac:dyDescent="0.25">
      <c r="A135" s="16"/>
      <c r="B135" s="22" t="s">
        <v>107</v>
      </c>
      <c r="C135" s="17">
        <v>1</v>
      </c>
      <c r="D135" s="18">
        <f>(7.5*2+4*2)/3.281</f>
        <v>7.0100579091740318</v>
      </c>
      <c r="E135" s="19">
        <v>7.4999999999999997E-2</v>
      </c>
      <c r="F135" s="19">
        <v>0.125</v>
      </c>
      <c r="G135" s="27">
        <f>PRODUCT(C135:F135)</f>
        <v>6.5719292898506546E-2</v>
      </c>
      <c r="H135" s="20"/>
      <c r="I135" s="21"/>
      <c r="J135" s="64"/>
      <c r="K135" s="19"/>
      <c r="M135" s="62"/>
      <c r="N135" s="1"/>
      <c r="O135" s="1"/>
      <c r="P135" s="1"/>
      <c r="Q135" s="1"/>
      <c r="R135" s="62"/>
      <c r="S135" s="62"/>
    </row>
    <row r="136" spans="1:19" ht="15" customHeight="1" x14ac:dyDescent="0.25">
      <c r="A136" s="16"/>
      <c r="B136" s="63" t="s">
        <v>20</v>
      </c>
      <c r="C136" s="17"/>
      <c r="D136" s="18"/>
      <c r="E136" s="19"/>
      <c r="F136" s="19"/>
      <c r="G136" s="21">
        <f>SUM(G135)</f>
        <v>6.5719292898506546E-2</v>
      </c>
      <c r="H136" s="20" t="s">
        <v>16</v>
      </c>
      <c r="I136" s="21">
        <v>283082.83</v>
      </c>
      <c r="J136" s="64">
        <f>G136*I136</f>
        <v>18604.003419308137</v>
      </c>
      <c r="K136" s="19"/>
      <c r="M136" s="62"/>
      <c r="N136" s="1"/>
      <c r="O136" s="1"/>
      <c r="P136" s="1"/>
      <c r="Q136" s="1"/>
      <c r="R136" s="62"/>
      <c r="S136" s="62"/>
    </row>
    <row r="137" spans="1:19" ht="15" customHeight="1" x14ac:dyDescent="0.25">
      <c r="A137" s="16"/>
      <c r="B137" s="63" t="s">
        <v>66</v>
      </c>
      <c r="C137" s="17"/>
      <c r="D137" s="18"/>
      <c r="E137" s="19"/>
      <c r="F137" s="19"/>
      <c r="G137" s="21"/>
      <c r="H137" s="20"/>
      <c r="I137" s="21"/>
      <c r="J137" s="64">
        <f>0.13*G136*239222.83</f>
        <v>2043.802180261353</v>
      </c>
      <c r="K137" s="19"/>
      <c r="M137" s="62"/>
      <c r="N137" s="1"/>
      <c r="O137" s="1"/>
      <c r="P137" s="1"/>
      <c r="Q137" s="1"/>
      <c r="R137" s="62"/>
      <c r="S137" s="62"/>
    </row>
    <row r="138" spans="1:19" ht="15" customHeight="1" x14ac:dyDescent="0.25">
      <c r="A138" s="16"/>
      <c r="B138" s="63"/>
      <c r="C138" s="17"/>
      <c r="D138" s="18"/>
      <c r="E138" s="19"/>
      <c r="F138" s="19"/>
      <c r="G138" s="21"/>
      <c r="H138" s="20"/>
      <c r="I138" s="21"/>
      <c r="J138" s="64"/>
      <c r="K138" s="19"/>
      <c r="M138" s="62"/>
      <c r="N138" s="1"/>
      <c r="O138" s="1"/>
      <c r="P138" s="1"/>
      <c r="Q138" s="1"/>
      <c r="R138" s="62"/>
      <c r="S138" s="62"/>
    </row>
    <row r="139" spans="1:19" ht="42.75" x14ac:dyDescent="0.25">
      <c r="A139" s="16">
        <v>12</v>
      </c>
      <c r="B139" s="59" t="s">
        <v>109</v>
      </c>
      <c r="C139" s="17"/>
      <c r="D139" s="18"/>
      <c r="E139" s="19"/>
      <c r="F139" s="19"/>
      <c r="G139" s="21"/>
      <c r="H139" s="20"/>
      <c r="I139" s="21"/>
      <c r="J139" s="64"/>
      <c r="K139" s="19"/>
      <c r="M139" s="62"/>
      <c r="N139" s="1"/>
      <c r="O139" s="1"/>
      <c r="P139" s="1"/>
      <c r="Q139" s="1"/>
      <c r="R139" s="62"/>
      <c r="S139" s="62"/>
    </row>
    <row r="140" spans="1:19" ht="15" customHeight="1" x14ac:dyDescent="0.25">
      <c r="A140" s="16"/>
      <c r="B140" s="22" t="s">
        <v>106</v>
      </c>
      <c r="C140" s="17">
        <v>2</v>
      </c>
      <c r="D140" s="18">
        <f>D129</f>
        <v>0.75</v>
      </c>
      <c r="E140" s="19"/>
      <c r="F140" s="19">
        <f>F129</f>
        <v>0.75</v>
      </c>
      <c r="G140" s="27">
        <f>PRODUCT(C140:F140)</f>
        <v>1.125</v>
      </c>
      <c r="H140" s="20"/>
      <c r="I140" s="21"/>
      <c r="J140" s="64"/>
      <c r="K140" s="19"/>
      <c r="M140" s="62"/>
      <c r="N140" s="1"/>
      <c r="O140" s="1"/>
      <c r="P140" s="1"/>
      <c r="Q140" s="1"/>
      <c r="R140" s="62"/>
      <c r="S140" s="62"/>
    </row>
    <row r="141" spans="1:19" ht="15" customHeight="1" x14ac:dyDescent="0.25">
      <c r="A141" s="16"/>
      <c r="B141" s="22"/>
      <c r="C141" s="17">
        <v>4</v>
      </c>
      <c r="D141" s="18">
        <f>2/3.281</f>
        <v>0.6095702529716549</v>
      </c>
      <c r="E141" s="19"/>
      <c r="F141" s="19">
        <f>1.25/3.281</f>
        <v>0.38098140810728437</v>
      </c>
      <c r="G141" s="27">
        <f>PRODUCT(C141:F141)</f>
        <v>0.92893973326981849</v>
      </c>
      <c r="H141" s="20"/>
      <c r="I141" s="21"/>
      <c r="J141" s="64"/>
      <c r="K141" s="19"/>
      <c r="M141" s="62"/>
      <c r="N141" s="1"/>
      <c r="O141" s="1"/>
      <c r="P141" s="1"/>
      <c r="Q141" s="1"/>
      <c r="R141" s="62"/>
      <c r="S141" s="62"/>
    </row>
    <row r="142" spans="1:19" ht="15" customHeight="1" x14ac:dyDescent="0.25">
      <c r="A142" s="16"/>
      <c r="B142" s="22" t="str">
        <f>B135</f>
        <v>Door</v>
      </c>
      <c r="C142" s="17">
        <f>C135</f>
        <v>1</v>
      </c>
      <c r="D142" s="18">
        <f>D130</f>
        <v>1.2</v>
      </c>
      <c r="E142" s="19"/>
      <c r="F142" s="19">
        <f>F130</f>
        <v>2.4382810118866196</v>
      </c>
      <c r="G142" s="27">
        <f>PRODUCT(C142:F142)</f>
        <v>2.9259372142639433</v>
      </c>
      <c r="H142" s="20"/>
      <c r="I142" s="21"/>
      <c r="J142" s="64"/>
      <c r="K142" s="19"/>
      <c r="M142" s="62"/>
      <c r="N142" s="1"/>
      <c r="O142" s="1"/>
      <c r="P142" s="1"/>
      <c r="Q142" s="1"/>
      <c r="R142" s="62"/>
      <c r="S142" s="62"/>
    </row>
    <row r="143" spans="1:19" ht="15" customHeight="1" x14ac:dyDescent="0.25">
      <c r="A143" s="16"/>
      <c r="B143" s="63" t="s">
        <v>20</v>
      </c>
      <c r="C143" s="17"/>
      <c r="D143" s="18"/>
      <c r="E143" s="19"/>
      <c r="F143" s="19"/>
      <c r="G143" s="21">
        <f>SUM(G140:G142)</f>
        <v>4.9798769475337616</v>
      </c>
      <c r="H143" s="20" t="s">
        <v>26</v>
      </c>
      <c r="I143" s="21">
        <f>31552.5/0.92</f>
        <v>34296.195652173912</v>
      </c>
      <c r="J143" s="64">
        <f>G143*I143</f>
        <v>170790.8341163685</v>
      </c>
      <c r="K143" s="19"/>
      <c r="M143" s="62"/>
      <c r="N143" s="1"/>
      <c r="O143" s="1"/>
      <c r="P143" s="1"/>
      <c r="Q143" s="1"/>
      <c r="R143" s="62"/>
      <c r="S143" s="62"/>
    </row>
    <row r="144" spans="1:19" ht="15" customHeight="1" x14ac:dyDescent="0.25">
      <c r="A144" s="16"/>
      <c r="B144" s="63" t="s">
        <v>66</v>
      </c>
      <c r="C144" s="17"/>
      <c r="D144" s="18"/>
      <c r="E144" s="19"/>
      <c r="F144" s="19"/>
      <c r="G144" s="21"/>
      <c r="H144" s="20"/>
      <c r="I144" s="21"/>
      <c r="J144" s="64">
        <f>0.13*G143*9742.5/0.92</f>
        <v>6855.5854901904313</v>
      </c>
      <c r="K144" s="19"/>
      <c r="M144" s="62"/>
      <c r="N144" s="1"/>
      <c r="O144" s="1"/>
      <c r="P144" s="1"/>
      <c r="Q144" s="1"/>
      <c r="R144" s="62"/>
      <c r="S144" s="62"/>
    </row>
    <row r="145" spans="1:19" ht="15" customHeight="1" x14ac:dyDescent="0.25">
      <c r="A145" s="16"/>
      <c r="B145" s="22"/>
      <c r="C145" s="17"/>
      <c r="D145" s="18"/>
      <c r="E145" s="19"/>
      <c r="F145" s="19"/>
      <c r="G145" s="21"/>
      <c r="H145" s="20"/>
      <c r="I145" s="21"/>
      <c r="J145" s="64"/>
      <c r="K145" s="19"/>
      <c r="M145" s="62"/>
      <c r="N145" s="1"/>
      <c r="O145" s="1"/>
      <c r="P145" s="1"/>
      <c r="Q145" s="1"/>
      <c r="R145" s="62"/>
      <c r="S145" s="62"/>
    </row>
    <row r="146" spans="1:19" ht="30" x14ac:dyDescent="0.25">
      <c r="A146" s="16">
        <v>13</v>
      </c>
      <c r="B146" s="39" t="s">
        <v>108</v>
      </c>
      <c r="C146" s="17"/>
      <c r="D146" s="18"/>
      <c r="E146" s="19"/>
      <c r="F146" s="19"/>
      <c r="G146" s="21"/>
      <c r="H146" s="20"/>
      <c r="I146" s="21"/>
      <c r="J146" s="64"/>
      <c r="K146" s="19"/>
      <c r="M146" s="62"/>
      <c r="N146" s="1"/>
      <c r="O146" s="1"/>
      <c r="P146" s="1"/>
      <c r="Q146" s="1"/>
      <c r="R146" s="62"/>
      <c r="S146" s="62"/>
    </row>
    <row r="147" spans="1:19" ht="15" customHeight="1" x14ac:dyDescent="0.25">
      <c r="A147" s="16"/>
      <c r="B147" s="29" t="s">
        <v>49</v>
      </c>
      <c r="C147" s="68">
        <v>0.5</v>
      </c>
      <c r="D147" s="18">
        <f>6.5/3.281</f>
        <v>1.9811033221578787</v>
      </c>
      <c r="E147" s="18">
        <f>6.5/3.281</f>
        <v>1.9811033221578787</v>
      </c>
      <c r="F147" s="19">
        <f>13.25/3.281</f>
        <v>4.0384029259372145</v>
      </c>
      <c r="G147" s="27">
        <f>PRODUCT(C147:F147)</f>
        <v>7.9249020791086613</v>
      </c>
      <c r="H147" s="20"/>
      <c r="I147" s="21"/>
      <c r="J147" s="23"/>
      <c r="K147" s="19"/>
      <c r="M147" s="55"/>
      <c r="N147" s="56"/>
    </row>
    <row r="148" spans="1:19" ht="15" customHeight="1" x14ac:dyDescent="0.25">
      <c r="A148" s="16"/>
      <c r="B148" s="63" t="s">
        <v>20</v>
      </c>
      <c r="C148" s="17"/>
      <c r="D148" s="18"/>
      <c r="E148" s="19"/>
      <c r="F148" s="19"/>
      <c r="G148" s="21">
        <f>SUM(G146:G147)</f>
        <v>7.9249020791086613</v>
      </c>
      <c r="H148" s="20" t="s">
        <v>16</v>
      </c>
      <c r="I148" s="21">
        <v>451.4</v>
      </c>
      <c r="J148" s="64">
        <f>G148*I148</f>
        <v>3577.3007985096497</v>
      </c>
      <c r="K148" s="19"/>
      <c r="M148" s="62"/>
      <c r="N148" s="1"/>
      <c r="O148" s="1"/>
      <c r="P148" s="1"/>
      <c r="Q148" s="1"/>
      <c r="R148" s="62"/>
      <c r="S148" s="62"/>
    </row>
    <row r="149" spans="1:19" ht="15" customHeight="1" x14ac:dyDescent="0.25">
      <c r="A149" s="16"/>
      <c r="B149" s="63"/>
      <c r="C149" s="17"/>
      <c r="D149" s="18"/>
      <c r="E149" s="19"/>
      <c r="F149" s="19"/>
      <c r="G149" s="21"/>
      <c r="H149" s="20"/>
      <c r="I149" s="21"/>
      <c r="J149" s="64"/>
      <c r="K149" s="19"/>
      <c r="M149" s="62"/>
      <c r="N149" s="1"/>
      <c r="O149" s="1"/>
      <c r="P149" s="1"/>
      <c r="Q149" s="1"/>
      <c r="R149" s="62"/>
      <c r="S149" s="62"/>
    </row>
    <row r="150" spans="1:19" ht="15" customHeight="1" x14ac:dyDescent="0.25">
      <c r="A150" s="16">
        <v>14</v>
      </c>
      <c r="B150" s="59" t="s">
        <v>103</v>
      </c>
      <c r="C150" s="17">
        <v>1</v>
      </c>
      <c r="D150" s="18"/>
      <c r="E150" s="19"/>
      <c r="F150" s="19"/>
      <c r="G150" s="23">
        <f t="shared" ref="G150" si="12">PRODUCT(C150:F150)</f>
        <v>1</v>
      </c>
      <c r="H150" s="20" t="s">
        <v>77</v>
      </c>
      <c r="I150" s="21">
        <v>20000</v>
      </c>
      <c r="J150" s="23">
        <f>G150*I150</f>
        <v>20000</v>
      </c>
      <c r="K150" s="19"/>
      <c r="M150" s="55"/>
      <c r="N150" s="56"/>
    </row>
    <row r="151" spans="1:19" ht="28.5" hidden="1" x14ac:dyDescent="0.25">
      <c r="A151" s="16">
        <v>17</v>
      </c>
      <c r="B151" s="59" t="s">
        <v>75</v>
      </c>
      <c r="C151" s="17"/>
      <c r="D151" s="18"/>
      <c r="E151" s="19"/>
      <c r="F151" s="19"/>
      <c r="G151" s="21"/>
      <c r="H151" s="20"/>
      <c r="I151" s="21"/>
      <c r="J151" s="64"/>
      <c r="K151" s="19"/>
      <c r="M151" s="62"/>
      <c r="N151" s="1"/>
      <c r="O151" s="1"/>
      <c r="P151" s="1"/>
      <c r="Q151" s="1"/>
      <c r="R151" s="62"/>
      <c r="S151" s="62"/>
    </row>
    <row r="152" spans="1:19" ht="15" hidden="1" customHeight="1" x14ac:dyDescent="0.25">
      <c r="A152" s="16"/>
      <c r="B152" s="29" t="s">
        <v>34</v>
      </c>
      <c r="C152" s="17">
        <v>2</v>
      </c>
      <c r="D152" s="6">
        <f>(8+1.5*2)/3.281</f>
        <v>3.3526363913441024</v>
      </c>
      <c r="E152" s="6">
        <v>0.45</v>
      </c>
      <c r="F152" s="65"/>
      <c r="G152" s="27">
        <f t="shared" ref="G152:G153" si="13">PRODUCT(C152:F152)</f>
        <v>3.0173727522096923</v>
      </c>
      <c r="H152" s="20"/>
      <c r="I152" s="21"/>
      <c r="J152" s="23"/>
      <c r="K152" s="19"/>
      <c r="M152" s="55"/>
      <c r="N152" s="56"/>
    </row>
    <row r="153" spans="1:19" ht="15" hidden="1" customHeight="1" x14ac:dyDescent="0.25">
      <c r="A153" s="16"/>
      <c r="B153" s="29"/>
      <c r="C153" s="17">
        <v>2</v>
      </c>
      <c r="D153" s="6">
        <f>(8)/3.281</f>
        <v>2.4382810118866196</v>
      </c>
      <c r="E153" s="6">
        <v>0.45</v>
      </c>
      <c r="F153" s="65"/>
      <c r="G153" s="27">
        <f t="shared" si="13"/>
        <v>2.1944529106979576</v>
      </c>
      <c r="H153" s="20"/>
      <c r="I153" s="21"/>
      <c r="J153" s="23"/>
      <c r="K153" s="19"/>
      <c r="M153" s="55"/>
      <c r="N153" s="56"/>
    </row>
    <row r="154" spans="1:19" ht="15" hidden="1" customHeight="1" x14ac:dyDescent="0.25">
      <c r="A154" s="16"/>
      <c r="B154" s="29" t="s">
        <v>62</v>
      </c>
      <c r="C154" s="17">
        <v>4</v>
      </c>
      <c r="D154" s="6">
        <f>4.667/3.281</f>
        <v>1.4224321853093569</v>
      </c>
      <c r="E154" s="6">
        <v>1.2</v>
      </c>
      <c r="F154" s="65"/>
      <c r="G154" s="27">
        <f>4*0.5*(2*D154*E154)</f>
        <v>6.8276744894849131</v>
      </c>
      <c r="H154" s="20"/>
      <c r="I154" s="21"/>
      <c r="J154" s="23"/>
      <c r="K154" s="19"/>
      <c r="M154" s="55"/>
      <c r="N154" s="56"/>
    </row>
    <row r="155" spans="1:19" ht="15" hidden="1" customHeight="1" x14ac:dyDescent="0.25">
      <c r="A155" s="28"/>
      <c r="B155" s="29" t="s">
        <v>20</v>
      </c>
      <c r="C155" s="25"/>
      <c r="D155" s="6"/>
      <c r="E155" s="6"/>
      <c r="F155" s="6"/>
      <c r="G155" s="23">
        <f>0*SUM(G152:G154)</f>
        <v>0</v>
      </c>
      <c r="H155" s="23" t="s">
        <v>26</v>
      </c>
      <c r="I155" s="21">
        <f>325188.75/100</f>
        <v>3251.8874999999998</v>
      </c>
      <c r="J155" s="24">
        <f>G155*I155</f>
        <v>0</v>
      </c>
      <c r="K155" s="7"/>
    </row>
    <row r="156" spans="1:19" ht="15" hidden="1" customHeight="1" x14ac:dyDescent="0.25">
      <c r="A156" s="16"/>
      <c r="B156" s="29" t="s">
        <v>22</v>
      </c>
      <c r="C156" s="17"/>
      <c r="D156" s="18"/>
      <c r="E156" s="19"/>
      <c r="F156" s="19"/>
      <c r="G156" s="21"/>
      <c r="H156" s="20"/>
      <c r="I156" s="21"/>
      <c r="J156" s="23">
        <f>0.13*G155*221748.75/100</f>
        <v>0</v>
      </c>
      <c r="K156" s="19"/>
      <c r="M156" s="55"/>
      <c r="N156" s="56"/>
    </row>
    <row r="157" spans="1:19" ht="15" customHeight="1" x14ac:dyDescent="0.25">
      <c r="A157" s="16"/>
      <c r="B157" s="63"/>
      <c r="C157" s="17"/>
      <c r="D157" s="18"/>
      <c r="E157" s="19"/>
      <c r="F157" s="19"/>
      <c r="G157" s="21"/>
      <c r="H157" s="20"/>
      <c r="I157" s="21"/>
      <c r="J157" s="64"/>
      <c r="K157" s="19"/>
      <c r="M157" s="62"/>
      <c r="N157" s="1"/>
      <c r="O157" s="1"/>
      <c r="P157" s="1"/>
      <c r="Q157" s="1"/>
      <c r="R157" s="62"/>
      <c r="S157" s="62"/>
    </row>
    <row r="158" spans="1:19" x14ac:dyDescent="0.25">
      <c r="A158" s="16">
        <v>15</v>
      </c>
      <c r="B158" s="43" t="s">
        <v>18</v>
      </c>
      <c r="C158" s="17">
        <v>1</v>
      </c>
      <c r="D158" s="18"/>
      <c r="E158" s="19"/>
      <c r="F158" s="19"/>
      <c r="G158" s="23">
        <f t="shared" ref="G158" si="14">PRODUCT(C158:F158)</f>
        <v>1</v>
      </c>
      <c r="H158" s="20" t="s">
        <v>19</v>
      </c>
      <c r="I158" s="21">
        <v>500</v>
      </c>
      <c r="J158" s="23">
        <f>G158*I158</f>
        <v>500</v>
      </c>
      <c r="K158" s="19"/>
      <c r="M158" s="55"/>
      <c r="N158" s="56"/>
    </row>
    <row r="159" spans="1:19" ht="15" customHeight="1" x14ac:dyDescent="0.25">
      <c r="A159" s="16"/>
      <c r="B159" s="22"/>
      <c r="C159" s="17"/>
      <c r="D159" s="18"/>
      <c r="E159" s="19"/>
      <c r="F159" s="19"/>
      <c r="G159" s="21"/>
      <c r="H159" s="20"/>
      <c r="I159" s="21"/>
      <c r="J159" s="23"/>
      <c r="K159" s="19"/>
      <c r="M159" s="55"/>
      <c r="N159" s="56"/>
    </row>
    <row r="160" spans="1:19" x14ac:dyDescent="0.25">
      <c r="A160" s="28"/>
      <c r="B160" s="30" t="s">
        <v>14</v>
      </c>
      <c r="C160" s="25"/>
      <c r="D160" s="6"/>
      <c r="E160" s="6"/>
      <c r="F160" s="6"/>
      <c r="G160" s="23"/>
      <c r="H160" s="23"/>
      <c r="I160" s="23"/>
      <c r="J160" s="23">
        <f>SUM(J10:J158)</f>
        <v>1121125.1735291425</v>
      </c>
      <c r="K160" s="7"/>
    </row>
    <row r="162" spans="2:14" s="1" customFormat="1" x14ac:dyDescent="0.25">
      <c r="B162" s="7" t="s">
        <v>50</v>
      </c>
      <c r="C162" s="79">
        <f>J160</f>
        <v>1121125.1735291425</v>
      </c>
      <c r="D162" s="80"/>
      <c r="E162" s="6">
        <v>100</v>
      </c>
      <c r="F162" s="8"/>
      <c r="G162" s="9"/>
      <c r="H162" s="8"/>
      <c r="I162" s="10"/>
      <c r="J162" s="11"/>
      <c r="K162" s="12"/>
      <c r="M162" s="50"/>
      <c r="N162" s="54"/>
    </row>
    <row r="163" spans="2:14" x14ac:dyDescent="0.25">
      <c r="B163" s="7" t="s">
        <v>51</v>
      </c>
      <c r="C163" s="81">
        <v>1000000</v>
      </c>
      <c r="D163" s="82"/>
      <c r="E163" s="6"/>
      <c r="M163" s="50"/>
      <c r="N163" s="54"/>
    </row>
    <row r="164" spans="2:14" x14ac:dyDescent="0.25">
      <c r="B164" s="7" t="s">
        <v>52</v>
      </c>
      <c r="C164" s="81">
        <f>C163-C166-C167</f>
        <v>950000</v>
      </c>
      <c r="D164" s="82"/>
      <c r="E164" s="6">
        <f>C164/C162*100</f>
        <v>84.736300854750695</v>
      </c>
    </row>
    <row r="165" spans="2:14" x14ac:dyDescent="0.25">
      <c r="B165" s="7" t="s">
        <v>53</v>
      </c>
      <c r="C165" s="83">
        <f>C162-C164</f>
        <v>171125.17352914251</v>
      </c>
      <c r="D165" s="83"/>
      <c r="E165" s="6">
        <f>100-E164</f>
        <v>15.263699145249305</v>
      </c>
      <c r="M165" s="48" t="s">
        <v>70</v>
      </c>
      <c r="N165" s="52" t="s">
        <v>69</v>
      </c>
    </row>
    <row r="166" spans="2:14" x14ac:dyDescent="0.25">
      <c r="B166" s="7" t="s">
        <v>54</v>
      </c>
      <c r="C166" s="79">
        <f>C163*0.03</f>
        <v>30000</v>
      </c>
      <c r="D166" s="80"/>
      <c r="E166" s="6">
        <v>3</v>
      </c>
      <c r="M166" s="48" t="s">
        <v>67</v>
      </c>
      <c r="N166" s="52" t="s">
        <v>68</v>
      </c>
    </row>
    <row r="167" spans="2:14" x14ac:dyDescent="0.25">
      <c r="B167" s="7" t="s">
        <v>55</v>
      </c>
      <c r="C167" s="79">
        <f>C163*0.02</f>
        <v>20000</v>
      </c>
      <c r="D167" s="80"/>
      <c r="E167" s="6">
        <v>2</v>
      </c>
    </row>
    <row r="168" spans="2:14" x14ac:dyDescent="0.25">
      <c r="M168" s="48" t="s">
        <v>71</v>
      </c>
    </row>
  </sheetData>
  <mergeCells count="15">
    <mergeCell ref="C166:D166"/>
    <mergeCell ref="C167:D167"/>
    <mergeCell ref="A7:F7"/>
    <mergeCell ref="H7:K7"/>
    <mergeCell ref="C162:D162"/>
    <mergeCell ref="C163:D163"/>
    <mergeCell ref="C164:D164"/>
    <mergeCell ref="C165:D165"/>
    <mergeCell ref="A6:F6"/>
    <mergeCell ref="H6:K6"/>
    <mergeCell ref="A1:K1"/>
    <mergeCell ref="A2:K2"/>
    <mergeCell ref="A3:K3"/>
    <mergeCell ref="A4:K4"/>
    <mergeCell ref="A5:K5"/>
  </mergeCells>
  <hyperlinks>
    <hyperlink ref="B117"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final (2)</vt:lpstr>
      <vt:lpstr>FINAL</vt:lpstr>
      <vt:lpstr>FINAL (3)</vt:lpstr>
      <vt:lpstr>FINAL!Print_Area</vt:lpstr>
      <vt:lpstr>'final (2)'!Print_Area</vt:lpstr>
      <vt:lpstr>'FINAL (3)'!Print_Area</vt:lpstr>
      <vt:lpstr>FINAL!Print_Titles</vt:lpstr>
      <vt:lpstr>'final (2)'!Print_Titles</vt:lpstr>
      <vt:lpstr>'FINAL (3)'!Print_Titles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boom boom</cp:lastModifiedBy>
  <cp:lastPrinted>2024-02-08T10:16:33Z</cp:lastPrinted>
  <dcterms:created xsi:type="dcterms:W3CDTF">2015-06-05T18:17:20Z</dcterms:created>
  <dcterms:modified xsi:type="dcterms:W3CDTF">2024-02-09T05:25:24Z</dcterms:modified>
</cp:coreProperties>
</file>