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2"/>
  </bookViews>
  <sheets>
    <sheet name="final (2)" sheetId="6" r:id="rId1"/>
    <sheet name="valuated" sheetId="7" r:id="rId2"/>
    <sheet name="WCR" sheetId="3" r:id="rId3"/>
    <sheet name="measurement" sheetId="8" r:id="rId4"/>
  </sheets>
  <externalReferences>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3">#REF!</definedName>
    <definedName name="description_124" localSheetId="1">#REF!</definedName>
    <definedName name="description_124">#REF!</definedName>
    <definedName name="description_247">[1]Abstract!$B$22</definedName>
    <definedName name="description_261">[2]Abstract!$B$33</definedName>
    <definedName name="description_262">[1]Abstract!$B$34</definedName>
    <definedName name="description_299">[3]Abstract!$B$54</definedName>
    <definedName name="description_3">[1]Abstract!$B$169</definedName>
    <definedName name="description_5">[1]Abstract!$B$171</definedName>
    <definedName name="description_6">[3]Abstract!$B$172</definedName>
    <definedName name="description_759">[1]Abstract!$B$278</definedName>
    <definedName name="description_783" localSheetId="2">[1]Abstract!$B$301</definedName>
    <definedName name="description_783">[4]Abstract!$B$301</definedName>
    <definedName name="_xlnm.Print_Area" localSheetId="0">'final (2)'!$A$1:$K$58</definedName>
    <definedName name="_xlnm.Print_Area" localSheetId="3">measurement!$A$1:$K$71</definedName>
    <definedName name="_xlnm.Print_Area" localSheetId="1">valuated!$A$1:$K$71</definedName>
    <definedName name="_xlnm.Print_Area" localSheetId="2">WCR!$A$1:$K$27</definedName>
    <definedName name="_xlnm.Print_Titles" localSheetId="0">'final (2)'!$1:$8</definedName>
    <definedName name="_xlnm.Print_Titles" localSheetId="3">measurement!$1:$8</definedName>
    <definedName name="_xlnm.Print_Titles" localSheetId="1">valuated!$1:$8</definedName>
    <definedName name="_xlnm.Print_Titles" localSheetId="2">WCR!$1:$12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7" i="3" l="1"/>
  <c r="I27" i="3"/>
  <c r="G60" i="8"/>
  <c r="G49" i="8"/>
  <c r="G32" i="8"/>
  <c r="G18" i="8"/>
  <c r="C71" i="8"/>
  <c r="C70" i="8"/>
  <c r="C68" i="8" s="1"/>
  <c r="G63" i="8"/>
  <c r="J63" i="8" s="1"/>
  <c r="F59" i="8"/>
  <c r="D59" i="8"/>
  <c r="G59" i="8" s="1"/>
  <c r="E58" i="8"/>
  <c r="G58" i="8" s="1"/>
  <c r="F57" i="8"/>
  <c r="G57" i="8" s="1"/>
  <c r="D57" i="8"/>
  <c r="F56" i="8"/>
  <c r="D56" i="8"/>
  <c r="G56" i="8" s="1"/>
  <c r="F55" i="8"/>
  <c r="D55" i="8"/>
  <c r="G55" i="8" s="1"/>
  <c r="G54" i="8"/>
  <c r="F54" i="8"/>
  <c r="D54" i="8"/>
  <c r="F53" i="8"/>
  <c r="G53" i="8" s="1"/>
  <c r="D53" i="8"/>
  <c r="N49" i="8"/>
  <c r="E48" i="8"/>
  <c r="D48" i="8"/>
  <c r="F47" i="8"/>
  <c r="G47" i="8" s="1"/>
  <c r="E47" i="8"/>
  <c r="D47" i="8"/>
  <c r="C48" i="8" s="1"/>
  <c r="F48" i="8" s="1"/>
  <c r="G48" i="8" s="1"/>
  <c r="C47" i="8"/>
  <c r="E46" i="8"/>
  <c r="C46" i="8"/>
  <c r="E45" i="8"/>
  <c r="D45" i="8"/>
  <c r="F45" i="8" s="1"/>
  <c r="G45" i="8" s="1"/>
  <c r="C45" i="8"/>
  <c r="E44" i="8"/>
  <c r="F44" i="8" s="1"/>
  <c r="G44" i="8" s="1"/>
  <c r="D44" i="8"/>
  <c r="C44" i="8"/>
  <c r="F43" i="8"/>
  <c r="G43" i="8" s="1"/>
  <c r="E43" i="8"/>
  <c r="D43" i="8"/>
  <c r="C43" i="8"/>
  <c r="E42" i="8"/>
  <c r="D42" i="8"/>
  <c r="C42" i="8"/>
  <c r="F42" i="8" s="1"/>
  <c r="G42" i="8" s="1"/>
  <c r="E41" i="8"/>
  <c r="D41" i="8"/>
  <c r="C41" i="8"/>
  <c r="F41" i="8" s="1"/>
  <c r="G41" i="8" s="1"/>
  <c r="E40" i="8"/>
  <c r="F40" i="8" s="1"/>
  <c r="G40" i="8" s="1"/>
  <c r="D40" i="8"/>
  <c r="C40" i="8"/>
  <c r="F39" i="8"/>
  <c r="G39" i="8" s="1"/>
  <c r="E39" i="8"/>
  <c r="D39" i="8"/>
  <c r="C39" i="8"/>
  <c r="E38" i="8"/>
  <c r="D38" i="8"/>
  <c r="F38" i="8" s="1"/>
  <c r="G38" i="8" s="1"/>
  <c r="E37" i="8"/>
  <c r="D37" i="8"/>
  <c r="C37" i="8"/>
  <c r="F37" i="8" s="1"/>
  <c r="G37" i="8" s="1"/>
  <c r="E36" i="8"/>
  <c r="D36" i="8"/>
  <c r="C36" i="8"/>
  <c r="F36" i="8" s="1"/>
  <c r="G36" i="8" s="1"/>
  <c r="B36" i="8"/>
  <c r="D31" i="8"/>
  <c r="G31" i="8" s="1"/>
  <c r="B30" i="8"/>
  <c r="B29" i="8"/>
  <c r="B28" i="8"/>
  <c r="B27" i="8"/>
  <c r="G26" i="8"/>
  <c r="D26" i="8"/>
  <c r="B25" i="8"/>
  <c r="E24" i="8"/>
  <c r="B24" i="8"/>
  <c r="F23" i="8"/>
  <c r="D23" i="8"/>
  <c r="G23" i="8" s="1"/>
  <c r="F22" i="8"/>
  <c r="D22" i="8"/>
  <c r="G22" i="8" s="1"/>
  <c r="G17" i="8"/>
  <c r="E17" i="8"/>
  <c r="E30" i="8" s="1"/>
  <c r="D17" i="8"/>
  <c r="D30" i="8" s="1"/>
  <c r="G30" i="8" s="1"/>
  <c r="E16" i="8"/>
  <c r="E29" i="8" s="1"/>
  <c r="D16" i="8"/>
  <c r="D29" i="8" s="1"/>
  <c r="G29" i="8" s="1"/>
  <c r="E15" i="8"/>
  <c r="F28" i="8" s="1"/>
  <c r="D15" i="8"/>
  <c r="D28" i="8" s="1"/>
  <c r="G28" i="8" s="1"/>
  <c r="O14" i="8"/>
  <c r="E14" i="8"/>
  <c r="F27" i="8" s="1"/>
  <c r="D14" i="8"/>
  <c r="D27" i="8" s="1"/>
  <c r="G27" i="8" s="1"/>
  <c r="E13" i="8"/>
  <c r="E25" i="8" s="1"/>
  <c r="D13" i="8"/>
  <c r="G13" i="8" s="1"/>
  <c r="O12" i="8"/>
  <c r="E12" i="8"/>
  <c r="G12" i="8" s="1"/>
  <c r="D12" i="8"/>
  <c r="M11" i="8"/>
  <c r="D11" i="8"/>
  <c r="G11" i="8" s="1"/>
  <c r="D10" i="8"/>
  <c r="G10" i="8" s="1"/>
  <c r="M19" i="3"/>
  <c r="D47" i="7"/>
  <c r="C48" i="7" s="1"/>
  <c r="C47" i="7"/>
  <c r="C46" i="7"/>
  <c r="C41" i="7"/>
  <c r="C43" i="7"/>
  <c r="C42" i="7"/>
  <c r="N49" i="7"/>
  <c r="E39" i="7"/>
  <c r="C45" i="7"/>
  <c r="C44" i="7"/>
  <c r="C40" i="7"/>
  <c r="C39" i="7"/>
  <c r="E40" i="7"/>
  <c r="E41" i="7"/>
  <c r="E42" i="7"/>
  <c r="E43" i="7"/>
  <c r="M14" i="3"/>
  <c r="M23" i="3"/>
  <c r="M22" i="3"/>
  <c r="M20" i="3"/>
  <c r="D24" i="8" l="1"/>
  <c r="G24" i="8" s="1"/>
  <c r="D25" i="8"/>
  <c r="G25" i="8" s="1"/>
  <c r="G16" i="8"/>
  <c r="N12" i="8"/>
  <c r="N14" i="8"/>
  <c r="G15" i="8"/>
  <c r="G14" i="8"/>
  <c r="D46" i="8"/>
  <c r="F46" i="8" s="1"/>
  <c r="G46" i="8" s="1"/>
  <c r="C37" i="7"/>
  <c r="C36" i="7"/>
  <c r="E45" i="7"/>
  <c r="E46" i="7"/>
  <c r="E47" i="7"/>
  <c r="E48" i="7"/>
  <c r="E44" i="7"/>
  <c r="D48" i="7"/>
  <c r="D42" i="7"/>
  <c r="F42" i="7" s="1"/>
  <c r="G42" i="7" s="1"/>
  <c r="D45" i="7"/>
  <c r="D44" i="7"/>
  <c r="D43" i="7"/>
  <c r="D40" i="7"/>
  <c r="F40" i="7" s="1"/>
  <c r="G40" i="7" s="1"/>
  <c r="D41" i="7"/>
  <c r="D39" i="7"/>
  <c r="D36" i="7"/>
  <c r="D37" i="7"/>
  <c r="E38" i="7"/>
  <c r="D38" i="7"/>
  <c r="D31" i="7"/>
  <c r="G31" i="7"/>
  <c r="D26" i="7"/>
  <c r="G26" i="7" s="1"/>
  <c r="B25" i="7"/>
  <c r="B27" i="7"/>
  <c r="B28" i="7"/>
  <c r="B29" i="7"/>
  <c r="B30" i="7"/>
  <c r="H25" i="3"/>
  <c r="F23" i="3"/>
  <c r="H22" i="3"/>
  <c r="E22" i="3"/>
  <c r="D22" i="3"/>
  <c r="C22" i="3"/>
  <c r="E25" i="3"/>
  <c r="D25" i="3"/>
  <c r="C25" i="3"/>
  <c r="B25" i="3"/>
  <c r="A25" i="3"/>
  <c r="B23" i="3"/>
  <c r="B22" i="3"/>
  <c r="A22" i="3"/>
  <c r="B20" i="3"/>
  <c r="F20" i="3"/>
  <c r="H19" i="3"/>
  <c r="E19" i="3"/>
  <c r="D19" i="3"/>
  <c r="C19" i="3"/>
  <c r="B19" i="3"/>
  <c r="A19" i="3"/>
  <c r="H16" i="3"/>
  <c r="F17" i="3"/>
  <c r="E16" i="3"/>
  <c r="D16" i="3"/>
  <c r="C16" i="3"/>
  <c r="B17" i="3"/>
  <c r="B16" i="3"/>
  <c r="A16" i="3"/>
  <c r="H13" i="3"/>
  <c r="F14" i="3"/>
  <c r="B14" i="3"/>
  <c r="E13" i="3"/>
  <c r="D13" i="3"/>
  <c r="C13" i="3"/>
  <c r="B13" i="3"/>
  <c r="A13" i="3"/>
  <c r="A9" i="3"/>
  <c r="A8" i="3"/>
  <c r="D23" i="7"/>
  <c r="D22" i="7"/>
  <c r="M11" i="7"/>
  <c r="E17" i="7"/>
  <c r="E30" i="7" s="1"/>
  <c r="E16" i="7"/>
  <c r="D16" i="7"/>
  <c r="D29" i="7" s="1"/>
  <c r="D17" i="7"/>
  <c r="D30" i="7" s="1"/>
  <c r="E15" i="7"/>
  <c r="F28" i="7" s="1"/>
  <c r="D14" i="7"/>
  <c r="D27" i="7" s="1"/>
  <c r="D15" i="7"/>
  <c r="D28" i="7" s="1"/>
  <c r="D13" i="7"/>
  <c r="D25" i="7" s="1"/>
  <c r="E13" i="7"/>
  <c r="E25" i="7" s="1"/>
  <c r="E12" i="7"/>
  <c r="D12" i="7"/>
  <c r="E24" i="7" s="1"/>
  <c r="D11" i="7"/>
  <c r="G11" i="7" s="1"/>
  <c r="D10" i="7"/>
  <c r="G10" i="7" s="1"/>
  <c r="C71" i="7"/>
  <c r="C70" i="7"/>
  <c r="G63" i="7"/>
  <c r="J63" i="7" s="1"/>
  <c r="F59" i="7"/>
  <c r="D59" i="7"/>
  <c r="E58" i="7"/>
  <c r="G58" i="7" s="1"/>
  <c r="F57" i="7"/>
  <c r="D57" i="7"/>
  <c r="F56" i="7"/>
  <c r="D56" i="7"/>
  <c r="G56" i="7" s="1"/>
  <c r="F55" i="7"/>
  <c r="D55" i="7"/>
  <c r="F54" i="7"/>
  <c r="D54" i="7"/>
  <c r="G54" i="7" s="1"/>
  <c r="F53" i="7"/>
  <c r="D53" i="7"/>
  <c r="E37" i="7"/>
  <c r="E36" i="7"/>
  <c r="B36" i="7"/>
  <c r="B24" i="7"/>
  <c r="F23" i="7"/>
  <c r="F22" i="7"/>
  <c r="G22" i="7" s="1"/>
  <c r="O14" i="7"/>
  <c r="E14" i="7"/>
  <c r="F27" i="7" s="1"/>
  <c r="O12" i="7"/>
  <c r="J49" i="8" l="1"/>
  <c r="J50" i="8"/>
  <c r="J19" i="8"/>
  <c r="J18" i="8"/>
  <c r="J32" i="8"/>
  <c r="J33" i="8"/>
  <c r="J61" i="8"/>
  <c r="J60" i="8"/>
  <c r="F45" i="7"/>
  <c r="G45" i="7" s="1"/>
  <c r="F43" i="7"/>
  <c r="G43" i="7" s="1"/>
  <c r="G12" i="7"/>
  <c r="F38" i="7"/>
  <c r="G38" i="7" s="1"/>
  <c r="G13" i="7"/>
  <c r="F47" i="7"/>
  <c r="G47" i="7" s="1"/>
  <c r="G23" i="7"/>
  <c r="G27" i="7"/>
  <c r="N12" i="7"/>
  <c r="G25" i="7"/>
  <c r="G30" i="7"/>
  <c r="G28" i="7"/>
  <c r="E29" i="7"/>
  <c r="G29" i="7" s="1"/>
  <c r="G53" i="7"/>
  <c r="D24" i="7"/>
  <c r="G24" i="7" s="1"/>
  <c r="G17" i="7"/>
  <c r="F36" i="7"/>
  <c r="G36" i="7" s="1"/>
  <c r="F37" i="7"/>
  <c r="G37" i="7" s="1"/>
  <c r="C68" i="7"/>
  <c r="G15" i="7"/>
  <c r="F48" i="7"/>
  <c r="G48" i="7" s="1"/>
  <c r="F39" i="7"/>
  <c r="G39" i="7" s="1"/>
  <c r="F41" i="7"/>
  <c r="G41" i="7" s="1"/>
  <c r="G59" i="7"/>
  <c r="G25" i="3"/>
  <c r="G55" i="7"/>
  <c r="G57" i="7"/>
  <c r="G14" i="7"/>
  <c r="N14" i="7"/>
  <c r="G16" i="7"/>
  <c r="D46" i="7"/>
  <c r="F44" i="7"/>
  <c r="G44" i="7" s="1"/>
  <c r="J51" i="6"/>
  <c r="O13" i="6"/>
  <c r="N13" i="6"/>
  <c r="O12" i="6"/>
  <c r="N12" i="6"/>
  <c r="N15" i="6"/>
  <c r="G43" i="6"/>
  <c r="G44" i="6"/>
  <c r="G45" i="6"/>
  <c r="G46" i="6"/>
  <c r="G47" i="6"/>
  <c r="F41" i="6"/>
  <c r="F42" i="6"/>
  <c r="F43" i="6"/>
  <c r="F40" i="6"/>
  <c r="F46" i="6"/>
  <c r="D46" i="6"/>
  <c r="E45" i="6"/>
  <c r="F44" i="6"/>
  <c r="D44" i="6"/>
  <c r="D43" i="6"/>
  <c r="D42" i="6"/>
  <c r="G42" i="6" s="1"/>
  <c r="D41" i="6"/>
  <c r="D40" i="6"/>
  <c r="G40" i="6" s="1"/>
  <c r="N18" i="8" l="1"/>
  <c r="J64" i="8"/>
  <c r="C66" i="8" s="1"/>
  <c r="G32" i="7"/>
  <c r="G16" i="3" s="1"/>
  <c r="G60" i="7"/>
  <c r="G22" i="3" s="1"/>
  <c r="G18" i="7"/>
  <c r="G13" i="3" s="1"/>
  <c r="F46" i="7"/>
  <c r="G46" i="7" s="1"/>
  <c r="G49" i="7" s="1"/>
  <c r="G41" i="6"/>
  <c r="J48" i="6" s="1"/>
  <c r="C69" i="8" l="1"/>
  <c r="E68" i="8"/>
  <c r="E69" i="8" s="1"/>
  <c r="G19" i="3"/>
  <c r="J61" i="7"/>
  <c r="I23" i="3" s="1"/>
  <c r="J60" i="7"/>
  <c r="J18" i="7"/>
  <c r="J19" i="7"/>
  <c r="I14" i="3" s="1"/>
  <c r="J14" i="3" s="1"/>
  <c r="J33" i="7"/>
  <c r="I17" i="3" s="1"/>
  <c r="J32" i="7"/>
  <c r="J47" i="6"/>
  <c r="J50" i="7" l="1"/>
  <c r="I20" i="3" s="1"/>
  <c r="J49" i="7"/>
  <c r="J64" i="7" s="1"/>
  <c r="C66" i="7" s="1"/>
  <c r="E68" i="7" s="1"/>
  <c r="E69" i="7" s="1"/>
  <c r="N18" i="7"/>
  <c r="E35" i="6"/>
  <c r="E34" i="6"/>
  <c r="D32" i="6"/>
  <c r="E33" i="6"/>
  <c r="E32" i="6"/>
  <c r="E31" i="6"/>
  <c r="E30" i="6"/>
  <c r="D29" i="6"/>
  <c r="C29" i="6"/>
  <c r="F29" i="6" s="1"/>
  <c r="G29" i="6" s="1"/>
  <c r="E29" i="6"/>
  <c r="C28" i="6"/>
  <c r="D28" i="6"/>
  <c r="B28" i="6"/>
  <c r="B23" i="6"/>
  <c r="B22" i="6"/>
  <c r="D13" i="6"/>
  <c r="D22" i="6" s="1"/>
  <c r="B21" i="6"/>
  <c r="D20" i="6"/>
  <c r="D19" i="6"/>
  <c r="F20" i="6"/>
  <c r="F19" i="6"/>
  <c r="D11" i="6"/>
  <c r="G11" i="6" s="1"/>
  <c r="D10" i="6"/>
  <c r="G10" i="6" s="1"/>
  <c r="E14" i="6"/>
  <c r="E23" i="6" s="1"/>
  <c r="D14" i="6"/>
  <c r="D34" i="6" s="1"/>
  <c r="C35" i="6" s="1"/>
  <c r="E13" i="6"/>
  <c r="E22" i="6" s="1"/>
  <c r="E12" i="6"/>
  <c r="D21" i="6" s="1"/>
  <c r="D12" i="6"/>
  <c r="G12" i="6" s="1"/>
  <c r="C69" i="7" l="1"/>
  <c r="G22" i="6"/>
  <c r="D33" i="6"/>
  <c r="C30" i="6"/>
  <c r="F30" i="6" s="1"/>
  <c r="G30" i="6" s="1"/>
  <c r="D35" i="6"/>
  <c r="C34" i="6" s="1"/>
  <c r="F34" i="6" s="1"/>
  <c r="G34" i="6" s="1"/>
  <c r="C33" i="6"/>
  <c r="F33" i="6" s="1"/>
  <c r="G33" i="6" s="1"/>
  <c r="D31" i="6"/>
  <c r="C32" i="6"/>
  <c r="F32" i="6" s="1"/>
  <c r="G32" i="6" s="1"/>
  <c r="C31" i="6"/>
  <c r="F31" i="6" s="1"/>
  <c r="G31" i="6" s="1"/>
  <c r="G14" i="6"/>
  <c r="G20" i="6"/>
  <c r="D23" i="6"/>
  <c r="G23" i="6" s="1"/>
  <c r="E21" i="6"/>
  <c r="G21" i="6" s="1"/>
  <c r="G13" i="6"/>
  <c r="G15" i="6" s="1"/>
  <c r="F35" i="6" l="1"/>
  <c r="G35" i="6" s="1"/>
  <c r="C58" i="6" l="1"/>
  <c r="C57" i="6"/>
  <c r="G50" i="6"/>
  <c r="J50" i="6" s="1"/>
  <c r="E28" i="6"/>
  <c r="F28" i="6" l="1"/>
  <c r="G28" i="6" s="1"/>
  <c r="G36" i="6" s="1"/>
  <c r="C55" i="6"/>
  <c r="G19" i="6"/>
  <c r="G24" i="6" s="1"/>
  <c r="J24" i="6" l="1"/>
  <c r="J36" i="6"/>
  <c r="J37" i="6" l="1"/>
  <c r="J15" i="6"/>
  <c r="J25" i="6"/>
  <c r="J16" i="6" l="1"/>
  <c r="C53" i="6" l="1"/>
  <c r="C56" i="6" l="1"/>
  <c r="E55" i="6"/>
  <c r="E56" i="6" s="1"/>
  <c r="I19" i="3" l="1"/>
  <c r="I22" i="3" l="1"/>
  <c r="I16" i="3" l="1"/>
  <c r="I13" i="3"/>
  <c r="I25" i="3" l="1"/>
  <c r="J6" i="3" s="1"/>
  <c r="F25" i="3" l="1"/>
  <c r="M25" i="3" l="1"/>
  <c r="J25" i="3"/>
  <c r="F19" i="3"/>
  <c r="J19" i="3" s="1"/>
  <c r="J20" i="3" l="1"/>
  <c r="F22" i="3" l="1"/>
  <c r="J22" i="3" s="1"/>
  <c r="J23" i="3" l="1"/>
  <c r="F16" i="3" l="1"/>
  <c r="M16" i="3" l="1"/>
  <c r="J16" i="3"/>
  <c r="F13" i="3" l="1"/>
  <c r="J17" i="3"/>
  <c r="M17" i="3"/>
  <c r="M13" i="3" l="1"/>
  <c r="J13" i="3"/>
  <c r="C6" i="3" l="1"/>
  <c r="J27" i="3"/>
</calcChain>
</file>

<file path=xl/sharedStrings.xml><?xml version="1.0" encoding="utf-8"?>
<sst xmlns="http://schemas.openxmlformats.org/spreadsheetml/2006/main" count="234" uniqueCount="85">
  <si>
    <t>Government of Nepal</t>
  </si>
  <si>
    <t>Shankharapur Municipality Office</t>
  </si>
  <si>
    <t>Bagmati Province</t>
  </si>
  <si>
    <t>Sankhu, Kathmandu</t>
  </si>
  <si>
    <t>Detail Estimated Sheet</t>
  </si>
  <si>
    <t>Location:- Shankharapur Municipality 9</t>
  </si>
  <si>
    <t>S.N.</t>
  </si>
  <si>
    <t>Description of work</t>
  </si>
  <si>
    <t>No.</t>
  </si>
  <si>
    <t>Length</t>
  </si>
  <si>
    <t>Breadth</t>
  </si>
  <si>
    <t>Height</t>
  </si>
  <si>
    <t>Quantity</t>
  </si>
  <si>
    <t>Unit</t>
  </si>
  <si>
    <t>Rate</t>
  </si>
  <si>
    <t>Amount</t>
  </si>
  <si>
    <t>Sub-total</t>
  </si>
  <si>
    <t>cum</t>
  </si>
  <si>
    <t>Information board (सुचना पाटि)</t>
  </si>
  <si>
    <t>no.</t>
  </si>
  <si>
    <t>Grand total</t>
  </si>
  <si>
    <t>Length (m)</t>
  </si>
  <si>
    <t>sqm</t>
  </si>
  <si>
    <t>Total Estimated</t>
  </si>
  <si>
    <t>Budget allocated</t>
  </si>
  <si>
    <t>Municipal payment</t>
  </si>
  <si>
    <t>User Contribution</t>
  </si>
  <si>
    <t xml:space="preserve">Contingencies </t>
  </si>
  <si>
    <t xml:space="preserve">Maintanince </t>
  </si>
  <si>
    <t>-VAT 13% for materials</t>
  </si>
  <si>
    <t>d]lzgsf] k|of]u u/L ;'k/ :6«Sr/df l;d]G6 s+lqm6 ug]{ sfd -!M!=%M#_</t>
  </si>
  <si>
    <t>kmnfd]sf] kfOk / KnfOaf]8{af6 kmdf{ agfpg] sfd</t>
  </si>
  <si>
    <t xml:space="preserve">cf/=;L=;L= nflu kmnfd] 808L sf6\g], df]8\g] #) dL6/ ;Dd </t>
  </si>
  <si>
    <t>Unit weight (m)</t>
  </si>
  <si>
    <t>Total weight (kg)</t>
  </si>
  <si>
    <t>Total weight (M.T.)</t>
  </si>
  <si>
    <t>M.T</t>
  </si>
  <si>
    <t>Remark</t>
  </si>
  <si>
    <t>-VAT calculation</t>
  </si>
  <si>
    <t>-Deduction for opening</t>
  </si>
  <si>
    <t>F.Y.: 2080/2081</t>
  </si>
  <si>
    <t>Work Completion Report</t>
  </si>
  <si>
    <t>Total Estimated Amount:</t>
  </si>
  <si>
    <t>Total Valuated Amount :</t>
  </si>
  <si>
    <t xml:space="preserve">Work Started : </t>
  </si>
  <si>
    <t>S.No.</t>
  </si>
  <si>
    <t>Description</t>
  </si>
  <si>
    <t>Estimated</t>
  </si>
  <si>
    <t>Valuated</t>
  </si>
  <si>
    <t>Difference</t>
  </si>
  <si>
    <t>Remarks</t>
  </si>
  <si>
    <t xml:space="preserve">Quantity </t>
  </si>
  <si>
    <t>Total</t>
  </si>
  <si>
    <t>-For shear wall</t>
  </si>
  <si>
    <t>-For beam</t>
  </si>
  <si>
    <t>-For 1st roof</t>
  </si>
  <si>
    <t>-For top roof</t>
  </si>
  <si>
    <t>-For 1st roof horizontal bar</t>
  </si>
  <si>
    <t>-For 1st roof vertical bar</t>
  </si>
  <si>
    <t>-For shear wall horizontal bar</t>
  </si>
  <si>
    <t>-For shear wall vertical bar</t>
  </si>
  <si>
    <t>-For top roof horizontal bar</t>
  </si>
  <si>
    <t>-For top roof vertical bar</t>
  </si>
  <si>
    <t>!@=% dL=dL= l;d]G6 afn'jf -!M^_ Knfi6/</t>
  </si>
  <si>
    <t>-outer face of wall</t>
  </si>
  <si>
    <t>-inner face of wall</t>
  </si>
  <si>
    <t>Area</t>
  </si>
  <si>
    <t xml:space="preserve">Project:- गणपति गणेश मन्दिर निर्माण </t>
  </si>
  <si>
    <t>Date: 2080/08/24</t>
  </si>
  <si>
    <t>-For 1st roof short side</t>
  </si>
  <si>
    <t>-For shear wall short side</t>
  </si>
  <si>
    <t>-For 1st roof long side</t>
  </si>
  <si>
    <t>-For shear wall long side</t>
  </si>
  <si>
    <t>-For top roof short side</t>
  </si>
  <si>
    <t>-For top roof long side</t>
  </si>
  <si>
    <t xml:space="preserve">Date:2080/11/06        </t>
  </si>
  <si>
    <t>-edge</t>
  </si>
  <si>
    <t>-stirrups</t>
  </si>
  <si>
    <t>-Cantilever bars</t>
  </si>
  <si>
    <t>Total Valuated</t>
  </si>
  <si>
    <t>Detail Valuated Sheet</t>
  </si>
  <si>
    <t>Date: 2080/11/06</t>
  </si>
  <si>
    <t xml:space="preserve">F.Y:2080/81                  </t>
  </si>
  <si>
    <t xml:space="preserve">Work Finished:           </t>
  </si>
  <si>
    <t>Detail Quantity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</si>
</sst>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b/>
      <sz val="12"/>
      <name val="Preeti"/>
    </font>
    <font>
      <sz val="11"/>
      <name val="Times New Roman"/>
      <family val="1"/>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7" fillId="0" borderId="0" xfId="0" applyFont="1" applyAlignment="1">
      <alignment horizontal="center"/>
    </xf>
    <xf numFmtId="43" fontId="7" fillId="0" borderId="0" xfId="1" applyFont="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43" fontId="7" fillId="0" borderId="1" xfId="1" applyFont="1" applyBorder="1" applyAlignment="1">
      <alignment horizontal="center"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1" applyNumberFormat="1" applyFont="1" applyBorder="1" applyAlignment="1">
      <alignment vertical="center"/>
    </xf>
    <xf numFmtId="0" fontId="0" fillId="0" borderId="0" xfId="0" applyAlignment="1">
      <alignment vertical="center"/>
    </xf>
    <xf numFmtId="1" fontId="10" fillId="0" borderId="1" xfId="0" applyNumberFormat="1" applyFont="1" applyFill="1" applyBorder="1" applyAlignment="1">
      <alignment vertical="center" wrapText="1"/>
    </xf>
    <xf numFmtId="0" fontId="0" fillId="0" borderId="1" xfId="0" applyBorder="1" applyAlignment="1">
      <alignment vertical="center"/>
    </xf>
    <xf numFmtId="2" fontId="0" fillId="0" borderId="1" xfId="0" applyNumberFormat="1"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2" fillId="0" borderId="0" xfId="0" applyFont="1"/>
    <xf numFmtId="0" fontId="2" fillId="0" borderId="1" xfId="0" applyFont="1" applyBorder="1" applyAlignment="1">
      <alignment vertical="center"/>
    </xf>
    <xf numFmtId="1" fontId="8" fillId="0" borderId="1" xfId="0" applyNumberFormat="1" applyFont="1" applyFill="1" applyBorder="1" applyAlignment="1">
      <alignment vertical="center"/>
    </xf>
    <xf numFmtId="164" fontId="10" fillId="0" borderId="1" xfId="0" applyNumberFormat="1" applyFont="1" applyFill="1" applyBorder="1" applyAlignment="1">
      <alignment vertical="center"/>
    </xf>
    <xf numFmtId="2" fontId="10" fillId="0" borderId="1" xfId="1" applyNumberFormat="1" applyFont="1" applyFill="1" applyBorder="1" applyAlignment="1">
      <alignment vertical="center"/>
    </xf>
    <xf numFmtId="2" fontId="10" fillId="0" borderId="1" xfId="0" applyNumberFormat="1" applyFont="1" applyFill="1" applyBorder="1" applyAlignment="1">
      <alignment vertical="center"/>
    </xf>
    <xf numFmtId="2" fontId="2" fillId="0" borderId="1" xfId="0" applyNumberFormat="1" applyFont="1" applyBorder="1" applyAlignment="1">
      <alignment vertical="center"/>
    </xf>
    <xf numFmtId="0" fontId="11" fillId="0" borderId="0" xfId="0" applyFont="1" applyBorder="1" applyAlignment="1"/>
    <xf numFmtId="0" fontId="0" fillId="0" borderId="1" xfId="0" quotePrefix="1" applyFont="1" applyBorder="1" applyAlignment="1">
      <alignment horizontal="right" vertical="center" wrapText="1"/>
    </xf>
    <xf numFmtId="164" fontId="0" fillId="0" borderId="1" xfId="0" applyNumberFormat="1" applyBorder="1" applyAlignment="1">
      <alignment vertical="center"/>
    </xf>
    <xf numFmtId="2" fontId="3" fillId="0" borderId="1" xfId="0" applyNumberFormat="1" applyFont="1" applyBorder="1" applyAlignment="1">
      <alignment vertical="center"/>
    </xf>
    <xf numFmtId="0" fontId="9" fillId="2" borderId="1" xfId="0" applyFont="1" applyFill="1" applyBorder="1" applyAlignment="1">
      <alignment vertical="center" wrapText="1"/>
    </xf>
    <xf numFmtId="0" fontId="11" fillId="0" borderId="0" xfId="0" applyFont="1" applyBorder="1" applyAlignment="1">
      <alignment vertical="center"/>
    </xf>
    <xf numFmtId="2" fontId="0" fillId="0" borderId="1" xfId="0" applyNumberFormat="1" applyFont="1" applyBorder="1" applyAlignment="1">
      <alignment vertical="center"/>
    </xf>
    <xf numFmtId="2" fontId="0" fillId="0" borderId="1" xfId="0" applyNumberFormat="1" applyBorder="1" applyAlignment="1">
      <alignment vertical="center" wrapText="1"/>
    </xf>
    <xf numFmtId="0" fontId="7" fillId="0" borderId="1" xfId="0" applyFont="1" applyBorder="1" applyAlignment="1">
      <alignment vertical="center"/>
    </xf>
    <xf numFmtId="0" fontId="0" fillId="0" borderId="1" xfId="0" quotePrefix="1" applyBorder="1" applyAlignment="1">
      <alignment horizontal="right" vertical="center"/>
    </xf>
    <xf numFmtId="0" fontId="0" fillId="0" borderId="1" xfId="0" applyBorder="1" applyAlignment="1">
      <alignment vertical="center" wrapText="1"/>
    </xf>
    <xf numFmtId="0" fontId="2" fillId="0" borderId="1" xfId="0" applyFont="1" applyBorder="1" applyAlignment="1">
      <alignment horizontal="right" vertical="center"/>
    </xf>
    <xf numFmtId="0" fontId="14" fillId="0" borderId="0" xfId="0" applyFont="1"/>
    <xf numFmtId="0" fontId="15" fillId="0" borderId="0" xfId="0" applyFont="1" applyAlignment="1">
      <alignment horizontal="center"/>
    </xf>
    <xf numFmtId="0" fontId="0" fillId="0" borderId="0" xfId="0" applyAlignment="1">
      <alignment horizontal="left"/>
    </xf>
    <xf numFmtId="0" fontId="0" fillId="3" borderId="1" xfId="0" applyFill="1" applyBorder="1"/>
    <xf numFmtId="1" fontId="16" fillId="0" borderId="1" xfId="0" applyNumberFormat="1" applyFont="1" applyBorder="1" applyAlignment="1">
      <alignment vertical="center"/>
    </xf>
    <xf numFmtId="1" fontId="6" fillId="0" borderId="1" xfId="0" applyNumberFormat="1" applyFont="1" applyFill="1" applyBorder="1" applyAlignment="1">
      <alignment horizontal="left" vertical="center" wrapText="1"/>
    </xf>
    <xf numFmtId="43" fontId="2" fillId="0" borderId="1" xfId="1" applyFont="1" applyBorder="1" applyAlignment="1">
      <alignment vertical="center"/>
    </xf>
    <xf numFmtId="1" fontId="6" fillId="0" borderId="1" xfId="0" applyNumberFormat="1" applyFont="1" applyFill="1" applyBorder="1" applyAlignment="1">
      <alignment horizontal="right" vertical="center" wrapText="1"/>
    </xf>
    <xf numFmtId="0" fontId="16" fillId="0" borderId="1" xfId="0" applyFont="1" applyBorder="1" applyAlignment="1">
      <alignment vertic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43" fontId="2" fillId="0" borderId="1" xfId="1" applyFont="1" applyBorder="1"/>
    <xf numFmtId="43" fontId="0" fillId="0" borderId="0" xfId="0" applyNumberFormat="1"/>
    <xf numFmtId="1" fontId="16" fillId="0" borderId="1" xfId="0" applyNumberFormat="1" applyFont="1" applyBorder="1" applyAlignment="1">
      <alignment horizontal="right" vertical="center"/>
    </xf>
    <xf numFmtId="2" fontId="0" fillId="0" borderId="0" xfId="0" applyNumberFormat="1"/>
    <xf numFmtId="0" fontId="6" fillId="0" borderId="0" xfId="0" applyFont="1" applyAlignment="1">
      <alignment horizontal="right"/>
    </xf>
    <xf numFmtId="165" fontId="0" fillId="0" borderId="1" xfId="0" applyNumberFormat="1" applyFont="1" applyBorder="1" applyAlignment="1">
      <alignment vertical="center"/>
    </xf>
    <xf numFmtId="43" fontId="14" fillId="0" borderId="0" xfId="0" applyNumberFormat="1" applyFont="1" applyAlignment="1">
      <alignment horizontal="center"/>
    </xf>
    <xf numFmtId="0" fontId="14" fillId="0" borderId="0" xfId="0" applyFont="1" applyAlignment="1">
      <alignment horizontal="center"/>
    </xf>
    <xf numFmtId="43" fontId="14" fillId="0" borderId="0" xfId="0" applyNumberFormat="1" applyFont="1" applyAlignment="1">
      <alignment horizontal="center" vertical="center"/>
    </xf>
    <xf numFmtId="0" fontId="14" fillId="0" borderId="0" xfId="0" applyFont="1" applyAlignment="1">
      <alignment horizontal="center" vertical="center"/>
    </xf>
    <xf numFmtId="0" fontId="3" fillId="0" borderId="0" xfId="0" applyFont="1" applyAlignment="1">
      <alignment horizontal="center"/>
    </xf>
    <xf numFmtId="0" fontId="12" fillId="0" borderId="0" xfId="0" applyFont="1" applyAlignment="1">
      <alignment horizontal="center"/>
    </xf>
    <xf numFmtId="0" fontId="2" fillId="0" borderId="0" xfId="0" applyFont="1" applyAlignment="1">
      <alignment horizontal="center" vertical="center"/>
    </xf>
    <xf numFmtId="0" fontId="13"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0" borderId="0" xfId="0" applyFont="1" applyAlignment="1">
      <alignment horizontal="left"/>
    </xf>
    <xf numFmtId="0" fontId="0" fillId="0" borderId="0" xfId="0" applyAlignment="1">
      <alignment horizontal="right"/>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xf>
    <xf numFmtId="2" fontId="0" fillId="0" borderId="1" xfId="0" applyNumberFormat="1" applyBorder="1" applyAlignment="1">
      <alignment horizontal="center"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0" fontId="6" fillId="0" borderId="0" xfId="0" applyFont="1" applyAlignment="1">
      <alignment horizontal="right"/>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0" fontId="6"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0-081\For-all-Road-rate-analysis-80-81-shankharapur.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Users\USER\Videos\079-080\Rate%20Analysis\Road-rate-analysis-079-80-shankharapur-as-per-dor-norms-nnn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row r="54">
          <cell r="B54" t="str">
            <v>Scarifying Existing road Surface to a Depth of 50 mm by
Manual Means, Scarifying the existing road surface to a depth of 50 mm and disposal of scarified Material with all lifts and leads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5e_%20Knfi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25%20dL=dL=%20l;d]G6%20afn'jf%20-!M%5e_%20Knfi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25%20dL=dL=%20l;d]G6%20afn'jf%20-!M%5e_%20Knfi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topLeftCell="A16" zoomScale="89" zoomScaleNormal="89" workbookViewId="0">
      <selection activeCell="E32" sqref="E32"/>
    </sheetView>
  </sheetViews>
  <sheetFormatPr defaultRowHeight="15" x14ac:dyDescent="0.25"/>
  <cols>
    <col min="1" max="1" width="4.42578125" customWidth="1"/>
    <col min="2" max="2" width="31.28515625" customWidth="1"/>
    <col min="3" max="3" width="5.5703125" customWidth="1"/>
    <col min="4" max="4" width="8.7109375" customWidth="1"/>
    <col min="5" max="5" width="7.85546875" customWidth="1"/>
    <col min="6" max="6" width="8.28515625" customWidth="1"/>
    <col min="7" max="7" width="9.28515625" customWidth="1"/>
    <col min="8" max="8" width="5.28515625" bestFit="1" customWidth="1"/>
    <col min="9" max="9" width="9.28515625" customWidth="1"/>
    <col min="10" max="10" width="10.5703125" customWidth="1"/>
    <col min="11" max="11" width="8.5703125" customWidth="1"/>
    <col min="14" max="14" width="9.5703125" bestFit="1" customWidth="1"/>
  </cols>
  <sheetData>
    <row r="1" spans="1:15" x14ac:dyDescent="0.25">
      <c r="A1" s="77" t="s">
        <v>0</v>
      </c>
      <c r="B1" s="77"/>
      <c r="C1" s="77"/>
      <c r="D1" s="77"/>
      <c r="E1" s="77"/>
      <c r="F1" s="77"/>
      <c r="G1" s="77"/>
      <c r="H1" s="77"/>
      <c r="I1" s="77"/>
      <c r="J1" s="77"/>
      <c r="K1" s="77"/>
    </row>
    <row r="2" spans="1:15" ht="21.6" customHeight="1" x14ac:dyDescent="0.25">
      <c r="A2" s="78" t="s">
        <v>1</v>
      </c>
      <c r="B2" s="78"/>
      <c r="C2" s="78"/>
      <c r="D2" s="78"/>
      <c r="E2" s="78"/>
      <c r="F2" s="78"/>
      <c r="G2" s="78"/>
      <c r="H2" s="78"/>
      <c r="I2" s="78"/>
      <c r="J2" s="78"/>
      <c r="K2" s="78"/>
    </row>
    <row r="3" spans="1:15" x14ac:dyDescent="0.25">
      <c r="A3" s="61" t="s">
        <v>2</v>
      </c>
      <c r="B3" s="61"/>
      <c r="C3" s="61"/>
      <c r="D3" s="61"/>
      <c r="E3" s="61"/>
      <c r="F3" s="61"/>
      <c r="G3" s="61"/>
      <c r="H3" s="61"/>
      <c r="I3" s="61"/>
      <c r="J3" s="61"/>
      <c r="K3" s="61"/>
    </row>
    <row r="4" spans="1:15" x14ac:dyDescent="0.25">
      <c r="A4" s="61" t="s">
        <v>3</v>
      </c>
      <c r="B4" s="61"/>
      <c r="C4" s="61"/>
      <c r="D4" s="61"/>
      <c r="E4" s="61"/>
      <c r="F4" s="61"/>
      <c r="G4" s="61"/>
      <c r="H4" s="61"/>
      <c r="I4" s="61"/>
      <c r="J4" s="61"/>
      <c r="K4" s="61"/>
    </row>
    <row r="5" spans="1:15" ht="16.149999999999999" customHeight="1" x14ac:dyDescent="0.3">
      <c r="A5" s="79" t="s">
        <v>4</v>
      </c>
      <c r="B5" s="79"/>
      <c r="C5" s="79"/>
      <c r="D5" s="79"/>
      <c r="E5" s="79"/>
      <c r="F5" s="79"/>
      <c r="G5" s="79"/>
      <c r="H5" s="79"/>
      <c r="I5" s="79"/>
      <c r="J5" s="79"/>
      <c r="K5" s="79"/>
    </row>
    <row r="6" spans="1:15" ht="15.75" x14ac:dyDescent="0.25">
      <c r="A6" s="65" t="s">
        <v>67</v>
      </c>
      <c r="B6" s="65"/>
      <c r="C6" s="65"/>
      <c r="D6" s="65"/>
      <c r="E6" s="65"/>
      <c r="F6" s="65"/>
      <c r="G6" s="1"/>
      <c r="H6" s="74" t="s">
        <v>40</v>
      </c>
      <c r="I6" s="74"/>
      <c r="J6" s="74"/>
      <c r="K6" s="74"/>
    </row>
    <row r="7" spans="1:15" ht="15.75" x14ac:dyDescent="0.25">
      <c r="A7" s="73" t="s">
        <v>5</v>
      </c>
      <c r="B7" s="73"/>
      <c r="C7" s="73"/>
      <c r="D7" s="73"/>
      <c r="E7" s="73"/>
      <c r="F7" s="73"/>
      <c r="G7" s="2"/>
      <c r="H7" s="74" t="s">
        <v>68</v>
      </c>
      <c r="I7" s="74"/>
      <c r="J7" s="74"/>
      <c r="K7" s="74"/>
    </row>
    <row r="8" spans="1:15" ht="15" customHeight="1" x14ac:dyDescent="0.25">
      <c r="A8" s="33" t="s">
        <v>6</v>
      </c>
      <c r="B8" s="4" t="s">
        <v>7</v>
      </c>
      <c r="C8" s="3" t="s">
        <v>8</v>
      </c>
      <c r="D8" s="5" t="s">
        <v>9</v>
      </c>
      <c r="E8" s="5" t="s">
        <v>10</v>
      </c>
      <c r="F8" s="5" t="s">
        <v>11</v>
      </c>
      <c r="G8" s="5" t="s">
        <v>12</v>
      </c>
      <c r="H8" s="3" t="s">
        <v>13</v>
      </c>
      <c r="I8" s="5" t="s">
        <v>14</v>
      </c>
      <c r="J8" s="5" t="s">
        <v>15</v>
      </c>
      <c r="K8" s="4" t="s">
        <v>37</v>
      </c>
    </row>
    <row r="9" spans="1:15" s="9" customFormat="1" ht="30" x14ac:dyDescent="0.25">
      <c r="A9" s="20">
        <v>1</v>
      </c>
      <c r="B9" s="29" t="s">
        <v>30</v>
      </c>
      <c r="C9" s="21"/>
      <c r="D9" s="22"/>
      <c r="E9" s="23"/>
      <c r="F9" s="23"/>
      <c r="G9" s="7"/>
      <c r="H9" s="6"/>
      <c r="I9" s="7"/>
      <c r="J9" s="24"/>
      <c r="K9" s="23"/>
      <c r="M9" s="30"/>
      <c r="N9" s="30"/>
    </row>
    <row r="10" spans="1:15" x14ac:dyDescent="0.25">
      <c r="A10" s="19"/>
      <c r="B10" s="34" t="s">
        <v>54</v>
      </c>
      <c r="C10" s="27">
        <v>2</v>
      </c>
      <c r="D10" s="12">
        <f>11.17/3.281</f>
        <v>3.4044498628466928</v>
      </c>
      <c r="E10" s="12">
        <v>0.23</v>
      </c>
      <c r="F10" s="12">
        <v>0.23</v>
      </c>
      <c r="G10" s="12">
        <f t="shared" ref="G10:G12" si="0">PRODUCT(C10:F10)</f>
        <v>0.36019079548918009</v>
      </c>
      <c r="H10" s="11"/>
      <c r="I10" s="11"/>
      <c r="J10" s="12"/>
      <c r="K10" s="11"/>
    </row>
    <row r="11" spans="1:15" x14ac:dyDescent="0.25">
      <c r="A11" s="19"/>
      <c r="B11" s="34"/>
      <c r="C11" s="27">
        <v>2</v>
      </c>
      <c r="D11" s="12">
        <f>(11.333-0.75*2)/3.281</f>
        <v>2.9969521487351418</v>
      </c>
      <c r="E11" s="12">
        <v>0.23</v>
      </c>
      <c r="F11" s="12">
        <v>0.23</v>
      </c>
      <c r="G11" s="12">
        <f t="shared" ref="G11" si="1">PRODUCT(C11:F11)</f>
        <v>0.31707753733617805</v>
      </c>
      <c r="H11" s="11"/>
      <c r="I11" s="11"/>
      <c r="J11" s="12"/>
      <c r="K11" s="11"/>
    </row>
    <row r="12" spans="1:15" x14ac:dyDescent="0.25">
      <c r="A12" s="19"/>
      <c r="B12" s="34" t="s">
        <v>55</v>
      </c>
      <c r="C12" s="27">
        <v>4</v>
      </c>
      <c r="D12" s="12">
        <f>((4+15.33)/2)/3.281</f>
        <v>2.9457482474855223</v>
      </c>
      <c r="E12" s="12">
        <f>6.25/3.281</f>
        <v>1.9049070405364217</v>
      </c>
      <c r="F12" s="12">
        <v>0.1</v>
      </c>
      <c r="G12" s="12">
        <f t="shared" si="0"/>
        <v>2.2445506305131988</v>
      </c>
      <c r="H12" s="11"/>
      <c r="I12" s="11"/>
      <c r="J12" s="12"/>
      <c r="K12" s="11"/>
      <c r="N12" s="52">
        <f>E12</f>
        <v>1.9049070405364217</v>
      </c>
      <c r="O12">
        <f>(SQRT((11.17/2)^2+(2.75)^2))/3.281</f>
        <v>1.8973877807249939</v>
      </c>
    </row>
    <row r="13" spans="1:15" x14ac:dyDescent="0.25">
      <c r="A13" s="19"/>
      <c r="B13" s="34" t="s">
        <v>53</v>
      </c>
      <c r="C13" s="27">
        <v>4</v>
      </c>
      <c r="D13" s="12">
        <f>4/3.281</f>
        <v>1.2191405059433098</v>
      </c>
      <c r="E13" s="12">
        <f>2/3.281</f>
        <v>0.6095702529716549</v>
      </c>
      <c r="F13" s="12">
        <v>0.1</v>
      </c>
      <c r="G13" s="12">
        <f>PRODUCT(C13:F13)</f>
        <v>0.29726071464634191</v>
      </c>
      <c r="H13" s="11"/>
      <c r="I13" s="11"/>
      <c r="J13" s="12"/>
      <c r="K13" s="11"/>
      <c r="N13" s="52">
        <f>E14</f>
        <v>1.3206339530630906</v>
      </c>
      <c r="O13">
        <f>(SQRT((2)^2+(4)^2))/3.281</f>
        <v>1.3630405227063638</v>
      </c>
    </row>
    <row r="14" spans="1:15" x14ac:dyDescent="0.25">
      <c r="A14" s="19"/>
      <c r="B14" s="34" t="s">
        <v>56</v>
      </c>
      <c r="C14" s="27">
        <v>4</v>
      </c>
      <c r="D14" s="12">
        <f>(8/2)/3.281</f>
        <v>1.2191405059433098</v>
      </c>
      <c r="E14" s="12">
        <f>4.333/3.281</f>
        <v>1.3206339530630906</v>
      </c>
      <c r="F14" s="12">
        <v>7.4999999999999997E-2</v>
      </c>
      <c r="G14" s="12">
        <f>PRODUCT(C14:F14)</f>
        <v>0.48301150371097479</v>
      </c>
      <c r="H14" s="11"/>
      <c r="I14" s="11"/>
      <c r="J14" s="12"/>
      <c r="K14" s="11"/>
    </row>
    <row r="15" spans="1:15" ht="15" customHeight="1" x14ac:dyDescent="0.25">
      <c r="A15" s="19"/>
      <c r="B15" s="26" t="s">
        <v>16</v>
      </c>
      <c r="C15" s="27"/>
      <c r="D15" s="12"/>
      <c r="E15" s="12"/>
      <c r="F15" s="12"/>
      <c r="G15" s="24">
        <f>SUM(G10:G14)</f>
        <v>3.7020911816958737</v>
      </c>
      <c r="H15" s="24" t="s">
        <v>17</v>
      </c>
      <c r="I15" s="28">
        <v>14200.82</v>
      </c>
      <c r="J15" s="8">
        <f>G15*I15</f>
        <v>52572.730494850395</v>
      </c>
      <c r="K15" s="11"/>
      <c r="N15" s="52">
        <f>SUM(J9:J25)</f>
        <v>99694.270590146072</v>
      </c>
    </row>
    <row r="16" spans="1:15" ht="15" customHeight="1" x14ac:dyDescent="0.25">
      <c r="A16" s="20"/>
      <c r="B16" s="26" t="s">
        <v>38</v>
      </c>
      <c r="C16" s="21"/>
      <c r="D16" s="22"/>
      <c r="E16" s="23"/>
      <c r="F16" s="23"/>
      <c r="G16" s="7"/>
      <c r="H16" s="6"/>
      <c r="I16" s="7"/>
      <c r="J16" s="24">
        <f>0.13*G15*10250.02</f>
        <v>4933.0461250468243</v>
      </c>
      <c r="K16" s="23"/>
      <c r="M16" s="25"/>
      <c r="N16" s="25"/>
    </row>
    <row r="17" spans="1:14" ht="15" customHeight="1" x14ac:dyDescent="0.25">
      <c r="A17" s="20"/>
      <c r="B17" s="26"/>
      <c r="C17" s="21"/>
      <c r="D17" s="22"/>
      <c r="E17" s="23"/>
      <c r="F17" s="23"/>
      <c r="G17" s="7"/>
      <c r="H17" s="6"/>
      <c r="I17" s="7"/>
      <c r="J17" s="24"/>
      <c r="K17" s="23"/>
      <c r="M17" s="25"/>
      <c r="N17" s="25"/>
    </row>
    <row r="18" spans="1:14" ht="27.6" customHeight="1" x14ac:dyDescent="0.25">
      <c r="A18" s="20">
        <v>2</v>
      </c>
      <c r="B18" s="29" t="s">
        <v>31</v>
      </c>
      <c r="C18" s="27"/>
      <c r="D18" s="12"/>
      <c r="E18" s="12"/>
      <c r="F18" s="12"/>
      <c r="G18" s="24"/>
      <c r="H18" s="19"/>
      <c r="I18" s="24"/>
      <c r="J18" s="24"/>
      <c r="K18" s="23"/>
      <c r="M18" s="25"/>
      <c r="N18" s="25"/>
    </row>
    <row r="19" spans="1:14" x14ac:dyDescent="0.25">
      <c r="A19" s="19"/>
      <c r="B19" s="34" t="s">
        <v>54</v>
      </c>
      <c r="C19" s="27">
        <v>1</v>
      </c>
      <c r="D19" s="12">
        <f>(11.17*2+11.33*2)/3.281</f>
        <v>13.715330691862237</v>
      </c>
      <c r="E19" s="12"/>
      <c r="F19" s="12">
        <f>0.23*2</f>
        <v>0.46</v>
      </c>
      <c r="G19" s="12">
        <f t="shared" ref="G19" si="2">PRODUCT(C19:F19)</f>
        <v>6.3090521182566288</v>
      </c>
      <c r="H19" s="11"/>
      <c r="I19" s="11"/>
      <c r="J19" s="12"/>
      <c r="K19" s="11"/>
    </row>
    <row r="20" spans="1:14" x14ac:dyDescent="0.25">
      <c r="A20" s="19"/>
      <c r="B20" s="34"/>
      <c r="C20" s="27">
        <v>1</v>
      </c>
      <c r="D20" s="12">
        <f>((11.17-0.75*2)*2+(11.33-0.75*2)*2)/3.281</f>
        <v>11.886619932947271</v>
      </c>
      <c r="E20" s="12"/>
      <c r="F20" s="12">
        <f>0.23*2</f>
        <v>0.46</v>
      </c>
      <c r="G20" s="12">
        <f t="shared" ref="G20:G23" si="3">PRODUCT(C20:F20)</f>
        <v>5.467845169155745</v>
      </c>
      <c r="H20" s="11"/>
      <c r="I20" s="11"/>
      <c r="J20" s="12"/>
      <c r="K20" s="11"/>
    </row>
    <row r="21" spans="1:14" x14ac:dyDescent="0.25">
      <c r="A21" s="19"/>
      <c r="B21" s="34" t="str">
        <f>B12</f>
        <v>-For 1st roof</v>
      </c>
      <c r="C21" s="27">
        <v>4</v>
      </c>
      <c r="D21" s="12">
        <f>E12</f>
        <v>1.9049070405364217</v>
      </c>
      <c r="E21" s="12">
        <f>D12</f>
        <v>2.9457482474855223</v>
      </c>
      <c r="F21" s="12"/>
      <c r="G21" s="12">
        <f t="shared" si="3"/>
        <v>22.445506305131989</v>
      </c>
      <c r="H21" s="11"/>
      <c r="I21" s="11"/>
      <c r="J21" s="12"/>
      <c r="K21" s="11"/>
    </row>
    <row r="22" spans="1:14" x14ac:dyDescent="0.25">
      <c r="A22" s="19"/>
      <c r="B22" s="34" t="str">
        <f>B13</f>
        <v>-For shear wall</v>
      </c>
      <c r="C22" s="27">
        <v>4</v>
      </c>
      <c r="D22" s="12">
        <f>D13</f>
        <v>1.2191405059433098</v>
      </c>
      <c r="E22" s="12">
        <f>E13</f>
        <v>0.6095702529716549</v>
      </c>
      <c r="F22" s="12"/>
      <c r="G22" s="12">
        <f t="shared" si="3"/>
        <v>2.9726071464634187</v>
      </c>
      <c r="H22" s="11"/>
      <c r="I22" s="11"/>
      <c r="J22" s="12"/>
      <c r="K22" s="11"/>
    </row>
    <row r="23" spans="1:14" x14ac:dyDescent="0.25">
      <c r="A23" s="19"/>
      <c r="B23" s="34" t="str">
        <f>B14</f>
        <v>-For top roof</v>
      </c>
      <c r="C23" s="27">
        <v>4</v>
      </c>
      <c r="D23" s="12">
        <f>D14</f>
        <v>1.2191405059433098</v>
      </c>
      <c r="E23" s="12">
        <f>E14</f>
        <v>1.3206339530630906</v>
      </c>
      <c r="F23" s="12"/>
      <c r="G23" s="12">
        <f t="shared" si="3"/>
        <v>6.4401533828129978</v>
      </c>
      <c r="H23" s="11"/>
      <c r="I23" s="11"/>
      <c r="J23" s="12"/>
      <c r="K23" s="11"/>
    </row>
    <row r="24" spans="1:14" ht="15" customHeight="1" x14ac:dyDescent="0.25">
      <c r="A24" s="19"/>
      <c r="B24" s="26" t="s">
        <v>16</v>
      </c>
      <c r="C24" s="27"/>
      <c r="D24" s="12"/>
      <c r="E24" s="12"/>
      <c r="F24" s="12"/>
      <c r="G24" s="24">
        <f>SUM(G19:G23)</f>
        <v>43.635164121820779</v>
      </c>
      <c r="H24" s="24" t="s">
        <v>22</v>
      </c>
      <c r="I24" s="28">
        <v>905.97</v>
      </c>
      <c r="J24" s="8">
        <f>G24*I24</f>
        <v>39532.149639445975</v>
      </c>
      <c r="K24" s="11"/>
      <c r="N24" s="52"/>
    </row>
    <row r="25" spans="1:14" ht="15" customHeight="1" x14ac:dyDescent="0.25">
      <c r="A25" s="20"/>
      <c r="B25" s="26" t="s">
        <v>29</v>
      </c>
      <c r="C25" s="21"/>
      <c r="D25" s="22"/>
      <c r="E25" s="23"/>
      <c r="F25" s="23"/>
      <c r="G25" s="7"/>
      <c r="H25" s="6"/>
      <c r="I25" s="7"/>
      <c r="J25" s="24">
        <f>0.13*G24*46827.87/100</f>
        <v>2656.3443308028741</v>
      </c>
      <c r="K25" s="23"/>
      <c r="M25" s="25"/>
      <c r="N25" s="25"/>
    </row>
    <row r="26" spans="1:14" ht="10.15" customHeight="1" x14ac:dyDescent="0.25">
      <c r="A26" s="20"/>
      <c r="B26" s="26"/>
      <c r="C26" s="21"/>
      <c r="D26" s="22"/>
      <c r="E26" s="23"/>
      <c r="F26" s="23"/>
      <c r="G26" s="7"/>
      <c r="H26" s="6"/>
      <c r="I26" s="7"/>
      <c r="J26" s="24"/>
      <c r="K26" s="23"/>
      <c r="M26" s="25"/>
      <c r="N26" s="25"/>
    </row>
    <row r="27" spans="1:14" ht="45" x14ac:dyDescent="0.25">
      <c r="A27" s="20">
        <v>3</v>
      </c>
      <c r="B27" s="29" t="s">
        <v>32</v>
      </c>
      <c r="C27" s="27" t="s">
        <v>8</v>
      </c>
      <c r="D27" s="32" t="s">
        <v>21</v>
      </c>
      <c r="E27" s="32" t="s">
        <v>33</v>
      </c>
      <c r="F27" s="32" t="s">
        <v>34</v>
      </c>
      <c r="G27" s="32" t="s">
        <v>35</v>
      </c>
      <c r="H27" s="19"/>
      <c r="I27" s="24"/>
      <c r="J27" s="24"/>
      <c r="K27" s="23"/>
      <c r="M27" s="25"/>
      <c r="N27" s="25"/>
    </row>
    <row r="28" spans="1:14" ht="15" customHeight="1" x14ac:dyDescent="0.25">
      <c r="A28" s="20"/>
      <c r="B28" s="26" t="str">
        <f>B19</f>
        <v>-For beam</v>
      </c>
      <c r="C28" s="21">
        <f>2*4</f>
        <v>8</v>
      </c>
      <c r="D28" s="12">
        <f>(11.17-0.17*2+0.5*2)</f>
        <v>11.83</v>
      </c>
      <c r="E28" s="12">
        <f>12*12/162</f>
        <v>0.88888888888888884</v>
      </c>
      <c r="F28" s="12">
        <f t="shared" ref="F28" si="4">PRODUCT(C28:E28)</f>
        <v>84.124444444444435</v>
      </c>
      <c r="G28" s="31">
        <f t="shared" ref="G28" si="5">F28/1000</f>
        <v>8.4124444444444432E-2</v>
      </c>
      <c r="H28" s="6"/>
      <c r="I28" s="7"/>
      <c r="J28" s="24"/>
      <c r="K28" s="23"/>
      <c r="M28" s="25"/>
      <c r="N28" s="25"/>
    </row>
    <row r="29" spans="1:14" ht="15" customHeight="1" x14ac:dyDescent="0.25">
      <c r="A29" s="20"/>
      <c r="B29" s="26"/>
      <c r="C29" s="21">
        <f>2*4</f>
        <v>8</v>
      </c>
      <c r="D29" s="12">
        <f>(11.33-0.17*2+0.5*2)</f>
        <v>11.99</v>
      </c>
      <c r="E29" s="12">
        <f>12*12/162</f>
        <v>0.88888888888888884</v>
      </c>
      <c r="F29" s="12">
        <f t="shared" ref="F29" si="6">PRODUCT(C29:E29)</f>
        <v>85.262222222222221</v>
      </c>
      <c r="G29" s="31">
        <f t="shared" ref="G29" si="7">F29/1000</f>
        <v>8.5262222222222225E-2</v>
      </c>
      <c r="H29" s="6"/>
      <c r="I29" s="7"/>
      <c r="J29" s="24"/>
      <c r="K29" s="23"/>
      <c r="M29" s="25"/>
      <c r="N29" s="25"/>
    </row>
    <row r="30" spans="1:14" ht="15" customHeight="1" x14ac:dyDescent="0.25">
      <c r="A30" s="20"/>
      <c r="B30" s="26" t="s">
        <v>57</v>
      </c>
      <c r="C30" s="21">
        <f>4*(TRUNC((E12-0.1)/0.15,0))</f>
        <v>48</v>
      </c>
      <c r="D30" s="12">
        <v>2.5</v>
      </c>
      <c r="E30" s="12">
        <f t="shared" ref="E30:E35" si="8">8*8/162</f>
        <v>0.39506172839506171</v>
      </c>
      <c r="F30" s="12">
        <f t="shared" ref="F30" si="9">PRODUCT(C30:E30)</f>
        <v>47.407407407407405</v>
      </c>
      <c r="G30" s="31">
        <f t="shared" ref="G30" si="10">F30/1000</f>
        <v>4.7407407407407405E-2</v>
      </c>
      <c r="H30" s="6"/>
      <c r="I30" s="7"/>
      <c r="J30" s="24"/>
      <c r="K30" s="23"/>
      <c r="M30" s="25"/>
      <c r="N30" s="25"/>
    </row>
    <row r="31" spans="1:14" ht="15" customHeight="1" x14ac:dyDescent="0.25">
      <c r="A31" s="20"/>
      <c r="B31" s="26" t="s">
        <v>58</v>
      </c>
      <c r="C31" s="21">
        <f>4*(TRUNC((D12-0.1)/0.15,0))</f>
        <v>72</v>
      </c>
      <c r="D31" s="12">
        <f>E12</f>
        <v>1.9049070405364217</v>
      </c>
      <c r="E31" s="12">
        <f t="shared" si="8"/>
        <v>0.39506172839506171</v>
      </c>
      <c r="F31" s="12">
        <f t="shared" ref="F31:F32" si="11">PRODUCT(C31:E31)</f>
        <v>54.184022486369322</v>
      </c>
      <c r="G31" s="31">
        <f t="shared" ref="G31:G32" si="12">F31/1000</f>
        <v>5.4184022486369325E-2</v>
      </c>
      <c r="H31" s="6"/>
      <c r="I31" s="7"/>
      <c r="J31" s="24"/>
      <c r="K31" s="23"/>
      <c r="M31" s="25"/>
      <c r="N31" s="25"/>
    </row>
    <row r="32" spans="1:14" ht="15" customHeight="1" x14ac:dyDescent="0.25">
      <c r="A32" s="20"/>
      <c r="B32" s="26" t="s">
        <v>59</v>
      </c>
      <c r="C32" s="21">
        <f>4*(TRUNC((E13-0.1)/0.15,0))</f>
        <v>12</v>
      </c>
      <c r="D32" s="12">
        <f>4/3.281</f>
        <v>1.2191405059433098</v>
      </c>
      <c r="E32" s="12">
        <f t="shared" si="8"/>
        <v>0.39506172839506171</v>
      </c>
      <c r="F32" s="12">
        <f t="shared" si="11"/>
        <v>5.7796290652127276</v>
      </c>
      <c r="G32" s="31">
        <f t="shared" si="12"/>
        <v>5.7796290652127272E-3</v>
      </c>
      <c r="H32" s="6"/>
      <c r="I32" s="7"/>
      <c r="J32" s="24"/>
      <c r="K32" s="23"/>
      <c r="M32" s="25"/>
      <c r="N32" s="25"/>
    </row>
    <row r="33" spans="1:14" ht="15" customHeight="1" x14ac:dyDescent="0.25">
      <c r="A33" s="20"/>
      <c r="B33" s="26" t="s">
        <v>60</v>
      </c>
      <c r="C33" s="21">
        <f>4*(TRUNC((D13-0.1)/0.15,0))</f>
        <v>28</v>
      </c>
      <c r="D33" s="12">
        <f>E13</f>
        <v>0.6095702529716549</v>
      </c>
      <c r="E33" s="12">
        <f t="shared" si="8"/>
        <v>0.39506172839506171</v>
      </c>
      <c r="F33" s="12">
        <f t="shared" ref="F33:F35" si="13">PRODUCT(C33:E33)</f>
        <v>6.7429005760815155</v>
      </c>
      <c r="G33" s="31">
        <f t="shared" ref="G33:G35" si="14">F33/1000</f>
        <v>6.7429005760815154E-3</v>
      </c>
      <c r="H33" s="6"/>
      <c r="I33" s="7"/>
      <c r="J33" s="24"/>
      <c r="K33" s="23"/>
      <c r="M33" s="25"/>
      <c r="N33" s="25"/>
    </row>
    <row r="34" spans="1:14" ht="15" customHeight="1" x14ac:dyDescent="0.25">
      <c r="A34" s="20"/>
      <c r="B34" s="26" t="s">
        <v>61</v>
      </c>
      <c r="C34" s="21">
        <f>4*(TRUNC((D35-0.1)/0.15,0))</f>
        <v>32</v>
      </c>
      <c r="D34" s="12">
        <f>D14</f>
        <v>1.2191405059433098</v>
      </c>
      <c r="E34" s="12">
        <f t="shared" si="8"/>
        <v>0.39506172839506171</v>
      </c>
      <c r="F34" s="12">
        <f t="shared" si="13"/>
        <v>15.412344173900607</v>
      </c>
      <c r="G34" s="31">
        <f t="shared" si="14"/>
        <v>1.5412344173900607E-2</v>
      </c>
      <c r="H34" s="6"/>
      <c r="I34" s="7"/>
      <c r="J34" s="24"/>
      <c r="K34" s="23"/>
      <c r="M34" s="25"/>
      <c r="N34" s="25"/>
    </row>
    <row r="35" spans="1:14" ht="15" customHeight="1" x14ac:dyDescent="0.25">
      <c r="A35" s="20"/>
      <c r="B35" s="26" t="s">
        <v>62</v>
      </c>
      <c r="C35" s="21">
        <f>4*(TRUNC((D34-0.1)/0.15,0))</f>
        <v>28</v>
      </c>
      <c r="D35" s="12">
        <f>E14</f>
        <v>1.3206339530630906</v>
      </c>
      <c r="E35" s="12">
        <f t="shared" si="8"/>
        <v>0.39506172839506171</v>
      </c>
      <c r="F35" s="12">
        <f t="shared" si="13"/>
        <v>14.608494098080607</v>
      </c>
      <c r="G35" s="31">
        <f t="shared" si="14"/>
        <v>1.4608494098080608E-2</v>
      </c>
      <c r="H35" s="6"/>
      <c r="I35" s="7"/>
      <c r="J35" s="24"/>
      <c r="K35" s="23"/>
      <c r="M35" s="25"/>
      <c r="N35" s="25"/>
    </row>
    <row r="36" spans="1:14" ht="15" customHeight="1" x14ac:dyDescent="0.25">
      <c r="A36" s="19"/>
      <c r="B36" s="26" t="s">
        <v>16</v>
      </c>
      <c r="C36" s="27"/>
      <c r="D36" s="12"/>
      <c r="E36" s="12"/>
      <c r="F36" s="12"/>
      <c r="G36" s="24">
        <f>SUM(G28:G35)</f>
        <v>0.31352146447371881</v>
      </c>
      <c r="H36" s="24" t="s">
        <v>36</v>
      </c>
      <c r="I36" s="28">
        <v>130210</v>
      </c>
      <c r="J36" s="8">
        <f>G36*I36</f>
        <v>40823.629889122923</v>
      </c>
      <c r="K36" s="11"/>
    </row>
    <row r="37" spans="1:14" ht="15" customHeight="1" x14ac:dyDescent="0.25">
      <c r="A37" s="20"/>
      <c r="B37" s="26" t="s">
        <v>29</v>
      </c>
      <c r="C37" s="21"/>
      <c r="D37" s="22"/>
      <c r="E37" s="23"/>
      <c r="F37" s="23"/>
      <c r="G37" s="7"/>
      <c r="H37" s="6"/>
      <c r="I37" s="7"/>
      <c r="J37" s="24">
        <f>0.13*G36*105010</f>
        <v>4279.9755679700775</v>
      </c>
      <c r="K37" s="23"/>
      <c r="M37" s="25"/>
      <c r="N37" s="25"/>
    </row>
    <row r="38" spans="1:14" ht="10.15" customHeight="1" x14ac:dyDescent="0.25">
      <c r="A38" s="20"/>
      <c r="B38" s="26"/>
      <c r="C38" s="21"/>
      <c r="D38" s="22"/>
      <c r="E38" s="23"/>
      <c r="F38" s="23"/>
      <c r="G38" s="7"/>
      <c r="H38" s="6"/>
      <c r="I38" s="7"/>
      <c r="J38" s="24"/>
      <c r="K38" s="23"/>
      <c r="M38" s="25"/>
      <c r="N38" s="25"/>
    </row>
    <row r="39" spans="1:14" ht="15" customHeight="1" x14ac:dyDescent="0.25">
      <c r="A39" s="20">
        <v>4</v>
      </c>
      <c r="B39" s="29" t="s">
        <v>63</v>
      </c>
      <c r="C39" s="21"/>
      <c r="D39" s="22"/>
      <c r="E39" s="23" t="s">
        <v>66</v>
      </c>
      <c r="F39" s="23"/>
      <c r="G39" s="7"/>
      <c r="H39" s="6"/>
      <c r="I39" s="7"/>
      <c r="J39" s="24"/>
      <c r="K39" s="23"/>
      <c r="M39" s="25"/>
      <c r="N39" s="25"/>
    </row>
    <row r="40" spans="1:14" ht="15" customHeight="1" x14ac:dyDescent="0.25">
      <c r="A40" s="20"/>
      <c r="B40" s="26" t="s">
        <v>64</v>
      </c>
      <c r="C40" s="21">
        <v>2</v>
      </c>
      <c r="D40" s="22">
        <f>11.17/3.281</f>
        <v>3.4044498628466928</v>
      </c>
      <c r="E40" s="23"/>
      <c r="F40" s="23">
        <f>(7.75+0.75)/3.281</f>
        <v>2.5906735751295336</v>
      </c>
      <c r="G40" s="12">
        <f t="shared" ref="G40:G42" si="15">PRODUCT(C40:F40)</f>
        <v>17.639636595060583</v>
      </c>
      <c r="H40" s="6"/>
      <c r="I40" s="7"/>
      <c r="J40" s="24"/>
      <c r="K40" s="23"/>
      <c r="M40" s="25"/>
      <c r="N40" s="25"/>
    </row>
    <row r="41" spans="1:14" ht="15" customHeight="1" x14ac:dyDescent="0.25">
      <c r="A41" s="20"/>
      <c r="B41" s="26"/>
      <c r="C41" s="21">
        <v>2</v>
      </c>
      <c r="D41" s="22">
        <f>11.33/3.281</f>
        <v>3.4532154830844255</v>
      </c>
      <c r="E41" s="23"/>
      <c r="F41" s="23">
        <f t="shared" ref="F41:F43" si="16">(7.75+0.75)/3.281</f>
        <v>2.5906735751295336</v>
      </c>
      <c r="G41" s="12">
        <f t="shared" si="15"/>
        <v>17.892308202509977</v>
      </c>
      <c r="H41" s="6"/>
      <c r="I41" s="7"/>
      <c r="J41" s="24"/>
      <c r="K41" s="23"/>
      <c r="M41" s="25"/>
      <c r="N41" s="25"/>
    </row>
    <row r="42" spans="1:14" ht="15" customHeight="1" x14ac:dyDescent="0.25">
      <c r="A42" s="20"/>
      <c r="B42" s="26" t="s">
        <v>65</v>
      </c>
      <c r="C42" s="21">
        <v>2</v>
      </c>
      <c r="D42" s="22">
        <f>(11.17-0.75*2)/3.281</f>
        <v>2.9472721731179519</v>
      </c>
      <c r="E42" s="23"/>
      <c r="F42" s="23">
        <f t="shared" si="16"/>
        <v>2.5906735751295336</v>
      </c>
      <c r="G42" s="12">
        <f t="shared" si="15"/>
        <v>15.270840275222548</v>
      </c>
      <c r="H42" s="6"/>
      <c r="I42" s="7"/>
      <c r="J42" s="24"/>
      <c r="K42" s="23"/>
      <c r="M42" s="25"/>
      <c r="N42" s="25"/>
    </row>
    <row r="43" spans="1:14" ht="15" customHeight="1" x14ac:dyDescent="0.25">
      <c r="A43" s="20"/>
      <c r="B43" s="26"/>
      <c r="C43" s="21">
        <v>2</v>
      </c>
      <c r="D43" s="22">
        <f>(11.33-0.75*2)/3.281</f>
        <v>2.9960377933556841</v>
      </c>
      <c r="E43" s="23"/>
      <c r="F43" s="23">
        <f t="shared" si="16"/>
        <v>2.5906735751295336</v>
      </c>
      <c r="G43" s="12">
        <f>PRODUCT(C43:F43)</f>
        <v>15.523511882671938</v>
      </c>
      <c r="H43" s="6"/>
      <c r="I43" s="7"/>
      <c r="J43" s="24"/>
      <c r="K43" s="23"/>
      <c r="M43" s="25"/>
      <c r="N43" s="25"/>
    </row>
    <row r="44" spans="1:14" ht="15" customHeight="1" x14ac:dyDescent="0.25">
      <c r="A44" s="20"/>
      <c r="B44" s="26" t="s">
        <v>39</v>
      </c>
      <c r="C44" s="21">
        <v>-3</v>
      </c>
      <c r="D44" s="22">
        <f>4.75/3.281</f>
        <v>1.4477293508076805</v>
      </c>
      <c r="E44" s="23"/>
      <c r="F44" s="23">
        <f>4/3.281</f>
        <v>1.2191405059433098</v>
      </c>
      <c r="G44" s="12">
        <f>PRODUCT(C44:F44)</f>
        <v>-5.2949564796379649</v>
      </c>
      <c r="H44" s="6"/>
      <c r="I44" s="7"/>
      <c r="J44" s="24"/>
      <c r="K44" s="23"/>
      <c r="M44" s="25"/>
      <c r="N44" s="25"/>
    </row>
    <row r="45" spans="1:14" ht="15" customHeight="1" x14ac:dyDescent="0.25">
      <c r="A45" s="20"/>
      <c r="B45" s="26"/>
      <c r="C45" s="21">
        <v>-3</v>
      </c>
      <c r="E45" s="22">
        <f>(PI()*(3/3.281)^2)/2</f>
        <v>1.3132576087506558</v>
      </c>
      <c r="F45" s="23"/>
      <c r="G45" s="12">
        <f>PRODUCT(C45:F45)</f>
        <v>-3.9397728262519673</v>
      </c>
      <c r="H45" s="6"/>
      <c r="I45" s="7"/>
      <c r="J45" s="24"/>
      <c r="K45" s="23"/>
      <c r="M45" s="25"/>
      <c r="N45" s="25"/>
    </row>
    <row r="46" spans="1:14" ht="15" customHeight="1" x14ac:dyDescent="0.25">
      <c r="A46" s="20"/>
      <c r="B46" s="26"/>
      <c r="C46" s="21">
        <v>-6</v>
      </c>
      <c r="D46" s="22">
        <f>1.25/3.281</f>
        <v>0.38098140810728437</v>
      </c>
      <c r="E46" s="23"/>
      <c r="F46" s="23">
        <f>1.25/3.281</f>
        <v>0.38098140810728437</v>
      </c>
      <c r="G46" s="12">
        <f>PRODUCT(C46:F46)</f>
        <v>-0.87088099994045498</v>
      </c>
      <c r="H46" s="6"/>
      <c r="I46" s="7"/>
      <c r="J46" s="24"/>
      <c r="K46" s="23"/>
      <c r="M46" s="25"/>
      <c r="N46" s="25"/>
    </row>
    <row r="47" spans="1:14" ht="15" customHeight="1" x14ac:dyDescent="0.25">
      <c r="A47" s="19"/>
      <c r="B47" s="26" t="s">
        <v>16</v>
      </c>
      <c r="C47" s="27"/>
      <c r="D47" s="12"/>
      <c r="E47" s="12"/>
      <c r="F47" s="12"/>
      <c r="G47" s="24">
        <f>SUM(G39:G46)</f>
        <v>56.220686649634651</v>
      </c>
      <c r="H47" s="24" t="s">
        <v>22</v>
      </c>
      <c r="I47" s="28">
        <v>382.48</v>
      </c>
      <c r="J47" s="8">
        <f>G47*I47</f>
        <v>21503.288229752263</v>
      </c>
      <c r="K47" s="11"/>
      <c r="N47" s="52"/>
    </row>
    <row r="48" spans="1:14" ht="15" customHeight="1" x14ac:dyDescent="0.25">
      <c r="A48" s="20"/>
      <c r="B48" s="26" t="s">
        <v>29</v>
      </c>
      <c r="C48" s="21"/>
      <c r="D48" s="22"/>
      <c r="E48" s="23"/>
      <c r="F48" s="23"/>
      <c r="G48" s="7"/>
      <c r="H48" s="6"/>
      <c r="I48" s="7"/>
      <c r="J48" s="24">
        <f>0.13*G47*9448.64/100</f>
        <v>690.57173731676505</v>
      </c>
      <c r="K48" s="23"/>
      <c r="M48" s="25"/>
      <c r="N48" s="25"/>
    </row>
    <row r="49" spans="1:14" ht="10.15" customHeight="1" x14ac:dyDescent="0.25">
      <c r="A49" s="20"/>
      <c r="B49" s="26"/>
      <c r="C49" s="21"/>
      <c r="D49" s="22"/>
      <c r="E49" s="23"/>
      <c r="F49" s="23"/>
      <c r="G49" s="7"/>
      <c r="H49" s="6"/>
      <c r="I49" s="7"/>
      <c r="J49" s="24"/>
      <c r="K49" s="23"/>
      <c r="M49" s="25"/>
      <c r="N49" s="25"/>
    </row>
    <row r="50" spans="1:14" x14ac:dyDescent="0.25">
      <c r="A50" s="19">
        <v>5</v>
      </c>
      <c r="B50" s="10" t="s">
        <v>18</v>
      </c>
      <c r="C50" s="27">
        <v>1</v>
      </c>
      <c r="D50" s="12"/>
      <c r="E50" s="12"/>
      <c r="F50" s="12"/>
      <c r="G50" s="24">
        <f>PRODUCT(C50:F50)</f>
        <v>1</v>
      </c>
      <c r="H50" s="19" t="s">
        <v>19</v>
      </c>
      <c r="I50" s="24">
        <v>1000</v>
      </c>
      <c r="J50" s="24">
        <f>G50*I50</f>
        <v>1000</v>
      </c>
      <c r="K50" s="11"/>
    </row>
    <row r="51" spans="1:14" x14ac:dyDescent="0.25">
      <c r="A51" s="19"/>
      <c r="B51" s="36" t="s">
        <v>20</v>
      </c>
      <c r="C51" s="27"/>
      <c r="D51" s="12"/>
      <c r="E51" s="12"/>
      <c r="F51" s="12"/>
      <c r="G51" s="12"/>
      <c r="H51" s="11"/>
      <c r="I51" s="12"/>
      <c r="J51" s="24">
        <f>SUM(J9:J50)</f>
        <v>167991.73601430809</v>
      </c>
      <c r="K51" s="11"/>
    </row>
    <row r="52" spans="1:14" ht="10.15" customHeight="1" x14ac:dyDescent="0.25"/>
    <row r="53" spans="1:14" s="9" customFormat="1" x14ac:dyDescent="0.25">
      <c r="B53" s="11" t="s">
        <v>23</v>
      </c>
      <c r="C53" s="71">
        <f>J51</f>
        <v>167991.73601430809</v>
      </c>
      <c r="D53" s="72"/>
      <c r="E53" s="12">
        <v>100</v>
      </c>
      <c r="F53" s="13"/>
      <c r="G53" s="14"/>
      <c r="H53" s="13"/>
      <c r="I53" s="15"/>
      <c r="J53" s="16"/>
      <c r="K53" s="17"/>
    </row>
    <row r="54" spans="1:14" x14ac:dyDescent="0.25">
      <c r="A54" s="18"/>
      <c r="B54" s="11" t="s">
        <v>24</v>
      </c>
      <c r="C54" s="75">
        <v>150000</v>
      </c>
      <c r="D54" s="76"/>
      <c r="E54" s="12"/>
      <c r="G54" s="18"/>
      <c r="H54" s="18"/>
      <c r="I54" s="18"/>
      <c r="J54" s="18"/>
    </row>
    <row r="55" spans="1:14" x14ac:dyDescent="0.25">
      <c r="A55" s="18"/>
      <c r="B55" s="11" t="s">
        <v>25</v>
      </c>
      <c r="C55" s="75">
        <f>C54-C57-C58</f>
        <v>142500</v>
      </c>
      <c r="D55" s="76"/>
      <c r="E55" s="12">
        <f>C55/C53*100</f>
        <v>84.825601175919189</v>
      </c>
      <c r="G55" s="18"/>
      <c r="H55" s="18"/>
      <c r="I55" s="18"/>
      <c r="J55" s="18"/>
    </row>
    <row r="56" spans="1:14" x14ac:dyDescent="0.25">
      <c r="A56" s="18"/>
      <c r="B56" s="11" t="s">
        <v>26</v>
      </c>
      <c r="C56" s="70">
        <f>C53-C55</f>
        <v>25491.736014308088</v>
      </c>
      <c r="D56" s="70"/>
      <c r="E56" s="12">
        <f>100-E55</f>
        <v>15.174398824080811</v>
      </c>
      <c r="G56" s="18"/>
      <c r="H56" s="18"/>
      <c r="I56" s="18"/>
      <c r="J56" s="18"/>
    </row>
    <row r="57" spans="1:14" x14ac:dyDescent="0.25">
      <c r="A57" s="18"/>
      <c r="B57" s="11" t="s">
        <v>27</v>
      </c>
      <c r="C57" s="71">
        <f>C54*0.03</f>
        <v>4500</v>
      </c>
      <c r="D57" s="72"/>
      <c r="E57" s="12">
        <v>3</v>
      </c>
      <c r="G57" s="18"/>
      <c r="H57" s="18"/>
      <c r="I57" s="18"/>
      <c r="J57" s="18"/>
    </row>
    <row r="58" spans="1:14" x14ac:dyDescent="0.25">
      <c r="A58" s="18"/>
      <c r="B58" s="11" t="s">
        <v>28</v>
      </c>
      <c r="C58" s="71">
        <f>C54*0.02</f>
        <v>3000</v>
      </c>
      <c r="D58" s="72"/>
      <c r="E58" s="12">
        <v>2</v>
      </c>
      <c r="G58" s="18"/>
      <c r="H58" s="18"/>
      <c r="I58" s="18"/>
      <c r="J58" s="18"/>
    </row>
  </sheetData>
  <mergeCells count="15">
    <mergeCell ref="A6:F6"/>
    <mergeCell ref="H6:K6"/>
    <mergeCell ref="A1:K1"/>
    <mergeCell ref="A2:K2"/>
    <mergeCell ref="A3:K3"/>
    <mergeCell ref="A4:K4"/>
    <mergeCell ref="A5:K5"/>
    <mergeCell ref="C56:D56"/>
    <mergeCell ref="C57:D57"/>
    <mergeCell ref="C58:D58"/>
    <mergeCell ref="A7:F7"/>
    <mergeCell ref="H7:K7"/>
    <mergeCell ref="C53:D53"/>
    <mergeCell ref="C54:D54"/>
    <mergeCell ref="C55:D55"/>
  </mergeCells>
  <hyperlinks>
    <hyperlink ref="B39" r:id="rId1"/>
  </hyperlinks>
  <pageMargins left="0.7" right="0.7" top="0.75" bottom="0.75" header="0.3" footer="0.3"/>
  <pageSetup paperSize="9" scale="80" orientation="portrait" r:id="rId2"/>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view="pageBreakPreview" topLeftCell="A37" zoomScale="60" zoomScaleNormal="89" workbookViewId="0">
      <selection activeCell="I53" sqref="I53"/>
    </sheetView>
  </sheetViews>
  <sheetFormatPr defaultRowHeight="15" x14ac:dyDescent="0.25"/>
  <cols>
    <col min="1" max="1" width="4.42578125" customWidth="1"/>
    <col min="2" max="2" width="31.28515625" customWidth="1"/>
    <col min="3" max="3" width="5.5703125" customWidth="1"/>
    <col min="4" max="4" width="8.7109375" customWidth="1"/>
    <col min="5" max="5" width="7.85546875" customWidth="1"/>
    <col min="6" max="6" width="8.28515625" customWidth="1"/>
    <col min="7" max="7" width="9.28515625" customWidth="1"/>
    <col min="8" max="8" width="5.28515625" bestFit="1" customWidth="1"/>
    <col min="9" max="9" width="10.140625" customWidth="1"/>
    <col min="10" max="10" width="10.5703125" customWidth="1"/>
    <col min="11" max="11" width="9.42578125" customWidth="1"/>
    <col min="14" max="14" width="9.5703125" bestFit="1" customWidth="1"/>
  </cols>
  <sheetData>
    <row r="1" spans="1:15" x14ac:dyDescent="0.25">
      <c r="A1" s="77" t="s">
        <v>0</v>
      </c>
      <c r="B1" s="77"/>
      <c r="C1" s="77"/>
      <c r="D1" s="77"/>
      <c r="E1" s="77"/>
      <c r="F1" s="77"/>
      <c r="G1" s="77"/>
      <c r="H1" s="77"/>
      <c r="I1" s="77"/>
      <c r="J1" s="77"/>
      <c r="K1" s="77"/>
    </row>
    <row r="2" spans="1:15" ht="21.6" customHeight="1" x14ac:dyDescent="0.25">
      <c r="A2" s="78" t="s">
        <v>1</v>
      </c>
      <c r="B2" s="78"/>
      <c r="C2" s="78"/>
      <c r="D2" s="78"/>
      <c r="E2" s="78"/>
      <c r="F2" s="78"/>
      <c r="G2" s="78"/>
      <c r="H2" s="78"/>
      <c r="I2" s="78"/>
      <c r="J2" s="78"/>
      <c r="K2" s="78"/>
    </row>
    <row r="3" spans="1:15" x14ac:dyDescent="0.25">
      <c r="A3" s="61" t="s">
        <v>2</v>
      </c>
      <c r="B3" s="61"/>
      <c r="C3" s="61"/>
      <c r="D3" s="61"/>
      <c r="E3" s="61"/>
      <c r="F3" s="61"/>
      <c r="G3" s="61"/>
      <c r="H3" s="61"/>
      <c r="I3" s="61"/>
      <c r="J3" s="61"/>
      <c r="K3" s="61"/>
    </row>
    <row r="4" spans="1:15" x14ac:dyDescent="0.25">
      <c r="A4" s="61" t="s">
        <v>3</v>
      </c>
      <c r="B4" s="61"/>
      <c r="C4" s="61"/>
      <c r="D4" s="61"/>
      <c r="E4" s="61"/>
      <c r="F4" s="61"/>
      <c r="G4" s="61"/>
      <c r="H4" s="61"/>
      <c r="I4" s="61"/>
      <c r="J4" s="61"/>
      <c r="K4" s="61"/>
    </row>
    <row r="5" spans="1:15" ht="16.149999999999999" customHeight="1" x14ac:dyDescent="0.3">
      <c r="A5" s="79" t="s">
        <v>80</v>
      </c>
      <c r="B5" s="79"/>
      <c r="C5" s="79"/>
      <c r="D5" s="79"/>
      <c r="E5" s="79"/>
      <c r="F5" s="79"/>
      <c r="G5" s="79"/>
      <c r="H5" s="79"/>
      <c r="I5" s="79"/>
      <c r="J5" s="79"/>
      <c r="K5" s="79"/>
    </row>
    <row r="6" spans="1:15" ht="15.75" x14ac:dyDescent="0.25">
      <c r="A6" s="65" t="s">
        <v>67</v>
      </c>
      <c r="B6" s="65"/>
      <c r="C6" s="65"/>
      <c r="D6" s="65"/>
      <c r="E6" s="65"/>
      <c r="F6" s="65"/>
      <c r="G6" s="1"/>
      <c r="H6" s="74" t="s">
        <v>40</v>
      </c>
      <c r="I6" s="74"/>
      <c r="J6" s="74"/>
      <c r="K6" s="74"/>
    </row>
    <row r="7" spans="1:15" ht="15.75" x14ac:dyDescent="0.25">
      <c r="A7" s="73" t="s">
        <v>5</v>
      </c>
      <c r="B7" s="73"/>
      <c r="C7" s="73"/>
      <c r="D7" s="73"/>
      <c r="E7" s="73"/>
      <c r="F7" s="73"/>
      <c r="G7" s="2"/>
      <c r="H7" s="74" t="s">
        <v>81</v>
      </c>
      <c r="I7" s="74"/>
      <c r="J7" s="74"/>
      <c r="K7" s="74"/>
    </row>
    <row r="8" spans="1:15" ht="15" customHeight="1" x14ac:dyDescent="0.25">
      <c r="A8" s="33" t="s">
        <v>6</v>
      </c>
      <c r="B8" s="4" t="s">
        <v>7</v>
      </c>
      <c r="C8" s="3" t="s">
        <v>8</v>
      </c>
      <c r="D8" s="5" t="s">
        <v>9</v>
      </c>
      <c r="E8" s="5" t="s">
        <v>10</v>
      </c>
      <c r="F8" s="5" t="s">
        <v>11</v>
      </c>
      <c r="G8" s="5" t="s">
        <v>12</v>
      </c>
      <c r="H8" s="3" t="s">
        <v>13</v>
      </c>
      <c r="I8" s="5" t="s">
        <v>14</v>
      </c>
      <c r="J8" s="5" t="s">
        <v>15</v>
      </c>
      <c r="K8" s="4" t="s">
        <v>37</v>
      </c>
    </row>
    <row r="9" spans="1:15" s="9" customFormat="1" ht="30" x14ac:dyDescent="0.25">
      <c r="A9" s="20">
        <v>1</v>
      </c>
      <c r="B9" s="29" t="s">
        <v>30</v>
      </c>
      <c r="C9" s="21"/>
      <c r="D9" s="22"/>
      <c r="E9" s="23"/>
      <c r="F9" s="23"/>
      <c r="G9" s="7"/>
      <c r="H9" s="6"/>
      <c r="I9" s="7"/>
      <c r="J9" s="24"/>
      <c r="K9" s="23"/>
      <c r="M9" s="30"/>
      <c r="N9" s="30"/>
    </row>
    <row r="10" spans="1:15" x14ac:dyDescent="0.25">
      <c r="A10" s="19"/>
      <c r="B10" s="34" t="s">
        <v>54</v>
      </c>
      <c r="C10" s="27">
        <v>2</v>
      </c>
      <c r="D10" s="12">
        <f>11.25/3.281</f>
        <v>3.4288326729655592</v>
      </c>
      <c r="E10" s="12">
        <v>0.23</v>
      </c>
      <c r="F10" s="12">
        <v>0.23</v>
      </c>
      <c r="G10" s="12">
        <f t="shared" ref="G10:G12" si="0">PRODUCT(C10:F10)</f>
        <v>0.36277049679975615</v>
      </c>
      <c r="H10" s="11"/>
      <c r="I10" s="11"/>
      <c r="J10" s="12"/>
      <c r="K10" s="11"/>
    </row>
    <row r="11" spans="1:15" x14ac:dyDescent="0.25">
      <c r="A11" s="19"/>
      <c r="B11" s="34"/>
      <c r="C11" s="27">
        <v>2</v>
      </c>
      <c r="D11" s="12">
        <f>(11.583-0.75*2)/3.281</f>
        <v>3.0731484303565986</v>
      </c>
      <c r="E11" s="12">
        <v>0.23</v>
      </c>
      <c r="F11" s="12">
        <v>0.23</v>
      </c>
      <c r="G11" s="12">
        <f t="shared" si="0"/>
        <v>0.32513910393172812</v>
      </c>
      <c r="H11" s="11"/>
      <c r="I11" s="11"/>
      <c r="J11" s="12"/>
      <c r="K11" s="11"/>
      <c r="M11">
        <f>CONVERT(4,"in","m")</f>
        <v>0.1016</v>
      </c>
    </row>
    <row r="12" spans="1:15" x14ac:dyDescent="0.25">
      <c r="A12" s="19"/>
      <c r="B12" s="34" t="s">
        <v>69</v>
      </c>
      <c r="C12" s="27">
        <v>2</v>
      </c>
      <c r="D12" s="12">
        <f>((4.583+15.25)/2)/3.281</f>
        <v>3.0224017067967082</v>
      </c>
      <c r="E12" s="12">
        <f>5.583/3.281</f>
        <v>1.7016153611703748</v>
      </c>
      <c r="F12" s="12">
        <v>0.11</v>
      </c>
      <c r="G12" s="12">
        <f t="shared" si="0"/>
        <v>1.1314523378208243</v>
      </c>
      <c r="H12" s="11"/>
      <c r="I12" s="11"/>
      <c r="J12" s="12"/>
      <c r="K12" s="11"/>
      <c r="N12" s="52">
        <f>E12</f>
        <v>1.7016153611703748</v>
      </c>
      <c r="O12">
        <f>(SQRT((11.17/2)^2+(2.75)^2))/3.281</f>
        <v>1.8973877807249939</v>
      </c>
    </row>
    <row r="13" spans="1:15" x14ac:dyDescent="0.25">
      <c r="A13" s="19"/>
      <c r="B13" s="34" t="s">
        <v>71</v>
      </c>
      <c r="C13" s="27">
        <v>2</v>
      </c>
      <c r="D13" s="12">
        <f>((4.917+15)/2)/3.281</f>
        <v>3.0352026821091131</v>
      </c>
      <c r="E13" s="12">
        <f>6.25/3.281</f>
        <v>1.9049070405364217</v>
      </c>
      <c r="F13" s="12">
        <v>0.10100000000000001</v>
      </c>
      <c r="G13" s="12">
        <f t="shared" ref="G13" si="1">PRODUCT(C13:F13)</f>
        <v>1.1679193496381455</v>
      </c>
      <c r="H13" s="11"/>
      <c r="I13" s="11"/>
      <c r="J13" s="12"/>
      <c r="K13" s="11"/>
      <c r="N13" s="52"/>
    </row>
    <row r="14" spans="1:15" x14ac:dyDescent="0.25">
      <c r="A14" s="19"/>
      <c r="B14" s="34" t="s">
        <v>70</v>
      </c>
      <c r="C14" s="27">
        <v>2</v>
      </c>
      <c r="D14" s="12">
        <f>55/12/3.281</f>
        <v>1.3969318297267093</v>
      </c>
      <c r="E14" s="12">
        <f>2/3.281</f>
        <v>0.6095702529716549</v>
      </c>
      <c r="F14" s="12">
        <v>0.10100000000000001</v>
      </c>
      <c r="G14" s="12">
        <f>PRODUCT(C14:F14)</f>
        <v>0.17200867394379471</v>
      </c>
      <c r="H14" s="11"/>
      <c r="I14" s="11"/>
      <c r="J14" s="12"/>
      <c r="K14" s="11"/>
      <c r="N14" s="52">
        <f>E16</f>
        <v>1.1175454637813673</v>
      </c>
      <c r="O14">
        <f>(SQRT((2)^2+(4)^2))/3.281</f>
        <v>1.3630405227063638</v>
      </c>
    </row>
    <row r="15" spans="1:15" x14ac:dyDescent="0.25">
      <c r="A15" s="19"/>
      <c r="B15" s="34" t="s">
        <v>72</v>
      </c>
      <c r="C15" s="27">
        <v>2</v>
      </c>
      <c r="D15" s="12">
        <f>59/12/3.281</f>
        <v>1.498526871888652</v>
      </c>
      <c r="E15" s="12">
        <f>2/3.281</f>
        <v>0.6095702529716549</v>
      </c>
      <c r="F15" s="12">
        <v>0.10100000000000001</v>
      </c>
      <c r="G15" s="12">
        <f>PRODUCT(C15:F15)</f>
        <v>0.18451839568516165</v>
      </c>
      <c r="H15" s="11"/>
      <c r="I15" s="11"/>
      <c r="J15" s="12"/>
      <c r="K15" s="11"/>
      <c r="N15" s="52"/>
    </row>
    <row r="16" spans="1:15" x14ac:dyDescent="0.25">
      <c r="A16" s="19"/>
      <c r="B16" s="34" t="s">
        <v>73</v>
      </c>
      <c r="C16" s="27">
        <v>2</v>
      </c>
      <c r="D16" s="12">
        <f>((1.42+6.5)/2)/3.281</f>
        <v>1.2069491008838769</v>
      </c>
      <c r="E16" s="12">
        <f>44/12/3.281</f>
        <v>1.1175454637813673</v>
      </c>
      <c r="F16" s="12">
        <v>0.08</v>
      </c>
      <c r="G16" s="12">
        <f>PRODUCT(C16:F16)</f>
        <v>0.21581127883324425</v>
      </c>
      <c r="H16" s="11"/>
      <c r="I16" s="11"/>
      <c r="J16" s="12"/>
      <c r="K16" s="11"/>
    </row>
    <row r="17" spans="1:14" x14ac:dyDescent="0.25">
      <c r="A17" s="19"/>
      <c r="B17" s="34" t="s">
        <v>74</v>
      </c>
      <c r="C17" s="27">
        <v>2</v>
      </c>
      <c r="D17" s="12">
        <f>(78+17)/2/12/3.281</f>
        <v>1.2064411256730672</v>
      </c>
      <c r="E17" s="12">
        <f>44/12/3.281</f>
        <v>1.1175454637813673</v>
      </c>
      <c r="F17" s="12">
        <v>0.08</v>
      </c>
      <c r="G17" s="12">
        <f>PRODUCT(C17:F17)</f>
        <v>0.21572044917043565</v>
      </c>
      <c r="H17" s="11"/>
      <c r="I17" s="11"/>
      <c r="J17" s="12"/>
      <c r="K17" s="11"/>
    </row>
    <row r="18" spans="1:14" ht="15" customHeight="1" x14ac:dyDescent="0.25">
      <c r="A18" s="19"/>
      <c r="B18" s="26" t="s">
        <v>16</v>
      </c>
      <c r="C18" s="27"/>
      <c r="D18" s="12"/>
      <c r="E18" s="12"/>
      <c r="F18" s="12"/>
      <c r="G18" s="24">
        <f>SUM(G10:G17)</f>
        <v>3.7753400858230903</v>
      </c>
      <c r="H18" s="24" t="s">
        <v>17</v>
      </c>
      <c r="I18" s="28">
        <v>14200.82</v>
      </c>
      <c r="J18" s="8">
        <f>G18*I18</f>
        <v>53612.924997558257</v>
      </c>
      <c r="K18" s="11"/>
      <c r="N18" s="52">
        <f>SUM(J9:J33)</f>
        <v>97155.221097024187</v>
      </c>
    </row>
    <row r="19" spans="1:14" ht="15" customHeight="1" x14ac:dyDescent="0.25">
      <c r="A19" s="20"/>
      <c r="B19" s="26" t="s">
        <v>38</v>
      </c>
      <c r="C19" s="21"/>
      <c r="D19" s="22"/>
      <c r="E19" s="23"/>
      <c r="F19" s="23"/>
      <c r="G19" s="7"/>
      <c r="H19" s="6"/>
      <c r="I19" s="7"/>
      <c r="J19" s="24">
        <f>0.13*G18*10250.02</f>
        <v>5030.650480243492</v>
      </c>
      <c r="K19" s="23"/>
      <c r="M19" s="25"/>
      <c r="N19" s="25"/>
    </row>
    <row r="20" spans="1:14" ht="15" customHeight="1" x14ac:dyDescent="0.25">
      <c r="A20" s="20"/>
      <c r="B20" s="26"/>
      <c r="C20" s="21"/>
      <c r="D20" s="22"/>
      <c r="E20" s="23"/>
      <c r="F20" s="23"/>
      <c r="G20" s="7"/>
      <c r="H20" s="6"/>
      <c r="I20" s="7"/>
      <c r="J20" s="24"/>
      <c r="K20" s="23"/>
      <c r="M20" s="25"/>
      <c r="N20" s="25"/>
    </row>
    <row r="21" spans="1:14" ht="27.6" customHeight="1" x14ac:dyDescent="0.25">
      <c r="A21" s="20">
        <v>2</v>
      </c>
      <c r="B21" s="29" t="s">
        <v>31</v>
      </c>
      <c r="C21" s="27"/>
      <c r="D21" s="12"/>
      <c r="E21" s="12"/>
      <c r="F21" s="12"/>
      <c r="G21" s="24"/>
      <c r="H21" s="19"/>
      <c r="I21" s="24"/>
      <c r="J21" s="24"/>
      <c r="K21" s="23"/>
      <c r="M21" s="25"/>
      <c r="N21" s="25"/>
    </row>
    <row r="22" spans="1:14" x14ac:dyDescent="0.25">
      <c r="A22" s="19"/>
      <c r="B22" s="34" t="s">
        <v>54</v>
      </c>
      <c r="C22" s="27">
        <v>2</v>
      </c>
      <c r="D22" s="12">
        <f>(11.583)/3.281</f>
        <v>3.5303261200853395</v>
      </c>
      <c r="E22" s="12"/>
      <c r="F22" s="12">
        <f>0.23*2</f>
        <v>0.46</v>
      </c>
      <c r="G22" s="12">
        <f t="shared" ref="G22:G30" si="2">PRODUCT(C22:F22)</f>
        <v>3.2479000304785126</v>
      </c>
      <c r="H22" s="11"/>
      <c r="I22" s="11"/>
      <c r="J22" s="12"/>
      <c r="K22" s="11"/>
    </row>
    <row r="23" spans="1:14" x14ac:dyDescent="0.25">
      <c r="A23" s="19"/>
      <c r="B23" s="34"/>
      <c r="C23" s="27">
        <v>2</v>
      </c>
      <c r="D23" s="12">
        <f>(11.23)/3.281</f>
        <v>3.4227369704358428</v>
      </c>
      <c r="E23" s="12"/>
      <c r="F23" s="12">
        <f>0.23*2</f>
        <v>0.46</v>
      </c>
      <c r="G23" s="12">
        <f t="shared" si="2"/>
        <v>3.1489180128009755</v>
      </c>
      <c r="H23" s="11"/>
      <c r="I23" s="11"/>
      <c r="J23" s="12"/>
      <c r="K23" s="11"/>
    </row>
    <row r="24" spans="1:14" x14ac:dyDescent="0.25">
      <c r="A24" s="19"/>
      <c r="B24" s="34" t="str">
        <f>B12</f>
        <v>-For 1st roof short side</v>
      </c>
      <c r="C24" s="27">
        <v>2</v>
      </c>
      <c r="D24" s="12">
        <f>E12</f>
        <v>1.7016153611703748</v>
      </c>
      <c r="E24" s="12">
        <f>D12</f>
        <v>3.0224017067967082</v>
      </c>
      <c r="F24" s="12"/>
      <c r="G24" s="12">
        <f t="shared" si="2"/>
        <v>10.285930343825676</v>
      </c>
      <c r="H24" s="11"/>
      <c r="I24" s="11"/>
      <c r="J24" s="12"/>
      <c r="K24" s="11"/>
    </row>
    <row r="25" spans="1:14" x14ac:dyDescent="0.25">
      <c r="A25" s="19"/>
      <c r="B25" s="34" t="str">
        <f>B13</f>
        <v>-For 1st roof long side</v>
      </c>
      <c r="C25" s="27">
        <v>2</v>
      </c>
      <c r="D25" s="12">
        <f>D13</f>
        <v>3.0352026821091131</v>
      </c>
      <c r="E25" s="12">
        <f>E13</f>
        <v>1.9049070405364217</v>
      </c>
      <c r="F25" s="12"/>
      <c r="G25" s="12">
        <f t="shared" si="2"/>
        <v>11.56355791720936</v>
      </c>
      <c r="H25" s="11"/>
      <c r="I25" s="11"/>
      <c r="J25" s="12"/>
      <c r="K25" s="11"/>
    </row>
    <row r="26" spans="1:14" x14ac:dyDescent="0.25">
      <c r="A26" s="19"/>
      <c r="B26" s="34" t="s">
        <v>76</v>
      </c>
      <c r="C26" s="27">
        <v>1</v>
      </c>
      <c r="D26" s="12">
        <f>(15*2+15.25*2)/3.281</f>
        <v>18.439500152392561</v>
      </c>
      <c r="E26" s="12"/>
      <c r="F26" s="12">
        <v>0.1</v>
      </c>
      <c r="G26" s="12">
        <f t="shared" si="2"/>
        <v>1.8439500152392563</v>
      </c>
      <c r="H26" s="11"/>
      <c r="I26" s="11"/>
      <c r="J26" s="12"/>
      <c r="K26" s="11"/>
      <c r="N26" s="52"/>
    </row>
    <row r="27" spans="1:14" x14ac:dyDescent="0.25">
      <c r="A27" s="19"/>
      <c r="B27" s="34" t="str">
        <f t="shared" ref="B27:B30" si="3">B14</f>
        <v>-For shear wall short side</v>
      </c>
      <c r="C27" s="27">
        <v>2</v>
      </c>
      <c r="D27" s="12">
        <f>D14</f>
        <v>1.3969318297267093</v>
      </c>
      <c r="E27" s="46"/>
      <c r="F27" s="12">
        <f>E14</f>
        <v>0.6095702529716549</v>
      </c>
      <c r="G27" s="12">
        <f t="shared" si="2"/>
        <v>1.7030561776613338</v>
      </c>
      <c r="H27" s="11"/>
      <c r="I27" s="11"/>
      <c r="J27" s="12"/>
      <c r="K27" s="11"/>
    </row>
    <row r="28" spans="1:14" x14ac:dyDescent="0.25">
      <c r="A28" s="19"/>
      <c r="B28" s="34" t="str">
        <f t="shared" si="3"/>
        <v>-For shear wall long side</v>
      </c>
      <c r="C28" s="27">
        <v>2</v>
      </c>
      <c r="D28" s="12">
        <f>D15</f>
        <v>1.498526871888652</v>
      </c>
      <c r="E28" s="46"/>
      <c r="F28" s="12">
        <f>E15</f>
        <v>0.6095702529716549</v>
      </c>
      <c r="G28" s="12">
        <f t="shared" si="2"/>
        <v>1.8269148087639766</v>
      </c>
      <c r="H28" s="11"/>
      <c r="I28" s="11"/>
      <c r="J28" s="12"/>
      <c r="K28" s="11"/>
    </row>
    <row r="29" spans="1:14" x14ac:dyDescent="0.25">
      <c r="A29" s="19"/>
      <c r="B29" s="34" t="str">
        <f t="shared" si="3"/>
        <v>-For top roof short side</v>
      </c>
      <c r="C29" s="27">
        <v>2</v>
      </c>
      <c r="D29" s="12">
        <f>D16</f>
        <v>1.2069491008838769</v>
      </c>
      <c r="E29" s="12">
        <f>E16</f>
        <v>1.1175454637813673</v>
      </c>
      <c r="F29" s="12"/>
      <c r="G29" s="12">
        <f t="shared" si="2"/>
        <v>2.697640985415553</v>
      </c>
      <c r="H29" s="11"/>
      <c r="I29" s="11"/>
      <c r="J29" s="12"/>
      <c r="K29" s="11"/>
    </row>
    <row r="30" spans="1:14" x14ac:dyDescent="0.25">
      <c r="A30" s="19"/>
      <c r="B30" s="34" t="str">
        <f t="shared" si="3"/>
        <v>-For top roof long side</v>
      </c>
      <c r="C30" s="27">
        <v>2</v>
      </c>
      <c r="D30" s="12">
        <f>D17</f>
        <v>1.2064411256730672</v>
      </c>
      <c r="E30" s="12">
        <f>E17</f>
        <v>1.1175454637813673</v>
      </c>
      <c r="F30" s="12"/>
      <c r="G30" s="12">
        <f t="shared" si="2"/>
        <v>2.6965056146304454</v>
      </c>
      <c r="H30" s="11"/>
      <c r="I30" s="11"/>
      <c r="J30" s="12"/>
      <c r="K30" s="11"/>
    </row>
    <row r="31" spans="1:14" x14ac:dyDescent="0.25">
      <c r="A31" s="19"/>
      <c r="B31" s="34" t="s">
        <v>76</v>
      </c>
      <c r="C31" s="27">
        <v>1</v>
      </c>
      <c r="D31" s="12">
        <f>(6.5*2+6.917*2)/3.281</f>
        <v>8.1786040841206944</v>
      </c>
      <c r="E31" s="12"/>
      <c r="F31" s="12">
        <v>0.1</v>
      </c>
      <c r="G31" s="12">
        <f t="shared" ref="G31" si="4">PRODUCT(C31:F31)</f>
        <v>0.81786040841206953</v>
      </c>
      <c r="H31" s="11"/>
      <c r="I31" s="11"/>
      <c r="J31" s="12"/>
      <c r="K31" s="11"/>
      <c r="N31" s="52"/>
    </row>
    <row r="32" spans="1:14" ht="15" customHeight="1" x14ac:dyDescent="0.25">
      <c r="A32" s="19"/>
      <c r="B32" s="26" t="s">
        <v>16</v>
      </c>
      <c r="C32" s="27"/>
      <c r="D32" s="12"/>
      <c r="E32" s="12"/>
      <c r="F32" s="12"/>
      <c r="G32" s="24">
        <f>SUM(G22:G31)</f>
        <v>39.832234314437152</v>
      </c>
      <c r="H32" s="24" t="s">
        <v>22</v>
      </c>
      <c r="I32" s="28">
        <v>905.97</v>
      </c>
      <c r="J32" s="8">
        <f>G32*I32</f>
        <v>36086.809321850626</v>
      </c>
      <c r="K32" s="11"/>
      <c r="N32" s="52"/>
    </row>
    <row r="33" spans="1:14" ht="15" customHeight="1" x14ac:dyDescent="0.25">
      <c r="A33" s="20"/>
      <c r="B33" s="26" t="s">
        <v>29</v>
      </c>
      <c r="C33" s="21"/>
      <c r="D33" s="22"/>
      <c r="E33" s="23"/>
      <c r="F33" s="23"/>
      <c r="G33" s="7"/>
      <c r="H33" s="6"/>
      <c r="I33" s="7"/>
      <c r="J33" s="24">
        <f>0.13*G32*46827.87/100</f>
        <v>2424.8362973718026</v>
      </c>
      <c r="K33" s="23"/>
      <c r="M33" s="25"/>
      <c r="N33" s="25"/>
    </row>
    <row r="34" spans="1:14" ht="10.15" customHeight="1" x14ac:dyDescent="0.25">
      <c r="A34" s="20"/>
      <c r="B34" s="26"/>
      <c r="C34" s="21"/>
      <c r="D34" s="22"/>
      <c r="E34" s="23"/>
      <c r="F34" s="23"/>
      <c r="G34" s="7"/>
      <c r="H34" s="6"/>
      <c r="I34" s="7"/>
      <c r="J34" s="24"/>
      <c r="K34" s="23"/>
      <c r="M34" s="25"/>
      <c r="N34" s="25"/>
    </row>
    <row r="35" spans="1:14" ht="45" x14ac:dyDescent="0.25">
      <c r="A35" s="20">
        <v>3</v>
      </c>
      <c r="B35" s="29" t="s">
        <v>32</v>
      </c>
      <c r="C35" s="27" t="s">
        <v>8</v>
      </c>
      <c r="D35" s="32" t="s">
        <v>21</v>
      </c>
      <c r="E35" s="32" t="s">
        <v>33</v>
      </c>
      <c r="F35" s="32" t="s">
        <v>34</v>
      </c>
      <c r="G35" s="32" t="s">
        <v>35</v>
      </c>
      <c r="H35" s="19"/>
      <c r="I35" s="24"/>
      <c r="J35" s="24"/>
      <c r="K35" s="23"/>
      <c r="M35" s="25"/>
      <c r="N35" s="25"/>
    </row>
    <row r="36" spans="1:14" ht="15" customHeight="1" x14ac:dyDescent="0.25">
      <c r="A36" s="20"/>
      <c r="B36" s="26" t="str">
        <f>B22</f>
        <v>-For beam</v>
      </c>
      <c r="C36" s="21">
        <f>2*4</f>
        <v>8</v>
      </c>
      <c r="D36" s="12">
        <f>(11-0.17*2+0.5*2)/3.281</f>
        <v>3.5537945748247486</v>
      </c>
      <c r="E36" s="12">
        <f>12*12/162</f>
        <v>0.88888888888888884</v>
      </c>
      <c r="F36" s="12">
        <f t="shared" ref="F36:F48" si="5">PRODUCT(C36:E36)</f>
        <v>25.271428087642654</v>
      </c>
      <c r="G36" s="31">
        <f t="shared" ref="G36:G48" si="6">F36/1000</f>
        <v>2.5271428087642656E-2</v>
      </c>
      <c r="H36" s="6"/>
      <c r="I36" s="7"/>
      <c r="J36" s="24"/>
      <c r="K36" s="23"/>
      <c r="M36" s="25"/>
      <c r="N36" s="25"/>
    </row>
    <row r="37" spans="1:14" ht="15" customHeight="1" x14ac:dyDescent="0.25">
      <c r="A37" s="20"/>
      <c r="B37" s="26"/>
      <c r="C37" s="21">
        <f>2*4</f>
        <v>8</v>
      </c>
      <c r="D37" s="12">
        <f>(10.75-0.17*2+0.5*2)/3.281</f>
        <v>3.4775982932032914</v>
      </c>
      <c r="E37" s="12">
        <f>12*12/162</f>
        <v>0.88888888888888884</v>
      </c>
      <c r="F37" s="12">
        <f t="shared" si="5"/>
        <v>24.72958786277896</v>
      </c>
      <c r="G37" s="31">
        <f t="shared" si="6"/>
        <v>2.472958786277896E-2</v>
      </c>
      <c r="H37" s="6"/>
      <c r="I37" s="7"/>
      <c r="J37" s="24"/>
      <c r="K37" s="23"/>
      <c r="M37" s="25"/>
      <c r="N37" s="25"/>
    </row>
    <row r="38" spans="1:14" ht="15" customHeight="1" x14ac:dyDescent="0.25">
      <c r="A38" s="20"/>
      <c r="B38" s="26" t="s">
        <v>77</v>
      </c>
      <c r="C38" s="21">
        <v>60</v>
      </c>
      <c r="D38" s="12">
        <f>(7*4+0.17*2)/3.281</f>
        <v>8.6376104846083503</v>
      </c>
      <c r="E38" s="12">
        <f t="shared" ref="E38" si="7">8*8/162</f>
        <v>0.39506172839506171</v>
      </c>
      <c r="F38" s="12">
        <f t="shared" ref="F38" si="8">PRODUCT(C38:E38)</f>
        <v>204.74335963516089</v>
      </c>
      <c r="G38" s="31">
        <f t="shared" ref="G38" si="9">F38/1000</f>
        <v>0.20474335963516088</v>
      </c>
      <c r="H38" s="6"/>
      <c r="I38" s="7"/>
      <c r="J38" s="24"/>
      <c r="K38" s="23"/>
      <c r="M38" s="25"/>
      <c r="N38" s="25"/>
    </row>
    <row r="39" spans="1:14" ht="15" customHeight="1" x14ac:dyDescent="0.25">
      <c r="A39" s="20"/>
      <c r="B39" s="26" t="s">
        <v>57</v>
      </c>
      <c r="C39" s="21">
        <f>2*7</f>
        <v>14</v>
      </c>
      <c r="D39" s="12">
        <f>7/3.281</f>
        <v>2.1334958854007922</v>
      </c>
      <c r="E39" s="12">
        <f t="shared" ref="E39:E43" si="10">8*8/162</f>
        <v>0.39506172839506171</v>
      </c>
      <c r="F39" s="12">
        <f t="shared" si="5"/>
        <v>11.800076008142652</v>
      </c>
      <c r="G39" s="31">
        <f t="shared" si="6"/>
        <v>1.1800076008142651E-2</v>
      </c>
      <c r="H39" s="6"/>
      <c r="I39" s="7"/>
      <c r="J39" s="24"/>
      <c r="K39" s="23"/>
      <c r="M39" s="25"/>
      <c r="N39" s="25"/>
    </row>
    <row r="40" spans="1:14" ht="15" customHeight="1" x14ac:dyDescent="0.25">
      <c r="A40" s="20"/>
      <c r="B40" s="26"/>
      <c r="C40" s="21">
        <f>2*7</f>
        <v>14</v>
      </c>
      <c r="D40" s="12">
        <f>7.25/3.281</f>
        <v>2.2096921670222494</v>
      </c>
      <c r="E40" s="12">
        <f t="shared" si="10"/>
        <v>0.39506172839506171</v>
      </c>
      <c r="F40" s="12">
        <f t="shared" ref="F40" si="11">PRODUCT(C40:E40)</f>
        <v>12.221507294147749</v>
      </c>
      <c r="G40" s="31">
        <f t="shared" ref="G40" si="12">F40/1000</f>
        <v>1.2221507294147749E-2</v>
      </c>
      <c r="H40" s="6"/>
      <c r="I40" s="7"/>
      <c r="J40" s="24"/>
      <c r="K40" s="23"/>
      <c r="M40" s="25"/>
      <c r="N40" s="25"/>
    </row>
    <row r="41" spans="1:14" ht="15" customHeight="1" x14ac:dyDescent="0.25">
      <c r="A41" s="20"/>
      <c r="B41" s="26" t="s">
        <v>58</v>
      </c>
      <c r="C41" s="21">
        <f>4*7</f>
        <v>28</v>
      </c>
      <c r="D41" s="12">
        <f>6.083/3.281</f>
        <v>1.8540079244132885</v>
      </c>
      <c r="E41" s="12">
        <f t="shared" si="10"/>
        <v>0.39506172839506171</v>
      </c>
      <c r="F41" s="12">
        <f t="shared" si="5"/>
        <v>20.508532102151932</v>
      </c>
      <c r="G41" s="31">
        <f t="shared" si="6"/>
        <v>2.0508532102151932E-2</v>
      </c>
      <c r="H41" s="6"/>
      <c r="I41" s="7"/>
      <c r="J41" s="24"/>
      <c r="K41" s="23"/>
      <c r="M41" s="25"/>
      <c r="N41" s="25"/>
    </row>
    <row r="42" spans="1:14" ht="15" customHeight="1" x14ac:dyDescent="0.25">
      <c r="A42" s="20"/>
      <c r="B42" s="26"/>
      <c r="C42" s="21">
        <f>4*3</f>
        <v>12</v>
      </c>
      <c r="D42" s="12">
        <f>1.33/3.281</f>
        <v>0.40536421822615054</v>
      </c>
      <c r="E42" s="12">
        <f t="shared" si="10"/>
        <v>0.39506172839506171</v>
      </c>
      <c r="F42" s="12">
        <f>PRODUCT(C42:E42)</f>
        <v>1.921726664183232</v>
      </c>
      <c r="G42" s="54">
        <f>F42/1000</f>
        <v>1.921726664183232E-3</v>
      </c>
      <c r="H42" s="6"/>
      <c r="I42" s="7"/>
      <c r="J42" s="24"/>
      <c r="K42" s="23"/>
      <c r="M42" s="25"/>
      <c r="N42" s="25"/>
    </row>
    <row r="43" spans="1:14" ht="15" customHeight="1" x14ac:dyDescent="0.25">
      <c r="A43" s="20"/>
      <c r="B43" s="26" t="s">
        <v>78</v>
      </c>
      <c r="C43" s="21">
        <f>2*3</f>
        <v>6</v>
      </c>
      <c r="D43" s="12">
        <f>15/3.281</f>
        <v>4.5717768972874122</v>
      </c>
      <c r="E43" s="12">
        <f t="shared" si="10"/>
        <v>0.39506172839506171</v>
      </c>
      <c r="F43" s="12">
        <f t="shared" ref="F43" si="13">PRODUCT(C43:E43)</f>
        <v>10.836804497273866</v>
      </c>
      <c r="G43" s="31">
        <f t="shared" ref="G43" si="14">F43/1000</f>
        <v>1.0836804497273865E-2</v>
      </c>
      <c r="H43" s="6"/>
      <c r="I43" s="7"/>
      <c r="J43" s="24"/>
      <c r="K43" s="23"/>
      <c r="M43" s="25"/>
      <c r="N43" s="25"/>
    </row>
    <row r="44" spans="1:14" ht="15" customHeight="1" x14ac:dyDescent="0.25">
      <c r="A44" s="20"/>
      <c r="B44" s="26" t="s">
        <v>59</v>
      </c>
      <c r="C44" s="21">
        <f>2*4</f>
        <v>8</v>
      </c>
      <c r="D44" s="12">
        <f>4.583/3.281</f>
        <v>1.3968302346845474</v>
      </c>
      <c r="E44" s="12">
        <f>8*8/162</f>
        <v>0.39506172839506171</v>
      </c>
      <c r="F44" s="12">
        <f t="shared" si="5"/>
        <v>4.4146733343116553</v>
      </c>
      <c r="G44" s="31">
        <f t="shared" si="6"/>
        <v>4.4146733343116557E-3</v>
      </c>
      <c r="H44" s="6"/>
      <c r="I44" s="7"/>
      <c r="J44" s="24"/>
      <c r="K44" s="23"/>
      <c r="M44" s="25"/>
      <c r="N44" s="25"/>
    </row>
    <row r="45" spans="1:14" ht="15" customHeight="1" x14ac:dyDescent="0.25">
      <c r="A45" s="20"/>
      <c r="B45" s="26"/>
      <c r="C45" s="21">
        <f>2*4</f>
        <v>8</v>
      </c>
      <c r="D45" s="12">
        <f>4.917/3.281</f>
        <v>1.4986284669308136</v>
      </c>
      <c r="E45" s="12">
        <f t="shared" ref="E45:E48" si="15">8*8/162</f>
        <v>0.39506172839506171</v>
      </c>
      <c r="F45" s="12">
        <f t="shared" ref="F45" si="16">PRODUCT(C45:E45)</f>
        <v>4.7364060189418309</v>
      </c>
      <c r="G45" s="31">
        <f t="shared" ref="G45" si="17">F45/1000</f>
        <v>4.736406018941831E-3</v>
      </c>
      <c r="H45" s="6"/>
      <c r="I45" s="7"/>
      <c r="J45" s="24"/>
      <c r="K45" s="23"/>
      <c r="M45" s="25"/>
      <c r="N45" s="25"/>
    </row>
    <row r="46" spans="1:14" ht="15" customHeight="1" x14ac:dyDescent="0.25">
      <c r="A46" s="20"/>
      <c r="B46" s="26" t="s">
        <v>60</v>
      </c>
      <c r="C46" s="21">
        <f>4*8</f>
        <v>32</v>
      </c>
      <c r="D46" s="12">
        <f>E14</f>
        <v>0.6095702529716549</v>
      </c>
      <c r="E46" s="12">
        <f t="shared" si="15"/>
        <v>0.39506172839506171</v>
      </c>
      <c r="F46" s="12">
        <f t="shared" si="5"/>
        <v>7.7061720869503034</v>
      </c>
      <c r="G46" s="31">
        <f t="shared" si="6"/>
        <v>7.7061720869503036E-3</v>
      </c>
      <c r="H46" s="6"/>
      <c r="I46" s="7"/>
      <c r="J46" s="24"/>
      <c r="K46" s="23"/>
      <c r="M46" s="25"/>
      <c r="N46" s="25"/>
    </row>
    <row r="47" spans="1:14" ht="15" customHeight="1" x14ac:dyDescent="0.25">
      <c r="A47" s="20"/>
      <c r="B47" s="26" t="s">
        <v>61</v>
      </c>
      <c r="C47" s="21">
        <f>4*(TRUNC((D48-0.1)/0.15,0))-10</f>
        <v>14</v>
      </c>
      <c r="D47" s="12">
        <f>(17+75)/2/12/3.281</f>
        <v>1.1683429848623388</v>
      </c>
      <c r="E47" s="12">
        <f t="shared" si="15"/>
        <v>0.39506172839506171</v>
      </c>
      <c r="F47" s="12">
        <f t="shared" si="5"/>
        <v>6.4619463854114541</v>
      </c>
      <c r="G47" s="31">
        <f t="shared" si="6"/>
        <v>6.4619463854114541E-3</v>
      </c>
      <c r="H47" s="6"/>
      <c r="I47" s="7"/>
      <c r="J47" s="24"/>
      <c r="K47" s="23"/>
      <c r="M47" s="25"/>
      <c r="N47" s="25"/>
    </row>
    <row r="48" spans="1:14" ht="15" customHeight="1" x14ac:dyDescent="0.25">
      <c r="A48" s="20"/>
      <c r="B48" s="26" t="s">
        <v>62</v>
      </c>
      <c r="C48" s="21">
        <f>4*(TRUNC((D47-0.1)/0.15,0))-18</f>
        <v>10</v>
      </c>
      <c r="D48" s="12">
        <f>44/12/3.281</f>
        <v>1.1175454637813673</v>
      </c>
      <c r="E48" s="12">
        <f t="shared" si="15"/>
        <v>0.39506172839506171</v>
      </c>
      <c r="F48" s="12">
        <f t="shared" si="5"/>
        <v>4.4149944248152782</v>
      </c>
      <c r="G48" s="31">
        <f t="shared" si="6"/>
        <v>4.4149944248152778E-3</v>
      </c>
      <c r="H48" s="6"/>
      <c r="I48" s="7"/>
      <c r="J48" s="24"/>
      <c r="K48" s="23"/>
      <c r="M48" s="25"/>
      <c r="N48" s="25"/>
    </row>
    <row r="49" spans="1:14" ht="15" customHeight="1" x14ac:dyDescent="0.25">
      <c r="A49" s="19"/>
      <c r="B49" s="26" t="s">
        <v>16</v>
      </c>
      <c r="C49" s="27"/>
      <c r="D49" s="12"/>
      <c r="E49" s="12"/>
      <c r="F49" s="12"/>
      <c r="G49" s="24">
        <f>SUM(G36:G48)</f>
        <v>0.33976721440191243</v>
      </c>
      <c r="H49" s="24" t="s">
        <v>36</v>
      </c>
      <c r="I49" s="28">
        <v>130210</v>
      </c>
      <c r="J49" s="8">
        <f>G49*I49</f>
        <v>44241.088987273019</v>
      </c>
      <c r="K49" s="11"/>
      <c r="N49">
        <f>13%*38000</f>
        <v>4940</v>
      </c>
    </row>
    <row r="50" spans="1:14" ht="15" customHeight="1" x14ac:dyDescent="0.25">
      <c r="A50" s="20"/>
      <c r="B50" s="26" t="s">
        <v>29</v>
      </c>
      <c r="C50" s="21"/>
      <c r="D50" s="22"/>
      <c r="E50" s="23"/>
      <c r="F50" s="23"/>
      <c r="G50" s="7"/>
      <c r="H50" s="6"/>
      <c r="I50" s="7"/>
      <c r="J50" s="24">
        <f>0.13*G49*105010</f>
        <v>4638.264173964827</v>
      </c>
      <c r="K50" s="23"/>
      <c r="M50" s="25"/>
      <c r="N50" s="25"/>
    </row>
    <row r="51" spans="1:14" ht="10.15" customHeight="1" x14ac:dyDescent="0.25">
      <c r="A51" s="20"/>
      <c r="B51" s="26"/>
      <c r="C51" s="21"/>
      <c r="D51" s="22"/>
      <c r="E51" s="23"/>
      <c r="F51" s="23"/>
      <c r="G51" s="7"/>
      <c r="H51" s="6"/>
      <c r="I51" s="7"/>
      <c r="J51" s="24"/>
      <c r="K51" s="23"/>
      <c r="M51" s="25"/>
      <c r="N51" s="25"/>
    </row>
    <row r="52" spans="1:14" ht="30" x14ac:dyDescent="0.25">
      <c r="A52" s="20">
        <v>4</v>
      </c>
      <c r="B52" s="29" t="s">
        <v>63</v>
      </c>
      <c r="C52" s="21"/>
      <c r="D52" s="22"/>
      <c r="E52" s="23" t="s">
        <v>66</v>
      </c>
      <c r="F52" s="23"/>
      <c r="G52" s="7"/>
      <c r="H52" s="6"/>
      <c r="I52" s="7"/>
      <c r="J52" s="24"/>
      <c r="K52" s="23"/>
      <c r="M52" s="25"/>
      <c r="N52" s="25"/>
    </row>
    <row r="53" spans="1:14" ht="15" customHeight="1" x14ac:dyDescent="0.25">
      <c r="A53" s="20"/>
      <c r="B53" s="26" t="s">
        <v>64</v>
      </c>
      <c r="C53" s="21">
        <v>2</v>
      </c>
      <c r="D53" s="22">
        <f>11.17/3.281</f>
        <v>3.4044498628466928</v>
      </c>
      <c r="E53" s="23"/>
      <c r="F53" s="23">
        <f>(7.75+0.75)/3.281</f>
        <v>2.5906735751295336</v>
      </c>
      <c r="G53" s="12">
        <f t="shared" ref="G53:G55" si="18">PRODUCT(C53:F53)</f>
        <v>17.639636595060583</v>
      </c>
      <c r="H53" s="6"/>
      <c r="I53" s="7"/>
      <c r="J53" s="24"/>
      <c r="K53" s="23"/>
      <c r="M53" s="25"/>
      <c r="N53" s="25"/>
    </row>
    <row r="54" spans="1:14" ht="15" customHeight="1" x14ac:dyDescent="0.25">
      <c r="A54" s="20"/>
      <c r="B54" s="26"/>
      <c r="C54" s="21">
        <v>2</v>
      </c>
      <c r="D54" s="22">
        <f>11.33/3.281</f>
        <v>3.4532154830844255</v>
      </c>
      <c r="E54" s="23"/>
      <c r="F54" s="23">
        <f t="shared" ref="F54:F56" si="19">(7.75+0.75)/3.281</f>
        <v>2.5906735751295336</v>
      </c>
      <c r="G54" s="12">
        <f t="shared" si="18"/>
        <v>17.892308202509977</v>
      </c>
      <c r="H54" s="6"/>
      <c r="I54" s="7"/>
      <c r="J54" s="24"/>
      <c r="K54" s="23"/>
      <c r="M54" s="25"/>
      <c r="N54" s="25"/>
    </row>
    <row r="55" spans="1:14" ht="15" customHeight="1" x14ac:dyDescent="0.25">
      <c r="A55" s="20"/>
      <c r="B55" s="26" t="s">
        <v>65</v>
      </c>
      <c r="C55" s="21">
        <v>2</v>
      </c>
      <c r="D55" s="22">
        <f>(11.17-0.75*2)/3.281</f>
        <v>2.9472721731179519</v>
      </c>
      <c r="E55" s="23"/>
      <c r="F55" s="23">
        <f t="shared" si="19"/>
        <v>2.5906735751295336</v>
      </c>
      <c r="G55" s="12">
        <f t="shared" si="18"/>
        <v>15.270840275222548</v>
      </c>
      <c r="H55" s="6"/>
      <c r="I55" s="7"/>
      <c r="J55" s="24"/>
      <c r="K55" s="23"/>
      <c r="M55" s="25"/>
      <c r="N55" s="25"/>
    </row>
    <row r="56" spans="1:14" ht="15" customHeight="1" x14ac:dyDescent="0.25">
      <c r="A56" s="20"/>
      <c r="B56" s="26"/>
      <c r="C56" s="21">
        <v>2</v>
      </c>
      <c r="D56" s="22">
        <f>(11.33-0.75*2)/3.281</f>
        <v>2.9960377933556841</v>
      </c>
      <c r="E56" s="23"/>
      <c r="F56" s="23">
        <f t="shared" si="19"/>
        <v>2.5906735751295336</v>
      </c>
      <c r="G56" s="12">
        <f>PRODUCT(C56:F56)</f>
        <v>15.523511882671938</v>
      </c>
      <c r="H56" s="6"/>
      <c r="I56" s="7"/>
      <c r="J56" s="24"/>
      <c r="K56" s="23"/>
      <c r="M56" s="25"/>
      <c r="N56" s="25"/>
    </row>
    <row r="57" spans="1:14" ht="15" customHeight="1" x14ac:dyDescent="0.25">
      <c r="A57" s="20"/>
      <c r="B57" s="26" t="s">
        <v>39</v>
      </c>
      <c r="C57" s="21">
        <v>-3</v>
      </c>
      <c r="D57" s="22">
        <f>4.75/3.281</f>
        <v>1.4477293508076805</v>
      </c>
      <c r="E57" s="23"/>
      <c r="F57" s="23">
        <f>4/3.281</f>
        <v>1.2191405059433098</v>
      </c>
      <c r="G57" s="12">
        <f>PRODUCT(C57:F57)</f>
        <v>-5.2949564796379649</v>
      </c>
      <c r="H57" s="6"/>
      <c r="I57" s="7"/>
      <c r="J57" s="24"/>
      <c r="K57" s="23"/>
      <c r="M57" s="25"/>
      <c r="N57" s="25"/>
    </row>
    <row r="58" spans="1:14" ht="15" customHeight="1" x14ac:dyDescent="0.25">
      <c r="A58" s="20"/>
      <c r="B58" s="26"/>
      <c r="C58" s="21">
        <v>-3</v>
      </c>
      <c r="E58" s="22">
        <f>(PI()*(3/3.281)^2)/2</f>
        <v>1.3132576087506558</v>
      </c>
      <c r="F58" s="23"/>
      <c r="G58" s="12">
        <f>PRODUCT(C58:F58)</f>
        <v>-3.9397728262519673</v>
      </c>
      <c r="H58" s="6"/>
      <c r="I58" s="7"/>
      <c r="J58" s="24"/>
      <c r="K58" s="23"/>
      <c r="M58" s="25"/>
      <c r="N58" s="25"/>
    </row>
    <row r="59" spans="1:14" ht="15" customHeight="1" x14ac:dyDescent="0.25">
      <c r="A59" s="20"/>
      <c r="B59" s="26"/>
      <c r="C59" s="21">
        <v>-6</v>
      </c>
      <c r="D59" s="22">
        <f>1.25/3.281</f>
        <v>0.38098140810728437</v>
      </c>
      <c r="E59" s="23"/>
      <c r="F59" s="23">
        <f>1.25/3.281</f>
        <v>0.38098140810728437</v>
      </c>
      <c r="G59" s="12">
        <f>PRODUCT(C59:F59)</f>
        <v>-0.87088099994045498</v>
      </c>
      <c r="H59" s="6"/>
      <c r="I59" s="7"/>
      <c r="J59" s="24"/>
      <c r="K59" s="23"/>
      <c r="M59" s="25"/>
      <c r="N59" s="25"/>
    </row>
    <row r="60" spans="1:14" ht="15" customHeight="1" x14ac:dyDescent="0.25">
      <c r="A60" s="19"/>
      <c r="B60" s="26" t="s">
        <v>16</v>
      </c>
      <c r="C60" s="27"/>
      <c r="D60" s="12"/>
      <c r="E60" s="12"/>
      <c r="F60" s="12"/>
      <c r="G60" s="24">
        <f>SUM(G52:G59)</f>
        <v>56.220686649634651</v>
      </c>
      <c r="H60" s="24" t="s">
        <v>22</v>
      </c>
      <c r="I60" s="28">
        <v>382.48</v>
      </c>
      <c r="J60" s="8">
        <f>G60*I60</f>
        <v>21503.288229752263</v>
      </c>
      <c r="K60" s="11"/>
      <c r="N60" s="52"/>
    </row>
    <row r="61" spans="1:14" ht="15" customHeight="1" x14ac:dyDescent="0.25">
      <c r="A61" s="20"/>
      <c r="B61" s="26" t="s">
        <v>29</v>
      </c>
      <c r="C61" s="21"/>
      <c r="D61" s="22"/>
      <c r="E61" s="23"/>
      <c r="F61" s="23"/>
      <c r="G61" s="7"/>
      <c r="H61" s="6"/>
      <c r="I61" s="7"/>
      <c r="J61" s="24">
        <f>0.13*G60*9448.64/100</f>
        <v>690.57173731676505</v>
      </c>
      <c r="K61" s="23"/>
      <c r="M61" s="25"/>
      <c r="N61" s="25"/>
    </row>
    <row r="62" spans="1:14" ht="10.15" customHeight="1" x14ac:dyDescent="0.25">
      <c r="A62" s="20"/>
      <c r="B62" s="26"/>
      <c r="C62" s="21"/>
      <c r="D62" s="22"/>
      <c r="E62" s="23"/>
      <c r="F62" s="23"/>
      <c r="G62" s="7"/>
      <c r="H62" s="6"/>
      <c r="I62" s="7"/>
      <c r="J62" s="24"/>
      <c r="K62" s="23"/>
      <c r="M62" s="25"/>
      <c r="N62" s="25"/>
    </row>
    <row r="63" spans="1:14" x14ac:dyDescent="0.25">
      <c r="A63" s="19">
        <v>5</v>
      </c>
      <c r="B63" s="10" t="s">
        <v>18</v>
      </c>
      <c r="C63" s="27">
        <v>1</v>
      </c>
      <c r="D63" s="12"/>
      <c r="E63" s="12"/>
      <c r="F63" s="12"/>
      <c r="G63" s="24">
        <f>PRODUCT(C63:F63)</f>
        <v>1</v>
      </c>
      <c r="H63" s="19" t="s">
        <v>19</v>
      </c>
      <c r="I63" s="24">
        <v>1000</v>
      </c>
      <c r="J63" s="24">
        <f>G63*I63</f>
        <v>1000</v>
      </c>
      <c r="K63" s="11"/>
    </row>
    <row r="64" spans="1:14" x14ac:dyDescent="0.25">
      <c r="A64" s="19"/>
      <c r="B64" s="36" t="s">
        <v>20</v>
      </c>
      <c r="C64" s="27"/>
      <c r="D64" s="12"/>
      <c r="E64" s="12"/>
      <c r="F64" s="12"/>
      <c r="G64" s="12"/>
      <c r="H64" s="11"/>
      <c r="I64" s="12"/>
      <c r="J64" s="24">
        <f>SUM(J9:J63)</f>
        <v>169228.43422533106</v>
      </c>
      <c r="K64" s="11"/>
    </row>
    <row r="65" spans="1:11" ht="10.15" customHeight="1" x14ac:dyDescent="0.25"/>
    <row r="66" spans="1:11" s="9" customFormat="1" x14ac:dyDescent="0.25">
      <c r="B66" s="11" t="s">
        <v>79</v>
      </c>
      <c r="C66" s="71">
        <f>J64</f>
        <v>169228.43422533106</v>
      </c>
      <c r="D66" s="72"/>
      <c r="E66" s="12">
        <v>100</v>
      </c>
      <c r="F66" s="13"/>
      <c r="G66" s="14"/>
      <c r="H66" s="13"/>
      <c r="I66" s="15"/>
      <c r="J66" s="16"/>
      <c r="K66" s="17"/>
    </row>
    <row r="67" spans="1:11" x14ac:dyDescent="0.25">
      <c r="A67" s="18"/>
      <c r="B67" s="11" t="s">
        <v>24</v>
      </c>
      <c r="C67" s="75">
        <v>150000</v>
      </c>
      <c r="D67" s="76"/>
      <c r="E67" s="12"/>
      <c r="G67" s="18"/>
      <c r="H67" s="18"/>
      <c r="I67" s="18"/>
      <c r="J67" s="18"/>
    </row>
    <row r="68" spans="1:11" x14ac:dyDescent="0.25">
      <c r="A68" s="18"/>
      <c r="B68" s="11" t="s">
        <v>25</v>
      </c>
      <c r="C68" s="75">
        <f>C67-C70-C71</f>
        <v>142500</v>
      </c>
      <c r="D68" s="76"/>
      <c r="E68" s="12">
        <f>C68/C66*100</f>
        <v>84.205707304635567</v>
      </c>
      <c r="G68" s="18"/>
      <c r="H68" s="18"/>
      <c r="I68" s="18"/>
      <c r="J68" s="18"/>
    </row>
    <row r="69" spans="1:11" x14ac:dyDescent="0.25">
      <c r="A69" s="18"/>
      <c r="B69" s="11" t="s">
        <v>26</v>
      </c>
      <c r="C69" s="70">
        <f>C66-C68</f>
        <v>26728.434225331061</v>
      </c>
      <c r="D69" s="70"/>
      <c r="E69" s="12">
        <f>100-E68</f>
        <v>15.794292695364433</v>
      </c>
      <c r="G69" s="18"/>
      <c r="H69" s="18"/>
      <c r="I69" s="18"/>
      <c r="J69" s="18"/>
    </row>
    <row r="70" spans="1:11" x14ac:dyDescent="0.25">
      <c r="A70" s="18"/>
      <c r="B70" s="11" t="s">
        <v>27</v>
      </c>
      <c r="C70" s="71">
        <f>C67*0.03</f>
        <v>4500</v>
      </c>
      <c r="D70" s="72"/>
      <c r="E70" s="12">
        <v>3</v>
      </c>
      <c r="G70" s="18"/>
      <c r="H70" s="18"/>
      <c r="I70" s="18"/>
      <c r="J70" s="18"/>
    </row>
    <row r="71" spans="1:11" x14ac:dyDescent="0.25">
      <c r="A71" s="18"/>
      <c r="B71" s="11" t="s">
        <v>28</v>
      </c>
      <c r="C71" s="71">
        <f>C67*0.02</f>
        <v>3000</v>
      </c>
      <c r="D71" s="72"/>
      <c r="E71" s="12">
        <v>2</v>
      </c>
      <c r="G71" s="18"/>
      <c r="H71" s="18"/>
      <c r="I71" s="18"/>
      <c r="J71" s="18"/>
    </row>
  </sheetData>
  <mergeCells count="15">
    <mergeCell ref="A6:F6"/>
    <mergeCell ref="H6:K6"/>
    <mergeCell ref="A1:K1"/>
    <mergeCell ref="A2:K2"/>
    <mergeCell ref="A3:K3"/>
    <mergeCell ref="A4:K4"/>
    <mergeCell ref="A5:K5"/>
    <mergeCell ref="C70:D70"/>
    <mergeCell ref="C71:D71"/>
    <mergeCell ref="A7:F7"/>
    <mergeCell ref="H7:K7"/>
    <mergeCell ref="C66:D66"/>
    <mergeCell ref="C67:D67"/>
    <mergeCell ref="C68:D68"/>
    <mergeCell ref="C69:D69"/>
  </mergeCells>
  <hyperlinks>
    <hyperlink ref="B52" r:id="rId1"/>
  </hyperlinks>
  <pageMargins left="0.7" right="0.7" top="0.75" bottom="0.75" header="0.3" footer="0.3"/>
  <pageSetup paperSize="9" scale="78" orientation="portrait" r:id="rId2"/>
  <headerFooter>
    <oddFooter>&amp;LPrepared By:
Kristal Suwal&amp;CChecked By:
Er. Milan Phuyal&amp;RApproved By:
Er. Prakash Singh Saud</oddFooter>
  </headerFooter>
  <rowBreaks count="1" manualBreakCount="1">
    <brk id="56"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view="pageBreakPreview" zoomScale="60" zoomScaleNormal="100" workbookViewId="0">
      <selection activeCell="H16" sqref="H16"/>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59" t="s">
        <v>0</v>
      </c>
      <c r="B1" s="59"/>
      <c r="C1" s="59"/>
      <c r="D1" s="59"/>
      <c r="E1" s="59"/>
      <c r="F1" s="59"/>
      <c r="G1" s="59"/>
      <c r="H1" s="59"/>
      <c r="I1" s="59"/>
      <c r="J1" s="59"/>
      <c r="K1" s="59"/>
    </row>
    <row r="2" spans="1:13" ht="25.5" x14ac:dyDescent="0.35">
      <c r="A2" s="60" t="s">
        <v>1</v>
      </c>
      <c r="B2" s="60"/>
      <c r="C2" s="60"/>
      <c r="D2" s="60"/>
      <c r="E2" s="60"/>
      <c r="F2" s="60"/>
      <c r="G2" s="60"/>
      <c r="H2" s="60"/>
      <c r="I2" s="60"/>
      <c r="J2" s="60"/>
      <c r="K2" s="60"/>
    </row>
    <row r="3" spans="1:13" s="9" customFormat="1" x14ac:dyDescent="0.25">
      <c r="A3" s="61" t="s">
        <v>2</v>
      </c>
      <c r="B3" s="61"/>
      <c r="C3" s="61"/>
      <c r="D3" s="61"/>
      <c r="E3" s="61"/>
      <c r="F3" s="61"/>
      <c r="G3" s="61"/>
      <c r="H3" s="61"/>
      <c r="I3" s="61"/>
      <c r="J3" s="61"/>
      <c r="K3" s="61"/>
    </row>
    <row r="4" spans="1:13" s="9" customFormat="1" x14ac:dyDescent="0.25">
      <c r="A4" s="61" t="s">
        <v>3</v>
      </c>
      <c r="B4" s="61"/>
      <c r="C4" s="61"/>
      <c r="D4" s="61"/>
      <c r="E4" s="61"/>
      <c r="F4" s="61"/>
      <c r="G4" s="61"/>
      <c r="H4" s="61"/>
      <c r="I4" s="61"/>
      <c r="J4" s="61"/>
      <c r="K4" s="61"/>
    </row>
    <row r="5" spans="1:13" ht="18.75" x14ac:dyDescent="0.3">
      <c r="A5" s="62" t="s">
        <v>41</v>
      </c>
      <c r="B5" s="62"/>
      <c r="C5" s="62"/>
      <c r="D5" s="62"/>
      <c r="E5" s="62"/>
      <c r="F5" s="62"/>
      <c r="G5" s="62"/>
      <c r="H5" s="62"/>
      <c r="I5" s="62"/>
      <c r="J5" s="62"/>
      <c r="K5" s="62"/>
    </row>
    <row r="6" spans="1:13" ht="18.75" x14ac:dyDescent="0.3">
      <c r="A6" s="37" t="s">
        <v>42</v>
      </c>
      <c r="B6" s="37"/>
      <c r="C6" s="55">
        <f>F27</f>
        <v>167991.73601430809</v>
      </c>
      <c r="D6" s="56"/>
      <c r="E6" s="38"/>
      <c r="F6" s="37"/>
      <c r="G6" s="37"/>
      <c r="H6" s="37" t="s">
        <v>43</v>
      </c>
      <c r="I6" s="37"/>
      <c r="J6" s="57">
        <f>I27</f>
        <v>169228.43422533106</v>
      </c>
      <c r="K6" s="58"/>
    </row>
    <row r="7" spans="1:13" x14ac:dyDescent="0.25">
      <c r="A7" s="39" t="s">
        <v>44</v>
      </c>
      <c r="B7" s="39"/>
      <c r="C7" s="39"/>
      <c r="D7" s="39"/>
      <c r="F7" s="63"/>
      <c r="G7" s="63"/>
      <c r="I7" s="64" t="s">
        <v>83</v>
      </c>
      <c r="J7" s="64"/>
      <c r="K7" s="64"/>
    </row>
    <row r="8" spans="1:13" ht="15.75" x14ac:dyDescent="0.25">
      <c r="A8" s="65" t="str">
        <f>'final (2)'!A6:F6</f>
        <v xml:space="preserve">Project:- गणपति गणेश मन्दिर निर्माण </v>
      </c>
      <c r="B8" s="65"/>
      <c r="C8" s="65"/>
      <c r="D8" s="65"/>
      <c r="E8" s="65"/>
      <c r="F8" s="65"/>
      <c r="I8" s="66" t="s">
        <v>82</v>
      </c>
      <c r="J8" s="66"/>
      <c r="K8" s="66"/>
    </row>
    <row r="9" spans="1:13" ht="15.75" x14ac:dyDescent="0.25">
      <c r="A9" s="65" t="str">
        <f>'final (2)'!A7:F7</f>
        <v>Location:- Shankharapur Municipality 9</v>
      </c>
      <c r="B9" s="65"/>
      <c r="C9" s="65"/>
      <c r="D9" s="65"/>
      <c r="E9" s="65"/>
      <c r="F9" s="65"/>
      <c r="I9" s="66" t="s">
        <v>75</v>
      </c>
      <c r="J9" s="66"/>
      <c r="K9" s="66"/>
    </row>
    <row r="11" spans="1:13" x14ac:dyDescent="0.25">
      <c r="A11" s="68" t="s">
        <v>45</v>
      </c>
      <c r="B11" s="68" t="s">
        <v>46</v>
      </c>
      <c r="C11" s="68" t="s">
        <v>13</v>
      </c>
      <c r="D11" s="69" t="s">
        <v>47</v>
      </c>
      <c r="E11" s="69"/>
      <c r="F11" s="69"/>
      <c r="G11" s="69" t="s">
        <v>48</v>
      </c>
      <c r="H11" s="69"/>
      <c r="I11" s="69"/>
      <c r="J11" s="68" t="s">
        <v>49</v>
      </c>
      <c r="K11" s="67" t="s">
        <v>50</v>
      </c>
    </row>
    <row r="12" spans="1:13" x14ac:dyDescent="0.25">
      <c r="A12" s="68"/>
      <c r="B12" s="68"/>
      <c r="C12" s="68"/>
      <c r="D12" s="40" t="s">
        <v>51</v>
      </c>
      <c r="E12" s="40" t="s">
        <v>14</v>
      </c>
      <c r="F12" s="40" t="s">
        <v>15</v>
      </c>
      <c r="G12" s="40" t="s">
        <v>51</v>
      </c>
      <c r="H12" s="40" t="s">
        <v>14</v>
      </c>
      <c r="I12" s="40" t="s">
        <v>15</v>
      </c>
      <c r="J12" s="68"/>
      <c r="K12" s="67"/>
    </row>
    <row r="13" spans="1:13" s="9" customFormat="1" ht="30" x14ac:dyDescent="0.25">
      <c r="A13" s="41">
        <f>'final (2)'!A9</f>
        <v>1</v>
      </c>
      <c r="B13" s="29" t="str">
        <f>'final (2)'!B9</f>
        <v>d]lzgsf] k|of]u u/L ;'k/ :6«Sr/df l;d]G6 s+lqm6 ug]{ sfd -!M!=%M#_</v>
      </c>
      <c r="C13" s="12" t="str">
        <f>'final (2)'!H15</f>
        <v>cum</v>
      </c>
      <c r="D13" s="12">
        <f>'final (2)'!G15</f>
        <v>3.7020911816958737</v>
      </c>
      <c r="E13" s="12">
        <f>'final (2)'!I15</f>
        <v>14200.82</v>
      </c>
      <c r="F13" s="12">
        <f>D13*E13</f>
        <v>52572.730494850395</v>
      </c>
      <c r="G13" s="12">
        <f>valuated!G18</f>
        <v>3.7753400858230903</v>
      </c>
      <c r="H13" s="12">
        <f>valuated!I18</f>
        <v>14200.82</v>
      </c>
      <c r="I13" s="12">
        <f>G13*H13</f>
        <v>53612.924997558257</v>
      </c>
      <c r="J13" s="43">
        <f>I13-F13</f>
        <v>1040.1945027078618</v>
      </c>
      <c r="K13" s="35"/>
      <c r="M13" s="9">
        <f>1.25*F13</f>
        <v>65715.913118562996</v>
      </c>
    </row>
    <row r="14" spans="1:13" s="9" customFormat="1" x14ac:dyDescent="0.25">
      <c r="A14" s="41"/>
      <c r="B14" s="26" t="str">
        <f>'final (2)'!B16</f>
        <v>-VAT calculation</v>
      </c>
      <c r="C14" s="12"/>
      <c r="D14" s="12"/>
      <c r="E14" s="12"/>
      <c r="F14" s="12">
        <f>'final (2)'!J16</f>
        <v>4933.0461250468243</v>
      </c>
      <c r="G14" s="12"/>
      <c r="H14" s="12"/>
      <c r="I14" s="12">
        <f>valuated!J19</f>
        <v>5030.650480243492</v>
      </c>
      <c r="J14" s="43">
        <f>I14-F14</f>
        <v>97.604355196667711</v>
      </c>
      <c r="K14" s="35"/>
      <c r="M14" s="9">
        <f>1.25*F14</f>
        <v>6166.3076563085306</v>
      </c>
    </row>
    <row r="15" spans="1:13" s="9" customFormat="1" ht="15.75" x14ac:dyDescent="0.25">
      <c r="A15" s="41"/>
      <c r="B15" s="42"/>
      <c r="C15" s="12"/>
      <c r="D15" s="12"/>
      <c r="E15" s="12"/>
      <c r="F15" s="12"/>
      <c r="G15" s="12"/>
      <c r="H15" s="12"/>
      <c r="I15" s="12"/>
      <c r="J15" s="43"/>
      <c r="K15" s="35"/>
    </row>
    <row r="16" spans="1:13" s="9" customFormat="1" ht="30" x14ac:dyDescent="0.25">
      <c r="A16" s="41">
        <f>'final (2)'!A18</f>
        <v>2</v>
      </c>
      <c r="B16" s="29" t="str">
        <f>'final (2)'!B18</f>
        <v>kmnfd]sf] kfOk / KnfOaf]8{af6 kmdf{ agfpg] sfd</v>
      </c>
      <c r="C16" s="12" t="str">
        <f>'final (2)'!H24</f>
        <v>sqm</v>
      </c>
      <c r="D16" s="12">
        <f>'final (2)'!G24</f>
        <v>43.635164121820779</v>
      </c>
      <c r="E16" s="12">
        <f>'final (2)'!I24</f>
        <v>905.97</v>
      </c>
      <c r="F16" s="12">
        <f>D16*E16</f>
        <v>39532.149639445975</v>
      </c>
      <c r="G16" s="12">
        <f>valuated!G32</f>
        <v>39.832234314437152</v>
      </c>
      <c r="H16" s="12">
        <f>valuated!I32</f>
        <v>905.97</v>
      </c>
      <c r="I16" s="12">
        <f>G16*H16</f>
        <v>36086.809321850626</v>
      </c>
      <c r="J16" s="43">
        <f t="shared" ref="J16:J25" si="0">I16-F16</f>
        <v>-3445.3403175953499</v>
      </c>
      <c r="K16" s="35"/>
      <c r="M16" s="9">
        <f t="shared" ref="M16:M25" si="1">1.25*F16</f>
        <v>49415.187049307468</v>
      </c>
    </row>
    <row r="17" spans="1:13" s="9" customFormat="1" ht="15.75" x14ac:dyDescent="0.25">
      <c r="A17" s="41"/>
      <c r="B17" s="44" t="str">
        <f>'final (2)'!B25</f>
        <v>-VAT 13% for materials</v>
      </c>
      <c r="C17" s="12"/>
      <c r="D17" s="12"/>
      <c r="E17" s="12"/>
      <c r="F17" s="12">
        <f>'final (2)'!J25</f>
        <v>2656.3443308028741</v>
      </c>
      <c r="G17" s="12"/>
      <c r="H17" s="12"/>
      <c r="I17" s="12">
        <f>valuated!J33</f>
        <v>2424.8362973718026</v>
      </c>
      <c r="J17" s="43">
        <f t="shared" si="0"/>
        <v>-231.50803343107145</v>
      </c>
      <c r="K17" s="35"/>
      <c r="M17" s="9">
        <f t="shared" si="1"/>
        <v>3320.4304135035927</v>
      </c>
    </row>
    <row r="18" spans="1:13" s="9" customFormat="1" ht="15.75" x14ac:dyDescent="0.25">
      <c r="A18" s="41"/>
      <c r="B18" s="44"/>
      <c r="C18" s="12"/>
      <c r="D18" s="12"/>
      <c r="E18" s="12"/>
      <c r="F18" s="12"/>
      <c r="G18" s="12"/>
      <c r="H18" s="12"/>
      <c r="I18" s="12"/>
      <c r="J18" s="43"/>
      <c r="K18" s="35"/>
    </row>
    <row r="19" spans="1:13" s="9" customFormat="1" ht="30" x14ac:dyDescent="0.25">
      <c r="A19" s="41">
        <f>'final (2)'!A27</f>
        <v>3</v>
      </c>
      <c r="B19" s="29" t="str">
        <f>'final (2)'!B27</f>
        <v xml:space="preserve">cf/=;L=;L= nflu kmnfd] 808L sf6\g], df]8\g] #) dL6/ ;Dd </v>
      </c>
      <c r="C19" s="12" t="str">
        <f>'final (2)'!H36</f>
        <v>M.T</v>
      </c>
      <c r="D19" s="12">
        <f>'final (2)'!G36</f>
        <v>0.31352146447371881</v>
      </c>
      <c r="E19" s="12">
        <f>'final (2)'!I36</f>
        <v>130210</v>
      </c>
      <c r="F19" s="12">
        <f>D19*E19</f>
        <v>40823.629889122923</v>
      </c>
      <c r="G19" s="12">
        <f>valuated!G49</f>
        <v>0.33976721440191243</v>
      </c>
      <c r="H19" s="12">
        <f>valuated!I49</f>
        <v>130210</v>
      </c>
      <c r="I19" s="12">
        <f>G19*H19</f>
        <v>44241.088987273019</v>
      </c>
      <c r="J19" s="43">
        <f t="shared" si="0"/>
        <v>3417.4590981500951</v>
      </c>
      <c r="K19" s="35"/>
      <c r="M19" s="9">
        <f>1.25*F19</f>
        <v>51029.537361403651</v>
      </c>
    </row>
    <row r="20" spans="1:13" s="9" customFormat="1" x14ac:dyDescent="0.25">
      <c r="A20" s="41"/>
      <c r="B20" s="51" t="str">
        <f>'final (2)'!B37</f>
        <v>-VAT 13% for materials</v>
      </c>
      <c r="C20" s="12"/>
      <c r="D20" s="12"/>
      <c r="E20" s="12"/>
      <c r="F20" s="12">
        <f>'final (2)'!J37</f>
        <v>4279.9755679700775</v>
      </c>
      <c r="G20" s="12"/>
      <c r="H20" s="12"/>
      <c r="I20" s="12">
        <f>valuated!J50</f>
        <v>4638.264173964827</v>
      </c>
      <c r="J20" s="43">
        <f t="shared" si="0"/>
        <v>358.28860599474956</v>
      </c>
      <c r="K20" s="35"/>
      <c r="M20" s="9">
        <f t="shared" si="1"/>
        <v>5349.9694599625964</v>
      </c>
    </row>
    <row r="21" spans="1:13" s="9" customFormat="1" x14ac:dyDescent="0.25">
      <c r="A21" s="41"/>
      <c r="B21" s="41"/>
      <c r="C21" s="12"/>
      <c r="D21" s="12"/>
      <c r="E21" s="12"/>
      <c r="F21" s="12"/>
      <c r="G21" s="12"/>
      <c r="H21" s="12"/>
      <c r="I21" s="12"/>
      <c r="J21" s="43"/>
      <c r="K21" s="35"/>
    </row>
    <row r="22" spans="1:13" s="9" customFormat="1" x14ac:dyDescent="0.25">
      <c r="A22" s="41">
        <f>'final (2)'!A39</f>
        <v>4</v>
      </c>
      <c r="B22" s="29" t="str">
        <f>'final (2)'!B39</f>
        <v>!@=% dL=dL= l;d]G6 afn'jf -!M^_ Knfi6/</v>
      </c>
      <c r="C22" s="12" t="str">
        <f>'final (2)'!H47</f>
        <v>sqm</v>
      </c>
      <c r="D22" s="12">
        <f>'final (2)'!G47</f>
        <v>56.220686649634651</v>
      </c>
      <c r="E22" s="12">
        <f>'final (2)'!I47</f>
        <v>382.48</v>
      </c>
      <c r="F22" s="12">
        <f>D22*E22</f>
        <v>21503.288229752263</v>
      </c>
      <c r="G22" s="12">
        <f>valuated!G60</f>
        <v>56.220686649634651</v>
      </c>
      <c r="H22" s="12">
        <f>valuated!I60</f>
        <v>382.48</v>
      </c>
      <c r="I22" s="12">
        <f>G22*H22</f>
        <v>21503.288229752263</v>
      </c>
      <c r="J22" s="43">
        <f t="shared" si="0"/>
        <v>0</v>
      </c>
      <c r="K22" s="35"/>
      <c r="M22" s="9">
        <f t="shared" si="1"/>
        <v>26879.110287190328</v>
      </c>
    </row>
    <row r="23" spans="1:13" s="9" customFormat="1" x14ac:dyDescent="0.25">
      <c r="A23" s="41"/>
      <c r="B23" s="51" t="str">
        <f>'final (2)'!B48</f>
        <v>-VAT 13% for materials</v>
      </c>
      <c r="C23" s="12"/>
      <c r="D23" s="12"/>
      <c r="E23" s="12"/>
      <c r="F23" s="12">
        <f>'final (2)'!J48</f>
        <v>690.57173731676505</v>
      </c>
      <c r="G23" s="12"/>
      <c r="H23" s="12"/>
      <c r="I23" s="12">
        <f>valuated!J61</f>
        <v>690.57173731676505</v>
      </c>
      <c r="J23" s="43">
        <f t="shared" si="0"/>
        <v>0</v>
      </c>
      <c r="K23" s="35"/>
      <c r="M23" s="9">
        <f t="shared" si="1"/>
        <v>863.21467164595629</v>
      </c>
    </row>
    <row r="24" spans="1:13" s="9" customFormat="1" x14ac:dyDescent="0.25">
      <c r="A24" s="41"/>
      <c r="B24" s="41"/>
      <c r="C24" s="12"/>
      <c r="D24" s="12"/>
      <c r="E24" s="12"/>
      <c r="F24" s="12"/>
      <c r="G24" s="12"/>
      <c r="H24" s="12"/>
      <c r="I24" s="12"/>
      <c r="J24" s="43"/>
      <c r="K24" s="35"/>
    </row>
    <row r="25" spans="1:13" s="9" customFormat="1" x14ac:dyDescent="0.25">
      <c r="A25" s="41">
        <f>'final (2)'!A50</f>
        <v>5</v>
      </c>
      <c r="B25" s="41" t="str">
        <f>'final (2)'!B50</f>
        <v>Information board (सुचना पाटि)</v>
      </c>
      <c r="C25" s="12" t="str">
        <f>'final (2)'!H50</f>
        <v>no.</v>
      </c>
      <c r="D25" s="12">
        <f>'final (2)'!G50</f>
        <v>1</v>
      </c>
      <c r="E25" s="12">
        <f>'final (2)'!I50</f>
        <v>1000</v>
      </c>
      <c r="F25" s="12">
        <f>D25*E25</f>
        <v>1000</v>
      </c>
      <c r="G25" s="12">
        <f>valuated!G63</f>
        <v>1</v>
      </c>
      <c r="H25" s="12">
        <f>valuated!I63</f>
        <v>1000</v>
      </c>
      <c r="I25" s="12">
        <f>G25*H25</f>
        <v>1000</v>
      </c>
      <c r="J25" s="43">
        <f t="shared" si="0"/>
        <v>0</v>
      </c>
      <c r="K25" s="35"/>
      <c r="M25" s="9">
        <f t="shared" si="1"/>
        <v>1250</v>
      </c>
    </row>
    <row r="26" spans="1:13" s="9" customFormat="1" x14ac:dyDescent="0.25">
      <c r="A26" s="45"/>
      <c r="B26" s="45"/>
      <c r="C26" s="12"/>
      <c r="D26" s="12"/>
      <c r="E26" s="12"/>
      <c r="F26" s="12"/>
      <c r="G26" s="12"/>
      <c r="H26" s="12"/>
      <c r="I26" s="12"/>
      <c r="J26" s="43"/>
      <c r="K26" s="35"/>
    </row>
    <row r="27" spans="1:13" x14ac:dyDescent="0.25">
      <c r="A27" s="46"/>
      <c r="B27" s="47" t="s">
        <v>52</v>
      </c>
      <c r="C27" s="47"/>
      <c r="D27" s="48"/>
      <c r="E27" s="48"/>
      <c r="F27" s="48">
        <f>SUM(F13:F25)</f>
        <v>167991.73601430809</v>
      </c>
      <c r="G27" s="48"/>
      <c r="H27" s="48"/>
      <c r="I27" s="48">
        <f>SUM(I13:I25)</f>
        <v>169228.43422533106</v>
      </c>
      <c r="J27" s="49">
        <f>I27-F27</f>
        <v>1236.6982110229728</v>
      </c>
      <c r="K27" s="46"/>
    </row>
    <row r="29" spans="1:13" x14ac:dyDescent="0.25">
      <c r="J29" s="50"/>
    </row>
  </sheetData>
  <mergeCells count="20">
    <mergeCell ref="K11:K12"/>
    <mergeCell ref="A11:A12"/>
    <mergeCell ref="B11:B12"/>
    <mergeCell ref="C11:C12"/>
    <mergeCell ref="D11:F11"/>
    <mergeCell ref="G11:I11"/>
    <mergeCell ref="J11:J12"/>
    <mergeCell ref="F7:G7"/>
    <mergeCell ref="I7:K7"/>
    <mergeCell ref="A8:F8"/>
    <mergeCell ref="I8:K8"/>
    <mergeCell ref="A9:F9"/>
    <mergeCell ref="I9:K9"/>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view="pageBreakPreview" topLeftCell="A32" zoomScale="60" zoomScaleNormal="89" workbookViewId="0">
      <selection activeCell="E77" sqref="E77"/>
    </sheetView>
  </sheetViews>
  <sheetFormatPr defaultRowHeight="15" x14ac:dyDescent="0.25"/>
  <cols>
    <col min="1" max="1" width="4.42578125" customWidth="1"/>
    <col min="2" max="2" width="31.28515625" customWidth="1"/>
    <col min="3" max="3" width="5.5703125" customWidth="1"/>
    <col min="4" max="4" width="8.7109375" customWidth="1"/>
    <col min="5" max="5" width="7.85546875" customWidth="1"/>
    <col min="6" max="6" width="8.28515625" customWidth="1"/>
    <col min="7" max="7" width="9.28515625" customWidth="1"/>
    <col min="8" max="8" width="5.28515625" bestFit="1" customWidth="1"/>
    <col min="9" max="10" width="10.7109375" hidden="1" customWidth="1"/>
    <col min="11" max="11" width="9.42578125" customWidth="1"/>
    <col min="14" max="14" width="9.5703125" bestFit="1" customWidth="1"/>
  </cols>
  <sheetData>
    <row r="1" spans="1:15" x14ac:dyDescent="0.25">
      <c r="A1" s="77" t="s">
        <v>0</v>
      </c>
      <c r="B1" s="77"/>
      <c r="C1" s="77"/>
      <c r="D1" s="77"/>
      <c r="E1" s="77"/>
      <c r="F1" s="77"/>
      <c r="G1" s="77"/>
      <c r="H1" s="77"/>
      <c r="I1" s="77"/>
      <c r="J1" s="77"/>
      <c r="K1" s="77"/>
    </row>
    <row r="2" spans="1:15" ht="21.6" customHeight="1" x14ac:dyDescent="0.25">
      <c r="A2" s="78" t="s">
        <v>1</v>
      </c>
      <c r="B2" s="78"/>
      <c r="C2" s="78"/>
      <c r="D2" s="78"/>
      <c r="E2" s="78"/>
      <c r="F2" s="78"/>
      <c r="G2" s="78"/>
      <c r="H2" s="78"/>
      <c r="I2" s="78"/>
      <c r="J2" s="78"/>
      <c r="K2" s="78"/>
    </row>
    <row r="3" spans="1:15" x14ac:dyDescent="0.25">
      <c r="A3" s="61" t="s">
        <v>2</v>
      </c>
      <c r="B3" s="61"/>
      <c r="C3" s="61"/>
      <c r="D3" s="61"/>
      <c r="E3" s="61"/>
      <c r="F3" s="61"/>
      <c r="G3" s="61"/>
      <c r="H3" s="61"/>
      <c r="I3" s="61"/>
      <c r="J3" s="61"/>
      <c r="K3" s="61"/>
    </row>
    <row r="4" spans="1:15" x14ac:dyDescent="0.25">
      <c r="A4" s="61" t="s">
        <v>3</v>
      </c>
      <c r="B4" s="61"/>
      <c r="C4" s="61"/>
      <c r="D4" s="61"/>
      <c r="E4" s="61"/>
      <c r="F4" s="61"/>
      <c r="G4" s="61"/>
      <c r="H4" s="61"/>
      <c r="I4" s="61"/>
      <c r="J4" s="61"/>
      <c r="K4" s="61"/>
    </row>
    <row r="5" spans="1:15" ht="16.149999999999999" customHeight="1" x14ac:dyDescent="0.3">
      <c r="A5" s="79" t="s">
        <v>84</v>
      </c>
      <c r="B5" s="79"/>
      <c r="C5" s="79"/>
      <c r="D5" s="79"/>
      <c r="E5" s="79"/>
      <c r="F5" s="79"/>
      <c r="G5" s="79"/>
      <c r="H5" s="79"/>
      <c r="I5" s="79"/>
      <c r="J5" s="79"/>
      <c r="K5" s="79"/>
    </row>
    <row r="6" spans="1:15" ht="15.75" x14ac:dyDescent="0.25">
      <c r="A6" s="65" t="s">
        <v>67</v>
      </c>
      <c r="B6" s="65"/>
      <c r="C6" s="65"/>
      <c r="D6" s="65"/>
      <c r="E6" s="65"/>
      <c r="F6" s="65"/>
      <c r="G6" s="1"/>
      <c r="I6" s="80"/>
      <c r="J6" s="80"/>
      <c r="K6" s="53" t="s">
        <v>40</v>
      </c>
    </row>
    <row r="7" spans="1:15" ht="15.75" x14ac:dyDescent="0.25">
      <c r="A7" s="73" t="s">
        <v>5</v>
      </c>
      <c r="B7" s="73"/>
      <c r="C7" s="73"/>
      <c r="D7" s="73"/>
      <c r="E7" s="73"/>
      <c r="F7" s="73"/>
      <c r="G7" s="2"/>
      <c r="I7" s="80"/>
      <c r="J7" s="80"/>
      <c r="K7" s="53" t="s">
        <v>81</v>
      </c>
    </row>
    <row r="8" spans="1:15" ht="15" customHeight="1" x14ac:dyDescent="0.25">
      <c r="A8" s="33" t="s">
        <v>6</v>
      </c>
      <c r="B8" s="4" t="s">
        <v>7</v>
      </c>
      <c r="C8" s="3" t="s">
        <v>8</v>
      </c>
      <c r="D8" s="5" t="s">
        <v>9</v>
      </c>
      <c r="E8" s="5" t="s">
        <v>10</v>
      </c>
      <c r="F8" s="5" t="s">
        <v>11</v>
      </c>
      <c r="G8" s="5" t="s">
        <v>12</v>
      </c>
      <c r="H8" s="3" t="s">
        <v>13</v>
      </c>
      <c r="I8" s="5" t="s">
        <v>14</v>
      </c>
      <c r="J8" s="5" t="s">
        <v>15</v>
      </c>
      <c r="K8" s="4" t="s">
        <v>37</v>
      </c>
    </row>
    <row r="9" spans="1:15" s="9" customFormat="1" ht="30" x14ac:dyDescent="0.25">
      <c r="A9" s="20">
        <v>1</v>
      </c>
      <c r="B9" s="29" t="s">
        <v>30</v>
      </c>
      <c r="C9" s="21"/>
      <c r="D9" s="22"/>
      <c r="E9" s="23"/>
      <c r="F9" s="23"/>
      <c r="G9" s="7"/>
      <c r="H9" s="6"/>
      <c r="I9" s="7"/>
      <c r="J9" s="24"/>
      <c r="K9" s="23"/>
      <c r="M9" s="30"/>
      <c r="N9" s="30"/>
    </row>
    <row r="10" spans="1:15" x14ac:dyDescent="0.25">
      <c r="A10" s="19"/>
      <c r="B10" s="34" t="s">
        <v>54</v>
      </c>
      <c r="C10" s="27">
        <v>2</v>
      </c>
      <c r="D10" s="12">
        <f>11.25/3.281</f>
        <v>3.4288326729655592</v>
      </c>
      <c r="E10" s="12">
        <v>0.23</v>
      </c>
      <c r="F10" s="12">
        <v>0.23</v>
      </c>
      <c r="G10" s="12">
        <f t="shared" ref="G10:G13" si="0">PRODUCT(C10:F10)</f>
        <v>0.36277049679975615</v>
      </c>
      <c r="H10" s="11"/>
      <c r="I10" s="11"/>
      <c r="J10" s="12"/>
      <c r="K10" s="11"/>
    </row>
    <row r="11" spans="1:15" x14ac:dyDescent="0.25">
      <c r="A11" s="19"/>
      <c r="B11" s="34"/>
      <c r="C11" s="27">
        <v>2</v>
      </c>
      <c r="D11" s="12">
        <f>(11.583-0.75*2)/3.281</f>
        <v>3.0731484303565986</v>
      </c>
      <c r="E11" s="12">
        <v>0.23</v>
      </c>
      <c r="F11" s="12">
        <v>0.23</v>
      </c>
      <c r="G11" s="12">
        <f t="shared" si="0"/>
        <v>0.32513910393172812</v>
      </c>
      <c r="H11" s="11"/>
      <c r="I11" s="11"/>
      <c r="J11" s="12"/>
      <c r="K11" s="11"/>
      <c r="M11">
        <f>CONVERT(4,"in","m")</f>
        <v>0.1016</v>
      </c>
    </row>
    <row r="12" spans="1:15" x14ac:dyDescent="0.25">
      <c r="A12" s="19"/>
      <c r="B12" s="34" t="s">
        <v>69</v>
      </c>
      <c r="C12" s="27">
        <v>2</v>
      </c>
      <c r="D12" s="12">
        <f>((4.583+15.25)/2)/3.281</f>
        <v>3.0224017067967082</v>
      </c>
      <c r="E12" s="12">
        <f>5.583/3.281</f>
        <v>1.7016153611703748</v>
      </c>
      <c r="F12" s="12">
        <v>0.11</v>
      </c>
      <c r="G12" s="12">
        <f t="shared" si="0"/>
        <v>1.1314523378208243</v>
      </c>
      <c r="H12" s="11"/>
      <c r="I12" s="11"/>
      <c r="J12" s="12"/>
      <c r="K12" s="11"/>
      <c r="N12" s="52">
        <f>E12</f>
        <v>1.7016153611703748</v>
      </c>
      <c r="O12">
        <f>(SQRT((11.17/2)^2+(2.75)^2))/3.281</f>
        <v>1.8973877807249939</v>
      </c>
    </row>
    <row r="13" spans="1:15" x14ac:dyDescent="0.25">
      <c r="A13" s="19"/>
      <c r="B13" s="34" t="s">
        <v>71</v>
      </c>
      <c r="C13" s="27">
        <v>2</v>
      </c>
      <c r="D13" s="12">
        <f>((4.917+15)/2)/3.281</f>
        <v>3.0352026821091131</v>
      </c>
      <c r="E13" s="12">
        <f>6.25/3.281</f>
        <v>1.9049070405364217</v>
      </c>
      <c r="F13" s="12">
        <v>0.10100000000000001</v>
      </c>
      <c r="G13" s="12">
        <f t="shared" si="0"/>
        <v>1.1679193496381455</v>
      </c>
      <c r="H13" s="11"/>
      <c r="I13" s="11"/>
      <c r="J13" s="12"/>
      <c r="K13" s="11"/>
      <c r="N13" s="52"/>
    </row>
    <row r="14" spans="1:15" x14ac:dyDescent="0.25">
      <c r="A14" s="19"/>
      <c r="B14" s="34" t="s">
        <v>70</v>
      </c>
      <c r="C14" s="27">
        <v>2</v>
      </c>
      <c r="D14" s="12">
        <f>55/12/3.281</f>
        <v>1.3969318297267093</v>
      </c>
      <c r="E14" s="12">
        <f>2/3.281</f>
        <v>0.6095702529716549</v>
      </c>
      <c r="F14" s="12">
        <v>0.10100000000000001</v>
      </c>
      <c r="G14" s="12">
        <f>PRODUCT(C14:F14)</f>
        <v>0.17200867394379471</v>
      </c>
      <c r="H14" s="11"/>
      <c r="I14" s="11"/>
      <c r="J14" s="12"/>
      <c r="K14" s="11"/>
      <c r="N14" s="52">
        <f>E16</f>
        <v>1.1175454637813673</v>
      </c>
      <c r="O14">
        <f>(SQRT((2)^2+(4)^2))/3.281</f>
        <v>1.3630405227063638</v>
      </c>
    </row>
    <row r="15" spans="1:15" x14ac:dyDescent="0.25">
      <c r="A15" s="19"/>
      <c r="B15" s="34" t="s">
        <v>72</v>
      </c>
      <c r="C15" s="27">
        <v>2</v>
      </c>
      <c r="D15" s="12">
        <f>59/12/3.281</f>
        <v>1.498526871888652</v>
      </c>
      <c r="E15" s="12">
        <f>2/3.281</f>
        <v>0.6095702529716549</v>
      </c>
      <c r="F15" s="12">
        <v>0.10100000000000001</v>
      </c>
      <c r="G15" s="12">
        <f>PRODUCT(C15:F15)</f>
        <v>0.18451839568516165</v>
      </c>
      <c r="H15" s="11"/>
      <c r="I15" s="11"/>
      <c r="J15" s="12"/>
      <c r="K15" s="11"/>
      <c r="N15" s="52"/>
    </row>
    <row r="16" spans="1:15" x14ac:dyDescent="0.25">
      <c r="A16" s="19"/>
      <c r="B16" s="34" t="s">
        <v>73</v>
      </c>
      <c r="C16" s="27">
        <v>2</v>
      </c>
      <c r="D16" s="12">
        <f>((1.42+6.5)/2)/3.281</f>
        <v>1.2069491008838769</v>
      </c>
      <c r="E16" s="12">
        <f>44/12/3.281</f>
        <v>1.1175454637813673</v>
      </c>
      <c r="F16" s="12">
        <v>0.08</v>
      </c>
      <c r="G16" s="12">
        <f>PRODUCT(C16:F16)</f>
        <v>0.21581127883324425</v>
      </c>
      <c r="H16" s="11"/>
      <c r="I16" s="11"/>
      <c r="J16" s="12"/>
      <c r="K16" s="11"/>
    </row>
    <row r="17" spans="1:14" x14ac:dyDescent="0.25">
      <c r="A17" s="19"/>
      <c r="B17" s="34" t="s">
        <v>74</v>
      </c>
      <c r="C17" s="27">
        <v>2</v>
      </c>
      <c r="D17" s="12">
        <f>(78+17)/2/12/3.281</f>
        <v>1.2064411256730672</v>
      </c>
      <c r="E17" s="12">
        <f>44/12/3.281</f>
        <v>1.1175454637813673</v>
      </c>
      <c r="F17" s="12">
        <v>0.08</v>
      </c>
      <c r="G17" s="12">
        <f>PRODUCT(C17:F17)</f>
        <v>0.21572044917043565</v>
      </c>
      <c r="H17" s="11"/>
      <c r="I17" s="11"/>
      <c r="J17" s="12"/>
      <c r="K17" s="11"/>
    </row>
    <row r="18" spans="1:14" ht="15" customHeight="1" x14ac:dyDescent="0.25">
      <c r="A18" s="19"/>
      <c r="B18" s="26" t="s">
        <v>16</v>
      </c>
      <c r="C18" s="27"/>
      <c r="D18" s="12"/>
      <c r="E18" s="12"/>
      <c r="F18" s="12"/>
      <c r="G18" s="24">
        <f>SUM(G10:G17)</f>
        <v>3.7753400858230903</v>
      </c>
      <c r="H18" s="24" t="s">
        <v>17</v>
      </c>
      <c r="I18" s="28">
        <v>14200.82</v>
      </c>
      <c r="J18" s="8">
        <f>G18*I18</f>
        <v>53612.924997558257</v>
      </c>
      <c r="K18" s="11"/>
      <c r="N18" s="52">
        <f>SUM(J9:J33)</f>
        <v>97155.221097024187</v>
      </c>
    </row>
    <row r="19" spans="1:14" ht="15" hidden="1" customHeight="1" x14ac:dyDescent="0.25">
      <c r="A19" s="20"/>
      <c r="B19" s="26" t="s">
        <v>38</v>
      </c>
      <c r="C19" s="21"/>
      <c r="D19" s="22"/>
      <c r="E19" s="23"/>
      <c r="F19" s="23"/>
      <c r="G19" s="7"/>
      <c r="H19" s="6"/>
      <c r="I19" s="7"/>
      <c r="J19" s="24">
        <f>0.13*G18*10250.02</f>
        <v>5030.650480243492</v>
      </c>
      <c r="K19" s="23"/>
      <c r="M19" s="25"/>
      <c r="N19" s="25"/>
    </row>
    <row r="20" spans="1:14" ht="15" customHeight="1" x14ac:dyDescent="0.25">
      <c r="A20" s="20"/>
      <c r="B20" s="26"/>
      <c r="C20" s="21"/>
      <c r="D20" s="22"/>
      <c r="E20" s="23"/>
      <c r="F20" s="23"/>
      <c r="G20" s="7"/>
      <c r="H20" s="6"/>
      <c r="I20" s="7"/>
      <c r="J20" s="24"/>
      <c r="K20" s="23"/>
      <c r="M20" s="25"/>
      <c r="N20" s="25"/>
    </row>
    <row r="21" spans="1:14" ht="27.6" customHeight="1" x14ac:dyDescent="0.25">
      <c r="A21" s="20">
        <v>2</v>
      </c>
      <c r="B21" s="29" t="s">
        <v>31</v>
      </c>
      <c r="C21" s="27"/>
      <c r="D21" s="12"/>
      <c r="E21" s="12"/>
      <c r="F21" s="12"/>
      <c r="G21" s="24"/>
      <c r="H21" s="19"/>
      <c r="I21" s="24"/>
      <c r="J21" s="24"/>
      <c r="K21" s="23"/>
      <c r="M21" s="25"/>
      <c r="N21" s="25"/>
    </row>
    <row r="22" spans="1:14" x14ac:dyDescent="0.25">
      <c r="A22" s="19"/>
      <c r="B22" s="34" t="s">
        <v>54</v>
      </c>
      <c r="C22" s="27">
        <v>2</v>
      </c>
      <c r="D22" s="12">
        <f>(11.583)/3.281</f>
        <v>3.5303261200853395</v>
      </c>
      <c r="E22" s="12"/>
      <c r="F22" s="12">
        <f>0.23*2</f>
        <v>0.46</v>
      </c>
      <c r="G22" s="12">
        <f t="shared" ref="G22:G31" si="1">PRODUCT(C22:F22)</f>
        <v>3.2479000304785126</v>
      </c>
      <c r="H22" s="11"/>
      <c r="I22" s="11"/>
      <c r="J22" s="12"/>
      <c r="K22" s="11"/>
    </row>
    <row r="23" spans="1:14" x14ac:dyDescent="0.25">
      <c r="A23" s="19"/>
      <c r="B23" s="34"/>
      <c r="C23" s="27">
        <v>2</v>
      </c>
      <c r="D23" s="12">
        <f>(11.23)/3.281</f>
        <v>3.4227369704358428</v>
      </c>
      <c r="E23" s="12"/>
      <c r="F23" s="12">
        <f>0.23*2</f>
        <v>0.46</v>
      </c>
      <c r="G23" s="12">
        <f t="shared" si="1"/>
        <v>3.1489180128009755</v>
      </c>
      <c r="H23" s="11"/>
      <c r="I23" s="11"/>
      <c r="J23" s="12"/>
      <c r="K23" s="11"/>
    </row>
    <row r="24" spans="1:14" x14ac:dyDescent="0.25">
      <c r="A24" s="19"/>
      <c r="B24" s="34" t="str">
        <f>B12</f>
        <v>-For 1st roof short side</v>
      </c>
      <c r="C24" s="27">
        <v>2</v>
      </c>
      <c r="D24" s="12">
        <f>E12</f>
        <v>1.7016153611703748</v>
      </c>
      <c r="E24" s="12">
        <f>D12</f>
        <v>3.0224017067967082</v>
      </c>
      <c r="F24" s="12"/>
      <c r="G24" s="12">
        <f t="shared" si="1"/>
        <v>10.285930343825676</v>
      </c>
      <c r="H24" s="11"/>
      <c r="I24" s="11"/>
      <c r="J24" s="12"/>
      <c r="K24" s="11"/>
    </row>
    <row r="25" spans="1:14" x14ac:dyDescent="0.25">
      <c r="A25" s="19"/>
      <c r="B25" s="34" t="str">
        <f>B13</f>
        <v>-For 1st roof long side</v>
      </c>
      <c r="C25" s="27">
        <v>2</v>
      </c>
      <c r="D25" s="12">
        <f>D13</f>
        <v>3.0352026821091131</v>
      </c>
      <c r="E25" s="12">
        <f>E13</f>
        <v>1.9049070405364217</v>
      </c>
      <c r="F25" s="12"/>
      <c r="G25" s="12">
        <f t="shared" si="1"/>
        <v>11.56355791720936</v>
      </c>
      <c r="H25" s="11"/>
      <c r="I25" s="11"/>
      <c r="J25" s="12"/>
      <c r="K25" s="11"/>
    </row>
    <row r="26" spans="1:14" x14ac:dyDescent="0.25">
      <c r="A26" s="19"/>
      <c r="B26" s="34" t="s">
        <v>76</v>
      </c>
      <c r="C26" s="27">
        <v>1</v>
      </c>
      <c r="D26" s="12">
        <f>(15*2+15.25*2)/3.281</f>
        <v>18.439500152392561</v>
      </c>
      <c r="E26" s="12"/>
      <c r="F26" s="12">
        <v>0.1</v>
      </c>
      <c r="G26" s="12">
        <f t="shared" si="1"/>
        <v>1.8439500152392563</v>
      </c>
      <c r="H26" s="11"/>
      <c r="I26" s="11"/>
      <c r="J26" s="12"/>
      <c r="K26" s="11"/>
      <c r="N26" s="52"/>
    </row>
    <row r="27" spans="1:14" x14ac:dyDescent="0.25">
      <c r="A27" s="19"/>
      <c r="B27" s="34" t="str">
        <f t="shared" ref="B27:B30" si="2">B14</f>
        <v>-For shear wall short side</v>
      </c>
      <c r="C27" s="27">
        <v>2</v>
      </c>
      <c r="D27" s="12">
        <f>D14</f>
        <v>1.3969318297267093</v>
      </c>
      <c r="E27" s="46"/>
      <c r="F27" s="12">
        <f>E14</f>
        <v>0.6095702529716549</v>
      </c>
      <c r="G27" s="12">
        <f t="shared" si="1"/>
        <v>1.7030561776613338</v>
      </c>
      <c r="H27" s="11"/>
      <c r="I27" s="11"/>
      <c r="J27" s="12"/>
      <c r="K27" s="11"/>
    </row>
    <row r="28" spans="1:14" x14ac:dyDescent="0.25">
      <c r="A28" s="19"/>
      <c r="B28" s="34" t="str">
        <f t="shared" si="2"/>
        <v>-For shear wall long side</v>
      </c>
      <c r="C28" s="27">
        <v>2</v>
      </c>
      <c r="D28" s="12">
        <f>D15</f>
        <v>1.498526871888652</v>
      </c>
      <c r="E28" s="46"/>
      <c r="F28" s="12">
        <f>E15</f>
        <v>0.6095702529716549</v>
      </c>
      <c r="G28" s="12">
        <f t="shared" si="1"/>
        <v>1.8269148087639766</v>
      </c>
      <c r="H28" s="11"/>
      <c r="I28" s="11"/>
      <c r="J28" s="12"/>
      <c r="K28" s="11"/>
    </row>
    <row r="29" spans="1:14" x14ac:dyDescent="0.25">
      <c r="A29" s="19"/>
      <c r="B29" s="34" t="str">
        <f t="shared" si="2"/>
        <v>-For top roof short side</v>
      </c>
      <c r="C29" s="27">
        <v>2</v>
      </c>
      <c r="D29" s="12">
        <f>D16</f>
        <v>1.2069491008838769</v>
      </c>
      <c r="E29" s="12">
        <f>E16</f>
        <v>1.1175454637813673</v>
      </c>
      <c r="F29" s="12"/>
      <c r="G29" s="12">
        <f t="shared" si="1"/>
        <v>2.697640985415553</v>
      </c>
      <c r="H29" s="11"/>
      <c r="I29" s="11"/>
      <c r="J29" s="12"/>
      <c r="K29" s="11"/>
    </row>
    <row r="30" spans="1:14" x14ac:dyDescent="0.25">
      <c r="A30" s="19"/>
      <c r="B30" s="34" t="str">
        <f t="shared" si="2"/>
        <v>-For top roof long side</v>
      </c>
      <c r="C30" s="27">
        <v>2</v>
      </c>
      <c r="D30" s="12">
        <f>D17</f>
        <v>1.2064411256730672</v>
      </c>
      <c r="E30" s="12">
        <f>E17</f>
        <v>1.1175454637813673</v>
      </c>
      <c r="F30" s="12"/>
      <c r="G30" s="12">
        <f t="shared" si="1"/>
        <v>2.6965056146304454</v>
      </c>
      <c r="H30" s="11"/>
      <c r="I30" s="11"/>
      <c r="J30" s="12"/>
      <c r="K30" s="11"/>
    </row>
    <row r="31" spans="1:14" x14ac:dyDescent="0.25">
      <c r="A31" s="19"/>
      <c r="B31" s="34" t="s">
        <v>76</v>
      </c>
      <c r="C31" s="27">
        <v>1</v>
      </c>
      <c r="D31" s="12">
        <f>(6.5*2+6.917*2)/3.281</f>
        <v>8.1786040841206944</v>
      </c>
      <c r="E31" s="12"/>
      <c r="F31" s="12">
        <v>0.1</v>
      </c>
      <c r="G31" s="12">
        <f t="shared" si="1"/>
        <v>0.81786040841206953</v>
      </c>
      <c r="H31" s="11"/>
      <c r="I31" s="11"/>
      <c r="J31" s="12"/>
      <c r="K31" s="11"/>
      <c r="N31" s="52"/>
    </row>
    <row r="32" spans="1:14" ht="15" customHeight="1" x14ac:dyDescent="0.25">
      <c r="A32" s="19"/>
      <c r="B32" s="26" t="s">
        <v>16</v>
      </c>
      <c r="C32" s="27"/>
      <c r="D32" s="12"/>
      <c r="E32" s="12"/>
      <c r="F32" s="12"/>
      <c r="G32" s="24">
        <f>SUM(G22:G31)</f>
        <v>39.832234314437152</v>
      </c>
      <c r="H32" s="24" t="s">
        <v>22</v>
      </c>
      <c r="I32" s="28">
        <v>905.97</v>
      </c>
      <c r="J32" s="8">
        <f>G32*I32</f>
        <v>36086.809321850626</v>
      </c>
      <c r="K32" s="11"/>
      <c r="N32" s="52"/>
    </row>
    <row r="33" spans="1:14" ht="15" hidden="1" customHeight="1" x14ac:dyDescent="0.25">
      <c r="A33" s="20"/>
      <c r="B33" s="26" t="s">
        <v>29</v>
      </c>
      <c r="C33" s="21"/>
      <c r="D33" s="22"/>
      <c r="E33" s="23"/>
      <c r="F33" s="23"/>
      <c r="G33" s="7"/>
      <c r="H33" s="6"/>
      <c r="I33" s="7"/>
      <c r="J33" s="24">
        <f>0.13*G32*46827.87/100</f>
        <v>2424.8362973718026</v>
      </c>
      <c r="K33" s="23"/>
      <c r="M33" s="25"/>
      <c r="N33" s="25"/>
    </row>
    <row r="34" spans="1:14" ht="10.15" customHeight="1" x14ac:dyDescent="0.25">
      <c r="A34" s="20"/>
      <c r="B34" s="26"/>
      <c r="C34" s="21"/>
      <c r="D34" s="22"/>
      <c r="E34" s="23"/>
      <c r="F34" s="23"/>
      <c r="G34" s="7"/>
      <c r="H34" s="6"/>
      <c r="I34" s="7"/>
      <c r="J34" s="24"/>
      <c r="K34" s="23"/>
      <c r="M34" s="25"/>
      <c r="N34" s="25"/>
    </row>
    <row r="35" spans="1:14" ht="45" x14ac:dyDescent="0.25">
      <c r="A35" s="20">
        <v>3</v>
      </c>
      <c r="B35" s="29" t="s">
        <v>32</v>
      </c>
      <c r="C35" s="27" t="s">
        <v>8</v>
      </c>
      <c r="D35" s="32" t="s">
        <v>21</v>
      </c>
      <c r="E35" s="32" t="s">
        <v>33</v>
      </c>
      <c r="F35" s="32" t="s">
        <v>34</v>
      </c>
      <c r="G35" s="32" t="s">
        <v>35</v>
      </c>
      <c r="H35" s="19"/>
      <c r="I35" s="24"/>
      <c r="J35" s="24"/>
      <c r="K35" s="23"/>
      <c r="M35" s="25"/>
      <c r="N35" s="25"/>
    </row>
    <row r="36" spans="1:14" ht="15" customHeight="1" x14ac:dyDescent="0.25">
      <c r="A36" s="20"/>
      <c r="B36" s="26" t="str">
        <f>B22</f>
        <v>-For beam</v>
      </c>
      <c r="C36" s="21">
        <f>2*4</f>
        <v>8</v>
      </c>
      <c r="D36" s="12">
        <f>(11-0.17*2+0.5*2)/3.281</f>
        <v>3.5537945748247486</v>
      </c>
      <c r="E36" s="12">
        <f>12*12/162</f>
        <v>0.88888888888888884</v>
      </c>
      <c r="F36" s="12">
        <f t="shared" ref="F36:F48" si="3">PRODUCT(C36:E36)</f>
        <v>25.271428087642654</v>
      </c>
      <c r="G36" s="31">
        <f t="shared" ref="G36:G48" si="4">F36/1000</f>
        <v>2.5271428087642656E-2</v>
      </c>
      <c r="H36" s="6"/>
      <c r="I36" s="7"/>
      <c r="J36" s="24"/>
      <c r="K36" s="23"/>
      <c r="M36" s="25"/>
      <c r="N36" s="25"/>
    </row>
    <row r="37" spans="1:14" ht="15" customHeight="1" x14ac:dyDescent="0.25">
      <c r="A37" s="20"/>
      <c r="B37" s="26"/>
      <c r="C37" s="21">
        <f>2*4</f>
        <v>8</v>
      </c>
      <c r="D37" s="12">
        <f>(10.75-0.17*2+0.5*2)/3.281</f>
        <v>3.4775982932032914</v>
      </c>
      <c r="E37" s="12">
        <f>12*12/162</f>
        <v>0.88888888888888884</v>
      </c>
      <c r="F37" s="12">
        <f t="shared" si="3"/>
        <v>24.72958786277896</v>
      </c>
      <c r="G37" s="31">
        <f t="shared" si="4"/>
        <v>2.472958786277896E-2</v>
      </c>
      <c r="H37" s="6"/>
      <c r="I37" s="7"/>
      <c r="J37" s="24"/>
      <c r="K37" s="23"/>
      <c r="M37" s="25"/>
      <c r="N37" s="25"/>
    </row>
    <row r="38" spans="1:14" ht="15" customHeight="1" x14ac:dyDescent="0.25">
      <c r="A38" s="20"/>
      <c r="B38" s="26" t="s">
        <v>77</v>
      </c>
      <c r="C38" s="21">
        <v>60</v>
      </c>
      <c r="D38" s="12">
        <f>(7*4+0.17*2)/3.281</f>
        <v>8.6376104846083503</v>
      </c>
      <c r="E38" s="12">
        <f t="shared" ref="E38:E43" si="5">8*8/162</f>
        <v>0.39506172839506171</v>
      </c>
      <c r="F38" s="12">
        <f t="shared" si="3"/>
        <v>204.74335963516089</v>
      </c>
      <c r="G38" s="31">
        <f t="shared" si="4"/>
        <v>0.20474335963516088</v>
      </c>
      <c r="H38" s="6"/>
      <c r="I38" s="7"/>
      <c r="J38" s="24"/>
      <c r="K38" s="23"/>
      <c r="M38" s="25"/>
      <c r="N38" s="25"/>
    </row>
    <row r="39" spans="1:14" ht="15" customHeight="1" x14ac:dyDescent="0.25">
      <c r="A39" s="20"/>
      <c r="B39" s="26" t="s">
        <v>57</v>
      </c>
      <c r="C39" s="21">
        <f>2*7</f>
        <v>14</v>
      </c>
      <c r="D39" s="12">
        <f>7/3.281</f>
        <v>2.1334958854007922</v>
      </c>
      <c r="E39" s="12">
        <f t="shared" si="5"/>
        <v>0.39506172839506171</v>
      </c>
      <c r="F39" s="12">
        <f t="shared" si="3"/>
        <v>11.800076008142652</v>
      </c>
      <c r="G39" s="31">
        <f t="shared" si="4"/>
        <v>1.1800076008142651E-2</v>
      </c>
      <c r="H39" s="6"/>
      <c r="I39" s="7"/>
      <c r="J39" s="24"/>
      <c r="K39" s="23"/>
      <c r="M39" s="25"/>
      <c r="N39" s="25"/>
    </row>
    <row r="40" spans="1:14" ht="15" customHeight="1" x14ac:dyDescent="0.25">
      <c r="A40" s="20"/>
      <c r="B40" s="26"/>
      <c r="C40" s="21">
        <f>2*7</f>
        <v>14</v>
      </c>
      <c r="D40" s="12">
        <f>7.25/3.281</f>
        <v>2.2096921670222494</v>
      </c>
      <c r="E40" s="12">
        <f t="shared" si="5"/>
        <v>0.39506172839506171</v>
      </c>
      <c r="F40" s="12">
        <f t="shared" si="3"/>
        <v>12.221507294147749</v>
      </c>
      <c r="G40" s="31">
        <f t="shared" si="4"/>
        <v>1.2221507294147749E-2</v>
      </c>
      <c r="H40" s="6"/>
      <c r="I40" s="7"/>
      <c r="J40" s="24"/>
      <c r="K40" s="23"/>
      <c r="M40" s="25"/>
      <c r="N40" s="25"/>
    </row>
    <row r="41" spans="1:14" ht="15" customHeight="1" x14ac:dyDescent="0.25">
      <c r="A41" s="20"/>
      <c r="B41" s="26" t="s">
        <v>58</v>
      </c>
      <c r="C41" s="21">
        <f>4*7</f>
        <v>28</v>
      </c>
      <c r="D41" s="12">
        <f>6.083/3.281</f>
        <v>1.8540079244132885</v>
      </c>
      <c r="E41" s="12">
        <f t="shared" si="5"/>
        <v>0.39506172839506171</v>
      </c>
      <c r="F41" s="12">
        <f t="shared" si="3"/>
        <v>20.508532102151932</v>
      </c>
      <c r="G41" s="31">
        <f t="shared" si="4"/>
        <v>2.0508532102151932E-2</v>
      </c>
      <c r="H41" s="6"/>
      <c r="I41" s="7"/>
      <c r="J41" s="24"/>
      <c r="K41" s="23"/>
      <c r="M41" s="25"/>
      <c r="N41" s="25"/>
    </row>
    <row r="42" spans="1:14" ht="15" customHeight="1" x14ac:dyDescent="0.25">
      <c r="A42" s="20"/>
      <c r="B42" s="26"/>
      <c r="C42" s="21">
        <f>4*3</f>
        <v>12</v>
      </c>
      <c r="D42" s="12">
        <f>1.33/3.281</f>
        <v>0.40536421822615054</v>
      </c>
      <c r="E42" s="12">
        <f t="shared" si="5"/>
        <v>0.39506172839506171</v>
      </c>
      <c r="F42" s="12">
        <f>PRODUCT(C42:E42)</f>
        <v>1.921726664183232</v>
      </c>
      <c r="G42" s="54">
        <f>F42/1000</f>
        <v>1.921726664183232E-3</v>
      </c>
      <c r="H42" s="6"/>
      <c r="I42" s="7"/>
      <c r="J42" s="24"/>
      <c r="K42" s="23"/>
      <c r="M42" s="25"/>
      <c r="N42" s="25"/>
    </row>
    <row r="43" spans="1:14" ht="15" customHeight="1" x14ac:dyDescent="0.25">
      <c r="A43" s="20"/>
      <c r="B43" s="26" t="s">
        <v>78</v>
      </c>
      <c r="C43" s="21">
        <f>2*3</f>
        <v>6</v>
      </c>
      <c r="D43" s="12">
        <f>15/3.281</f>
        <v>4.5717768972874122</v>
      </c>
      <c r="E43" s="12">
        <f t="shared" si="5"/>
        <v>0.39506172839506171</v>
      </c>
      <c r="F43" s="12">
        <f t="shared" ref="F43" si="6">PRODUCT(C43:E43)</f>
        <v>10.836804497273866</v>
      </c>
      <c r="G43" s="31">
        <f t="shared" ref="G43" si="7">F43/1000</f>
        <v>1.0836804497273865E-2</v>
      </c>
      <c r="H43" s="6"/>
      <c r="I43" s="7"/>
      <c r="J43" s="24"/>
      <c r="K43" s="23"/>
      <c r="M43" s="25"/>
      <c r="N43" s="25"/>
    </row>
    <row r="44" spans="1:14" ht="15" customHeight="1" x14ac:dyDescent="0.25">
      <c r="A44" s="20"/>
      <c r="B44" s="26" t="s">
        <v>59</v>
      </c>
      <c r="C44" s="21">
        <f>2*4</f>
        <v>8</v>
      </c>
      <c r="D44" s="12">
        <f>4.583/3.281</f>
        <v>1.3968302346845474</v>
      </c>
      <c r="E44" s="12">
        <f>8*8/162</f>
        <v>0.39506172839506171</v>
      </c>
      <c r="F44" s="12">
        <f t="shared" si="3"/>
        <v>4.4146733343116553</v>
      </c>
      <c r="G44" s="31">
        <f t="shared" si="4"/>
        <v>4.4146733343116557E-3</v>
      </c>
      <c r="H44" s="6"/>
      <c r="I44" s="7"/>
      <c r="J44" s="24"/>
      <c r="K44" s="23"/>
      <c r="M44" s="25"/>
      <c r="N44" s="25"/>
    </row>
    <row r="45" spans="1:14" ht="15" customHeight="1" x14ac:dyDescent="0.25">
      <c r="A45" s="20"/>
      <c r="B45" s="26"/>
      <c r="C45" s="21">
        <f>2*4</f>
        <v>8</v>
      </c>
      <c r="D45" s="12">
        <f>4.917/3.281</f>
        <v>1.4986284669308136</v>
      </c>
      <c r="E45" s="12">
        <f t="shared" ref="E45:E48" si="8">8*8/162</f>
        <v>0.39506172839506171</v>
      </c>
      <c r="F45" s="12">
        <f t="shared" si="3"/>
        <v>4.7364060189418309</v>
      </c>
      <c r="G45" s="31">
        <f t="shared" si="4"/>
        <v>4.736406018941831E-3</v>
      </c>
      <c r="H45" s="6"/>
      <c r="I45" s="7"/>
      <c r="J45" s="24"/>
      <c r="K45" s="23"/>
      <c r="M45" s="25"/>
      <c r="N45" s="25"/>
    </row>
    <row r="46" spans="1:14" ht="15" customHeight="1" x14ac:dyDescent="0.25">
      <c r="A46" s="20"/>
      <c r="B46" s="26" t="s">
        <v>60</v>
      </c>
      <c r="C46" s="21">
        <f>4*8</f>
        <v>32</v>
      </c>
      <c r="D46" s="12">
        <f>E14</f>
        <v>0.6095702529716549</v>
      </c>
      <c r="E46" s="12">
        <f t="shared" si="8"/>
        <v>0.39506172839506171</v>
      </c>
      <c r="F46" s="12">
        <f t="shared" si="3"/>
        <v>7.7061720869503034</v>
      </c>
      <c r="G46" s="31">
        <f t="shared" si="4"/>
        <v>7.7061720869503036E-3</v>
      </c>
      <c r="H46" s="6"/>
      <c r="I46" s="7"/>
      <c r="J46" s="24"/>
      <c r="K46" s="23"/>
      <c r="M46" s="25"/>
      <c r="N46" s="25"/>
    </row>
    <row r="47" spans="1:14" ht="15" customHeight="1" x14ac:dyDescent="0.25">
      <c r="A47" s="20"/>
      <c r="B47" s="26" t="s">
        <v>61</v>
      </c>
      <c r="C47" s="21">
        <f>4*(TRUNC((D48-0.1)/0.15,0))-10</f>
        <v>14</v>
      </c>
      <c r="D47" s="12">
        <f>(17+75)/2/12/3.281</f>
        <v>1.1683429848623388</v>
      </c>
      <c r="E47" s="12">
        <f t="shared" si="8"/>
        <v>0.39506172839506171</v>
      </c>
      <c r="F47" s="12">
        <f t="shared" si="3"/>
        <v>6.4619463854114541</v>
      </c>
      <c r="G47" s="31">
        <f t="shared" si="4"/>
        <v>6.4619463854114541E-3</v>
      </c>
      <c r="H47" s="6"/>
      <c r="I47" s="7"/>
      <c r="J47" s="24"/>
      <c r="K47" s="23"/>
      <c r="M47" s="25"/>
      <c r="N47" s="25"/>
    </row>
    <row r="48" spans="1:14" ht="15" customHeight="1" x14ac:dyDescent="0.25">
      <c r="A48" s="20"/>
      <c r="B48" s="26" t="s">
        <v>62</v>
      </c>
      <c r="C48" s="21">
        <f>4*(TRUNC((D47-0.1)/0.15,0))-18</f>
        <v>10</v>
      </c>
      <c r="D48" s="12">
        <f>44/12/3.281</f>
        <v>1.1175454637813673</v>
      </c>
      <c r="E48" s="12">
        <f t="shared" si="8"/>
        <v>0.39506172839506171</v>
      </c>
      <c r="F48" s="12">
        <f t="shared" si="3"/>
        <v>4.4149944248152782</v>
      </c>
      <c r="G48" s="31">
        <f t="shared" si="4"/>
        <v>4.4149944248152778E-3</v>
      </c>
      <c r="H48" s="6"/>
      <c r="I48" s="7"/>
      <c r="J48" s="24"/>
      <c r="K48" s="23"/>
      <c r="M48" s="25"/>
      <c r="N48" s="25"/>
    </row>
    <row r="49" spans="1:14" ht="15" customHeight="1" x14ac:dyDescent="0.25">
      <c r="A49" s="19"/>
      <c r="B49" s="26" t="s">
        <v>16</v>
      </c>
      <c r="C49" s="27"/>
      <c r="D49" s="12"/>
      <c r="E49" s="12"/>
      <c r="F49" s="12"/>
      <c r="G49" s="24">
        <f>SUM(G36:G48)</f>
        <v>0.33976721440191243</v>
      </c>
      <c r="H49" s="24" t="s">
        <v>36</v>
      </c>
      <c r="I49" s="28">
        <v>130210</v>
      </c>
      <c r="J49" s="8">
        <f>G49*I49</f>
        <v>44241.088987273019</v>
      </c>
      <c r="K49" s="11"/>
      <c r="N49">
        <f>13%*38000</f>
        <v>4940</v>
      </c>
    </row>
    <row r="50" spans="1:14" ht="15" hidden="1" customHeight="1" x14ac:dyDescent="0.25">
      <c r="A50" s="20"/>
      <c r="B50" s="26" t="s">
        <v>29</v>
      </c>
      <c r="C50" s="21"/>
      <c r="D50" s="22"/>
      <c r="E50" s="23"/>
      <c r="F50" s="23"/>
      <c r="G50" s="7"/>
      <c r="H50" s="6"/>
      <c r="I50" s="7"/>
      <c r="J50" s="24">
        <f>0.13*G49*105010</f>
        <v>4638.264173964827</v>
      </c>
      <c r="K50" s="23"/>
      <c r="M50" s="25"/>
      <c r="N50" s="25"/>
    </row>
    <row r="51" spans="1:14" ht="10.15" customHeight="1" x14ac:dyDescent="0.25">
      <c r="A51" s="20"/>
      <c r="B51" s="26"/>
      <c r="C51" s="21"/>
      <c r="D51" s="22"/>
      <c r="E51" s="23"/>
      <c r="F51" s="23"/>
      <c r="G51" s="7"/>
      <c r="H51" s="6"/>
      <c r="I51" s="7"/>
      <c r="J51" s="24"/>
      <c r="K51" s="23"/>
      <c r="M51" s="25"/>
      <c r="N51" s="25"/>
    </row>
    <row r="52" spans="1:14" ht="30" x14ac:dyDescent="0.25">
      <c r="A52" s="20">
        <v>4</v>
      </c>
      <c r="B52" s="29" t="s">
        <v>63</v>
      </c>
      <c r="C52" s="21"/>
      <c r="D52" s="22"/>
      <c r="E52" s="23" t="s">
        <v>66</v>
      </c>
      <c r="F52" s="23"/>
      <c r="G52" s="7"/>
      <c r="H52" s="6"/>
      <c r="I52" s="7"/>
      <c r="J52" s="24"/>
      <c r="K52" s="23"/>
      <c r="M52" s="25"/>
      <c r="N52" s="25"/>
    </row>
    <row r="53" spans="1:14" ht="15" customHeight="1" x14ac:dyDescent="0.25">
      <c r="A53" s="20"/>
      <c r="B53" s="26" t="s">
        <v>64</v>
      </c>
      <c r="C53" s="21">
        <v>2</v>
      </c>
      <c r="D53" s="22">
        <f>11.17/3.281</f>
        <v>3.4044498628466928</v>
      </c>
      <c r="E53" s="23"/>
      <c r="F53" s="23">
        <f>(7.75+0.75)/3.281</f>
        <v>2.5906735751295336</v>
      </c>
      <c r="G53" s="12">
        <f t="shared" ref="G53:G55" si="9">PRODUCT(C53:F53)</f>
        <v>17.639636595060583</v>
      </c>
      <c r="H53" s="6"/>
      <c r="I53" s="7"/>
      <c r="J53" s="24"/>
      <c r="K53" s="23"/>
      <c r="M53" s="25"/>
      <c r="N53" s="25"/>
    </row>
    <row r="54" spans="1:14" ht="15" customHeight="1" x14ac:dyDescent="0.25">
      <c r="A54" s="20"/>
      <c r="B54" s="26"/>
      <c r="C54" s="21">
        <v>2</v>
      </c>
      <c r="D54" s="22">
        <f>11.33/3.281</f>
        <v>3.4532154830844255</v>
      </c>
      <c r="E54" s="23"/>
      <c r="F54" s="23">
        <f t="shared" ref="F54:F56" si="10">(7.75+0.75)/3.281</f>
        <v>2.5906735751295336</v>
      </c>
      <c r="G54" s="12">
        <f t="shared" si="9"/>
        <v>17.892308202509977</v>
      </c>
      <c r="H54" s="6"/>
      <c r="I54" s="7"/>
      <c r="J54" s="24"/>
      <c r="K54" s="23"/>
      <c r="M54" s="25"/>
      <c r="N54" s="25"/>
    </row>
    <row r="55" spans="1:14" ht="15" customHeight="1" x14ac:dyDescent="0.25">
      <c r="A55" s="20"/>
      <c r="B55" s="26" t="s">
        <v>65</v>
      </c>
      <c r="C55" s="21">
        <v>2</v>
      </c>
      <c r="D55" s="22">
        <f>(11.17-0.75*2)/3.281</f>
        <v>2.9472721731179519</v>
      </c>
      <c r="E55" s="23"/>
      <c r="F55" s="23">
        <f t="shared" si="10"/>
        <v>2.5906735751295336</v>
      </c>
      <c r="G55" s="12">
        <f t="shared" si="9"/>
        <v>15.270840275222548</v>
      </c>
      <c r="H55" s="6"/>
      <c r="I55" s="7"/>
      <c r="J55" s="24"/>
      <c r="K55" s="23"/>
      <c r="M55" s="25"/>
      <c r="N55" s="25"/>
    </row>
    <row r="56" spans="1:14" ht="15" customHeight="1" x14ac:dyDescent="0.25">
      <c r="A56" s="20"/>
      <c r="B56" s="26"/>
      <c r="C56" s="21">
        <v>2</v>
      </c>
      <c r="D56" s="22">
        <f>(11.33-0.75*2)/3.281</f>
        <v>2.9960377933556841</v>
      </c>
      <c r="E56" s="23"/>
      <c r="F56" s="23">
        <f t="shared" si="10"/>
        <v>2.5906735751295336</v>
      </c>
      <c r="G56" s="12">
        <f>PRODUCT(C56:F56)</f>
        <v>15.523511882671938</v>
      </c>
      <c r="H56" s="6"/>
      <c r="I56" s="7"/>
      <c r="J56" s="24"/>
      <c r="K56" s="23"/>
      <c r="M56" s="25"/>
      <c r="N56" s="25"/>
    </row>
    <row r="57" spans="1:14" ht="15" customHeight="1" x14ac:dyDescent="0.25">
      <c r="A57" s="20"/>
      <c r="B57" s="26" t="s">
        <v>39</v>
      </c>
      <c r="C57" s="21">
        <v>-3</v>
      </c>
      <c r="D57" s="22">
        <f>4.75/3.281</f>
        <v>1.4477293508076805</v>
      </c>
      <c r="E57" s="23"/>
      <c r="F57" s="23">
        <f>4/3.281</f>
        <v>1.2191405059433098</v>
      </c>
      <c r="G57" s="12">
        <f>PRODUCT(C57:F57)</f>
        <v>-5.2949564796379649</v>
      </c>
      <c r="H57" s="6"/>
      <c r="I57" s="7"/>
      <c r="J57" s="24"/>
      <c r="K57" s="23"/>
      <c r="M57" s="25"/>
      <c r="N57" s="25"/>
    </row>
    <row r="58" spans="1:14" ht="15" customHeight="1" x14ac:dyDescent="0.25">
      <c r="A58" s="20"/>
      <c r="B58" s="26"/>
      <c r="C58" s="21">
        <v>-3</v>
      </c>
      <c r="E58" s="22">
        <f>(PI()*(3/3.281)^2)/2</f>
        <v>1.3132576087506558</v>
      </c>
      <c r="F58" s="23"/>
      <c r="G58" s="12">
        <f>PRODUCT(C58:F58)</f>
        <v>-3.9397728262519673</v>
      </c>
      <c r="H58" s="6"/>
      <c r="I58" s="7"/>
      <c r="J58" s="24"/>
      <c r="K58" s="23"/>
      <c r="M58" s="25"/>
      <c r="N58" s="25"/>
    </row>
    <row r="59" spans="1:14" ht="15" customHeight="1" x14ac:dyDescent="0.25">
      <c r="A59" s="20"/>
      <c r="B59" s="26"/>
      <c r="C59" s="21">
        <v>-6</v>
      </c>
      <c r="D59" s="22">
        <f>1.25/3.281</f>
        <v>0.38098140810728437</v>
      </c>
      <c r="E59" s="23"/>
      <c r="F59" s="23">
        <f>1.25/3.281</f>
        <v>0.38098140810728437</v>
      </c>
      <c r="G59" s="12">
        <f>PRODUCT(C59:F59)</f>
        <v>-0.87088099994045498</v>
      </c>
      <c r="H59" s="6"/>
      <c r="I59" s="7"/>
      <c r="J59" s="24"/>
      <c r="K59" s="23"/>
      <c r="M59" s="25"/>
      <c r="N59" s="25"/>
    </row>
    <row r="60" spans="1:14" ht="15" customHeight="1" x14ac:dyDescent="0.25">
      <c r="A60" s="19"/>
      <c r="B60" s="26" t="s">
        <v>16</v>
      </c>
      <c r="C60" s="27"/>
      <c r="D60" s="12"/>
      <c r="E60" s="12"/>
      <c r="F60" s="12"/>
      <c r="G60" s="24">
        <f>SUM(G53:G59)</f>
        <v>56.220686649634651</v>
      </c>
      <c r="H60" s="24" t="s">
        <v>22</v>
      </c>
      <c r="I60" s="28">
        <v>382.48</v>
      </c>
      <c r="J60" s="8">
        <f>G60*I60</f>
        <v>21503.288229752263</v>
      </c>
      <c r="K60" s="11"/>
      <c r="N60" s="52"/>
    </row>
    <row r="61" spans="1:14" ht="15" hidden="1" customHeight="1" x14ac:dyDescent="0.25">
      <c r="A61" s="20"/>
      <c r="B61" s="26" t="s">
        <v>29</v>
      </c>
      <c r="C61" s="21"/>
      <c r="D61" s="22"/>
      <c r="E61" s="23"/>
      <c r="F61" s="23"/>
      <c r="G61" s="7"/>
      <c r="H61" s="6"/>
      <c r="I61" s="7"/>
      <c r="J61" s="24">
        <f>0.13*G60*9448.64/100</f>
        <v>690.57173731676505</v>
      </c>
      <c r="K61" s="23"/>
      <c r="M61" s="25"/>
      <c r="N61" s="25"/>
    </row>
    <row r="62" spans="1:14" ht="10.15" customHeight="1" x14ac:dyDescent="0.25">
      <c r="A62" s="20"/>
      <c r="B62" s="26"/>
      <c r="C62" s="21"/>
      <c r="D62" s="22"/>
      <c r="E62" s="23"/>
      <c r="F62" s="23"/>
      <c r="G62" s="7"/>
      <c r="H62" s="6"/>
      <c r="I62" s="7"/>
      <c r="J62" s="24"/>
      <c r="K62" s="23"/>
      <c r="M62" s="25"/>
      <c r="N62" s="25"/>
    </row>
    <row r="63" spans="1:14" x14ac:dyDescent="0.25">
      <c r="A63" s="19">
        <v>5</v>
      </c>
      <c r="B63" s="10" t="s">
        <v>18</v>
      </c>
      <c r="C63" s="27">
        <v>1</v>
      </c>
      <c r="D63" s="12"/>
      <c r="E63" s="12"/>
      <c r="F63" s="12"/>
      <c r="G63" s="24">
        <f>PRODUCT(C63:F63)</f>
        <v>1</v>
      </c>
      <c r="H63" s="19" t="s">
        <v>19</v>
      </c>
      <c r="I63" s="24">
        <v>1000</v>
      </c>
      <c r="J63" s="24">
        <f>G63*I63</f>
        <v>1000</v>
      </c>
      <c r="K63" s="11"/>
    </row>
    <row r="64" spans="1:14" x14ac:dyDescent="0.25">
      <c r="A64" s="19"/>
      <c r="B64" s="36" t="s">
        <v>20</v>
      </c>
      <c r="C64" s="27"/>
      <c r="D64" s="12"/>
      <c r="E64" s="12"/>
      <c r="F64" s="12"/>
      <c r="G64" s="12"/>
      <c r="H64" s="11"/>
      <c r="I64" s="12"/>
      <c r="J64" s="24">
        <f>SUM(J9:J63)</f>
        <v>169228.43422533106</v>
      </c>
      <c r="K64" s="11"/>
    </row>
    <row r="65" spans="1:11" ht="10.15" customHeight="1" x14ac:dyDescent="0.25"/>
    <row r="66" spans="1:11" s="9" customFormat="1" hidden="1" x14ac:dyDescent="0.25">
      <c r="B66" s="11" t="s">
        <v>79</v>
      </c>
      <c r="C66" s="71">
        <f>J64</f>
        <v>169228.43422533106</v>
      </c>
      <c r="D66" s="72"/>
      <c r="E66" s="12">
        <v>100</v>
      </c>
      <c r="F66" s="13"/>
      <c r="G66" s="14"/>
      <c r="H66" s="13"/>
      <c r="I66" s="15"/>
      <c r="J66" s="16"/>
      <c r="K66" s="17"/>
    </row>
    <row r="67" spans="1:11" hidden="1" x14ac:dyDescent="0.25">
      <c r="A67" s="18"/>
      <c r="B67" s="11" t="s">
        <v>24</v>
      </c>
      <c r="C67" s="75">
        <v>150000</v>
      </c>
      <c r="D67" s="76"/>
      <c r="E67" s="12"/>
      <c r="G67" s="18"/>
      <c r="H67" s="18"/>
      <c r="I67" s="18"/>
      <c r="J67" s="18"/>
    </row>
    <row r="68" spans="1:11" hidden="1" x14ac:dyDescent="0.25">
      <c r="A68" s="18"/>
      <c r="B68" s="11" t="s">
        <v>25</v>
      </c>
      <c r="C68" s="75">
        <f>C67-C70-C71</f>
        <v>142500</v>
      </c>
      <c r="D68" s="76"/>
      <c r="E68" s="12">
        <f>C68/C66*100</f>
        <v>84.205707304635567</v>
      </c>
      <c r="G68" s="18"/>
      <c r="H68" s="18"/>
      <c r="I68" s="18"/>
      <c r="J68" s="18"/>
    </row>
    <row r="69" spans="1:11" hidden="1" x14ac:dyDescent="0.25">
      <c r="A69" s="18"/>
      <c r="B69" s="11" t="s">
        <v>26</v>
      </c>
      <c r="C69" s="70">
        <f>C66-C68</f>
        <v>26728.434225331061</v>
      </c>
      <c r="D69" s="70"/>
      <c r="E69" s="12">
        <f>100-E68</f>
        <v>15.794292695364433</v>
      </c>
      <c r="G69" s="18"/>
      <c r="H69" s="18"/>
      <c r="I69" s="18"/>
      <c r="J69" s="18"/>
    </row>
    <row r="70" spans="1:11" hidden="1" x14ac:dyDescent="0.25">
      <c r="A70" s="18"/>
      <c r="B70" s="11" t="s">
        <v>27</v>
      </c>
      <c r="C70" s="71">
        <f>C67*0.03</f>
        <v>4500</v>
      </c>
      <c r="D70" s="72"/>
      <c r="E70" s="12">
        <v>3</v>
      </c>
      <c r="G70" s="18"/>
      <c r="H70" s="18"/>
      <c r="I70" s="18"/>
      <c r="J70" s="18"/>
    </row>
    <row r="71" spans="1:11" hidden="1" x14ac:dyDescent="0.25">
      <c r="A71" s="18"/>
      <c r="B71" s="11" t="s">
        <v>28</v>
      </c>
      <c r="C71" s="71">
        <f>C67*0.02</f>
        <v>3000</v>
      </c>
      <c r="D71" s="72"/>
      <c r="E71" s="12">
        <v>2</v>
      </c>
      <c r="G71" s="18"/>
      <c r="H71" s="18"/>
      <c r="I71" s="18"/>
      <c r="J71" s="18"/>
    </row>
  </sheetData>
  <mergeCells count="13">
    <mergeCell ref="C70:D70"/>
    <mergeCell ref="C71:D71"/>
    <mergeCell ref="A7:F7"/>
    <mergeCell ref="C66:D66"/>
    <mergeCell ref="C67:D67"/>
    <mergeCell ref="C68:D68"/>
    <mergeCell ref="C69:D69"/>
    <mergeCell ref="A1:K1"/>
    <mergeCell ref="A2:K2"/>
    <mergeCell ref="A3:K3"/>
    <mergeCell ref="A4:K4"/>
    <mergeCell ref="A5:K5"/>
    <mergeCell ref="A6:F6"/>
  </mergeCells>
  <hyperlinks>
    <hyperlink ref="B52" r:id="rId1"/>
  </hyperlinks>
  <pageMargins left="0.7" right="0.7" top="0.75" bottom="0.75" header="0.3" footer="0.3"/>
  <pageSetup paperSize="9" scale="78" orientation="portrait" r:id="rId2"/>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final (2)</vt:lpstr>
      <vt:lpstr>valuated</vt:lpstr>
      <vt:lpstr>WCR</vt:lpstr>
      <vt:lpstr>measurement</vt:lpstr>
      <vt:lpstr>'final (2)'!Print_Area</vt:lpstr>
      <vt:lpstr>measurement!Print_Area</vt:lpstr>
      <vt:lpstr>valuated!Print_Area</vt:lpstr>
      <vt:lpstr>WCR!Print_Area</vt:lpstr>
      <vt:lpstr>'final (2)'!Print_Titles</vt:lpstr>
      <vt:lpstr>measurement!Print_Titles</vt:lpstr>
      <vt:lpstr>valuated!Print_Titles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2024-02-18T09:27:03Z</dcterms:modified>
</cp:coreProperties>
</file>