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uy" sheetId="1" r:id="rId1"/>
    <sheet name="Sell" sheetId="2" r:id="rId2"/>
    <sheet name="Base price" sheetId="3" r:id="rId3"/>
    <sheet name="Buy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W16" i="2"/>
  <c r="W14" i="2"/>
  <c r="W9" i="2"/>
  <c r="W8" i="2"/>
  <c r="W7" i="2"/>
  <c r="W4" i="2"/>
  <c r="W5" i="2"/>
  <c r="W2" i="2"/>
  <c r="U22" i="2"/>
  <c r="Q22" i="2"/>
  <c r="C22" i="2"/>
  <c r="W17" i="2"/>
  <c r="D23" i="1"/>
  <c r="H29" i="1"/>
  <c r="I28" i="1" s="1"/>
  <c r="H23" i="1"/>
  <c r="V30" i="1"/>
  <c r="U30" i="1"/>
  <c r="T30" i="1"/>
  <c r="S30" i="1"/>
  <c r="R30" i="1"/>
  <c r="H30" i="1" s="1"/>
  <c r="D30" i="1" s="1"/>
  <c r="I30" i="1"/>
  <c r="S28" i="1"/>
  <c r="V29" i="1"/>
  <c r="U29" i="1"/>
  <c r="T29" i="1"/>
  <c r="I29" i="1"/>
  <c r="R29" i="1" s="1"/>
  <c r="I21" i="2"/>
  <c r="D29" i="1" l="1"/>
  <c r="H26" i="1"/>
  <c r="D26" i="1" s="1"/>
  <c r="I26" i="1"/>
  <c r="R26" i="1" s="1"/>
  <c r="Q26" i="1"/>
  <c r="U26" i="1" s="1"/>
  <c r="S26" i="1"/>
  <c r="C19" i="2"/>
  <c r="F19" i="2" s="1"/>
  <c r="K19" i="2" s="1"/>
  <c r="B19" i="2"/>
  <c r="E18" i="2"/>
  <c r="C18" i="2"/>
  <c r="F18" i="2" s="1"/>
  <c r="B18" i="2"/>
  <c r="E21" i="2"/>
  <c r="C21" i="2"/>
  <c r="F21" i="2" s="1"/>
  <c r="B21" i="2"/>
  <c r="E22" i="2"/>
  <c r="F22" i="2"/>
  <c r="K22" i="2" s="1"/>
  <c r="B22" i="2"/>
  <c r="T26" i="1" l="1"/>
  <c r="V26" i="1"/>
  <c r="L19" i="2"/>
  <c r="K18" i="2"/>
  <c r="L18" i="2"/>
  <c r="L21" i="2"/>
  <c r="K21" i="2"/>
  <c r="P22" i="2"/>
  <c r="O22" i="2"/>
  <c r="N22" i="2"/>
  <c r="L22" i="2"/>
  <c r="F23" i="2"/>
  <c r="K23" i="2" s="1"/>
  <c r="N23" i="2" s="1"/>
  <c r="L23" i="2" l="1"/>
  <c r="P19" i="2"/>
  <c r="O19" i="2"/>
  <c r="N19" i="2"/>
  <c r="P18" i="2"/>
  <c r="O18" i="2"/>
  <c r="N18" i="2"/>
  <c r="P21" i="2"/>
  <c r="O21" i="2"/>
  <c r="N21" i="2"/>
  <c r="R22" i="2"/>
  <c r="T22" i="2" s="1"/>
  <c r="P23" i="2"/>
  <c r="O23" i="2"/>
  <c r="E23" i="2"/>
  <c r="Q23" i="2" s="1"/>
  <c r="E17" i="2"/>
  <c r="F17" i="2"/>
  <c r="F20" i="2"/>
  <c r="L20" i="2" s="1"/>
  <c r="E20" i="2"/>
  <c r="D15" i="1"/>
  <c r="D16" i="1"/>
  <c r="D17" i="1"/>
  <c r="D18" i="1"/>
  <c r="D14" i="1"/>
  <c r="L17" i="2" l="1"/>
  <c r="Q18" i="2"/>
  <c r="R18" i="2" s="1"/>
  <c r="S18" i="2" s="1"/>
  <c r="V22" i="2"/>
  <c r="R23" i="2"/>
  <c r="S23" i="2" s="1"/>
  <c r="Q21" i="2"/>
  <c r="R21" i="2" s="1"/>
  <c r="T21" i="2" s="1"/>
  <c r="U21" i="2" s="1"/>
  <c r="S22" i="2"/>
  <c r="K17" i="2"/>
  <c r="N17" i="2" s="1"/>
  <c r="K20" i="2"/>
  <c r="O20" i="2" s="1"/>
  <c r="I25" i="1"/>
  <c r="R25" i="1" s="1"/>
  <c r="Q25" i="1"/>
  <c r="U25" i="1" s="1"/>
  <c r="S25" i="1"/>
  <c r="I24" i="1"/>
  <c r="R24" i="1" s="1"/>
  <c r="S24" i="1"/>
  <c r="I23" i="1"/>
  <c r="S23" i="1"/>
  <c r="T18" i="2" l="1"/>
  <c r="V21" i="2"/>
  <c r="W22" i="2"/>
  <c r="T23" i="2"/>
  <c r="S21" i="2"/>
  <c r="O17" i="2"/>
  <c r="P17" i="2"/>
  <c r="N20" i="2"/>
  <c r="P20" i="2"/>
  <c r="V25" i="1"/>
  <c r="T25" i="1"/>
  <c r="H25" i="1" s="1"/>
  <c r="D25" i="1" s="1"/>
  <c r="Q24" i="1"/>
  <c r="V23" i="1"/>
  <c r="T23" i="1"/>
  <c r="U23" i="1"/>
  <c r="R23" i="1"/>
  <c r="F15" i="2"/>
  <c r="K15" i="2" s="1"/>
  <c r="F16" i="2"/>
  <c r="L16" i="2" s="1"/>
  <c r="K16" i="2" l="1"/>
  <c r="O16" i="2" s="1"/>
  <c r="U23" i="2"/>
  <c r="V23" i="2" s="1"/>
  <c r="W21" i="2"/>
  <c r="L15" i="2"/>
  <c r="Q20" i="2"/>
  <c r="R20" i="2" s="1"/>
  <c r="T20" i="2" s="1"/>
  <c r="Q17" i="2"/>
  <c r="R17" i="2" s="1"/>
  <c r="T17" i="2" s="1"/>
  <c r="U17" i="2" s="1"/>
  <c r="V17" i="2" s="1"/>
  <c r="E19" i="2"/>
  <c r="U24" i="1"/>
  <c r="V24" i="1"/>
  <c r="T24" i="1"/>
  <c r="H24" i="1" s="1"/>
  <c r="D24" i="1" s="1"/>
  <c r="O15" i="2"/>
  <c r="N15" i="2"/>
  <c r="P15" i="2"/>
  <c r="F14" i="2"/>
  <c r="K14" i="2" s="1"/>
  <c r="P16" i="2" l="1"/>
  <c r="N16" i="2"/>
  <c r="Q19" i="2"/>
  <c r="R19" i="2" s="1"/>
  <c r="S20" i="2"/>
  <c r="Q15" i="2"/>
  <c r="R15" i="2" s="1"/>
  <c r="S17" i="2"/>
  <c r="N14" i="2"/>
  <c r="O14" i="2"/>
  <c r="P14" i="2"/>
  <c r="L14" i="2"/>
  <c r="F13" i="2"/>
  <c r="K13" i="2" s="1"/>
  <c r="S22" i="4"/>
  <c r="I22" i="4"/>
  <c r="R22" i="4" s="1"/>
  <c r="S21" i="4"/>
  <c r="I21" i="4"/>
  <c r="R21" i="4" s="1"/>
  <c r="S20" i="4"/>
  <c r="I20" i="4"/>
  <c r="R20" i="4" s="1"/>
  <c r="S19" i="4"/>
  <c r="I19" i="4"/>
  <c r="R19" i="4" s="1"/>
  <c r="S18" i="4"/>
  <c r="I18" i="4"/>
  <c r="R18" i="4" s="1"/>
  <c r="S17" i="4"/>
  <c r="I17" i="4"/>
  <c r="R17" i="4" s="1"/>
  <c r="S16" i="4"/>
  <c r="I16" i="4"/>
  <c r="R16" i="4" s="1"/>
  <c r="S15" i="4"/>
  <c r="I15" i="4"/>
  <c r="R15" i="4" s="1"/>
  <c r="S14" i="4"/>
  <c r="I14" i="4"/>
  <c r="R14" i="4" s="1"/>
  <c r="S13" i="4"/>
  <c r="I13" i="4"/>
  <c r="S12" i="4"/>
  <c r="I12" i="4"/>
  <c r="S11" i="4"/>
  <c r="I11" i="4"/>
  <c r="S10" i="4"/>
  <c r="R10" i="4"/>
  <c r="Q10" i="4"/>
  <c r="V10" i="4" s="1"/>
  <c r="I10" i="4"/>
  <c r="S9" i="4"/>
  <c r="R9" i="4"/>
  <c r="I9" i="4"/>
  <c r="Q9" i="4" s="1"/>
  <c r="U8" i="4"/>
  <c r="T8" i="4"/>
  <c r="S8" i="4"/>
  <c r="Q8" i="4"/>
  <c r="V8" i="4" s="1"/>
  <c r="I8" i="4"/>
  <c r="R8" i="4" s="1"/>
  <c r="V7" i="4"/>
  <c r="U7" i="4"/>
  <c r="S7" i="4"/>
  <c r="R7" i="4"/>
  <c r="Q7" i="4"/>
  <c r="T7" i="4" s="1"/>
  <c r="I7" i="4"/>
  <c r="V6" i="4"/>
  <c r="S6" i="4"/>
  <c r="R6" i="4"/>
  <c r="Q6" i="4"/>
  <c r="U6" i="4" s="1"/>
  <c r="I6" i="4"/>
  <c r="S5" i="4"/>
  <c r="I5" i="4"/>
  <c r="R5" i="4" s="1"/>
  <c r="S4" i="4"/>
  <c r="I4" i="4"/>
  <c r="S3" i="4"/>
  <c r="R3" i="4"/>
  <c r="I3" i="4"/>
  <c r="Q3" i="4" s="1"/>
  <c r="S2" i="4"/>
  <c r="I2" i="4"/>
  <c r="R2" i="4" s="1"/>
  <c r="L13" i="2" l="1"/>
  <c r="T19" i="2"/>
  <c r="U18" i="2" s="1"/>
  <c r="V18" i="2" s="1"/>
  <c r="S19" i="2"/>
  <c r="T15" i="2"/>
  <c r="S15" i="2"/>
  <c r="O13" i="2"/>
  <c r="P13" i="2"/>
  <c r="N13" i="2"/>
  <c r="V9" i="4"/>
  <c r="U9" i="4"/>
  <c r="T9" i="4"/>
  <c r="H9" i="4" s="1"/>
  <c r="D9" i="4" s="1"/>
  <c r="U3" i="4"/>
  <c r="V3" i="4"/>
  <c r="H3" i="4" s="1"/>
  <c r="D3" i="4" s="1"/>
  <c r="E9" i="4" s="1"/>
  <c r="T3" i="4"/>
  <c r="H7" i="4"/>
  <c r="D7" i="4" s="1"/>
  <c r="Q11" i="4"/>
  <c r="R4" i="4"/>
  <c r="Q5" i="4"/>
  <c r="R11" i="4"/>
  <c r="R12" i="4"/>
  <c r="Q13" i="4"/>
  <c r="Q14" i="4"/>
  <c r="Q15" i="4"/>
  <c r="Q16" i="4"/>
  <c r="Q17" i="4"/>
  <c r="Q18" i="4"/>
  <c r="Q19" i="4"/>
  <c r="Q20" i="4"/>
  <c r="Q21" i="4"/>
  <c r="Q22" i="4"/>
  <c r="J13" i="4"/>
  <c r="H8" i="4"/>
  <c r="D8" i="4" s="1"/>
  <c r="T10" i="4"/>
  <c r="R13" i="4"/>
  <c r="Q4" i="4"/>
  <c r="Q12" i="4"/>
  <c r="U10" i="4"/>
  <c r="H10" i="4" s="1"/>
  <c r="D10" i="4" s="1"/>
  <c r="Q2" i="4"/>
  <c r="T6" i="4"/>
  <c r="H6" i="4" s="1"/>
  <c r="D6" i="4" s="1"/>
  <c r="S22" i="1"/>
  <c r="I22" i="1"/>
  <c r="Q22" i="1" s="1"/>
  <c r="U22" i="1" s="1"/>
  <c r="I21" i="1"/>
  <c r="R21" i="1" s="1"/>
  <c r="S21" i="1"/>
  <c r="Q13" i="2" l="1"/>
  <c r="R13" i="2" s="1"/>
  <c r="S13" i="2" s="1"/>
  <c r="W18" i="2"/>
  <c r="R22" i="1"/>
  <c r="Q21" i="1"/>
  <c r="T21" i="1" s="1"/>
  <c r="V11" i="4"/>
  <c r="U11" i="4"/>
  <c r="T11" i="4"/>
  <c r="V2" i="4"/>
  <c r="T2" i="4"/>
  <c r="U2" i="4"/>
  <c r="V14" i="4"/>
  <c r="U14" i="4"/>
  <c r="T14" i="4"/>
  <c r="V21" i="4"/>
  <c r="U21" i="4"/>
  <c r="T21" i="4"/>
  <c r="V22" i="4"/>
  <c r="U22" i="4"/>
  <c r="T22" i="4"/>
  <c r="H22" i="4" s="1"/>
  <c r="V13" i="4"/>
  <c r="U13" i="4"/>
  <c r="T13" i="4"/>
  <c r="H13" i="4" s="1"/>
  <c r="V12" i="4"/>
  <c r="U12" i="4"/>
  <c r="T12" i="4"/>
  <c r="H12" i="4" s="1"/>
  <c r="V20" i="4"/>
  <c r="U20" i="4"/>
  <c r="T20" i="4"/>
  <c r="V15" i="4"/>
  <c r="U15" i="4"/>
  <c r="T15" i="4"/>
  <c r="V4" i="4"/>
  <c r="U4" i="4"/>
  <c r="T4" i="4"/>
  <c r="H4" i="4" s="1"/>
  <c r="D4" i="4" s="1"/>
  <c r="E4" i="4" s="1"/>
  <c r="V19" i="4"/>
  <c r="U19" i="4"/>
  <c r="T19" i="4"/>
  <c r="V16" i="4"/>
  <c r="U16" i="4"/>
  <c r="T16" i="4"/>
  <c r="V18" i="4"/>
  <c r="U18" i="4"/>
  <c r="T18" i="4"/>
  <c r="H18" i="4" s="1"/>
  <c r="V5" i="4"/>
  <c r="U5" i="4"/>
  <c r="T5" i="4"/>
  <c r="H5" i="4" s="1"/>
  <c r="D5" i="4" s="1"/>
  <c r="V17" i="4"/>
  <c r="U17" i="4"/>
  <c r="T17" i="4"/>
  <c r="H17" i="4" s="1"/>
  <c r="V22" i="1"/>
  <c r="T22" i="1"/>
  <c r="V21" i="1"/>
  <c r="U21" i="1"/>
  <c r="H21" i="1" s="1"/>
  <c r="D21" i="1" s="1"/>
  <c r="E10" i="2"/>
  <c r="E6" i="2"/>
  <c r="T13" i="2" l="1"/>
  <c r="U13" i="2" s="1"/>
  <c r="V13" i="2"/>
  <c r="H22" i="1"/>
  <c r="D22" i="1" s="1"/>
  <c r="E14" i="2" s="1"/>
  <c r="Q14" i="2" s="1"/>
  <c r="R14" i="2" s="1"/>
  <c r="H2" i="4"/>
  <c r="D2" i="4" s="1"/>
  <c r="H16" i="4"/>
  <c r="H21" i="4"/>
  <c r="H15" i="4"/>
  <c r="H11" i="4"/>
  <c r="D11" i="4" s="1"/>
  <c r="H19" i="4"/>
  <c r="H14" i="4"/>
  <c r="H20" i="4"/>
  <c r="S14" i="2" l="1"/>
  <c r="T14" i="2"/>
  <c r="U14" i="2" s="1"/>
  <c r="V14" i="2" s="1"/>
  <c r="R21" i="3"/>
  <c r="H21" i="3"/>
  <c r="Q21" i="3" s="1"/>
  <c r="R20" i="3"/>
  <c r="H20" i="3"/>
  <c r="Q20" i="3" s="1"/>
  <c r="R19" i="3"/>
  <c r="H19" i="3"/>
  <c r="Q19" i="3" s="1"/>
  <c r="R18" i="3"/>
  <c r="H18" i="3"/>
  <c r="Q18" i="3" s="1"/>
  <c r="R17" i="3"/>
  <c r="H17" i="3"/>
  <c r="Q17" i="3" s="1"/>
  <c r="R16" i="3"/>
  <c r="H16" i="3"/>
  <c r="Q16" i="3" s="1"/>
  <c r="R15" i="3"/>
  <c r="H15" i="3"/>
  <c r="Q15" i="3" s="1"/>
  <c r="R14" i="3"/>
  <c r="H14" i="3"/>
  <c r="R13" i="3"/>
  <c r="H13" i="3"/>
  <c r="R12" i="3"/>
  <c r="H12" i="3"/>
  <c r="R11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R3" i="3"/>
  <c r="H3" i="3"/>
  <c r="R2" i="3"/>
  <c r="H2" i="3"/>
  <c r="P2" i="3" l="1"/>
  <c r="P5" i="3"/>
  <c r="P8" i="3"/>
  <c r="P10" i="3"/>
  <c r="P13" i="3"/>
  <c r="I14" i="3"/>
  <c r="P4" i="3"/>
  <c r="P7" i="3"/>
  <c r="P11" i="3"/>
  <c r="Q2" i="3"/>
  <c r="Q3" i="3"/>
  <c r="Q4" i="3"/>
  <c r="Q5" i="3"/>
  <c r="Q6" i="3"/>
  <c r="Q7" i="3"/>
  <c r="Q8" i="3"/>
  <c r="Q9" i="3"/>
  <c r="Q10" i="3"/>
  <c r="Q11" i="3"/>
  <c r="Q12" i="3"/>
  <c r="Q13" i="3"/>
  <c r="P14" i="3"/>
  <c r="P15" i="3"/>
  <c r="P16" i="3"/>
  <c r="P17" i="3"/>
  <c r="P18" i="3"/>
  <c r="P19" i="3"/>
  <c r="P20" i="3"/>
  <c r="P21" i="3"/>
  <c r="P3" i="3"/>
  <c r="P6" i="3"/>
  <c r="P9" i="3"/>
  <c r="P12" i="3"/>
  <c r="Q14" i="3"/>
  <c r="I15" i="1"/>
  <c r="Q15" i="1" s="1"/>
  <c r="I16" i="1"/>
  <c r="Q16" i="1" s="1"/>
  <c r="I17" i="1"/>
  <c r="Q17" i="1" s="1"/>
  <c r="I18" i="1"/>
  <c r="Q18" i="1" s="1"/>
  <c r="F12" i="2"/>
  <c r="F11" i="2"/>
  <c r="L11" i="2" l="1"/>
  <c r="K11" i="2"/>
  <c r="L12" i="2"/>
  <c r="K12" i="2"/>
  <c r="G11" i="2"/>
  <c r="G9" i="3"/>
  <c r="U19" i="3"/>
  <c r="T19" i="3"/>
  <c r="S19" i="3"/>
  <c r="G19" i="3" s="1"/>
  <c r="U12" i="3"/>
  <c r="T12" i="3"/>
  <c r="S12" i="3"/>
  <c r="G12" i="3" s="1"/>
  <c r="U17" i="3"/>
  <c r="T17" i="3"/>
  <c r="S17" i="3"/>
  <c r="U11" i="3"/>
  <c r="T11" i="3"/>
  <c r="S11" i="3"/>
  <c r="G11" i="3" s="1"/>
  <c r="U2" i="3"/>
  <c r="T2" i="3"/>
  <c r="S2" i="3"/>
  <c r="G2" i="3" s="1"/>
  <c r="U16" i="3"/>
  <c r="T16" i="3"/>
  <c r="S16" i="3"/>
  <c r="U20" i="3"/>
  <c r="T20" i="3"/>
  <c r="S20" i="3"/>
  <c r="U10" i="3"/>
  <c r="T10" i="3"/>
  <c r="S10" i="3"/>
  <c r="G10" i="3" s="1"/>
  <c r="U6" i="3"/>
  <c r="T6" i="3"/>
  <c r="S6" i="3"/>
  <c r="G6" i="3" s="1"/>
  <c r="U3" i="3"/>
  <c r="T3" i="3"/>
  <c r="S3" i="3"/>
  <c r="G3" i="3" s="1"/>
  <c r="U14" i="3"/>
  <c r="T14" i="3"/>
  <c r="S14" i="3"/>
  <c r="U8" i="3"/>
  <c r="T8" i="3"/>
  <c r="S8" i="3"/>
  <c r="G8" i="3" s="1"/>
  <c r="U18" i="3"/>
  <c r="T18" i="3"/>
  <c r="S18" i="3"/>
  <c r="G18" i="3" s="1"/>
  <c r="U5" i="3"/>
  <c r="G5" i="3" s="1"/>
  <c r="S5" i="3"/>
  <c r="T5" i="3"/>
  <c r="U9" i="3"/>
  <c r="T9" i="3"/>
  <c r="S9" i="3"/>
  <c r="U7" i="3"/>
  <c r="T7" i="3"/>
  <c r="S7" i="3"/>
  <c r="G7" i="3" s="1"/>
  <c r="U15" i="3"/>
  <c r="T15" i="3"/>
  <c r="S15" i="3"/>
  <c r="G15" i="3" s="1"/>
  <c r="U4" i="3"/>
  <c r="S4" i="3"/>
  <c r="G4" i="3" s="1"/>
  <c r="T4" i="3"/>
  <c r="U21" i="3"/>
  <c r="T21" i="3"/>
  <c r="S21" i="3"/>
  <c r="U13" i="3"/>
  <c r="T13" i="3"/>
  <c r="S13" i="3"/>
  <c r="G13" i="3" s="1"/>
  <c r="F10" i="2"/>
  <c r="F9" i="2"/>
  <c r="F8" i="2"/>
  <c r="F7" i="2"/>
  <c r="F6" i="2"/>
  <c r="F5" i="2"/>
  <c r="F4" i="2"/>
  <c r="F3" i="2"/>
  <c r="F2" i="2"/>
  <c r="K6" i="2" l="1"/>
  <c r="L6" i="2"/>
  <c r="L7" i="2"/>
  <c r="K7" i="2"/>
  <c r="N12" i="2"/>
  <c r="O12" i="2"/>
  <c r="P12" i="2"/>
  <c r="K5" i="2"/>
  <c r="L5" i="2"/>
  <c r="K3" i="2"/>
  <c r="L3" i="2"/>
  <c r="K8" i="2"/>
  <c r="L8" i="2"/>
  <c r="K9" i="2"/>
  <c r="L9" i="2"/>
  <c r="L2" i="2"/>
  <c r="K2" i="2"/>
  <c r="L10" i="2"/>
  <c r="K10" i="2"/>
  <c r="K4" i="2"/>
  <c r="L4" i="2"/>
  <c r="N11" i="2"/>
  <c r="P11" i="2"/>
  <c r="O11" i="2"/>
  <c r="G7" i="2"/>
  <c r="G20" i="3"/>
  <c r="G16" i="3"/>
  <c r="G21" i="3"/>
  <c r="G14" i="3"/>
  <c r="G17" i="3"/>
  <c r="G5" i="2"/>
  <c r="S18" i="1"/>
  <c r="S17" i="1"/>
  <c r="S16" i="1"/>
  <c r="S15" i="1"/>
  <c r="S14" i="1"/>
  <c r="S13" i="1"/>
  <c r="I20" i="1"/>
  <c r="S20" i="1"/>
  <c r="O9" i="2" l="1"/>
  <c r="P9" i="2"/>
  <c r="N9" i="2"/>
  <c r="N4" i="2"/>
  <c r="O4" i="2"/>
  <c r="P4" i="2"/>
  <c r="N8" i="2"/>
  <c r="P8" i="2"/>
  <c r="O8" i="2"/>
  <c r="O10" i="2"/>
  <c r="Q10" i="2" s="1"/>
  <c r="N10" i="2"/>
  <c r="P10" i="2"/>
  <c r="O7" i="2"/>
  <c r="N7" i="2"/>
  <c r="P7" i="2"/>
  <c r="O3" i="2"/>
  <c r="N3" i="2"/>
  <c r="P3" i="2"/>
  <c r="N5" i="2"/>
  <c r="P5" i="2"/>
  <c r="O5" i="2"/>
  <c r="O2" i="2"/>
  <c r="N2" i="2"/>
  <c r="P2" i="2"/>
  <c r="O6" i="2"/>
  <c r="P6" i="2"/>
  <c r="N6" i="2"/>
  <c r="Q6" i="2" s="1"/>
  <c r="R6" i="2" s="1"/>
  <c r="R20" i="1"/>
  <c r="Q20" i="1"/>
  <c r="S19" i="1"/>
  <c r="I19" i="1"/>
  <c r="Q19" i="1" s="1"/>
  <c r="R10" i="2" l="1"/>
  <c r="T6" i="2"/>
  <c r="S6" i="2"/>
  <c r="R16" i="1"/>
  <c r="R15" i="1"/>
  <c r="R17" i="1"/>
  <c r="R18" i="1"/>
  <c r="R19" i="1"/>
  <c r="V20" i="1"/>
  <c r="U20" i="1"/>
  <c r="T20" i="1"/>
  <c r="S12" i="1"/>
  <c r="S11" i="1"/>
  <c r="S10" i="1"/>
  <c r="S9" i="1"/>
  <c r="S8" i="1"/>
  <c r="S7" i="1"/>
  <c r="S5" i="1"/>
  <c r="S6" i="1"/>
  <c r="S4" i="1"/>
  <c r="I3" i="1"/>
  <c r="Q3" i="1" s="1"/>
  <c r="S3" i="1"/>
  <c r="S2" i="1"/>
  <c r="I14" i="1"/>
  <c r="Q14" i="1" s="1"/>
  <c r="I13" i="1"/>
  <c r="Q13" i="1" s="1"/>
  <c r="I8" i="1"/>
  <c r="Q8" i="1" s="1"/>
  <c r="I9" i="1"/>
  <c r="Q9" i="1" s="1"/>
  <c r="I10" i="1"/>
  <c r="Q10" i="1" s="1"/>
  <c r="I11" i="1"/>
  <c r="Q11" i="1" s="1"/>
  <c r="I12" i="1"/>
  <c r="Q12" i="1" s="1"/>
  <c r="I7" i="1"/>
  <c r="Q7" i="1" s="1"/>
  <c r="I6" i="1"/>
  <c r="I5" i="1"/>
  <c r="I4" i="1"/>
  <c r="Q4" i="1" s="1"/>
  <c r="I2" i="1"/>
  <c r="S10" i="2" l="1"/>
  <c r="T10" i="2"/>
  <c r="U10" i="2" s="1"/>
  <c r="R2" i="1"/>
  <c r="Q2" i="1"/>
  <c r="U2" i="1" s="1"/>
  <c r="Q5" i="1"/>
  <c r="U5" i="1" s="1"/>
  <c r="Q6" i="1"/>
  <c r="V6" i="1" s="1"/>
  <c r="R14" i="1"/>
  <c r="V16" i="1"/>
  <c r="U16" i="1"/>
  <c r="T16" i="1"/>
  <c r="V18" i="1"/>
  <c r="T18" i="1"/>
  <c r="U18" i="1"/>
  <c r="V17" i="1"/>
  <c r="U17" i="1"/>
  <c r="T17" i="1"/>
  <c r="R13" i="1"/>
  <c r="R6" i="1"/>
  <c r="T15" i="1"/>
  <c r="U15" i="1"/>
  <c r="V15" i="1"/>
  <c r="R12" i="1"/>
  <c r="R11" i="1"/>
  <c r="V10" i="1"/>
  <c r="R8" i="1"/>
  <c r="R7" i="1"/>
  <c r="J13" i="1"/>
  <c r="R9" i="1"/>
  <c r="H20" i="1"/>
  <c r="D20" i="1" s="1"/>
  <c r="V19" i="1"/>
  <c r="U19" i="1"/>
  <c r="T19" i="1"/>
  <c r="T4" i="1"/>
  <c r="U4" i="1"/>
  <c r="T3" i="1"/>
  <c r="R4" i="1"/>
  <c r="R10" i="1"/>
  <c r="R3" i="1"/>
  <c r="R5" i="1"/>
  <c r="T9" i="1"/>
  <c r="V4" i="1"/>
  <c r="V10" i="2" l="1"/>
  <c r="H17" i="1"/>
  <c r="T5" i="1"/>
  <c r="U6" i="1"/>
  <c r="V5" i="1"/>
  <c r="T6" i="1"/>
  <c r="H6" i="1" s="1"/>
  <c r="D6" i="1" s="1"/>
  <c r="H18" i="1"/>
  <c r="H15" i="1"/>
  <c r="H16" i="1"/>
  <c r="T14" i="1"/>
  <c r="V14" i="1"/>
  <c r="U14" i="1"/>
  <c r="T13" i="1"/>
  <c r="V13" i="1"/>
  <c r="U13" i="1"/>
  <c r="H19" i="1"/>
  <c r="D19" i="1" s="1"/>
  <c r="E19" i="1" s="1"/>
  <c r="H9" i="1"/>
  <c r="D9" i="1" s="1"/>
  <c r="T10" i="1"/>
  <c r="U10" i="1"/>
  <c r="T2" i="1"/>
  <c r="H5" i="1"/>
  <c r="D5" i="1" s="1"/>
  <c r="H4" i="1"/>
  <c r="D4" i="1" s="1"/>
  <c r="E4" i="1" s="1"/>
  <c r="V11" i="1"/>
  <c r="U11" i="1"/>
  <c r="T11" i="1"/>
  <c r="U8" i="1"/>
  <c r="V8" i="1"/>
  <c r="T8" i="1"/>
  <c r="U7" i="1"/>
  <c r="V7" i="1"/>
  <c r="T7" i="1"/>
  <c r="H7" i="1" s="1"/>
  <c r="D7" i="1" s="1"/>
  <c r="E7" i="2" s="1"/>
  <c r="Q7" i="2" s="1"/>
  <c r="R7" i="2" s="1"/>
  <c r="V2" i="1"/>
  <c r="V12" i="1"/>
  <c r="U12" i="1"/>
  <c r="T12" i="1"/>
  <c r="V9" i="1"/>
  <c r="U9" i="1"/>
  <c r="V3" i="1"/>
  <c r="U3" i="1"/>
  <c r="S7" i="2" l="1"/>
  <c r="T7" i="2"/>
  <c r="E12" i="2"/>
  <c r="E4" i="2"/>
  <c r="Q4" i="2" s="1"/>
  <c r="R4" i="2" s="1"/>
  <c r="H8" i="1"/>
  <c r="D8" i="1" s="1"/>
  <c r="E8" i="2" s="1"/>
  <c r="Q8" i="2" s="1"/>
  <c r="R8" i="2" s="1"/>
  <c r="H13" i="1"/>
  <c r="D13" i="1" s="1"/>
  <c r="E16" i="2" s="1"/>
  <c r="Q16" i="2" s="1"/>
  <c r="R16" i="2" s="1"/>
  <c r="H14" i="1"/>
  <c r="H10" i="1"/>
  <c r="D10" i="1" s="1"/>
  <c r="E5" i="2" s="1"/>
  <c r="Q5" i="2" s="1"/>
  <c r="R5" i="2" s="1"/>
  <c r="H2" i="1"/>
  <c r="D2" i="1" s="1"/>
  <c r="H12" i="1"/>
  <c r="H11" i="1"/>
  <c r="D11" i="1" s="1"/>
  <c r="E9" i="2" s="1"/>
  <c r="Q9" i="2" s="1"/>
  <c r="R9" i="2" s="1"/>
  <c r="H3" i="1"/>
  <c r="D3" i="1" s="1"/>
  <c r="E9" i="1" s="1"/>
  <c r="E11" i="2" s="1"/>
  <c r="S16" i="2" l="1"/>
  <c r="T16" i="2"/>
  <c r="U15" i="2" s="1"/>
  <c r="V15" i="2" s="1"/>
  <c r="Q11" i="2"/>
  <c r="R11" i="2" s="1"/>
  <c r="Q12" i="2"/>
  <c r="R12" i="2" s="1"/>
  <c r="E3" i="2"/>
  <c r="Q3" i="2" s="1"/>
  <c r="R3" i="2" s="1"/>
  <c r="E2" i="2"/>
  <c r="Q2" i="2" s="1"/>
  <c r="R2" i="2" s="1"/>
  <c r="T5" i="2"/>
  <c r="U5" i="2" s="1"/>
  <c r="V5" i="2" s="1"/>
  <c r="S5" i="2"/>
  <c r="T4" i="2"/>
  <c r="U4" i="2" s="1"/>
  <c r="S4" i="2"/>
  <c r="S8" i="2"/>
  <c r="T8" i="2"/>
  <c r="S9" i="2"/>
  <c r="T9" i="2"/>
  <c r="U7" i="2" l="1"/>
  <c r="V7" i="2" s="1"/>
  <c r="T12" i="2"/>
  <c r="S12" i="2"/>
  <c r="T11" i="2"/>
  <c r="U11" i="2" s="1"/>
  <c r="V11" i="2" s="1"/>
  <c r="S11" i="2"/>
  <c r="V4" i="2"/>
  <c r="T3" i="2"/>
  <c r="U3" i="2" s="1"/>
  <c r="S3" i="2"/>
  <c r="S2" i="2"/>
  <c r="T2" i="2"/>
  <c r="U2" i="2" s="1"/>
  <c r="V2" i="2" l="1"/>
  <c r="V3" i="2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801.85 as dividend on 12 Dec, 2024</t>
        </r>
      </text>
    </comment>
  </commentList>
</comments>
</file>

<file path=xl/sharedStrings.xml><?xml version="1.0" encoding="utf-8"?>
<sst xmlns="http://schemas.openxmlformats.org/spreadsheetml/2006/main" count="168" uniqueCount="50">
  <si>
    <t>S.N</t>
  </si>
  <si>
    <t>Description</t>
  </si>
  <si>
    <t>Purchased on</t>
  </si>
  <si>
    <t>Sold on</t>
  </si>
  <si>
    <t>Purchased At</t>
  </si>
  <si>
    <t>Sold At</t>
  </si>
  <si>
    <t>PPCL</t>
  </si>
  <si>
    <t>NABIL</t>
  </si>
  <si>
    <t>MEN</t>
  </si>
  <si>
    <t>TAMOR</t>
  </si>
  <si>
    <t>AHPC</t>
  </si>
  <si>
    <t>API</t>
  </si>
  <si>
    <t>NYADI</t>
  </si>
  <si>
    <t>SAHAS</t>
  </si>
  <si>
    <t>SMATA</t>
  </si>
  <si>
    <t>CBBL</t>
  </si>
  <si>
    <t>SANIMA</t>
  </si>
  <si>
    <t>Total amount at sell</t>
  </si>
  <si>
    <t>Kitta Purchased</t>
  </si>
  <si>
    <t>Kitta Sold</t>
  </si>
  <si>
    <t>Total = Kitta * Selling Price</t>
  </si>
  <si>
    <t>NEPSE Commission (C*20%)</t>
  </si>
  <si>
    <t>Total = Kitta * Purchase Price (T1)</t>
  </si>
  <si>
    <t>SEBO Commission (T1*0.015%)</t>
  </si>
  <si>
    <r>
      <t>Effective Rate R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=((0.36%+0.015%)*Rate+Rate)</t>
    </r>
  </si>
  <si>
    <t>SEBON Regulatory Fee (0.6%*C)</t>
  </si>
  <si>
    <t>Broker Commission (79.4%*C)</t>
  </si>
  <si>
    <t>Total Commission Amount (0.36%*C)</t>
  </si>
  <si>
    <t>DP Amount</t>
  </si>
  <si>
    <t>Clearance Date</t>
  </si>
  <si>
    <t>Net Recievable Amount/Total amount at purchase</t>
  </si>
  <si>
    <t>BPCL</t>
  </si>
  <si>
    <t>GBIME</t>
  </si>
  <si>
    <t>UPPER</t>
  </si>
  <si>
    <t>GCIL</t>
  </si>
  <si>
    <t>Total amount at sell / deposited in bank by security</t>
  </si>
  <si>
    <t>Clearance Date of deposition on bank</t>
  </si>
  <si>
    <t>Base Rate SP</t>
  </si>
  <si>
    <t>Amount = Kitta * Selling Price</t>
  </si>
  <si>
    <t>WACC</t>
  </si>
  <si>
    <t>CGT</t>
  </si>
  <si>
    <t>Total Effective amount=Amount - total commission-SEBO commission-CGT</t>
  </si>
  <si>
    <t>Net Payable Amount= Total Effective Amount-DP amount</t>
  </si>
  <si>
    <t>Deposited Amount at bank=Net payable amount -5-SEBON Regulatory fee</t>
  </si>
  <si>
    <t>Difference between deposited and to be deposited</t>
  </si>
  <si>
    <t>MLBSL</t>
  </si>
  <si>
    <t>CHCL</t>
  </si>
  <si>
    <t>TPC</t>
  </si>
  <si>
    <t>RFPL</t>
  </si>
  <si>
    <t>Gain -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</si>
</sst>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zoomScaleNormal="100" workbookViewId="0">
      <pane ySplit="1" topLeftCell="A5" activePane="bottomLeft" state="frozen"/>
      <selection pane="bottomLeft" activeCell="D24" sqref="D24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4" width="8.21875" style="3" bestFit="1" customWidth="1"/>
    <col min="5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6" t="s">
        <v>18</v>
      </c>
      <c r="D1" s="76" t="s">
        <v>39</v>
      </c>
      <c r="E1" s="77"/>
      <c r="F1" s="6" t="s">
        <v>4</v>
      </c>
      <c r="G1" s="7" t="s">
        <v>5</v>
      </c>
      <c r="H1" s="6" t="s">
        <v>30</v>
      </c>
      <c r="I1" s="72" t="s">
        <v>22</v>
      </c>
      <c r="J1" s="72"/>
      <c r="K1" s="7" t="s">
        <v>17</v>
      </c>
      <c r="L1" s="73" t="s">
        <v>20</v>
      </c>
      <c r="M1" s="73"/>
      <c r="N1" s="6" t="s">
        <v>2</v>
      </c>
      <c r="O1" s="7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8">
        <v>1</v>
      </c>
      <c r="B2" s="8" t="s">
        <v>6</v>
      </c>
      <c r="C2" s="9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7" si="0">I2+R2+T2+U2+V2+W2</f>
        <v>40511.256249999999</v>
      </c>
      <c r="I2" s="9">
        <f>C2*F2</f>
        <v>40335</v>
      </c>
      <c r="J2" s="9"/>
      <c r="K2" s="10"/>
      <c r="L2" s="10"/>
      <c r="M2" s="10"/>
      <c r="N2" s="11">
        <v>45585</v>
      </c>
      <c r="O2" s="12"/>
      <c r="P2" s="12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8">
        <v>25</v>
      </c>
    </row>
    <row r="3" spans="1:23" x14ac:dyDescent="0.3">
      <c r="A3" s="8">
        <v>2</v>
      </c>
      <c r="B3" s="8" t="s">
        <v>7</v>
      </c>
      <c r="C3" s="9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9">
        <f>C3*F3</f>
        <v>51079.049999999996</v>
      </c>
      <c r="J3" s="9"/>
      <c r="K3" s="10"/>
      <c r="L3" s="10"/>
      <c r="M3" s="10"/>
      <c r="N3" s="11">
        <v>45588</v>
      </c>
      <c r="O3" s="12"/>
      <c r="P3" s="12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8">
        <v>25</v>
      </c>
    </row>
    <row r="4" spans="1:23" x14ac:dyDescent="0.3">
      <c r="A4" s="8">
        <v>3</v>
      </c>
      <c r="B4" s="8" t="s">
        <v>8</v>
      </c>
      <c r="C4" s="9">
        <v>40</v>
      </c>
      <c r="D4" s="29">
        <f>H4/C4</f>
        <v>738.38125000000014</v>
      </c>
      <c r="E4" s="70">
        <f>AVERAGE(D4:D5)</f>
        <v>739.28462500000012</v>
      </c>
      <c r="F4" s="20">
        <v>735</v>
      </c>
      <c r="G4" s="10"/>
      <c r="H4" s="20">
        <f t="shared" si="0"/>
        <v>29535.250000000004</v>
      </c>
      <c r="I4" s="9">
        <f>C4*F4</f>
        <v>29400</v>
      </c>
      <c r="J4" s="9"/>
      <c r="K4" s="10"/>
      <c r="L4" s="10"/>
      <c r="M4" s="10"/>
      <c r="N4" s="11">
        <v>45629</v>
      </c>
      <c r="O4" s="12"/>
      <c r="P4" s="12"/>
      <c r="Q4" s="19">
        <f t="shared" ref="Q4:Q21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8">
        <v>25</v>
      </c>
    </row>
    <row r="5" spans="1:23" x14ac:dyDescent="0.3">
      <c r="A5" s="8">
        <v>4</v>
      </c>
      <c r="B5" s="8" t="s">
        <v>8</v>
      </c>
      <c r="C5" s="9">
        <v>40</v>
      </c>
      <c r="D5" s="29">
        <f>H5/C5</f>
        <v>740.1880000000001</v>
      </c>
      <c r="E5" s="71"/>
      <c r="F5" s="20">
        <v>736.8</v>
      </c>
      <c r="G5" s="10"/>
      <c r="H5" s="20">
        <f t="shared" si="0"/>
        <v>29607.520000000004</v>
      </c>
      <c r="I5" s="9">
        <f>C5*F5</f>
        <v>29472</v>
      </c>
      <c r="J5" s="9"/>
      <c r="K5" s="10"/>
      <c r="L5" s="10"/>
      <c r="M5" s="10"/>
      <c r="N5" s="11">
        <v>45631</v>
      </c>
      <c r="O5" s="12"/>
      <c r="P5" s="12"/>
      <c r="Q5" s="19">
        <f t="shared" si="1"/>
        <v>106.0992</v>
      </c>
      <c r="R5" s="19">
        <f t="shared" ref="R5:R6" si="2">0.015%*I5</f>
        <v>4.4207999999999998</v>
      </c>
      <c r="S5" s="19">
        <f t="shared" ref="S5:S6" si="3">(0.36+0.015)%*F5+F5</f>
        <v>739.56299999999999</v>
      </c>
      <c r="T5" s="19">
        <f t="shared" ref="T5:T6" si="4">Q5*20%</f>
        <v>21.219840000000001</v>
      </c>
      <c r="U5" s="19">
        <f t="shared" ref="U5:U6" si="5">0.6%*Q5</f>
        <v>0.63659520000000003</v>
      </c>
      <c r="V5" s="19">
        <f t="shared" ref="V5:V6" si="6">79.4%*Q5</f>
        <v>84.242764800000003</v>
      </c>
      <c r="W5" s="8">
        <v>25</v>
      </c>
    </row>
    <row r="6" spans="1:23" x14ac:dyDescent="0.3">
      <c r="A6" s="8">
        <v>5</v>
      </c>
      <c r="B6" s="8" t="s">
        <v>9</v>
      </c>
      <c r="C6" s="9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9">
        <f>C6*F6</f>
        <v>21000</v>
      </c>
      <c r="J6" s="9"/>
      <c r="K6" s="10"/>
      <c r="L6" s="10"/>
      <c r="M6" s="10"/>
      <c r="N6" s="11">
        <v>45642</v>
      </c>
      <c r="O6" s="12"/>
      <c r="P6" s="12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8">
        <v>25</v>
      </c>
    </row>
    <row r="7" spans="1:23" x14ac:dyDescent="0.3">
      <c r="A7" s="74">
        <v>6</v>
      </c>
      <c r="B7" s="14" t="s">
        <v>10</v>
      </c>
      <c r="C7" s="9">
        <v>10</v>
      </c>
      <c r="D7" s="29">
        <f t="shared" ref="D7:D18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9">
        <f t="shared" ref="I7:I12" si="8">C7*F7</f>
        <v>2441</v>
      </c>
      <c r="J7" s="21"/>
      <c r="K7" s="10"/>
      <c r="L7" s="10"/>
      <c r="M7" s="10"/>
      <c r="N7" s="75">
        <v>45649</v>
      </c>
      <c r="O7" s="12"/>
      <c r="P7" s="12"/>
      <c r="Q7" s="19">
        <f t="shared" si="1"/>
        <v>8.7875999999999994</v>
      </c>
      <c r="R7" s="19">
        <f t="shared" ref="R7:R12" si="9">0.015%*I7</f>
        <v>0.36614999999999998</v>
      </c>
      <c r="S7" s="19">
        <f t="shared" ref="S7:S12" si="10">(0.36+0.015)%*F7+F7</f>
        <v>245.01537500000001</v>
      </c>
      <c r="T7" s="19">
        <f t="shared" ref="T7:T12" si="11">Q7*20%</f>
        <v>1.75752</v>
      </c>
      <c r="U7" s="19">
        <f t="shared" ref="U7:U12" si="12">0.6%*Q7</f>
        <v>5.2725599999999997E-2</v>
      </c>
      <c r="V7" s="19">
        <f t="shared" ref="V7:V12" si="13">79.4%*Q7</f>
        <v>6.9773544000000003</v>
      </c>
      <c r="W7" s="24">
        <v>25</v>
      </c>
    </row>
    <row r="8" spans="1:23" x14ac:dyDescent="0.3">
      <c r="A8" s="74"/>
      <c r="B8" s="14" t="s">
        <v>11</v>
      </c>
      <c r="C8" s="9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ref="H8:H18" si="14">I8+R8+T8+U8+V8+W8</f>
        <v>5101.9675000000007</v>
      </c>
      <c r="I8" s="9">
        <f t="shared" si="8"/>
        <v>5058</v>
      </c>
      <c r="J8" s="21"/>
      <c r="K8" s="10"/>
      <c r="L8" s="10"/>
      <c r="M8" s="10"/>
      <c r="N8" s="75"/>
      <c r="O8" s="12"/>
      <c r="P8" s="12"/>
      <c r="Q8" s="19">
        <f t="shared" si="1"/>
        <v>18.2088</v>
      </c>
      <c r="R8" s="19">
        <f t="shared" si="9"/>
        <v>0.75869999999999993</v>
      </c>
      <c r="S8" s="19">
        <f t="shared" si="10"/>
        <v>253.848375</v>
      </c>
      <c r="T8" s="19">
        <f t="shared" si="11"/>
        <v>3.6417600000000001</v>
      </c>
      <c r="U8" s="19">
        <f t="shared" si="12"/>
        <v>0.1092528</v>
      </c>
      <c r="V8" s="19">
        <f t="shared" si="13"/>
        <v>14.4577872</v>
      </c>
      <c r="W8" s="24">
        <v>25</v>
      </c>
    </row>
    <row r="9" spans="1:23" x14ac:dyDescent="0.3">
      <c r="A9" s="74"/>
      <c r="B9" s="14" t="s">
        <v>7</v>
      </c>
      <c r="C9" s="9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14"/>
        <v>10082.575000000001</v>
      </c>
      <c r="I9" s="9">
        <f t="shared" si="8"/>
        <v>10020</v>
      </c>
      <c r="J9" s="21"/>
      <c r="K9" s="10"/>
      <c r="L9" s="10"/>
      <c r="M9" s="10"/>
      <c r="N9" s="75"/>
      <c r="O9" s="12"/>
      <c r="P9" s="12"/>
      <c r="Q9" s="19">
        <f t="shared" si="1"/>
        <v>36.071999999999996</v>
      </c>
      <c r="R9" s="19">
        <f t="shared" si="9"/>
        <v>1.5029999999999999</v>
      </c>
      <c r="S9" s="19">
        <f t="shared" si="10"/>
        <v>502.87875000000003</v>
      </c>
      <c r="T9" s="19">
        <f t="shared" si="11"/>
        <v>7.2143999999999995</v>
      </c>
      <c r="U9" s="19">
        <f t="shared" si="12"/>
        <v>0.21643199999999999</v>
      </c>
      <c r="V9" s="19">
        <f t="shared" si="13"/>
        <v>28.641167999999997</v>
      </c>
      <c r="W9" s="24">
        <v>25</v>
      </c>
    </row>
    <row r="10" spans="1:23" x14ac:dyDescent="0.3">
      <c r="A10" s="74"/>
      <c r="B10" s="14" t="s">
        <v>12</v>
      </c>
      <c r="C10" s="9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14"/>
        <v>8171.4350000000004</v>
      </c>
      <c r="I10" s="9">
        <f t="shared" si="8"/>
        <v>8116</v>
      </c>
      <c r="J10" s="21"/>
      <c r="K10" s="10"/>
      <c r="L10" s="10"/>
      <c r="M10" s="10"/>
      <c r="N10" s="75"/>
      <c r="O10" s="12"/>
      <c r="P10" s="12"/>
      <c r="Q10" s="19">
        <f t="shared" si="1"/>
        <v>29.217600000000001</v>
      </c>
      <c r="R10" s="19">
        <f t="shared" si="9"/>
        <v>1.2173999999999998</v>
      </c>
      <c r="S10" s="19">
        <f t="shared" si="10"/>
        <v>407.32175000000001</v>
      </c>
      <c r="T10" s="19">
        <f t="shared" si="11"/>
        <v>5.8435200000000007</v>
      </c>
      <c r="U10" s="19">
        <f t="shared" si="12"/>
        <v>0.17530560000000001</v>
      </c>
      <c r="V10" s="19">
        <f t="shared" si="13"/>
        <v>23.198774400000001</v>
      </c>
      <c r="W10" s="24">
        <v>25</v>
      </c>
    </row>
    <row r="11" spans="1:23" x14ac:dyDescent="0.3">
      <c r="A11" s="74"/>
      <c r="B11" s="14" t="s">
        <v>13</v>
      </c>
      <c r="C11" s="9">
        <v>20</v>
      </c>
      <c r="D11" s="29">
        <f t="shared" si="7"/>
        <v>475.02</v>
      </c>
      <c r="E11" s="10"/>
      <c r="F11" s="20">
        <v>472</v>
      </c>
      <c r="G11" s="10"/>
      <c r="H11" s="20">
        <f t="shared" si="14"/>
        <v>9500.4</v>
      </c>
      <c r="I11" s="9">
        <f t="shared" si="8"/>
        <v>9440</v>
      </c>
      <c r="J11" s="21"/>
      <c r="K11" s="10"/>
      <c r="L11" s="10"/>
      <c r="M11" s="10"/>
      <c r="N11" s="75"/>
      <c r="O11" s="12"/>
      <c r="P11" s="12"/>
      <c r="Q11" s="19">
        <f t="shared" si="1"/>
        <v>33.984000000000002</v>
      </c>
      <c r="R11" s="19">
        <f t="shared" si="9"/>
        <v>1.4159999999999999</v>
      </c>
      <c r="S11" s="19">
        <f t="shared" si="10"/>
        <v>473.77</v>
      </c>
      <c r="T11" s="19">
        <f t="shared" si="11"/>
        <v>6.7968000000000011</v>
      </c>
      <c r="U11" s="19">
        <f t="shared" si="12"/>
        <v>0.203904</v>
      </c>
      <c r="V11" s="19">
        <f t="shared" si="13"/>
        <v>26.983296000000003</v>
      </c>
      <c r="W11" s="24">
        <v>25</v>
      </c>
    </row>
    <row r="12" spans="1:23" x14ac:dyDescent="0.3">
      <c r="A12" s="74"/>
      <c r="B12" s="14" t="s">
        <v>14</v>
      </c>
      <c r="C12" s="9">
        <v>10</v>
      </c>
      <c r="D12" s="29">
        <v>440.25</v>
      </c>
      <c r="E12" s="10"/>
      <c r="F12" s="20">
        <v>809</v>
      </c>
      <c r="G12" s="10"/>
      <c r="H12" s="20">
        <f t="shared" si="14"/>
        <v>8145.3374999999996</v>
      </c>
      <c r="I12" s="9">
        <f t="shared" si="8"/>
        <v>8090</v>
      </c>
      <c r="J12" s="21"/>
      <c r="K12" s="10"/>
      <c r="L12" s="10"/>
      <c r="M12" s="10"/>
      <c r="N12" s="75"/>
      <c r="O12" s="12"/>
      <c r="P12" s="12"/>
      <c r="Q12" s="19">
        <f t="shared" si="1"/>
        <v>29.123999999999999</v>
      </c>
      <c r="R12" s="19">
        <f t="shared" si="9"/>
        <v>1.2134999999999998</v>
      </c>
      <c r="S12" s="19">
        <f t="shared" si="10"/>
        <v>812.03375000000005</v>
      </c>
      <c r="T12" s="19">
        <f t="shared" si="11"/>
        <v>5.8247999999999998</v>
      </c>
      <c r="U12" s="19">
        <f t="shared" si="12"/>
        <v>0.17474399999999998</v>
      </c>
      <c r="V12" s="19">
        <f t="shared" si="13"/>
        <v>23.124455999999999</v>
      </c>
      <c r="W12" s="24">
        <v>25</v>
      </c>
    </row>
    <row r="13" spans="1:23" x14ac:dyDescent="0.3">
      <c r="A13" s="74">
        <v>7</v>
      </c>
      <c r="B13" s="14" t="s">
        <v>15</v>
      </c>
      <c r="C13" s="15">
        <v>40</v>
      </c>
      <c r="D13" s="29">
        <f t="shared" si="7"/>
        <v>858.83124999999995</v>
      </c>
      <c r="E13" s="10"/>
      <c r="F13" s="20">
        <v>855</v>
      </c>
      <c r="G13" s="10"/>
      <c r="H13" s="20">
        <f t="shared" si="14"/>
        <v>34353.25</v>
      </c>
      <c r="I13" s="15">
        <f>C13*F13</f>
        <v>34200</v>
      </c>
      <c r="J13" s="83">
        <f>SUM(I13:I14)</f>
        <v>40140</v>
      </c>
      <c r="K13" s="10"/>
      <c r="L13" s="10"/>
      <c r="M13" s="10"/>
      <c r="N13" s="75">
        <v>45657</v>
      </c>
      <c r="O13" s="17"/>
      <c r="P13" s="17"/>
      <c r="Q13" s="19">
        <f t="shared" si="1"/>
        <v>123.11999999999999</v>
      </c>
      <c r="R13" s="19">
        <f t="shared" ref="R13:R14" si="15">0.015%*I13</f>
        <v>5.13</v>
      </c>
      <c r="S13" s="19">
        <f t="shared" ref="S13:S14" si="16">(0.36+0.015)%*F13+F13</f>
        <v>858.20624999999995</v>
      </c>
      <c r="T13" s="19">
        <f t="shared" ref="T13:T14" si="17">Q13*20%</f>
        <v>24.623999999999999</v>
      </c>
      <c r="U13" s="19">
        <f t="shared" ref="U13:U14" si="18">0.6%*Q13</f>
        <v>0.73871999999999993</v>
      </c>
      <c r="V13" s="19">
        <f t="shared" ref="V13:V14" si="19">79.4%*Q13</f>
        <v>97.757279999999994</v>
      </c>
      <c r="W13" s="13">
        <v>25</v>
      </c>
    </row>
    <row r="14" spans="1:23" x14ac:dyDescent="0.3">
      <c r="A14" s="74"/>
      <c r="B14" s="14" t="s">
        <v>16</v>
      </c>
      <c r="C14" s="15">
        <v>20</v>
      </c>
      <c r="D14" s="29">
        <f t="shared" si="7"/>
        <v>299.36374999999992</v>
      </c>
      <c r="E14" s="10"/>
      <c r="F14" s="20">
        <v>297</v>
      </c>
      <c r="G14" s="10"/>
      <c r="H14" s="20">
        <f t="shared" si="14"/>
        <v>5987.2749999999987</v>
      </c>
      <c r="I14" s="15">
        <f>C14*F14</f>
        <v>5940</v>
      </c>
      <c r="J14" s="83"/>
      <c r="K14" s="10"/>
      <c r="L14" s="10"/>
      <c r="M14" s="10"/>
      <c r="N14" s="75"/>
      <c r="O14" s="17"/>
      <c r="P14" s="17"/>
      <c r="Q14" s="19">
        <f t="shared" si="1"/>
        <v>21.384</v>
      </c>
      <c r="R14" s="19">
        <f t="shared" si="15"/>
        <v>0.8909999999999999</v>
      </c>
      <c r="S14" s="19">
        <f t="shared" si="16"/>
        <v>298.11374999999998</v>
      </c>
      <c r="T14" s="19">
        <f t="shared" si="17"/>
        <v>4.2768000000000006</v>
      </c>
      <c r="U14" s="19">
        <f t="shared" si="18"/>
        <v>0.128304</v>
      </c>
      <c r="V14" s="19">
        <f t="shared" si="19"/>
        <v>16.978896000000002</v>
      </c>
      <c r="W14" s="13">
        <v>25</v>
      </c>
    </row>
    <row r="15" spans="1:23" x14ac:dyDescent="0.3">
      <c r="A15" s="80">
        <v>8</v>
      </c>
      <c r="B15" s="13" t="s">
        <v>31</v>
      </c>
      <c r="C15" s="15">
        <v>60</v>
      </c>
      <c r="D15" s="29">
        <f t="shared" si="7"/>
        <v>411.95416666666665</v>
      </c>
      <c r="E15" s="10"/>
      <c r="F15" s="20">
        <v>410</v>
      </c>
      <c r="G15" s="10"/>
      <c r="H15" s="20">
        <f t="shared" si="14"/>
        <v>24717.25</v>
      </c>
      <c r="I15" s="26">
        <f t="shared" ref="I15:I18" si="20">C15*F15</f>
        <v>24600</v>
      </c>
      <c r="J15" s="15"/>
      <c r="K15" s="10"/>
      <c r="L15" s="10"/>
      <c r="M15" s="10"/>
      <c r="N15" s="75">
        <v>45664</v>
      </c>
      <c r="O15" s="28"/>
      <c r="P15" s="28"/>
      <c r="Q15" s="19">
        <f t="shared" si="1"/>
        <v>88.56</v>
      </c>
      <c r="R15" s="19">
        <f t="shared" ref="R15:R18" si="21">0.015%*I15</f>
        <v>3.6899999999999995</v>
      </c>
      <c r="S15" s="19">
        <f t="shared" ref="S15:S18" si="22">(0.36+0.015)%*F15+F15</f>
        <v>411.53750000000002</v>
      </c>
      <c r="T15" s="19">
        <f t="shared" ref="T15:T18" si="23">Q15*20%</f>
        <v>17.712</v>
      </c>
      <c r="U15" s="19">
        <f t="shared" ref="U15:U18" si="24">0.6%*Q15</f>
        <v>0.53136000000000005</v>
      </c>
      <c r="V15" s="19">
        <f t="shared" ref="V15:V18" si="25">79.4%*Q15</f>
        <v>70.316640000000007</v>
      </c>
      <c r="W15" s="13">
        <v>25</v>
      </c>
    </row>
    <row r="16" spans="1:23" x14ac:dyDescent="0.3">
      <c r="A16" s="82"/>
      <c r="B16" s="13" t="s">
        <v>32</v>
      </c>
      <c r="C16" s="15">
        <v>80</v>
      </c>
      <c r="D16" s="29">
        <f t="shared" si="7"/>
        <v>226.65812499999993</v>
      </c>
      <c r="E16" s="10"/>
      <c r="F16" s="20">
        <v>225.5</v>
      </c>
      <c r="G16" s="10"/>
      <c r="H16" s="20">
        <f t="shared" si="14"/>
        <v>18132.649999999994</v>
      </c>
      <c r="I16" s="26">
        <f t="shared" si="20"/>
        <v>18040</v>
      </c>
      <c r="J16" s="15"/>
      <c r="K16" s="10"/>
      <c r="L16" s="10"/>
      <c r="M16" s="10"/>
      <c r="N16" s="75"/>
      <c r="O16" s="13"/>
      <c r="P16" s="13"/>
      <c r="Q16" s="19">
        <f t="shared" si="1"/>
        <v>64.944000000000003</v>
      </c>
      <c r="R16" s="19">
        <f t="shared" si="21"/>
        <v>2.706</v>
      </c>
      <c r="S16" s="19">
        <f t="shared" si="22"/>
        <v>226.34562500000001</v>
      </c>
      <c r="T16" s="19">
        <f t="shared" si="23"/>
        <v>12.988800000000001</v>
      </c>
      <c r="U16" s="19">
        <f t="shared" si="24"/>
        <v>0.38966400000000001</v>
      </c>
      <c r="V16" s="19">
        <f t="shared" si="25"/>
        <v>51.565536000000002</v>
      </c>
      <c r="W16" s="13">
        <v>25</v>
      </c>
    </row>
    <row r="17" spans="1:23" x14ac:dyDescent="0.3">
      <c r="A17" s="82"/>
      <c r="B17" s="13" t="s">
        <v>13</v>
      </c>
      <c r="C17" s="15">
        <v>30</v>
      </c>
      <c r="D17" s="29">
        <f t="shared" si="7"/>
        <v>523.68670833333329</v>
      </c>
      <c r="E17" s="10"/>
      <c r="F17" s="20">
        <v>520.9</v>
      </c>
      <c r="G17" s="10"/>
      <c r="H17" s="20">
        <f t="shared" si="14"/>
        <v>15710.60125</v>
      </c>
      <c r="I17" s="26">
        <f t="shared" si="20"/>
        <v>15627</v>
      </c>
      <c r="J17" s="15"/>
      <c r="K17" s="10"/>
      <c r="L17" s="10"/>
      <c r="M17" s="10"/>
      <c r="N17" s="75"/>
      <c r="O17" s="13"/>
      <c r="P17" s="13"/>
      <c r="Q17" s="19">
        <f t="shared" si="1"/>
        <v>56.257199999999997</v>
      </c>
      <c r="R17" s="19">
        <f t="shared" si="21"/>
        <v>2.3440499999999997</v>
      </c>
      <c r="S17" s="19">
        <f t="shared" si="22"/>
        <v>522.85337500000003</v>
      </c>
      <c r="T17" s="19">
        <f t="shared" si="23"/>
        <v>11.251440000000001</v>
      </c>
      <c r="U17" s="19">
        <f t="shared" si="24"/>
        <v>0.33754319999999999</v>
      </c>
      <c r="V17" s="19">
        <f t="shared" si="25"/>
        <v>44.668216800000003</v>
      </c>
      <c r="W17" s="13">
        <v>25</v>
      </c>
    </row>
    <row r="18" spans="1:23" x14ac:dyDescent="0.3">
      <c r="A18" s="81"/>
      <c r="B18" s="13" t="s">
        <v>33</v>
      </c>
      <c r="C18" s="15">
        <v>45</v>
      </c>
      <c r="D18" s="29">
        <f t="shared" si="7"/>
        <v>210.33930555555554</v>
      </c>
      <c r="E18" s="10"/>
      <c r="F18" s="20">
        <v>209</v>
      </c>
      <c r="G18" s="10"/>
      <c r="H18" s="20">
        <f t="shared" si="14"/>
        <v>9465.2687499999993</v>
      </c>
      <c r="I18" s="26">
        <f t="shared" si="20"/>
        <v>9405</v>
      </c>
      <c r="J18" s="15"/>
      <c r="K18" s="10"/>
      <c r="L18" s="10"/>
      <c r="M18" s="10"/>
      <c r="N18" s="75"/>
      <c r="O18" s="13"/>
      <c r="P18" s="13"/>
      <c r="Q18" s="19">
        <f t="shared" si="1"/>
        <v>33.857999999999997</v>
      </c>
      <c r="R18" s="19">
        <f t="shared" si="21"/>
        <v>1.4107499999999999</v>
      </c>
      <c r="S18" s="19">
        <f t="shared" si="22"/>
        <v>209.78375</v>
      </c>
      <c r="T18" s="19">
        <f t="shared" si="23"/>
        <v>6.7715999999999994</v>
      </c>
      <c r="U18" s="19">
        <f t="shared" si="24"/>
        <v>0.203148</v>
      </c>
      <c r="V18" s="19">
        <f t="shared" si="25"/>
        <v>26.883251999999999</v>
      </c>
      <c r="W18" s="13">
        <v>25</v>
      </c>
    </row>
    <row r="19" spans="1:23" x14ac:dyDescent="0.3">
      <c r="A19" s="13">
        <v>9</v>
      </c>
      <c r="B19" s="14" t="s">
        <v>14</v>
      </c>
      <c r="C19" s="15">
        <v>11</v>
      </c>
      <c r="D19" s="29">
        <f t="shared" ref="D19" si="26">H19/C19</f>
        <v>853.4527272727272</v>
      </c>
      <c r="E19" s="70">
        <f>(C19*D19+C20*D20+C21*D21)/(C19+C20+C21)</f>
        <v>828.32327083333325</v>
      </c>
      <c r="F19" s="20">
        <v>848</v>
      </c>
      <c r="G19" s="10"/>
      <c r="H19" s="20">
        <f>I19+R19+T19+U19+V19+W19</f>
        <v>9387.98</v>
      </c>
      <c r="I19" s="15">
        <f t="shared" ref="I19" si="27">C19*F19</f>
        <v>9328</v>
      </c>
      <c r="J19" s="15"/>
      <c r="K19" s="10"/>
      <c r="L19" s="10"/>
      <c r="M19" s="10"/>
      <c r="N19" s="16">
        <v>45666</v>
      </c>
      <c r="O19" s="17"/>
      <c r="P19" s="17"/>
      <c r="Q19" s="19">
        <f t="shared" si="1"/>
        <v>33.580799999999996</v>
      </c>
      <c r="R19" s="19">
        <f t="shared" ref="R19" si="28">0.015%*I19</f>
        <v>1.3991999999999998</v>
      </c>
      <c r="S19" s="19">
        <f t="shared" ref="S19" si="29">(0.36+0.015)%*F19+F19</f>
        <v>851.18</v>
      </c>
      <c r="T19" s="19">
        <f t="shared" ref="T19" si="30">Q19*20%</f>
        <v>6.7161599999999995</v>
      </c>
      <c r="U19" s="19">
        <f t="shared" ref="U19" si="31">0.6%*Q19</f>
        <v>0.20148479999999999</v>
      </c>
      <c r="V19" s="19">
        <f t="shared" ref="V19" si="32">79.4%*Q19</f>
        <v>26.663155199999999</v>
      </c>
      <c r="W19" s="13">
        <v>25</v>
      </c>
    </row>
    <row r="20" spans="1:23" x14ac:dyDescent="0.3">
      <c r="A20" s="13">
        <v>10</v>
      </c>
      <c r="B20" s="14" t="s">
        <v>14</v>
      </c>
      <c r="C20" s="15">
        <v>19</v>
      </c>
      <c r="D20" s="29">
        <f t="shared" ref="D20:D26" si="33">H20/C20</f>
        <v>833.42453947368415</v>
      </c>
      <c r="E20" s="84"/>
      <c r="F20" s="20">
        <v>829</v>
      </c>
      <c r="G20" s="10"/>
      <c r="H20" s="20">
        <f>I20+R20+T20+U20+V20+W20</f>
        <v>15835.066249999998</v>
      </c>
      <c r="I20" s="15">
        <f t="shared" ref="I20:I26" si="34">C20*F20</f>
        <v>15751</v>
      </c>
      <c r="J20" s="15"/>
      <c r="K20" s="10"/>
      <c r="L20" s="10"/>
      <c r="M20" s="10"/>
      <c r="N20" s="16">
        <v>45669</v>
      </c>
      <c r="O20" s="17"/>
      <c r="P20" s="17"/>
      <c r="Q20" s="19">
        <f t="shared" si="1"/>
        <v>56.703600000000002</v>
      </c>
      <c r="R20" s="19">
        <f t="shared" ref="R20:R21" si="35">0.015%*I20</f>
        <v>2.3626499999999999</v>
      </c>
      <c r="S20" s="19">
        <f t="shared" ref="S20:S21" si="36">(0.36+0.015)%*F20+F20</f>
        <v>832.10874999999999</v>
      </c>
      <c r="T20" s="19">
        <f t="shared" ref="T20:T21" si="37">Q20*20%</f>
        <v>11.340720000000001</v>
      </c>
      <c r="U20" s="19">
        <f t="shared" ref="U20:U21" si="38">0.6%*Q20</f>
        <v>0.34022160000000001</v>
      </c>
      <c r="V20" s="19">
        <f t="shared" ref="V20:V21" si="39">79.4%*Q20</f>
        <v>45.022658400000005</v>
      </c>
      <c r="W20" s="13">
        <v>25</v>
      </c>
    </row>
    <row r="21" spans="1:23" x14ac:dyDescent="0.3">
      <c r="A21" s="80">
        <v>11</v>
      </c>
      <c r="B21" s="47" t="s">
        <v>14</v>
      </c>
      <c r="C21" s="15">
        <v>30</v>
      </c>
      <c r="D21" s="29">
        <f t="shared" si="33"/>
        <v>815.87833333333333</v>
      </c>
      <c r="E21" s="71"/>
      <c r="F21" s="15">
        <v>812</v>
      </c>
      <c r="G21" s="10"/>
      <c r="H21" s="20">
        <f t="shared" ref="H21:H26" si="40">I21+R21+T21+U21+V21+W21</f>
        <v>24476.35</v>
      </c>
      <c r="I21" s="15">
        <f t="shared" si="34"/>
        <v>24360</v>
      </c>
      <c r="J21" s="15"/>
      <c r="K21" s="10"/>
      <c r="L21" s="10"/>
      <c r="M21" s="10"/>
      <c r="N21" s="78">
        <v>45676</v>
      </c>
      <c r="O21" s="13"/>
      <c r="P21" s="13"/>
      <c r="Q21" s="19">
        <f t="shared" si="1"/>
        <v>87.695999999999998</v>
      </c>
      <c r="R21" s="19">
        <f t="shared" si="35"/>
        <v>3.6539999999999995</v>
      </c>
      <c r="S21" s="19">
        <f t="shared" si="36"/>
        <v>815.04499999999996</v>
      </c>
      <c r="T21" s="19">
        <f t="shared" si="37"/>
        <v>17.539200000000001</v>
      </c>
      <c r="U21" s="19">
        <f t="shared" si="38"/>
        <v>0.52617599999999998</v>
      </c>
      <c r="V21" s="19">
        <f t="shared" si="39"/>
        <v>69.630623999999997</v>
      </c>
      <c r="W21" s="45">
        <v>25</v>
      </c>
    </row>
    <row r="22" spans="1:23" x14ac:dyDescent="0.3">
      <c r="A22" s="81"/>
      <c r="B22" s="13" t="s">
        <v>45</v>
      </c>
      <c r="C22" s="15">
        <v>10</v>
      </c>
      <c r="D22" s="29">
        <f t="shared" si="33"/>
        <v>2289.0425000000005</v>
      </c>
      <c r="E22" s="10"/>
      <c r="F22" s="15">
        <v>2278</v>
      </c>
      <c r="G22" s="10"/>
      <c r="H22" s="20">
        <f t="shared" si="40"/>
        <v>22890.425000000003</v>
      </c>
      <c r="I22" s="46">
        <f t="shared" si="34"/>
        <v>22780</v>
      </c>
      <c r="J22" s="15"/>
      <c r="K22" s="29"/>
      <c r="L22" s="10"/>
      <c r="M22" s="10"/>
      <c r="N22" s="79"/>
      <c r="O22" s="13"/>
      <c r="P22" s="13"/>
      <c r="Q22" s="19">
        <f t="shared" ref="Q22:Q26" si="41">IF(I22&gt;50000,0.33%*I22,0.36%*I22)</f>
        <v>82.007999999999996</v>
      </c>
      <c r="R22" s="19">
        <f t="shared" ref="R22:R26" si="42">0.015%*I22</f>
        <v>3.4169999999999998</v>
      </c>
      <c r="S22" s="19">
        <f t="shared" ref="S22:S26" si="43">(0.36+0.015)%*F22+F22</f>
        <v>2286.5425</v>
      </c>
      <c r="T22" s="19">
        <f t="shared" ref="T22:T26" si="44">Q22*20%</f>
        <v>16.401599999999998</v>
      </c>
      <c r="U22" s="19">
        <f t="shared" ref="U22:U26" si="45">0.6%*Q22</f>
        <v>0.49204799999999999</v>
      </c>
      <c r="V22" s="19">
        <f t="shared" ref="V22:V26" si="46">79.4%*Q22</f>
        <v>65.114351999999997</v>
      </c>
      <c r="W22" s="45">
        <v>25</v>
      </c>
    </row>
    <row r="23" spans="1:23" x14ac:dyDescent="0.3">
      <c r="A23" s="13">
        <v>12</v>
      </c>
      <c r="B23" s="13" t="s">
        <v>46</v>
      </c>
      <c r="C23" s="15">
        <v>150</v>
      </c>
      <c r="D23" s="29">
        <f>H23/C23</f>
        <v>538.14319550000005</v>
      </c>
      <c r="E23" s="10"/>
      <c r="F23" s="15">
        <v>535.97</v>
      </c>
      <c r="G23" s="10"/>
      <c r="H23" s="20">
        <f>I23+R23+T23+U23+V23+W23-0.5</f>
        <v>80721.479325000008</v>
      </c>
      <c r="I23" s="15">
        <f t="shared" si="34"/>
        <v>80395.5</v>
      </c>
      <c r="J23" s="15"/>
      <c r="K23" s="10"/>
      <c r="L23" s="10"/>
      <c r="M23" s="10"/>
      <c r="N23" s="58">
        <v>45691</v>
      </c>
      <c r="O23" s="13"/>
      <c r="P23" s="13"/>
      <c r="Q23" s="19">
        <v>289.42</v>
      </c>
      <c r="R23" s="19">
        <f t="shared" si="42"/>
        <v>12.059324999999999</v>
      </c>
      <c r="S23" s="19">
        <f t="shared" si="43"/>
        <v>537.97988750000002</v>
      </c>
      <c r="T23" s="19">
        <f t="shared" si="44"/>
        <v>57.884000000000007</v>
      </c>
      <c r="U23" s="19">
        <f t="shared" si="45"/>
        <v>1.7365200000000001</v>
      </c>
      <c r="V23" s="19">
        <f t="shared" si="46"/>
        <v>229.79948000000002</v>
      </c>
      <c r="W23" s="13">
        <v>25</v>
      </c>
    </row>
    <row r="24" spans="1:23" x14ac:dyDescent="0.3">
      <c r="A24" s="13">
        <v>13</v>
      </c>
      <c r="B24" s="13" t="s">
        <v>11</v>
      </c>
      <c r="C24" s="15">
        <v>80</v>
      </c>
      <c r="D24" s="29">
        <f t="shared" si="33"/>
        <v>283.57074999999998</v>
      </c>
      <c r="E24" s="10"/>
      <c r="F24" s="15">
        <v>282.2</v>
      </c>
      <c r="G24" s="10"/>
      <c r="H24" s="20">
        <f t="shared" si="40"/>
        <v>22685.66</v>
      </c>
      <c r="I24" s="15">
        <f t="shared" si="34"/>
        <v>22576</v>
      </c>
      <c r="J24" s="15"/>
      <c r="K24" s="10"/>
      <c r="L24" s="10"/>
      <c r="M24" s="10"/>
      <c r="N24" s="78">
        <v>45697</v>
      </c>
      <c r="O24" s="13"/>
      <c r="P24" s="13"/>
      <c r="Q24" s="19">
        <f t="shared" si="41"/>
        <v>81.273600000000002</v>
      </c>
      <c r="R24" s="19">
        <f t="shared" si="42"/>
        <v>3.3863999999999996</v>
      </c>
      <c r="S24" s="19">
        <f t="shared" si="43"/>
        <v>283.25824999999998</v>
      </c>
      <c r="T24" s="19">
        <f t="shared" si="44"/>
        <v>16.254720000000002</v>
      </c>
      <c r="U24" s="19">
        <f t="shared" si="45"/>
        <v>0.48764160000000001</v>
      </c>
      <c r="V24" s="19">
        <f t="shared" si="46"/>
        <v>64.531238400000007</v>
      </c>
      <c r="W24" s="13">
        <v>25</v>
      </c>
    </row>
    <row r="25" spans="1:23" x14ac:dyDescent="0.3">
      <c r="A25" s="13"/>
      <c r="B25" s="13" t="s">
        <v>47</v>
      </c>
      <c r="C25" s="15">
        <v>30</v>
      </c>
      <c r="D25" s="29">
        <f t="shared" si="33"/>
        <v>631.0879583333334</v>
      </c>
      <c r="E25" s="10"/>
      <c r="F25" s="15">
        <v>627.9</v>
      </c>
      <c r="G25" s="10"/>
      <c r="H25" s="20">
        <f t="shared" si="40"/>
        <v>18932.638750000002</v>
      </c>
      <c r="I25" s="15">
        <f t="shared" si="34"/>
        <v>18837</v>
      </c>
      <c r="J25" s="15"/>
      <c r="K25" s="10"/>
      <c r="L25" s="10"/>
      <c r="M25" s="10"/>
      <c r="N25" s="79"/>
      <c r="O25" s="13"/>
      <c r="P25" s="13"/>
      <c r="Q25" s="19">
        <f t="shared" si="41"/>
        <v>67.813199999999995</v>
      </c>
      <c r="R25" s="19">
        <f t="shared" si="42"/>
        <v>2.8255499999999998</v>
      </c>
      <c r="S25" s="19">
        <f t="shared" si="43"/>
        <v>630.25462500000003</v>
      </c>
      <c r="T25" s="19">
        <f t="shared" si="44"/>
        <v>13.56264</v>
      </c>
      <c r="U25" s="19">
        <f t="shared" si="45"/>
        <v>0.4068792</v>
      </c>
      <c r="V25" s="19">
        <f t="shared" si="46"/>
        <v>53.843680800000001</v>
      </c>
      <c r="W25" s="13">
        <v>25</v>
      </c>
    </row>
    <row r="26" spans="1:23" x14ac:dyDescent="0.3">
      <c r="A26" s="61">
        <v>14</v>
      </c>
      <c r="B26" s="61" t="s">
        <v>48</v>
      </c>
      <c r="C26" s="63">
        <v>100</v>
      </c>
      <c r="D26" s="10">
        <f t="shared" si="33"/>
        <v>840.22709799999996</v>
      </c>
      <c r="E26" s="10"/>
      <c r="F26" s="63">
        <v>836.84</v>
      </c>
      <c r="G26" s="10"/>
      <c r="H26" s="20">
        <f t="shared" si="40"/>
        <v>84022.709799999997</v>
      </c>
      <c r="I26" s="63">
        <f t="shared" si="34"/>
        <v>83684</v>
      </c>
      <c r="J26" s="63"/>
      <c r="K26" s="10"/>
      <c r="L26" s="10"/>
      <c r="M26" s="10"/>
      <c r="N26" s="62">
        <v>45718</v>
      </c>
      <c r="O26" s="61"/>
      <c r="P26" s="61"/>
      <c r="Q26" s="19">
        <f t="shared" si="41"/>
        <v>276.15719999999999</v>
      </c>
      <c r="R26" s="19">
        <f t="shared" si="42"/>
        <v>12.552599999999998</v>
      </c>
      <c r="S26" s="19">
        <f t="shared" si="43"/>
        <v>839.97815000000003</v>
      </c>
      <c r="T26" s="19">
        <f t="shared" si="44"/>
        <v>55.231439999999999</v>
      </c>
      <c r="U26" s="19">
        <f t="shared" si="45"/>
        <v>1.6569431999999999</v>
      </c>
      <c r="V26" s="19">
        <f t="shared" si="46"/>
        <v>219.2688168</v>
      </c>
      <c r="W26" s="61">
        <v>50</v>
      </c>
    </row>
    <row r="28" spans="1:23" x14ac:dyDescent="0.3">
      <c r="H28" s="2">
        <v>80697.86</v>
      </c>
      <c r="I28" s="88">
        <f>H28-H29</f>
        <v>-23.619325000006938</v>
      </c>
      <c r="S28" s="1">
        <f>(534.8+541.02+538.11)/3</f>
        <v>537.97666666666657</v>
      </c>
    </row>
    <row r="29" spans="1:23" x14ac:dyDescent="0.3">
      <c r="A29" s="65">
        <v>12</v>
      </c>
      <c r="B29" s="65" t="s">
        <v>46</v>
      </c>
      <c r="C29" s="66">
        <v>150</v>
      </c>
      <c r="D29" s="29">
        <f t="shared" ref="D29" si="47">H29/C29</f>
        <v>538.14319550000005</v>
      </c>
      <c r="E29" s="10"/>
      <c r="F29" s="66">
        <v>535.97</v>
      </c>
      <c r="G29" s="10"/>
      <c r="H29" s="20">
        <f>I29+R29+T29+U29+V29+W29-0.5</f>
        <v>80721.479325000008</v>
      </c>
      <c r="I29" s="66">
        <f t="shared" ref="I29" si="48">C29*F29</f>
        <v>80395.5</v>
      </c>
      <c r="J29" s="66"/>
      <c r="K29" s="10"/>
      <c r="L29" s="10"/>
      <c r="M29" s="10"/>
      <c r="N29" s="64">
        <v>45691</v>
      </c>
      <c r="O29" s="65"/>
      <c r="P29" s="65"/>
      <c r="Q29" s="19">
        <v>289.42</v>
      </c>
      <c r="R29" s="19">
        <f t="shared" ref="R29" si="49">0.015%*I29</f>
        <v>12.059324999999999</v>
      </c>
      <c r="S29" s="19">
        <v>537.97667000000001</v>
      </c>
      <c r="T29" s="19">
        <f t="shared" ref="T29" si="50">Q29*20%</f>
        <v>57.884000000000007</v>
      </c>
      <c r="U29" s="19">
        <f t="shared" ref="U29" si="51">0.6%*Q29</f>
        <v>1.7365200000000001</v>
      </c>
      <c r="V29" s="19">
        <f t="shared" ref="V29" si="52">79.4%*Q29</f>
        <v>229.79948000000002</v>
      </c>
      <c r="W29" s="65">
        <v>25</v>
      </c>
    </row>
    <row r="30" spans="1:23" x14ac:dyDescent="0.3">
      <c r="A30" s="65">
        <v>12</v>
      </c>
      <c r="B30" s="65" t="s">
        <v>46</v>
      </c>
      <c r="C30" s="66">
        <v>150</v>
      </c>
      <c r="D30" s="29">
        <f t="shared" ref="D30" si="53">H30/C30</f>
        <v>538.14652883333338</v>
      </c>
      <c r="E30" s="10"/>
      <c r="F30" s="66">
        <v>535.97</v>
      </c>
      <c r="G30" s="10"/>
      <c r="H30" s="20">
        <f t="shared" ref="H30" si="54">I30+R30+T30+U30+V30+W30</f>
        <v>80721.979325000008</v>
      </c>
      <c r="I30" s="66">
        <f t="shared" ref="I30" si="55">C30*F30</f>
        <v>80395.5</v>
      </c>
      <c r="J30" s="66"/>
      <c r="K30" s="10"/>
      <c r="L30" s="10"/>
      <c r="M30" s="10"/>
      <c r="N30" s="64">
        <v>45691</v>
      </c>
      <c r="O30" s="65"/>
      <c r="P30" s="65"/>
      <c r="Q30" s="19">
        <v>289.42</v>
      </c>
      <c r="R30" s="19">
        <f t="shared" ref="R30" si="56">0.015%*I30</f>
        <v>12.059324999999999</v>
      </c>
      <c r="S30" s="19">
        <f>(0.33+0.015)%*F30+F30</f>
        <v>537.8190965</v>
      </c>
      <c r="T30" s="19">
        <f t="shared" ref="T30" si="57">Q30*20%</f>
        <v>57.884000000000007</v>
      </c>
      <c r="U30" s="19">
        <f t="shared" ref="U30" si="58">0.6%*Q30</f>
        <v>1.7365200000000001</v>
      </c>
      <c r="V30" s="19">
        <f t="shared" ref="V30" si="59">79.4%*Q30</f>
        <v>229.79948000000002</v>
      </c>
      <c r="W30" s="65">
        <v>25</v>
      </c>
    </row>
  </sheetData>
  <mergeCells count="15">
    <mergeCell ref="N24:N25"/>
    <mergeCell ref="A21:A22"/>
    <mergeCell ref="N21:N22"/>
    <mergeCell ref="N15:N18"/>
    <mergeCell ref="A13:A14"/>
    <mergeCell ref="A15:A18"/>
    <mergeCell ref="N13:N14"/>
    <mergeCell ref="J13:J14"/>
    <mergeCell ref="E19:E21"/>
    <mergeCell ref="E4:E5"/>
    <mergeCell ref="I1:J1"/>
    <mergeCell ref="L1:M1"/>
    <mergeCell ref="A7:A12"/>
    <mergeCell ref="N7:N12"/>
    <mergeCell ref="D1:E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B1" zoomScale="98" zoomScaleNormal="98" workbookViewId="0">
      <pane ySplit="1" topLeftCell="A8" activePane="bottomLeft" state="frozen"/>
      <selection pane="bottomLeft" activeCell="W26" sqref="W26"/>
    </sheetView>
  </sheetViews>
  <sheetFormatPr defaultRowHeight="14.4" x14ac:dyDescent="0.3"/>
  <cols>
    <col min="1" max="1" width="3.88671875" style="1" bestFit="1" customWidth="1"/>
    <col min="2" max="2" width="10.21875" style="1" bestFit="1" customWidth="1"/>
    <col min="3" max="3" width="4.77734375" style="3" bestFit="1" customWidth="1"/>
    <col min="4" max="4" width="7.6640625" style="3" bestFit="1" customWidth="1"/>
    <col min="5" max="5" width="7.77734375" style="3" customWidth="1"/>
    <col min="6" max="6" width="9.21875" style="3" bestFit="1" customWidth="1"/>
    <col min="7" max="7" width="6" style="3" bestFit="1" customWidth="1"/>
    <col min="8" max="8" width="10.33203125" style="1" bestFit="1" customWidth="1"/>
    <col min="9" max="9" width="12" style="3" bestFit="1" customWidth="1"/>
    <col min="10" max="10" width="10.33203125" style="1" customWidth="1"/>
    <col min="11" max="11" width="10.88671875" style="1" bestFit="1" customWidth="1"/>
    <col min="12" max="12" width="11.109375" style="1" bestFit="1" customWidth="1"/>
    <col min="13" max="13" width="5.44140625" style="1" customWidth="1"/>
    <col min="14" max="14" width="10.109375" style="1" customWidth="1"/>
    <col min="15" max="15" width="8.5546875" style="1" customWidth="1"/>
    <col min="16" max="16" width="7.21875" style="1" customWidth="1"/>
    <col min="17" max="17" width="6.6640625" style="1" bestFit="1" customWidth="1"/>
    <col min="18" max="18" width="13.44140625" style="1" bestFit="1" customWidth="1"/>
    <col min="19" max="19" width="11.109375" style="1" bestFit="1" customWidth="1"/>
    <col min="20" max="20" width="11" style="1" bestFit="1" customWidth="1"/>
    <col min="21" max="21" width="13.109375" style="1" bestFit="1" customWidth="1"/>
    <col min="22" max="22" width="11.21875" style="1" bestFit="1" customWidth="1"/>
    <col min="23" max="23" width="9.44140625" style="1" bestFit="1" customWidth="1"/>
    <col min="24" max="16384" width="8.88671875" style="1"/>
  </cols>
  <sheetData>
    <row r="1" spans="1:23" s="4" customFormat="1" ht="100.8" x14ac:dyDescent="0.3">
      <c r="A1" s="5" t="s">
        <v>0</v>
      </c>
      <c r="B1" s="5" t="s">
        <v>1</v>
      </c>
      <c r="C1" s="42" t="s">
        <v>19</v>
      </c>
      <c r="D1" s="42" t="s">
        <v>5</v>
      </c>
      <c r="E1" s="56" t="s">
        <v>37</v>
      </c>
      <c r="F1" s="73" t="s">
        <v>38</v>
      </c>
      <c r="G1" s="73"/>
      <c r="H1" s="42" t="s">
        <v>3</v>
      </c>
      <c r="I1" s="42" t="s">
        <v>35</v>
      </c>
      <c r="J1" s="42" t="s">
        <v>36</v>
      </c>
      <c r="K1" s="5" t="s">
        <v>27</v>
      </c>
      <c r="L1" s="5" t="s">
        <v>23</v>
      </c>
      <c r="M1" s="5" t="s">
        <v>28</v>
      </c>
      <c r="N1" s="5" t="s">
        <v>21</v>
      </c>
      <c r="O1" s="5" t="s">
        <v>25</v>
      </c>
      <c r="P1" s="5" t="s">
        <v>26</v>
      </c>
      <c r="Q1" s="5" t="s">
        <v>40</v>
      </c>
      <c r="R1" s="5" t="s">
        <v>41</v>
      </c>
      <c r="S1" s="5" t="s">
        <v>24</v>
      </c>
      <c r="T1" s="5" t="s">
        <v>42</v>
      </c>
      <c r="U1" s="5" t="s">
        <v>43</v>
      </c>
      <c r="V1" s="5" t="s">
        <v>44</v>
      </c>
      <c r="W1" s="4" t="s">
        <v>49</v>
      </c>
    </row>
    <row r="2" spans="1:23" s="30" customFormat="1" x14ac:dyDescent="0.3">
      <c r="A2" s="43">
        <v>1</v>
      </c>
      <c r="B2" s="43" t="s">
        <v>6</v>
      </c>
      <c r="C2" s="43">
        <v>100</v>
      </c>
      <c r="D2" s="57">
        <v>277</v>
      </c>
      <c r="E2" s="32">
        <f>Buy!D2</f>
        <v>270.07504166666666</v>
      </c>
      <c r="F2" s="43">
        <f>C2*D2</f>
        <v>27700</v>
      </c>
      <c r="G2" s="43"/>
      <c r="H2" s="44">
        <v>45623</v>
      </c>
      <c r="I2" s="57">
        <v>27523.200000000001</v>
      </c>
      <c r="J2" s="44">
        <v>45627</v>
      </c>
      <c r="K2" s="32">
        <f>IF(0.36%*F2&lt;10,10,0.36%*F2)</f>
        <v>99.72</v>
      </c>
      <c r="L2" s="32">
        <f>0.015%*F2</f>
        <v>4.1549999999999994</v>
      </c>
      <c r="M2" s="32">
        <v>25</v>
      </c>
      <c r="N2" s="32">
        <f>20%*K2</f>
        <v>19.944000000000003</v>
      </c>
      <c r="O2" s="32">
        <f>0.6%*K2</f>
        <v>0.59831999999999996</v>
      </c>
      <c r="P2" s="32">
        <f>79.4%*K2</f>
        <v>79.177680000000009</v>
      </c>
      <c r="Q2" s="32">
        <f>IF(E2&gt;D2,0,(((D2*C2-E2*C2)-L2-M2-O2-N2-P2)*7.5%))</f>
        <v>42.27156250000008</v>
      </c>
      <c r="R2" s="32">
        <f>F2-K2-Q2-L2</f>
        <v>27553.853437499998</v>
      </c>
      <c r="S2" s="32">
        <f>R2/C2</f>
        <v>275.53853437499998</v>
      </c>
      <c r="T2" s="32">
        <f>R2-M2</f>
        <v>27528.853437499998</v>
      </c>
      <c r="U2" s="67">
        <f t="shared" ref="U2:U13" si="0">T2-9.667-O2</f>
        <v>27518.588117499996</v>
      </c>
      <c r="V2" s="32">
        <f>I2-U2</f>
        <v>4.6118825000048673</v>
      </c>
      <c r="W2" s="92">
        <f>SUM(I2:I3)-Buy!H2</f>
        <v>1312.0737500000032</v>
      </c>
    </row>
    <row r="3" spans="1:23" s="30" customFormat="1" x14ac:dyDescent="0.3">
      <c r="A3" s="43">
        <v>2</v>
      </c>
      <c r="B3" s="43" t="s">
        <v>6</v>
      </c>
      <c r="C3" s="43">
        <v>50</v>
      </c>
      <c r="D3" s="57">
        <v>289</v>
      </c>
      <c r="E3" s="32">
        <f>Buy!D2</f>
        <v>270.07504166666666</v>
      </c>
      <c r="F3" s="43">
        <f>C3*D3</f>
        <v>14450</v>
      </c>
      <c r="G3" s="43"/>
      <c r="H3" s="44">
        <v>45624</v>
      </c>
      <c r="I3" s="57">
        <v>14300.13</v>
      </c>
      <c r="J3" s="44">
        <v>45628</v>
      </c>
      <c r="K3" s="32">
        <f t="shared" ref="K3:K9" si="1">IF(0.36%*F3&lt;10,10,0.36%*F3)</f>
        <v>52.019999999999996</v>
      </c>
      <c r="L3" s="32">
        <f>0.015%*F3</f>
        <v>2.1675</v>
      </c>
      <c r="M3" s="32">
        <v>25</v>
      </c>
      <c r="N3" s="32">
        <f>20%*K3</f>
        <v>10.404</v>
      </c>
      <c r="O3" s="32">
        <f>0.6%*K3</f>
        <v>0.31212000000000001</v>
      </c>
      <c r="P3" s="32">
        <f>79.4%*K3</f>
        <v>41.303879999999999</v>
      </c>
      <c r="Q3" s="32">
        <f>IF(E3&gt;D3,0,(((D3*C3-E3*C3)-L3-M3-O3-N3-P3)*7.5%))</f>
        <v>65.029531250000019</v>
      </c>
      <c r="R3" s="32">
        <f>F3-K3-Q3-L3</f>
        <v>14330.78296875</v>
      </c>
      <c r="S3" s="32">
        <f>R3/C3</f>
        <v>286.61565937500001</v>
      </c>
      <c r="T3" s="32">
        <f>R3-M3</f>
        <v>14305.78296875</v>
      </c>
      <c r="U3" s="67">
        <f t="shared" si="0"/>
        <v>14295.80384875</v>
      </c>
      <c r="V3" s="32">
        <f>I3-U3</f>
        <v>4.3261512499993842</v>
      </c>
      <c r="W3" s="92"/>
    </row>
    <row r="4" spans="1:23" s="30" customFormat="1" x14ac:dyDescent="0.3">
      <c r="A4" s="43">
        <v>3</v>
      </c>
      <c r="B4" s="43" t="s">
        <v>9</v>
      </c>
      <c r="C4" s="43">
        <v>20</v>
      </c>
      <c r="D4" s="57">
        <v>500.2</v>
      </c>
      <c r="E4" s="32">
        <f>Buy!D6</f>
        <v>527.59375</v>
      </c>
      <c r="F4" s="43">
        <f>C4*D4</f>
        <v>10004</v>
      </c>
      <c r="G4" s="43"/>
      <c r="H4" s="44">
        <v>45648</v>
      </c>
      <c r="I4" s="57">
        <v>9935.83</v>
      </c>
      <c r="J4" s="44">
        <v>45652</v>
      </c>
      <c r="K4" s="32">
        <f t="shared" si="1"/>
        <v>36.014400000000002</v>
      </c>
      <c r="L4" s="32">
        <f>0.015%*F4</f>
        <v>1.5005999999999999</v>
      </c>
      <c r="M4" s="32">
        <v>25</v>
      </c>
      <c r="N4" s="32">
        <f>20%*K4</f>
        <v>7.2028800000000004</v>
      </c>
      <c r="O4" s="32">
        <f>0.6%*K4</f>
        <v>0.21608640000000001</v>
      </c>
      <c r="P4" s="32">
        <f>79.4%*K4</f>
        <v>28.595433600000003</v>
      </c>
      <c r="Q4" s="32">
        <f>IF(E4&gt;D4,0,(((D4*C4-E4*C4)-L4-M4-O4-N4-P4)*7.5%))</f>
        <v>0</v>
      </c>
      <c r="R4" s="32">
        <f>F4-K4-Q4-L4</f>
        <v>9966.4850000000006</v>
      </c>
      <c r="S4" s="32">
        <f>R4/C4</f>
        <v>498.32425000000001</v>
      </c>
      <c r="T4" s="32">
        <f>R4-M4</f>
        <v>9941.4850000000006</v>
      </c>
      <c r="U4" s="67">
        <f t="shared" si="0"/>
        <v>9931.6019136000014</v>
      </c>
      <c r="V4" s="32">
        <f>I4-U4</f>
        <v>4.2280863999985741</v>
      </c>
      <c r="W4" s="91">
        <f>T12+T4-9.667-O4-O12-Buy!H6</f>
        <v>-267.27631140000085</v>
      </c>
    </row>
    <row r="5" spans="1:23" s="30" customFormat="1" x14ac:dyDescent="0.3">
      <c r="A5" s="85">
        <v>4</v>
      </c>
      <c r="B5" s="43" t="s">
        <v>12</v>
      </c>
      <c r="C5" s="43">
        <v>20</v>
      </c>
      <c r="D5" s="57">
        <v>435</v>
      </c>
      <c r="E5" s="57">
        <f>Buy!D10</f>
        <v>408.57175000000001</v>
      </c>
      <c r="F5" s="43">
        <f>C5*D5</f>
        <v>8700</v>
      </c>
      <c r="G5" s="85">
        <f>SUM(F5:F6)</f>
        <v>17150</v>
      </c>
      <c r="H5" s="86">
        <v>45655</v>
      </c>
      <c r="I5" s="87">
        <v>16695.41</v>
      </c>
      <c r="J5" s="86">
        <v>45659</v>
      </c>
      <c r="K5" s="32">
        <f t="shared" si="1"/>
        <v>31.32</v>
      </c>
      <c r="L5" s="32">
        <f>0.015%*F5</f>
        <v>1.3049999999999999</v>
      </c>
      <c r="M5" s="32">
        <v>25</v>
      </c>
      <c r="N5" s="32">
        <f>20%*K5</f>
        <v>6.2640000000000002</v>
      </c>
      <c r="O5" s="32">
        <f>0.6%*K5</f>
        <v>0.18792</v>
      </c>
      <c r="P5" s="32">
        <f>79.4%*K5</f>
        <v>24.868080000000003</v>
      </c>
      <c r="Q5" s="32">
        <f>IF(E5&gt;D5,0,(((D5*C5-E5*C5)-L5-M5-O5-N5-P5)*7.5%))</f>
        <v>35.320499999999967</v>
      </c>
      <c r="R5" s="32">
        <f>F5-K5-Q5-L5</f>
        <v>8632.0545000000002</v>
      </c>
      <c r="S5" s="32">
        <f>R5/C5</f>
        <v>431.60272500000002</v>
      </c>
      <c r="T5" s="32">
        <f>R5-M5</f>
        <v>8607.0545000000002</v>
      </c>
      <c r="U5" s="87">
        <f>SUM(T5:T6)-9.667-O5-O6</f>
        <v>16691.0186225</v>
      </c>
      <c r="V5" s="89">
        <f>I5-U5</f>
        <v>4.3913775000000896</v>
      </c>
      <c r="W5" s="91">
        <f>T5-9.67-O5-Buy!H10</f>
        <v>425.76157999999941</v>
      </c>
    </row>
    <row r="6" spans="1:23" s="3" customFormat="1" x14ac:dyDescent="0.3">
      <c r="A6" s="85"/>
      <c r="B6" s="10" t="s">
        <v>14</v>
      </c>
      <c r="C6" s="10">
        <v>10</v>
      </c>
      <c r="D6" s="29">
        <v>845</v>
      </c>
      <c r="E6" s="29">
        <f>Buy!D12</f>
        <v>440.25</v>
      </c>
      <c r="F6" s="10">
        <f>C6*D6</f>
        <v>8450</v>
      </c>
      <c r="G6" s="85"/>
      <c r="H6" s="86"/>
      <c r="I6" s="87"/>
      <c r="J6" s="86"/>
      <c r="K6" s="29">
        <f t="shared" si="1"/>
        <v>30.419999999999998</v>
      </c>
      <c r="L6" s="29">
        <f>0.015%*F6</f>
        <v>1.2674999999999998</v>
      </c>
      <c r="M6" s="29">
        <v>25</v>
      </c>
      <c r="N6" s="29">
        <f>20%*K6</f>
        <v>6.0839999999999996</v>
      </c>
      <c r="O6" s="29">
        <f>0.6%*K6</f>
        <v>0.18251999999999999</v>
      </c>
      <c r="P6" s="29">
        <f>79.4%*K6</f>
        <v>24.153479999999998</v>
      </c>
      <c r="Q6" s="29">
        <f>IF(E6&gt;D6,0,(((D6*C6-E6*C6)-L6-M6-O6-N6-P6)*7.5%))</f>
        <v>299.31093750000002</v>
      </c>
      <c r="R6" s="29">
        <f>F6-K6-Q6-L6</f>
        <v>8119.0015624999996</v>
      </c>
      <c r="S6" s="29">
        <f>R6/C6</f>
        <v>811.90015625000001</v>
      </c>
      <c r="T6" s="29">
        <f>R6-M6</f>
        <v>8094.0015624999996</v>
      </c>
      <c r="U6" s="87"/>
      <c r="V6" s="90"/>
    </row>
    <row r="7" spans="1:23" s="30" customFormat="1" x14ac:dyDescent="0.3">
      <c r="A7" s="85">
        <v>5</v>
      </c>
      <c r="B7" s="43" t="s">
        <v>10</v>
      </c>
      <c r="C7" s="43">
        <v>10</v>
      </c>
      <c r="D7" s="57">
        <v>255.1</v>
      </c>
      <c r="E7" s="57">
        <f>Buy!D7</f>
        <v>247.51537500000001</v>
      </c>
      <c r="F7" s="43">
        <f>C7*D7</f>
        <v>2551</v>
      </c>
      <c r="G7" s="85">
        <f>SUM(F7:F9)</f>
        <v>17752</v>
      </c>
      <c r="H7" s="86">
        <v>45663</v>
      </c>
      <c r="I7" s="87">
        <v>17564.150000000001</v>
      </c>
      <c r="J7" s="86">
        <v>45676</v>
      </c>
      <c r="K7" s="59">
        <f t="shared" si="1"/>
        <v>10</v>
      </c>
      <c r="L7" s="59">
        <f t="shared" ref="L7:L9" si="2">0.015%*F7</f>
        <v>0.38264999999999999</v>
      </c>
      <c r="M7" s="59">
        <v>25</v>
      </c>
      <c r="N7" s="59">
        <f t="shared" ref="N7:N9" si="3">20%*K7</f>
        <v>2</v>
      </c>
      <c r="O7" s="59">
        <f t="shared" ref="O7:O9" si="4">0.6%*K7</f>
        <v>0.06</v>
      </c>
      <c r="P7" s="59">
        <f t="shared" ref="P7:P9" si="5">79.4%*K7</f>
        <v>7.94</v>
      </c>
      <c r="Q7" s="59">
        <f>IF(E7&gt;D7,0,(((D7*C7-E7*C7)-L7-M7-O7-N7-P7)*7.5%))</f>
        <v>3.034770000000004</v>
      </c>
      <c r="R7" s="59">
        <f t="shared" ref="R7:R9" si="6">F7-K7-Q7-L7</f>
        <v>2537.5825799999998</v>
      </c>
      <c r="S7" s="59">
        <f>R7/C7</f>
        <v>253.75825799999998</v>
      </c>
      <c r="T7" s="59">
        <f t="shared" ref="T7:T9" si="7">R7-M7</f>
        <v>2512.5825799999998</v>
      </c>
      <c r="U7" s="87">
        <f>SUM(T7:T9)-9.667-O7-O8-O9</f>
        <v>17559.651332149995</v>
      </c>
      <c r="V7" s="87">
        <f>(I7-(U7+U8+U9))</f>
        <v>4.4986678500063135</v>
      </c>
      <c r="W7" s="91">
        <f>T7-9.67-O7-Buy!H7</f>
        <v>27.698829999999816</v>
      </c>
    </row>
    <row r="8" spans="1:23" s="30" customFormat="1" x14ac:dyDescent="0.3">
      <c r="A8" s="85"/>
      <c r="B8" s="43" t="s">
        <v>11</v>
      </c>
      <c r="C8" s="43">
        <v>20</v>
      </c>
      <c r="D8" s="57">
        <v>266.5</v>
      </c>
      <c r="E8" s="57">
        <f>Buy!D8</f>
        <v>255.09837500000003</v>
      </c>
      <c r="F8" s="43">
        <f>C8*D8</f>
        <v>5330</v>
      </c>
      <c r="G8" s="85"/>
      <c r="H8" s="86"/>
      <c r="I8" s="87"/>
      <c r="J8" s="86"/>
      <c r="K8" s="59">
        <f t="shared" si="1"/>
        <v>19.187999999999999</v>
      </c>
      <c r="L8" s="59">
        <f t="shared" si="2"/>
        <v>0.79949999999999988</v>
      </c>
      <c r="M8" s="59">
        <v>25</v>
      </c>
      <c r="N8" s="59">
        <f t="shared" si="3"/>
        <v>3.8376000000000001</v>
      </c>
      <c r="O8" s="59">
        <f t="shared" si="4"/>
        <v>0.11512799999999999</v>
      </c>
      <c r="P8" s="59">
        <f t="shared" si="5"/>
        <v>15.235272</v>
      </c>
      <c r="Q8" s="59">
        <f>IF(E8&gt;D8,0,(((D8*C8-E8*C8)-L8-M8-O8-N8-P8)*7.5%))</f>
        <v>13.72837499999995</v>
      </c>
      <c r="R8" s="59">
        <f t="shared" si="6"/>
        <v>5296.2841250000001</v>
      </c>
      <c r="S8" s="59">
        <f>R8/C8</f>
        <v>264.81420624999998</v>
      </c>
      <c r="T8" s="59">
        <f t="shared" si="7"/>
        <v>5271.2841250000001</v>
      </c>
      <c r="U8" s="87"/>
      <c r="V8" s="87"/>
      <c r="W8" s="91">
        <f>T8-9.67-O8-Buy!H8</f>
        <v>159.53149699999904</v>
      </c>
    </row>
    <row r="9" spans="1:23" s="30" customFormat="1" x14ac:dyDescent="0.3">
      <c r="A9" s="85"/>
      <c r="B9" s="43" t="s">
        <v>13</v>
      </c>
      <c r="C9" s="43">
        <v>20</v>
      </c>
      <c r="D9" s="57">
        <v>493.55</v>
      </c>
      <c r="E9" s="57">
        <f>Buy!D11</f>
        <v>475.02</v>
      </c>
      <c r="F9" s="43">
        <f>C9*D9</f>
        <v>9871</v>
      </c>
      <c r="G9" s="85"/>
      <c r="H9" s="86"/>
      <c r="I9" s="87"/>
      <c r="J9" s="86"/>
      <c r="K9" s="59">
        <f t="shared" si="1"/>
        <v>35.535600000000002</v>
      </c>
      <c r="L9" s="59">
        <f t="shared" si="2"/>
        <v>1.4806499999999998</v>
      </c>
      <c r="M9" s="59">
        <v>25</v>
      </c>
      <c r="N9" s="59">
        <f t="shared" si="3"/>
        <v>7.107120000000001</v>
      </c>
      <c r="O9" s="59">
        <f t="shared" si="4"/>
        <v>0.21321360000000003</v>
      </c>
      <c r="P9" s="59">
        <f t="shared" si="5"/>
        <v>28.215266400000004</v>
      </c>
      <c r="Q9" s="59">
        <f>IF(E9&gt;D9,0,(((D9*C9-E9*C9)-L9-M9-O9-N9-P9)*7.5%))</f>
        <v>23.143781250000021</v>
      </c>
      <c r="R9" s="59">
        <f t="shared" si="6"/>
        <v>9810.8399687500005</v>
      </c>
      <c r="S9" s="59">
        <f>R9/C9</f>
        <v>490.54199843750001</v>
      </c>
      <c r="T9" s="59">
        <f t="shared" si="7"/>
        <v>9785.8399687500005</v>
      </c>
      <c r="U9" s="87"/>
      <c r="V9" s="87"/>
      <c r="W9" s="91">
        <f>T9-9.67-O9-Buy!H11</f>
        <v>275.55675515000075</v>
      </c>
    </row>
    <row r="10" spans="1:23" s="3" customFormat="1" x14ac:dyDescent="0.3">
      <c r="A10" s="10">
        <v>6</v>
      </c>
      <c r="B10" s="10" t="s">
        <v>34</v>
      </c>
      <c r="C10" s="10">
        <v>11</v>
      </c>
      <c r="D10" s="29">
        <v>503.1</v>
      </c>
      <c r="E10" s="29">
        <f>(435*10+100*1)/11</f>
        <v>404.54545454545456</v>
      </c>
      <c r="F10" s="10">
        <f>C10*D10</f>
        <v>5534.1</v>
      </c>
      <c r="G10" s="10"/>
      <c r="H10" s="94">
        <v>45665</v>
      </c>
      <c r="I10" s="29">
        <v>5428.42</v>
      </c>
      <c r="J10" s="27">
        <v>45669</v>
      </c>
      <c r="K10" s="29">
        <f t="shared" ref="K10" si="8">IF(0.36%*F10&lt;10,10,0.36%*F10)</f>
        <v>19.92276</v>
      </c>
      <c r="L10" s="29">
        <f t="shared" ref="L10" si="9">0.015%*F10</f>
        <v>0.83011499999999994</v>
      </c>
      <c r="M10" s="29">
        <v>25</v>
      </c>
      <c r="N10" s="29">
        <f t="shared" ref="N10" si="10">20%*K10</f>
        <v>3.9845520000000003</v>
      </c>
      <c r="O10" s="29">
        <f t="shared" ref="O10" si="11">0.6%*K10</f>
        <v>0.11953656</v>
      </c>
      <c r="P10" s="29">
        <f t="shared" ref="P10" si="12">79.4%*K10</f>
        <v>15.818671440000001</v>
      </c>
      <c r="Q10" s="29">
        <f>IF(E10&gt;D10,0,(((D10*C10-E10*C10)-L10-M10-O10-N10-P10)*5%))</f>
        <v>51.91735625000004</v>
      </c>
      <c r="R10" s="29">
        <f t="shared" ref="R10" si="13">F10-K10-Q10-L10</f>
        <v>5461.4297687500002</v>
      </c>
      <c r="S10" s="29">
        <f>R10/C10</f>
        <v>496.49361534090912</v>
      </c>
      <c r="T10" s="29">
        <f t="shared" ref="T10" si="14">R10-M10</f>
        <v>5436.4297687500002</v>
      </c>
      <c r="U10" s="29">
        <f t="shared" si="0"/>
        <v>5426.6432321900002</v>
      </c>
      <c r="V10" s="29">
        <f>I10-U10</f>
        <v>1.7767678099999102</v>
      </c>
    </row>
    <row r="11" spans="1:23" s="3" customFormat="1" x14ac:dyDescent="0.3">
      <c r="A11" s="85">
        <v>7</v>
      </c>
      <c r="B11" s="10" t="s">
        <v>7</v>
      </c>
      <c r="C11" s="10">
        <v>33</v>
      </c>
      <c r="D11" s="29">
        <v>493</v>
      </c>
      <c r="E11" s="29">
        <f>Buy!E9</f>
        <v>584.40807354761898</v>
      </c>
      <c r="F11" s="10">
        <f>C11*D11</f>
        <v>16269</v>
      </c>
      <c r="G11" s="85">
        <f>SUM(F11:F12)</f>
        <v>27269</v>
      </c>
      <c r="H11" s="86">
        <v>45670</v>
      </c>
      <c r="I11" s="87">
        <v>27082.45</v>
      </c>
      <c r="J11" s="86">
        <v>45674</v>
      </c>
      <c r="K11" s="29">
        <f t="shared" ref="K11:K17" si="15">IF(0.36%*F11&lt;10,10,0.36%*F11)</f>
        <v>58.568399999999997</v>
      </c>
      <c r="L11" s="29">
        <f t="shared" ref="L11:L17" si="16">0.015%*F11</f>
        <v>2.4403499999999996</v>
      </c>
      <c r="M11" s="29">
        <v>25</v>
      </c>
      <c r="N11" s="29">
        <f t="shared" ref="N11:N17" si="17">20%*K11</f>
        <v>11.71368</v>
      </c>
      <c r="O11" s="29">
        <f t="shared" ref="O11:O17" si="18">0.6%*K11</f>
        <v>0.35141040000000001</v>
      </c>
      <c r="P11" s="29">
        <f t="shared" ref="P11:P17" si="19">79.4%*K11</f>
        <v>46.503309600000001</v>
      </c>
      <c r="Q11" s="29">
        <f>IF(E11&gt;D11,0,(((D11*C11-E11*C11)-L11-M11-O11-N11-P11)*7.5%))</f>
        <v>0</v>
      </c>
      <c r="R11" s="29">
        <f t="shared" ref="R11:R12" si="20">F11-K11-Q11-L11</f>
        <v>16207.991249999999</v>
      </c>
      <c r="S11" s="29">
        <f>R11/C11</f>
        <v>491.15124999999995</v>
      </c>
      <c r="T11" s="29">
        <f t="shared" ref="T11:T12" si="21">R11-M11</f>
        <v>16182.991249999999</v>
      </c>
      <c r="U11" s="87">
        <f>SUM(T11:T12)-9.667-O11-O12</f>
        <v>27077.844614599999</v>
      </c>
      <c r="V11" s="89">
        <f>I11-U11</f>
        <v>4.6053854000019783</v>
      </c>
    </row>
    <row r="12" spans="1:23" s="30" customFormat="1" x14ac:dyDescent="0.3">
      <c r="A12" s="85"/>
      <c r="B12" s="43" t="s">
        <v>9</v>
      </c>
      <c r="C12" s="43">
        <v>20</v>
      </c>
      <c r="D12" s="57">
        <v>550</v>
      </c>
      <c r="E12" s="57">
        <f>Buy!D6</f>
        <v>527.59375</v>
      </c>
      <c r="F12" s="43">
        <f>C12*D12</f>
        <v>11000</v>
      </c>
      <c r="G12" s="85"/>
      <c r="H12" s="86"/>
      <c r="I12" s="87"/>
      <c r="J12" s="86"/>
      <c r="K12" s="59">
        <f t="shared" si="15"/>
        <v>39.6</v>
      </c>
      <c r="L12" s="59">
        <f t="shared" si="16"/>
        <v>1.65</v>
      </c>
      <c r="M12" s="59">
        <v>25</v>
      </c>
      <c r="N12" s="59">
        <f t="shared" si="17"/>
        <v>7.9200000000000008</v>
      </c>
      <c r="O12" s="59">
        <f t="shared" si="18"/>
        <v>0.23760000000000001</v>
      </c>
      <c r="P12" s="59">
        <f t="shared" si="19"/>
        <v>31.442400000000003</v>
      </c>
      <c r="Q12" s="59">
        <f>IF(E12&gt;D12,0,(((D12*C12-E12*C12)-L12-M12-O12-N12-P12)*7.5%))</f>
        <v>28.640625</v>
      </c>
      <c r="R12" s="59">
        <f t="shared" si="20"/>
        <v>10930.109375</v>
      </c>
      <c r="S12" s="59">
        <f>R12/C12</f>
        <v>546.50546874999998</v>
      </c>
      <c r="T12" s="59">
        <f t="shared" si="21"/>
        <v>10905.109375</v>
      </c>
      <c r="U12" s="87"/>
      <c r="V12" s="90"/>
    </row>
    <row r="13" spans="1:23" s="3" customFormat="1" x14ac:dyDescent="0.3">
      <c r="A13" s="10">
        <v>8</v>
      </c>
      <c r="B13" s="10" t="s">
        <v>14</v>
      </c>
      <c r="C13" s="10">
        <v>35</v>
      </c>
      <c r="D13" s="29">
        <v>843.09</v>
      </c>
      <c r="E13" s="29">
        <v>768.2</v>
      </c>
      <c r="F13" s="10">
        <f>C13*D13</f>
        <v>29508.15</v>
      </c>
      <c r="G13" s="10"/>
      <c r="H13" s="94">
        <v>45680</v>
      </c>
      <c r="I13" s="29">
        <v>29180.29</v>
      </c>
      <c r="J13" s="27">
        <v>45693</v>
      </c>
      <c r="K13" s="29">
        <f t="shared" si="15"/>
        <v>106.22934000000001</v>
      </c>
      <c r="L13" s="29">
        <f t="shared" si="16"/>
        <v>4.4262224999999997</v>
      </c>
      <c r="M13" s="29">
        <v>25</v>
      </c>
      <c r="N13" s="29">
        <f t="shared" si="17"/>
        <v>21.245868000000002</v>
      </c>
      <c r="O13" s="29">
        <f t="shared" si="18"/>
        <v>0.63737604000000003</v>
      </c>
      <c r="P13" s="29">
        <f t="shared" si="19"/>
        <v>84.346095960000014</v>
      </c>
      <c r="Q13" s="29">
        <f>IF(E13&gt;D13,0,(((D13*C13-E13*C13)-L13-M13-O13-N13-P13)*7.5%))</f>
        <v>186.41208281250007</v>
      </c>
      <c r="R13" s="29">
        <f t="shared" ref="R13" si="22">F13-K13-Q13-L13</f>
        <v>29211.0823546875</v>
      </c>
      <c r="S13" s="29">
        <f>R13/C13</f>
        <v>834.60235299107137</v>
      </c>
      <c r="T13" s="29">
        <f t="shared" ref="T13" si="23">R13-M13</f>
        <v>29186.0823546875</v>
      </c>
      <c r="U13" s="29">
        <f t="shared" si="0"/>
        <v>29175.7779786475</v>
      </c>
      <c r="V13" s="29">
        <f>I13-U13</f>
        <v>4.5120213525005965</v>
      </c>
    </row>
    <row r="14" spans="1:23" s="30" customFormat="1" x14ac:dyDescent="0.3">
      <c r="A14" s="43">
        <v>9</v>
      </c>
      <c r="B14" s="43" t="s">
        <v>45</v>
      </c>
      <c r="C14" s="43">
        <v>10</v>
      </c>
      <c r="D14" s="57">
        <v>2294</v>
      </c>
      <c r="E14" s="57">
        <f>Buy!D22</f>
        <v>2289.0425000000005</v>
      </c>
      <c r="F14" s="43">
        <f>C14*D14</f>
        <v>22940</v>
      </c>
      <c r="G14" s="43"/>
      <c r="H14" s="55">
        <v>45683</v>
      </c>
      <c r="I14" s="57">
        <v>22823.33</v>
      </c>
      <c r="J14" s="69">
        <v>45694</v>
      </c>
      <c r="K14" s="59">
        <f t="shared" si="15"/>
        <v>82.584000000000003</v>
      </c>
      <c r="L14" s="59">
        <f t="shared" si="16"/>
        <v>3.4409999999999998</v>
      </c>
      <c r="M14" s="59">
        <v>25</v>
      </c>
      <c r="N14" s="59">
        <f t="shared" si="17"/>
        <v>16.5168</v>
      </c>
      <c r="O14" s="59">
        <f t="shared" si="18"/>
        <v>0.49550400000000006</v>
      </c>
      <c r="P14" s="59">
        <f t="shared" si="19"/>
        <v>65.571696000000003</v>
      </c>
      <c r="Q14" s="59">
        <f>IF(IF(E14&gt;D14,0,(((D14*C14-E14*C14)-L14-M14-O14-N14-P14)*7.5%))&lt;0,0,(((D14*C14-E14*C14)-L14-M14-O14-N14-P14)*7.5%))</f>
        <v>0</v>
      </c>
      <c r="R14" s="59">
        <f t="shared" ref="R14:R16" si="24">F14-K14-Q14-L14</f>
        <v>22853.975000000002</v>
      </c>
      <c r="S14" s="59">
        <f>R14/C14</f>
        <v>2285.3975</v>
      </c>
      <c r="T14" s="59">
        <f t="shared" ref="T14:T16" si="25">R14-M14</f>
        <v>22828.975000000002</v>
      </c>
      <c r="U14" s="67">
        <f>T14-9.667-O14</f>
        <v>22818.812496000002</v>
      </c>
      <c r="V14" s="59">
        <f>I14-U14</f>
        <v>4.5175039999994624</v>
      </c>
      <c r="W14" s="91">
        <f>I14-Buy!H22</f>
        <v>-67.095000000001164</v>
      </c>
    </row>
    <row r="15" spans="1:23" s="3" customFormat="1" x14ac:dyDescent="0.3">
      <c r="A15" s="10">
        <v>10</v>
      </c>
      <c r="B15" s="10" t="s">
        <v>14</v>
      </c>
      <c r="C15" s="10">
        <v>35</v>
      </c>
      <c r="D15" s="29">
        <v>867</v>
      </c>
      <c r="E15" s="29">
        <v>768.2</v>
      </c>
      <c r="F15" s="10">
        <f>C15*D15</f>
        <v>30345</v>
      </c>
      <c r="G15" s="10"/>
      <c r="H15" s="94">
        <v>45685</v>
      </c>
      <c r="I15" s="85">
        <v>65490.16</v>
      </c>
      <c r="J15" s="86">
        <v>45697</v>
      </c>
      <c r="K15" s="29">
        <f t="shared" ref="K15" si="26">IF(0.36%*F15&lt;10,10,0.36%*F15)</f>
        <v>109.24199999999999</v>
      </c>
      <c r="L15" s="29">
        <f t="shared" ref="L15" si="27">0.015%*F15</f>
        <v>4.5517499999999993</v>
      </c>
      <c r="M15" s="29">
        <v>25</v>
      </c>
      <c r="N15" s="29">
        <f t="shared" ref="N15" si="28">20%*K15</f>
        <v>21.848399999999998</v>
      </c>
      <c r="O15" s="29">
        <f t="shared" ref="O15" si="29">0.6%*K15</f>
        <v>0.65545199999999992</v>
      </c>
      <c r="P15" s="29">
        <f t="shared" ref="P15" si="30">79.4%*K15</f>
        <v>86.738147999999995</v>
      </c>
      <c r="Q15" s="29">
        <f>IF(IF(E15&gt;D15,0,(((D15*C15-E15*C15)-L15-M15-O15-N15-P15)*7.5%))&lt;0,0,(((D15*C15-E15*C15)-L15-M15-O15-N15-P15)*7.5%))</f>
        <v>248.94046875000001</v>
      </c>
      <c r="R15" s="29">
        <f t="shared" si="24"/>
        <v>29982.265781250004</v>
      </c>
      <c r="S15" s="29">
        <f>R15/C15</f>
        <v>856.63616517857156</v>
      </c>
      <c r="T15" s="29">
        <f t="shared" si="25"/>
        <v>29957.265781250004</v>
      </c>
      <c r="U15" s="87">
        <f>SUM(T15:T16)-9.667-O15-O16</f>
        <v>65490.357549250002</v>
      </c>
      <c r="V15" s="89">
        <f>I15-U15</f>
        <v>-0.19754924999870127</v>
      </c>
    </row>
    <row r="16" spans="1:23" s="30" customFormat="1" x14ac:dyDescent="0.3">
      <c r="A16" s="68">
        <v>11</v>
      </c>
      <c r="B16" s="68" t="s">
        <v>15</v>
      </c>
      <c r="C16" s="68">
        <v>40</v>
      </c>
      <c r="D16" s="67">
        <v>895</v>
      </c>
      <c r="E16" s="67">
        <f>Buy!D13</f>
        <v>858.83124999999995</v>
      </c>
      <c r="F16" s="68">
        <f>C16*D16</f>
        <v>35800</v>
      </c>
      <c r="G16" s="68"/>
      <c r="H16" s="31">
        <v>45691</v>
      </c>
      <c r="I16" s="85"/>
      <c r="J16" s="86"/>
      <c r="K16" s="67">
        <f t="shared" si="15"/>
        <v>128.88</v>
      </c>
      <c r="L16" s="67">
        <f t="shared" si="16"/>
        <v>5.3699999999999992</v>
      </c>
      <c r="M16" s="67">
        <v>25</v>
      </c>
      <c r="N16" s="67">
        <f t="shared" si="17"/>
        <v>25.776</v>
      </c>
      <c r="O16" s="67">
        <f t="shared" si="18"/>
        <v>0.77327999999999997</v>
      </c>
      <c r="P16" s="67">
        <f t="shared" si="19"/>
        <v>102.33072</v>
      </c>
      <c r="Q16" s="67">
        <f>IF(IF(E16&gt;D16,0,(((D16*C16-E16*C16)-L16-M16-O16-N16-P16)*7.5%))&lt;0,0,(((D16*C16-E16*C16)-L16-M16-O16-N16-P16)*7.5%))</f>
        <v>96.5625</v>
      </c>
      <c r="R16" s="67">
        <f t="shared" si="24"/>
        <v>35569.1875</v>
      </c>
      <c r="S16" s="67">
        <f>R16/C16</f>
        <v>889.22968749999995</v>
      </c>
      <c r="T16" s="67">
        <f t="shared" si="25"/>
        <v>35544.1875</v>
      </c>
      <c r="U16" s="87"/>
      <c r="V16" s="90"/>
      <c r="W16" s="91">
        <f>T16-9.67-O16-Buy!H13</f>
        <v>1180.4942200000005</v>
      </c>
    </row>
    <row r="17" spans="1:23" s="30" customFormat="1" x14ac:dyDescent="0.3">
      <c r="A17" s="68">
        <v>12</v>
      </c>
      <c r="B17" s="68" t="s">
        <v>31</v>
      </c>
      <c r="C17" s="68">
        <v>60</v>
      </c>
      <c r="D17" s="68">
        <v>428.8</v>
      </c>
      <c r="E17" s="68">
        <f>Buy!D15</f>
        <v>411.95416666666665</v>
      </c>
      <c r="F17" s="68">
        <f>C17*D17</f>
        <v>25728</v>
      </c>
      <c r="G17" s="68"/>
      <c r="H17" s="69">
        <v>45706</v>
      </c>
      <c r="I17" s="68">
        <v>25534.17</v>
      </c>
      <c r="J17" s="69">
        <v>45713</v>
      </c>
      <c r="K17" s="67">
        <f t="shared" si="15"/>
        <v>92.620800000000003</v>
      </c>
      <c r="L17" s="67">
        <f t="shared" si="16"/>
        <v>3.8591999999999995</v>
      </c>
      <c r="M17" s="67">
        <v>25</v>
      </c>
      <c r="N17" s="67">
        <f t="shared" si="17"/>
        <v>18.524160000000002</v>
      </c>
      <c r="O17" s="67">
        <f t="shared" si="18"/>
        <v>0.55572480000000002</v>
      </c>
      <c r="P17" s="67">
        <f t="shared" si="19"/>
        <v>73.540915200000001</v>
      </c>
      <c r="Q17" s="67">
        <f>IF(E17&gt;D17,0,(((D17*C17-E17*C17)-L17-M17-O17-N17-P17)*7.5%))</f>
        <v>66.695250000000001</v>
      </c>
      <c r="R17" s="67">
        <f>F17-K17-Q17-L17</f>
        <v>25564.82475</v>
      </c>
      <c r="S17" s="67">
        <f>R17/C17</f>
        <v>426.08041250000002</v>
      </c>
      <c r="T17" s="67">
        <f>R17-M17</f>
        <v>25539.82475</v>
      </c>
      <c r="U17" s="67">
        <f>T17-9.667-O17</f>
        <v>25529.602025199998</v>
      </c>
      <c r="V17" s="67">
        <f>I17-U17</f>
        <v>4.5679748000002292</v>
      </c>
      <c r="W17" s="93">
        <f>I17-Buy!H15</f>
        <v>816.91999999999825</v>
      </c>
    </row>
    <row r="18" spans="1:23" s="30" customFormat="1" x14ac:dyDescent="0.3">
      <c r="A18" s="85">
        <v>13</v>
      </c>
      <c r="B18" s="68" t="str">
        <f>Buy!B24</f>
        <v>API</v>
      </c>
      <c r="C18" s="68">
        <f>Buy!C24</f>
        <v>80</v>
      </c>
      <c r="D18" s="68">
        <v>286.5</v>
      </c>
      <c r="E18" s="67">
        <f>Buy!D24</f>
        <v>283.57074999999998</v>
      </c>
      <c r="F18" s="68">
        <f>C18*D18</f>
        <v>22920</v>
      </c>
      <c r="G18" s="68"/>
      <c r="H18" s="86">
        <v>45715</v>
      </c>
      <c r="I18" s="85">
        <v>109609.41</v>
      </c>
      <c r="J18" s="86">
        <v>45721</v>
      </c>
      <c r="K18" s="67">
        <f>IF(0.36%*F18&lt;10,10,0.36%*F18)</f>
        <v>82.512</v>
      </c>
      <c r="L18" s="67">
        <f t="shared" ref="L18:L19" si="31">0.015%*F18</f>
        <v>3.4379999999999997</v>
      </c>
      <c r="M18" s="67">
        <v>25</v>
      </c>
      <c r="N18" s="67">
        <f t="shared" ref="N18:N19" si="32">20%*K18</f>
        <v>16.502400000000002</v>
      </c>
      <c r="O18" s="67">
        <f t="shared" ref="O18:O19" si="33">0.6%*K18</f>
        <v>0.49507200000000001</v>
      </c>
      <c r="P18" s="67">
        <f t="shared" ref="P18:P19" si="34">79.4%*K18</f>
        <v>65.514527999999999</v>
      </c>
      <c r="Q18" s="67">
        <f>IF(E18&gt;D18,0,(((D18*C18-E18*C18)-L18-M18-O18-N18-P18)*7.5%))</f>
        <v>9.254250000000285</v>
      </c>
      <c r="R18" s="67">
        <f t="shared" ref="R18:R19" si="35">F18-K18-Q18-L18</f>
        <v>22824.795750000001</v>
      </c>
      <c r="S18" s="67">
        <f>R18/C18</f>
        <v>285.30994687500004</v>
      </c>
      <c r="T18" s="67">
        <f t="shared" ref="T18:T19" si="36">R18-M18</f>
        <v>22799.795750000001</v>
      </c>
      <c r="U18" s="87">
        <f>SUM(T18:T20)-10</f>
        <v>109609.4136875</v>
      </c>
      <c r="V18" s="87">
        <f>(I18-(U18+U19+U20))</f>
        <v>-3.6874999932479113E-3</v>
      </c>
      <c r="W18" s="92">
        <f>U18-Buy!H24-Buy!H14-Buy!H23</f>
        <v>214.99936249999155</v>
      </c>
    </row>
    <row r="19" spans="1:23" s="30" customFormat="1" x14ac:dyDescent="0.3">
      <c r="A19" s="85"/>
      <c r="B19" s="68" t="str">
        <f>Buy!B23</f>
        <v>CHCL</v>
      </c>
      <c r="C19" s="68">
        <f>Buy!C23</f>
        <v>150</v>
      </c>
      <c r="D19" s="68">
        <v>538.79999999999995</v>
      </c>
      <c r="E19" s="67">
        <f>Buy!D23</f>
        <v>538.14319550000005</v>
      </c>
      <c r="F19" s="68">
        <f>C19*D19</f>
        <v>80820</v>
      </c>
      <c r="G19" s="68"/>
      <c r="H19" s="86"/>
      <c r="I19" s="85"/>
      <c r="J19" s="86"/>
      <c r="K19" s="67">
        <f>IF(0.36%*F19&lt;10,10,0.33%*F19)</f>
        <v>266.70600000000002</v>
      </c>
      <c r="L19" s="67">
        <f t="shared" si="31"/>
        <v>12.122999999999999</v>
      </c>
      <c r="M19" s="67">
        <v>25</v>
      </c>
      <c r="N19" s="67">
        <f t="shared" si="32"/>
        <v>53.341200000000008</v>
      </c>
      <c r="O19" s="67">
        <f t="shared" si="33"/>
        <v>1.6002360000000002</v>
      </c>
      <c r="P19" s="67">
        <f t="shared" si="34"/>
        <v>211.76456400000004</v>
      </c>
      <c r="Q19" s="67">
        <f>IF(IF(E19&gt;D19,0,(((D19*C19-E19*C19)-L19-M19-O19-N19-P19)*7.5%))&lt;0,0,(((D19*C19-E19*C19)-L19-M19-O19-N19-P19)*7.5%))</f>
        <v>0</v>
      </c>
      <c r="R19" s="67">
        <f t="shared" si="35"/>
        <v>80541.170999999988</v>
      </c>
      <c r="S19" s="67">
        <f>R19/C19</f>
        <v>536.9411399999999</v>
      </c>
      <c r="T19" s="67">
        <f t="shared" si="36"/>
        <v>80516.170999999988</v>
      </c>
      <c r="U19" s="87"/>
      <c r="V19" s="87"/>
      <c r="W19" s="92"/>
    </row>
    <row r="20" spans="1:23" s="30" customFormat="1" x14ac:dyDescent="0.3">
      <c r="A20" s="85"/>
      <c r="B20" s="68" t="s">
        <v>16</v>
      </c>
      <c r="C20" s="68">
        <v>20</v>
      </c>
      <c r="D20" s="68">
        <v>318.89999999999998</v>
      </c>
      <c r="E20" s="68">
        <f>Buy!D14</f>
        <v>299.36374999999992</v>
      </c>
      <c r="F20" s="68">
        <f>C20*D20</f>
        <v>6378</v>
      </c>
      <c r="G20" s="68"/>
      <c r="H20" s="86"/>
      <c r="I20" s="85"/>
      <c r="J20" s="86"/>
      <c r="K20" s="67">
        <f>IF(0.36%*F20&lt;10,10,0.36%*F20)</f>
        <v>22.960799999999999</v>
      </c>
      <c r="L20" s="67">
        <f>0.015%*F20</f>
        <v>0.95669999999999988</v>
      </c>
      <c r="M20" s="67">
        <v>25</v>
      </c>
      <c r="N20" s="67">
        <f>20%*K20</f>
        <v>4.5921599999999998</v>
      </c>
      <c r="O20" s="67">
        <f>0.6%*K20</f>
        <v>0.13776479999999999</v>
      </c>
      <c r="P20" s="67">
        <f>79.4%*K20</f>
        <v>18.2308752</v>
      </c>
      <c r="Q20" s="67">
        <f>IF(E20&gt;D20,0,(((D20*C20-E20*C20)-L20-M20-O20-N20-P20)*7.5%))</f>
        <v>25.635562500000095</v>
      </c>
      <c r="R20" s="67">
        <f t="shared" ref="R20" si="37">F20-K20-Q20-L20</f>
        <v>6328.4469375000008</v>
      </c>
      <c r="S20" s="67">
        <f>R20/C20</f>
        <v>316.42234687500002</v>
      </c>
      <c r="T20" s="67">
        <f t="shared" ref="T20" si="38">R20-M20</f>
        <v>6303.4469375000008</v>
      </c>
      <c r="U20" s="87"/>
      <c r="V20" s="87"/>
      <c r="W20" s="92"/>
    </row>
    <row r="21" spans="1:23" s="30" customFormat="1" x14ac:dyDescent="0.3">
      <c r="A21" s="68"/>
      <c r="B21" s="68" t="str">
        <f>Buy!B17</f>
        <v>SAHAS</v>
      </c>
      <c r="C21" s="68">
        <f>Buy!C17</f>
        <v>30</v>
      </c>
      <c r="D21" s="68">
        <v>527</v>
      </c>
      <c r="E21" s="67">
        <f>Buy!D17</f>
        <v>523.68670833333329</v>
      </c>
      <c r="F21" s="68">
        <f>C21*D21</f>
        <v>15810</v>
      </c>
      <c r="G21" s="68"/>
      <c r="H21" s="31">
        <v>45718</v>
      </c>
      <c r="I21" s="68">
        <f>15714.58</f>
        <v>15714.58</v>
      </c>
      <c r="J21" s="69">
        <v>45721</v>
      </c>
      <c r="K21" s="67">
        <f>IF(0.36%*F21&lt;10,10,0.36%*F21)</f>
        <v>56.915999999999997</v>
      </c>
      <c r="L21" s="67">
        <f>0.015%*F21</f>
        <v>2.3714999999999997</v>
      </c>
      <c r="M21" s="67">
        <v>25</v>
      </c>
      <c r="N21" s="67">
        <f>20%*K21</f>
        <v>11.3832</v>
      </c>
      <c r="O21" s="67">
        <f>0.6%*K21</f>
        <v>0.34149599999999997</v>
      </c>
      <c r="P21" s="67">
        <f>79.4%*K21</f>
        <v>45.191304000000002</v>
      </c>
      <c r="Q21" s="67">
        <f>IF(E21&gt;D21,0,(((D21*C21-E21*C21)-L21-M21-O21-N21-P21)*7.5%))</f>
        <v>1.1333437500001575</v>
      </c>
      <c r="R21" s="67">
        <f>F21-K21-Q21-L21</f>
        <v>15749.579156250002</v>
      </c>
      <c r="S21" s="67">
        <f>R21/C21</f>
        <v>524.98597187500002</v>
      </c>
      <c r="T21" s="67">
        <f>R21-M21</f>
        <v>15724.579156250002</v>
      </c>
      <c r="U21" s="67">
        <f>T21-9.667-O21</f>
        <v>15714.570660250003</v>
      </c>
      <c r="V21" s="67">
        <f>I21-U21</f>
        <v>9.3397499967977637E-3</v>
      </c>
      <c r="W21" s="91">
        <f>U21-Buy!H17</f>
        <v>3.9694102500034205</v>
      </c>
    </row>
    <row r="22" spans="1:23" s="3" customFormat="1" x14ac:dyDescent="0.3">
      <c r="A22" s="10"/>
      <c r="B22" s="10" t="str">
        <f>Buy!B16</f>
        <v>GBIME</v>
      </c>
      <c r="C22" s="10">
        <f>Buy!C16</f>
        <v>80</v>
      </c>
      <c r="D22" s="10">
        <v>235</v>
      </c>
      <c r="E22" s="29">
        <f>Buy!D16</f>
        <v>226.65812499999993</v>
      </c>
      <c r="F22" s="10">
        <f>C22*D22</f>
        <v>18800</v>
      </c>
      <c r="G22" s="10"/>
      <c r="H22" s="94">
        <v>45719</v>
      </c>
      <c r="I22" s="10"/>
      <c r="J22" s="10"/>
      <c r="K22" s="29">
        <f t="shared" ref="K22" si="39">IF(0.36%*F22&lt;10,10,0.36%*F22)</f>
        <v>67.679999999999993</v>
      </c>
      <c r="L22" s="29">
        <f t="shared" ref="L22" si="40">0.015%*F22</f>
        <v>2.82</v>
      </c>
      <c r="M22" s="29">
        <v>25</v>
      </c>
      <c r="N22" s="29">
        <f t="shared" ref="N22" si="41">20%*K22</f>
        <v>13.536</v>
      </c>
      <c r="O22" s="29">
        <f t="shared" ref="O22" si="42">0.6%*K22</f>
        <v>0.40607999999999994</v>
      </c>
      <c r="P22" s="29">
        <f t="shared" ref="P22" si="43">79.4%*K22</f>
        <v>53.737919999999995</v>
      </c>
      <c r="Q22" s="29">
        <f>IF(E22&gt;D22,0,(((D22*C22-E22*C22)-L22-M22-O22-N22-P22)*7.5%))</f>
        <v>42.888750000000435</v>
      </c>
      <c r="R22" s="29">
        <f t="shared" ref="R22" si="44">F22-K22-Q22-L22</f>
        <v>18686.611249999998</v>
      </c>
      <c r="S22" s="29">
        <f>R22/C22</f>
        <v>233.58264062499998</v>
      </c>
      <c r="T22" s="29">
        <f t="shared" ref="T22" si="45">R22-M22</f>
        <v>18661.611249999998</v>
      </c>
      <c r="U22" s="29">
        <f>T22-9.667-O22</f>
        <v>18651.538169999996</v>
      </c>
      <c r="V22" s="29">
        <f>I22-U22</f>
        <v>-18651.538169999996</v>
      </c>
      <c r="W22" s="60">
        <f>U22-Buy!H16</f>
        <v>518.88817000000199</v>
      </c>
    </row>
    <row r="23" spans="1:23" x14ac:dyDescent="0.3">
      <c r="A23" s="65"/>
      <c r="B23" s="65" t="s">
        <v>47</v>
      </c>
      <c r="C23" s="10">
        <v>30</v>
      </c>
      <c r="D23" s="10"/>
      <c r="E23" s="29">
        <f>Buy!D25</f>
        <v>631.0879583333334</v>
      </c>
      <c r="F23" s="10">
        <f>C23*D23</f>
        <v>0</v>
      </c>
      <c r="G23" s="10"/>
      <c r="H23" s="65"/>
      <c r="I23" s="10"/>
      <c r="J23" s="65"/>
      <c r="K23" s="19">
        <f>IF(0.36%*F23&lt;10,10,0.36%*F23)</f>
        <v>10</v>
      </c>
      <c r="L23" s="19">
        <f>0.015%*F23</f>
        <v>0</v>
      </c>
      <c r="M23" s="19">
        <v>25</v>
      </c>
      <c r="N23" s="19">
        <f>20%*K23</f>
        <v>2</v>
      </c>
      <c r="O23" s="19">
        <f>0.6%*K23</f>
        <v>0.06</v>
      </c>
      <c r="P23" s="19">
        <f>79.4%*K23</f>
        <v>7.94</v>
      </c>
      <c r="Q23" s="67">
        <f>IF(E23&gt;D23,0,(((D23*C23-E23*C23)-L23-M23-O23-N23-P23)*7.5%))</f>
        <v>0</v>
      </c>
      <c r="R23" s="67">
        <f>F23-K23-Q23-L23</f>
        <v>-10</v>
      </c>
      <c r="S23" s="67">
        <f>R23/C23</f>
        <v>-0.33333333333333331</v>
      </c>
      <c r="T23" s="67">
        <f>R23-M23</f>
        <v>-35</v>
      </c>
      <c r="U23" s="67">
        <f>T23-9.667-O23</f>
        <v>-44.727000000000004</v>
      </c>
      <c r="V23" s="67">
        <f>I23-U23</f>
        <v>44.727000000000004</v>
      </c>
    </row>
    <row r="24" spans="1:23" x14ac:dyDescent="0.3"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3" x14ac:dyDescent="0.3"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>
        <f>SUM(W2:W23)</f>
        <v>4601.5222634999955</v>
      </c>
    </row>
    <row r="26" spans="1:23" x14ac:dyDescent="0.3"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3" x14ac:dyDescent="0.3">
      <c r="U27" s="54"/>
    </row>
  </sheetData>
  <mergeCells count="34">
    <mergeCell ref="W2:W3"/>
    <mergeCell ref="V15:V16"/>
    <mergeCell ref="U7:U9"/>
    <mergeCell ref="U5:U6"/>
    <mergeCell ref="U11:U12"/>
    <mergeCell ref="V18:V20"/>
    <mergeCell ref="A18:A20"/>
    <mergeCell ref="J18:J20"/>
    <mergeCell ref="I15:I16"/>
    <mergeCell ref="J15:J16"/>
    <mergeCell ref="I18:I20"/>
    <mergeCell ref="U18:U20"/>
    <mergeCell ref="W18:W20"/>
    <mergeCell ref="H18:H20"/>
    <mergeCell ref="I11:I12"/>
    <mergeCell ref="A11:A12"/>
    <mergeCell ref="G11:G12"/>
    <mergeCell ref="V5:V6"/>
    <mergeCell ref="V7:V9"/>
    <mergeCell ref="V11:V12"/>
    <mergeCell ref="J7:J9"/>
    <mergeCell ref="J11:J12"/>
    <mergeCell ref="I7:I9"/>
    <mergeCell ref="H7:H9"/>
    <mergeCell ref="A7:A9"/>
    <mergeCell ref="H11:H12"/>
    <mergeCell ref="G7:G9"/>
    <mergeCell ref="U15:U16"/>
    <mergeCell ref="F1:G1"/>
    <mergeCell ref="A5:A6"/>
    <mergeCell ref="H5:H6"/>
    <mergeCell ref="J5:J6"/>
    <mergeCell ref="G5:G6"/>
    <mergeCell ref="I5:I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topLeftCell="E1" workbookViewId="0">
      <pane ySplit="1" topLeftCell="A8" activePane="bottomLeft" state="frozen"/>
      <selection pane="bottomLeft" activeCell="E10" sqref="E10"/>
    </sheetView>
  </sheetViews>
  <sheetFormatPr defaultRowHeight="14.4" x14ac:dyDescent="0.3"/>
  <cols>
    <col min="1" max="1" width="3.77734375" style="1" bestFit="1" customWidth="1"/>
    <col min="2" max="2" width="10.21875" style="1" bestFit="1" customWidth="1"/>
    <col min="3" max="3" width="9.109375" style="2" customWidth="1"/>
    <col min="4" max="4" width="8.6640625" style="3" bestFit="1" customWidth="1"/>
    <col min="5" max="5" width="9.33203125" style="2" bestFit="1" customWidth="1"/>
    <col min="6" max="6" width="6.6640625" style="3" bestFit="1" customWidth="1"/>
    <col min="7" max="7" width="12" style="2" bestFit="1" customWidth="1"/>
    <col min="8" max="8" width="9" style="2" bestFit="1" customWidth="1"/>
    <col min="9" max="9" width="6" style="2" bestFit="1" customWidth="1"/>
    <col min="10" max="10" width="9.44140625" style="3" customWidth="1"/>
    <col min="11" max="11" width="6" style="3" bestFit="1" customWidth="1"/>
    <col min="12" max="12" width="5.5546875" style="3" customWidth="1"/>
    <col min="13" max="13" width="10.33203125" style="2" customWidth="1"/>
    <col min="14" max="14" width="10.5546875" style="1" bestFit="1" customWidth="1"/>
    <col min="15" max="15" width="10.33203125" style="1" customWidth="1"/>
    <col min="16" max="16" width="11" style="1" customWidth="1"/>
    <col min="17" max="17" width="11.109375" style="1" bestFit="1" customWidth="1"/>
    <col min="18" max="18" width="10.6640625" style="1" customWidth="1"/>
    <col min="19" max="19" width="11.6640625" style="1" customWidth="1"/>
    <col min="20" max="20" width="9.6640625" style="1" customWidth="1"/>
    <col min="21" max="21" width="11.44140625" style="1" customWidth="1"/>
    <col min="22" max="16384" width="8.88671875" style="1"/>
  </cols>
  <sheetData>
    <row r="1" spans="1:22" s="4" customFormat="1" ht="87.6" x14ac:dyDescent="0.3">
      <c r="A1" s="5" t="s">
        <v>0</v>
      </c>
      <c r="B1" s="5" t="s">
        <v>1</v>
      </c>
      <c r="C1" s="22" t="s">
        <v>18</v>
      </c>
      <c r="D1" s="23" t="s">
        <v>19</v>
      </c>
      <c r="E1" s="22" t="s">
        <v>4</v>
      </c>
      <c r="F1" s="23" t="s">
        <v>5</v>
      </c>
      <c r="G1" s="22" t="s">
        <v>30</v>
      </c>
      <c r="H1" s="72" t="s">
        <v>22</v>
      </c>
      <c r="I1" s="72"/>
      <c r="J1" s="23" t="s">
        <v>17</v>
      </c>
      <c r="K1" s="73" t="s">
        <v>20</v>
      </c>
      <c r="L1" s="73"/>
      <c r="M1" s="22" t="s">
        <v>2</v>
      </c>
      <c r="N1" s="23" t="s">
        <v>3</v>
      </c>
      <c r="O1" s="18" t="s">
        <v>29</v>
      </c>
      <c r="P1" s="5" t="s">
        <v>27</v>
      </c>
      <c r="Q1" s="5" t="s">
        <v>23</v>
      </c>
      <c r="R1" s="5" t="s">
        <v>24</v>
      </c>
      <c r="S1" s="5" t="s">
        <v>21</v>
      </c>
      <c r="T1" s="5" t="s">
        <v>25</v>
      </c>
      <c r="U1" s="5" t="s">
        <v>26</v>
      </c>
      <c r="V1" s="5" t="s">
        <v>28</v>
      </c>
    </row>
    <row r="2" spans="1:22" x14ac:dyDescent="0.3">
      <c r="A2" s="24">
        <v>1</v>
      </c>
      <c r="B2" s="24" t="s">
        <v>6</v>
      </c>
      <c r="C2" s="26">
        <v>150</v>
      </c>
      <c r="D2" s="10"/>
      <c r="E2" s="26">
        <v>268.89999999999998</v>
      </c>
      <c r="F2" s="10"/>
      <c r="G2" s="20">
        <f t="shared" ref="G2:G8" si="0">H2+Q2+S2+T2+U2+V2</f>
        <v>40511.256249999999</v>
      </c>
      <c r="H2" s="26">
        <f t="shared" ref="H2:H7" si="1">C2*E2</f>
        <v>40335</v>
      </c>
      <c r="I2" s="26"/>
      <c r="J2" s="10"/>
      <c r="K2" s="10"/>
      <c r="L2" s="10"/>
      <c r="M2" s="25">
        <v>45585</v>
      </c>
      <c r="N2" s="27"/>
      <c r="O2" s="27">
        <v>45587</v>
      </c>
      <c r="P2" s="19">
        <f>0.36%*H2</f>
        <v>145.20599999999999</v>
      </c>
      <c r="Q2" s="19">
        <f>0.015%*H2</f>
        <v>6.0502499999999992</v>
      </c>
      <c r="R2" s="19">
        <f>(0.36+0.015)%*E2+E2</f>
        <v>269.90837499999998</v>
      </c>
      <c r="S2" s="19">
        <f>P2*20%</f>
        <v>29.0412</v>
      </c>
      <c r="T2" s="19">
        <f>0.6%*P2</f>
        <v>0.8712359999999999</v>
      </c>
      <c r="U2" s="19">
        <f>79.4%*P2</f>
        <v>115.293564</v>
      </c>
      <c r="V2" s="24">
        <v>25</v>
      </c>
    </row>
    <row r="3" spans="1:22" s="39" customFormat="1" x14ac:dyDescent="0.3">
      <c r="A3" s="33">
        <v>1</v>
      </c>
      <c r="B3" s="41" t="s">
        <v>6</v>
      </c>
      <c r="C3" s="34">
        <v>100</v>
      </c>
      <c r="D3" s="35"/>
      <c r="E3" s="34">
        <v>268.89999999999998</v>
      </c>
      <c r="F3" s="35"/>
      <c r="G3" s="40">
        <f t="shared" si="0"/>
        <v>27015.837499999998</v>
      </c>
      <c r="H3" s="34">
        <f t="shared" si="1"/>
        <v>26889.999999999996</v>
      </c>
      <c r="I3" s="34"/>
      <c r="J3" s="35"/>
      <c r="K3" s="35"/>
      <c r="L3" s="35"/>
      <c r="M3" s="36">
        <v>45585</v>
      </c>
      <c r="N3" s="37"/>
      <c r="O3" s="37">
        <v>45587</v>
      </c>
      <c r="P3" s="38">
        <f>0.36%*H3</f>
        <v>96.803999999999988</v>
      </c>
      <c r="Q3" s="38">
        <f>0.015%*H3</f>
        <v>4.0334999999999992</v>
      </c>
      <c r="R3" s="38">
        <f>(0.36+0.015)%*E3+E3</f>
        <v>269.90837499999998</v>
      </c>
      <c r="S3" s="38">
        <f>P3*20%</f>
        <v>19.360799999999998</v>
      </c>
      <c r="T3" s="38">
        <f>0.6%*P3</f>
        <v>0.5808239999999999</v>
      </c>
      <c r="U3" s="38">
        <f>79.4%*P3</f>
        <v>76.862375999999998</v>
      </c>
      <c r="V3" s="33">
        <v>25</v>
      </c>
    </row>
    <row r="4" spans="1:22" x14ac:dyDescent="0.3">
      <c r="A4" s="24">
        <v>2</v>
      </c>
      <c r="B4" s="24" t="s">
        <v>7</v>
      </c>
      <c r="C4" s="26">
        <v>85</v>
      </c>
      <c r="D4" s="10"/>
      <c r="E4" s="26">
        <v>600.92999999999995</v>
      </c>
      <c r="F4" s="10"/>
      <c r="G4" s="20">
        <f t="shared" si="0"/>
        <v>51295.596437500004</v>
      </c>
      <c r="H4" s="26">
        <f t="shared" si="1"/>
        <v>51079.049999999996</v>
      </c>
      <c r="I4" s="26"/>
      <c r="J4" s="10"/>
      <c r="K4" s="10"/>
      <c r="L4" s="10"/>
      <c r="M4" s="25">
        <v>45588</v>
      </c>
      <c r="N4" s="27"/>
      <c r="O4" s="27"/>
      <c r="P4" s="19">
        <f>0.36%*H4</f>
        <v>183.88457999999997</v>
      </c>
      <c r="Q4" s="19">
        <f>0.015%*H4</f>
        <v>7.6618574999999991</v>
      </c>
      <c r="R4" s="19">
        <f>(0.36+0.015)%*E4+E4</f>
        <v>603.18348749999996</v>
      </c>
      <c r="S4" s="19">
        <f>P4*20%</f>
        <v>36.776915999999993</v>
      </c>
      <c r="T4" s="19">
        <f>0.6%*P4</f>
        <v>1.1033074799999998</v>
      </c>
      <c r="U4" s="19">
        <f>79.4%*P4</f>
        <v>146.00435651999999</v>
      </c>
      <c r="V4" s="24">
        <v>25</v>
      </c>
    </row>
    <row r="5" spans="1:22" x14ac:dyDescent="0.3">
      <c r="A5" s="24">
        <v>3</v>
      </c>
      <c r="B5" s="24" t="s">
        <v>8</v>
      </c>
      <c r="C5" s="26">
        <v>40</v>
      </c>
      <c r="D5" s="10"/>
      <c r="E5" s="26">
        <v>735</v>
      </c>
      <c r="F5" s="10"/>
      <c r="G5" s="20">
        <f t="shared" si="0"/>
        <v>29535.250000000004</v>
      </c>
      <c r="H5" s="26">
        <f t="shared" si="1"/>
        <v>29400</v>
      </c>
      <c r="I5" s="26"/>
      <c r="J5" s="10"/>
      <c r="K5" s="10"/>
      <c r="L5" s="10"/>
      <c r="M5" s="25">
        <v>45629</v>
      </c>
      <c r="N5" s="27"/>
      <c r="O5" s="27"/>
      <c r="P5" s="19">
        <f>0.36%*H5</f>
        <v>105.84</v>
      </c>
      <c r="Q5" s="19">
        <f>0.015%*H5</f>
        <v>4.4099999999999993</v>
      </c>
      <c r="R5" s="19">
        <f>(0.36+0.015)%*E5+E5</f>
        <v>737.75625000000002</v>
      </c>
      <c r="S5" s="19">
        <f>P5*20%</f>
        <v>21.168000000000003</v>
      </c>
      <c r="T5" s="19">
        <f>0.6%*P5</f>
        <v>0.63504000000000005</v>
      </c>
      <c r="U5" s="19">
        <f>79.4%*P5</f>
        <v>84.036960000000008</v>
      </c>
      <c r="V5" s="24">
        <v>25</v>
      </c>
    </row>
    <row r="6" spans="1:22" x14ac:dyDescent="0.3">
      <c r="A6" s="24">
        <v>4</v>
      </c>
      <c r="B6" s="24" t="s">
        <v>8</v>
      </c>
      <c r="C6" s="26">
        <v>40</v>
      </c>
      <c r="D6" s="10"/>
      <c r="E6" s="26">
        <v>736.8</v>
      </c>
      <c r="F6" s="10"/>
      <c r="G6" s="20">
        <f t="shared" si="0"/>
        <v>29607.520000000004</v>
      </c>
      <c r="H6" s="26">
        <f t="shared" si="1"/>
        <v>29472</v>
      </c>
      <c r="I6" s="26"/>
      <c r="J6" s="10"/>
      <c r="K6" s="10"/>
      <c r="L6" s="10"/>
      <c r="M6" s="25">
        <v>45631</v>
      </c>
      <c r="N6" s="27"/>
      <c r="O6" s="27"/>
      <c r="P6" s="19">
        <f t="shared" ref="P6:P21" si="2">0.36%*H6</f>
        <v>106.0992</v>
      </c>
      <c r="Q6" s="19">
        <f t="shared" ref="Q6:Q21" si="3">0.015%*H6</f>
        <v>4.4207999999999998</v>
      </c>
      <c r="R6" s="19">
        <f t="shared" ref="R6:R21" si="4">(0.36+0.015)%*E6+E6</f>
        <v>739.56299999999999</v>
      </c>
      <c r="S6" s="19">
        <f t="shared" ref="S6:S21" si="5">P6*20%</f>
        <v>21.219840000000001</v>
      </c>
      <c r="T6" s="19">
        <f t="shared" ref="T6:T21" si="6">0.6%*P6</f>
        <v>0.63659520000000003</v>
      </c>
      <c r="U6" s="19">
        <f t="shared" ref="U6:U21" si="7">79.4%*P6</f>
        <v>84.242764800000003</v>
      </c>
      <c r="V6" s="24">
        <v>25</v>
      </c>
    </row>
    <row r="7" spans="1:22" x14ac:dyDescent="0.3">
      <c r="A7" s="24">
        <v>5</v>
      </c>
      <c r="B7" s="24" t="s">
        <v>9</v>
      </c>
      <c r="C7" s="26">
        <v>40</v>
      </c>
      <c r="D7" s="10"/>
      <c r="E7" s="26">
        <v>525</v>
      </c>
      <c r="F7" s="10"/>
      <c r="G7" s="20">
        <f t="shared" si="0"/>
        <v>21103.75</v>
      </c>
      <c r="H7" s="26">
        <f t="shared" si="1"/>
        <v>21000</v>
      </c>
      <c r="I7" s="26"/>
      <c r="J7" s="10"/>
      <c r="K7" s="10"/>
      <c r="L7" s="10"/>
      <c r="M7" s="25">
        <v>45642</v>
      </c>
      <c r="N7" s="27"/>
      <c r="O7" s="27"/>
      <c r="P7" s="19">
        <f t="shared" si="2"/>
        <v>75.599999999999994</v>
      </c>
      <c r="Q7" s="19">
        <f t="shared" si="3"/>
        <v>3.15</v>
      </c>
      <c r="R7" s="19">
        <f t="shared" si="4"/>
        <v>526.96875</v>
      </c>
      <c r="S7" s="19">
        <f t="shared" si="5"/>
        <v>15.12</v>
      </c>
      <c r="T7" s="19">
        <f t="shared" si="6"/>
        <v>0.45359999999999995</v>
      </c>
      <c r="U7" s="19">
        <f t="shared" si="7"/>
        <v>60.026399999999995</v>
      </c>
      <c r="V7" s="24">
        <v>25</v>
      </c>
    </row>
    <row r="8" spans="1:22" x14ac:dyDescent="0.3">
      <c r="A8" s="74">
        <v>6</v>
      </c>
      <c r="B8" s="14" t="s">
        <v>10</v>
      </c>
      <c r="C8" s="26">
        <v>10</v>
      </c>
      <c r="D8" s="10"/>
      <c r="E8" s="26">
        <v>244.1</v>
      </c>
      <c r="F8" s="10"/>
      <c r="G8" s="20">
        <f t="shared" si="0"/>
        <v>2475.1537499999999</v>
      </c>
      <c r="H8" s="26">
        <f t="shared" ref="H8:H13" si="8">C8*E8</f>
        <v>2441</v>
      </c>
      <c r="I8" s="21"/>
      <c r="J8" s="10"/>
      <c r="K8" s="10"/>
      <c r="L8" s="10"/>
      <c r="M8" s="75">
        <v>45649</v>
      </c>
      <c r="N8" s="27"/>
      <c r="O8" s="27"/>
      <c r="P8" s="19">
        <f t="shared" si="2"/>
        <v>8.7875999999999994</v>
      </c>
      <c r="Q8" s="19">
        <f t="shared" si="3"/>
        <v>0.36614999999999998</v>
      </c>
      <c r="R8" s="19">
        <f t="shared" si="4"/>
        <v>245.01537500000001</v>
      </c>
      <c r="S8" s="19">
        <f t="shared" si="5"/>
        <v>1.75752</v>
      </c>
      <c r="T8" s="19">
        <f t="shared" si="6"/>
        <v>5.2725599999999997E-2</v>
      </c>
      <c r="U8" s="19">
        <f t="shared" si="7"/>
        <v>6.9773544000000003</v>
      </c>
      <c r="V8" s="24">
        <v>25</v>
      </c>
    </row>
    <row r="9" spans="1:22" x14ac:dyDescent="0.3">
      <c r="A9" s="74"/>
      <c r="B9" s="14" t="s">
        <v>11</v>
      </c>
      <c r="C9" s="26">
        <v>20</v>
      </c>
      <c r="D9" s="10"/>
      <c r="E9" s="26">
        <v>252.9</v>
      </c>
      <c r="F9" s="10"/>
      <c r="G9" s="20">
        <f t="shared" ref="G9:G19" si="9">H9+Q9+S9+T9+U9+V9</f>
        <v>5101.9675000000007</v>
      </c>
      <c r="H9" s="26">
        <f t="shared" si="8"/>
        <v>5058</v>
      </c>
      <c r="I9" s="21"/>
      <c r="J9" s="10"/>
      <c r="K9" s="10"/>
      <c r="L9" s="10"/>
      <c r="M9" s="75"/>
      <c r="N9" s="27"/>
      <c r="O9" s="27"/>
      <c r="P9" s="19">
        <f t="shared" si="2"/>
        <v>18.2088</v>
      </c>
      <c r="Q9" s="19">
        <f t="shared" si="3"/>
        <v>0.75869999999999993</v>
      </c>
      <c r="R9" s="19">
        <f t="shared" si="4"/>
        <v>253.848375</v>
      </c>
      <c r="S9" s="19">
        <f t="shared" si="5"/>
        <v>3.6417600000000001</v>
      </c>
      <c r="T9" s="19">
        <f t="shared" si="6"/>
        <v>0.1092528</v>
      </c>
      <c r="U9" s="19">
        <f t="shared" si="7"/>
        <v>14.4577872</v>
      </c>
      <c r="V9" s="24">
        <v>25</v>
      </c>
    </row>
    <row r="10" spans="1:22" x14ac:dyDescent="0.3">
      <c r="A10" s="74"/>
      <c r="B10" s="14" t="s">
        <v>7</v>
      </c>
      <c r="C10" s="26">
        <v>20</v>
      </c>
      <c r="D10" s="10"/>
      <c r="E10" s="26">
        <v>501</v>
      </c>
      <c r="F10" s="10"/>
      <c r="G10" s="20">
        <f t="shared" si="9"/>
        <v>10082.575000000001</v>
      </c>
      <c r="H10" s="26">
        <f t="shared" si="8"/>
        <v>10020</v>
      </c>
      <c r="I10" s="21"/>
      <c r="J10" s="10"/>
      <c r="K10" s="10"/>
      <c r="L10" s="10"/>
      <c r="M10" s="75"/>
      <c r="N10" s="27"/>
      <c r="O10" s="27"/>
      <c r="P10" s="19">
        <f t="shared" si="2"/>
        <v>36.071999999999996</v>
      </c>
      <c r="Q10" s="19">
        <f t="shared" si="3"/>
        <v>1.5029999999999999</v>
      </c>
      <c r="R10" s="19">
        <f t="shared" si="4"/>
        <v>502.87875000000003</v>
      </c>
      <c r="S10" s="19">
        <f t="shared" si="5"/>
        <v>7.2143999999999995</v>
      </c>
      <c r="T10" s="19">
        <f t="shared" si="6"/>
        <v>0.21643199999999999</v>
      </c>
      <c r="U10" s="19">
        <f t="shared" si="7"/>
        <v>28.641167999999997</v>
      </c>
      <c r="V10" s="24">
        <v>25</v>
      </c>
    </row>
    <row r="11" spans="1:22" x14ac:dyDescent="0.3">
      <c r="A11" s="74"/>
      <c r="B11" s="14" t="s">
        <v>12</v>
      </c>
      <c r="C11" s="26">
        <v>20</v>
      </c>
      <c r="D11" s="10"/>
      <c r="E11" s="26">
        <v>405.8</v>
      </c>
      <c r="F11" s="10"/>
      <c r="G11" s="20">
        <f t="shared" si="9"/>
        <v>8171.4350000000004</v>
      </c>
      <c r="H11" s="26">
        <f t="shared" si="8"/>
        <v>8116</v>
      </c>
      <c r="I11" s="21"/>
      <c r="J11" s="10"/>
      <c r="K11" s="10"/>
      <c r="L11" s="10"/>
      <c r="M11" s="75"/>
      <c r="N11" s="27"/>
      <c r="O11" s="27"/>
      <c r="P11" s="19">
        <f t="shared" si="2"/>
        <v>29.217600000000001</v>
      </c>
      <c r="Q11" s="19">
        <f t="shared" si="3"/>
        <v>1.2173999999999998</v>
      </c>
      <c r="R11" s="19">
        <f t="shared" si="4"/>
        <v>407.32175000000001</v>
      </c>
      <c r="S11" s="19">
        <f t="shared" si="5"/>
        <v>5.8435200000000007</v>
      </c>
      <c r="T11" s="19">
        <f t="shared" si="6"/>
        <v>0.17530560000000001</v>
      </c>
      <c r="U11" s="19">
        <f t="shared" si="7"/>
        <v>23.198774400000001</v>
      </c>
      <c r="V11" s="24">
        <v>25</v>
      </c>
    </row>
    <row r="12" spans="1:22" x14ac:dyDescent="0.3">
      <c r="A12" s="74"/>
      <c r="B12" s="14" t="s">
        <v>13</v>
      </c>
      <c r="C12" s="26">
        <v>20</v>
      </c>
      <c r="D12" s="10"/>
      <c r="E12" s="26">
        <v>472</v>
      </c>
      <c r="F12" s="10"/>
      <c r="G12" s="20">
        <f t="shared" si="9"/>
        <v>9500.4</v>
      </c>
      <c r="H12" s="26">
        <f t="shared" si="8"/>
        <v>9440</v>
      </c>
      <c r="I12" s="21"/>
      <c r="J12" s="10"/>
      <c r="K12" s="10"/>
      <c r="L12" s="10"/>
      <c r="M12" s="75"/>
      <c r="N12" s="27"/>
      <c r="O12" s="27"/>
      <c r="P12" s="19">
        <f t="shared" si="2"/>
        <v>33.984000000000002</v>
      </c>
      <c r="Q12" s="19">
        <f t="shared" si="3"/>
        <v>1.4159999999999999</v>
      </c>
      <c r="R12" s="19">
        <f t="shared" si="4"/>
        <v>473.77</v>
      </c>
      <c r="S12" s="19">
        <f t="shared" si="5"/>
        <v>6.7968000000000011</v>
      </c>
      <c r="T12" s="19">
        <f t="shared" si="6"/>
        <v>0.203904</v>
      </c>
      <c r="U12" s="19">
        <f t="shared" si="7"/>
        <v>26.983296000000003</v>
      </c>
      <c r="V12" s="24">
        <v>25</v>
      </c>
    </row>
    <row r="13" spans="1:22" x14ac:dyDescent="0.3">
      <c r="A13" s="74"/>
      <c r="B13" s="14" t="s">
        <v>14</v>
      </c>
      <c r="C13" s="26">
        <v>10</v>
      </c>
      <c r="D13" s="10"/>
      <c r="E13" s="26">
        <v>809</v>
      </c>
      <c r="F13" s="10"/>
      <c r="G13" s="20">
        <f t="shared" si="9"/>
        <v>8145.3374999999996</v>
      </c>
      <c r="H13" s="26">
        <f t="shared" si="8"/>
        <v>8090</v>
      </c>
      <c r="I13" s="21"/>
      <c r="J13" s="10"/>
      <c r="K13" s="10"/>
      <c r="L13" s="10"/>
      <c r="M13" s="75"/>
      <c r="N13" s="27"/>
      <c r="O13" s="27"/>
      <c r="P13" s="19">
        <f t="shared" si="2"/>
        <v>29.123999999999999</v>
      </c>
      <c r="Q13" s="19">
        <f t="shared" si="3"/>
        <v>1.2134999999999998</v>
      </c>
      <c r="R13" s="19">
        <f t="shared" si="4"/>
        <v>812.03375000000005</v>
      </c>
      <c r="S13" s="19">
        <f t="shared" si="5"/>
        <v>5.8247999999999998</v>
      </c>
      <c r="T13" s="19">
        <f t="shared" si="6"/>
        <v>0.17474399999999998</v>
      </c>
      <c r="U13" s="19">
        <f t="shared" si="7"/>
        <v>23.124455999999999</v>
      </c>
      <c r="V13" s="24">
        <v>25</v>
      </c>
    </row>
    <row r="14" spans="1:22" x14ac:dyDescent="0.3">
      <c r="A14" s="74">
        <v>7</v>
      </c>
      <c r="B14" s="14" t="s">
        <v>15</v>
      </c>
      <c r="C14" s="26">
        <v>40</v>
      </c>
      <c r="D14" s="10"/>
      <c r="E14" s="26">
        <v>855</v>
      </c>
      <c r="F14" s="10"/>
      <c r="G14" s="20">
        <f t="shared" si="9"/>
        <v>34353.25</v>
      </c>
      <c r="H14" s="26">
        <f>C14*E14</f>
        <v>34200</v>
      </c>
      <c r="I14" s="83">
        <f>SUM(H14:H15)</f>
        <v>40140</v>
      </c>
      <c r="J14" s="10"/>
      <c r="K14" s="10"/>
      <c r="L14" s="10"/>
      <c r="M14" s="75">
        <v>45657</v>
      </c>
      <c r="N14" s="27"/>
      <c r="O14" s="27"/>
      <c r="P14" s="19">
        <f t="shared" si="2"/>
        <v>123.11999999999999</v>
      </c>
      <c r="Q14" s="19">
        <f t="shared" si="3"/>
        <v>5.13</v>
      </c>
      <c r="R14" s="19">
        <f t="shared" si="4"/>
        <v>858.20624999999995</v>
      </c>
      <c r="S14" s="19">
        <f t="shared" si="5"/>
        <v>24.623999999999999</v>
      </c>
      <c r="T14" s="19">
        <f t="shared" si="6"/>
        <v>0.73871999999999993</v>
      </c>
      <c r="U14" s="19">
        <f t="shared" si="7"/>
        <v>97.757279999999994</v>
      </c>
      <c r="V14" s="24">
        <v>25</v>
      </c>
    </row>
    <row r="15" spans="1:22" x14ac:dyDescent="0.3">
      <c r="A15" s="74"/>
      <c r="B15" s="14" t="s">
        <v>16</v>
      </c>
      <c r="C15" s="26">
        <v>20</v>
      </c>
      <c r="D15" s="10"/>
      <c r="E15" s="26">
        <v>297</v>
      </c>
      <c r="F15" s="10"/>
      <c r="G15" s="20">
        <f t="shared" si="9"/>
        <v>5987.2749999999987</v>
      </c>
      <c r="H15" s="26">
        <f>C15*E15</f>
        <v>5940</v>
      </c>
      <c r="I15" s="83"/>
      <c r="J15" s="10"/>
      <c r="K15" s="10"/>
      <c r="L15" s="10"/>
      <c r="M15" s="75"/>
      <c r="N15" s="27"/>
      <c r="O15" s="27"/>
      <c r="P15" s="19">
        <f t="shared" si="2"/>
        <v>21.384</v>
      </c>
      <c r="Q15" s="19">
        <f t="shared" si="3"/>
        <v>0.8909999999999999</v>
      </c>
      <c r="R15" s="19">
        <f t="shared" si="4"/>
        <v>298.11374999999998</v>
      </c>
      <c r="S15" s="19">
        <f t="shared" si="5"/>
        <v>4.2768000000000006</v>
      </c>
      <c r="T15" s="19">
        <f t="shared" si="6"/>
        <v>0.128304</v>
      </c>
      <c r="U15" s="19">
        <f t="shared" si="7"/>
        <v>16.978896000000002</v>
      </c>
      <c r="V15" s="24">
        <v>25</v>
      </c>
    </row>
    <row r="16" spans="1:22" x14ac:dyDescent="0.3">
      <c r="A16" s="80">
        <v>8</v>
      </c>
      <c r="B16" s="24" t="s">
        <v>31</v>
      </c>
      <c r="C16" s="26">
        <v>60</v>
      </c>
      <c r="D16" s="10"/>
      <c r="E16" s="26">
        <v>410</v>
      </c>
      <c r="F16" s="10"/>
      <c r="G16" s="20">
        <f t="shared" si="9"/>
        <v>24717.25</v>
      </c>
      <c r="H16" s="26">
        <f t="shared" ref="H16:H20" si="10">C16*E16</f>
        <v>24600</v>
      </c>
      <c r="I16" s="26"/>
      <c r="J16" s="10"/>
      <c r="K16" s="10"/>
      <c r="L16" s="10"/>
      <c r="M16" s="75">
        <v>45664</v>
      </c>
      <c r="N16" s="28"/>
      <c r="O16" s="28"/>
      <c r="P16" s="19">
        <f t="shared" si="2"/>
        <v>88.56</v>
      </c>
      <c r="Q16" s="19">
        <f t="shared" si="3"/>
        <v>3.6899999999999995</v>
      </c>
      <c r="R16" s="19">
        <f t="shared" si="4"/>
        <v>411.53750000000002</v>
      </c>
      <c r="S16" s="19">
        <f t="shared" si="5"/>
        <v>17.712</v>
      </c>
      <c r="T16" s="19">
        <f t="shared" si="6"/>
        <v>0.53136000000000005</v>
      </c>
      <c r="U16" s="19">
        <f t="shared" si="7"/>
        <v>70.316640000000007</v>
      </c>
      <c r="V16" s="24">
        <v>25</v>
      </c>
    </row>
    <row r="17" spans="1:22" x14ac:dyDescent="0.3">
      <c r="A17" s="82"/>
      <c r="B17" s="24" t="s">
        <v>32</v>
      </c>
      <c r="C17" s="26">
        <v>80</v>
      </c>
      <c r="D17" s="10"/>
      <c r="E17" s="26">
        <v>225.5</v>
      </c>
      <c r="F17" s="10"/>
      <c r="G17" s="20">
        <f t="shared" si="9"/>
        <v>18132.649999999994</v>
      </c>
      <c r="H17" s="26">
        <f t="shared" si="10"/>
        <v>18040</v>
      </c>
      <c r="I17" s="26"/>
      <c r="J17" s="10"/>
      <c r="K17" s="10"/>
      <c r="L17" s="10"/>
      <c r="M17" s="75"/>
      <c r="N17" s="24"/>
      <c r="O17" s="24"/>
      <c r="P17" s="19">
        <f t="shared" si="2"/>
        <v>64.944000000000003</v>
      </c>
      <c r="Q17" s="19">
        <f t="shared" si="3"/>
        <v>2.706</v>
      </c>
      <c r="R17" s="19">
        <f t="shared" si="4"/>
        <v>226.34562500000001</v>
      </c>
      <c r="S17" s="19">
        <f t="shared" si="5"/>
        <v>12.988800000000001</v>
      </c>
      <c r="T17" s="19">
        <f t="shared" si="6"/>
        <v>0.38966400000000001</v>
      </c>
      <c r="U17" s="19">
        <f t="shared" si="7"/>
        <v>51.565536000000002</v>
      </c>
      <c r="V17" s="24">
        <v>25</v>
      </c>
    </row>
    <row r="18" spans="1:22" x14ac:dyDescent="0.3">
      <c r="A18" s="82"/>
      <c r="B18" s="24" t="s">
        <v>13</v>
      </c>
      <c r="C18" s="26">
        <v>30</v>
      </c>
      <c r="D18" s="10"/>
      <c r="E18" s="26">
        <v>520.9</v>
      </c>
      <c r="F18" s="10"/>
      <c r="G18" s="20">
        <f t="shared" si="9"/>
        <v>15710.60125</v>
      </c>
      <c r="H18" s="26">
        <f t="shared" si="10"/>
        <v>15627</v>
      </c>
      <c r="I18" s="26"/>
      <c r="J18" s="10"/>
      <c r="K18" s="10"/>
      <c r="L18" s="10"/>
      <c r="M18" s="75"/>
      <c r="N18" s="24"/>
      <c r="O18" s="24"/>
      <c r="P18" s="19">
        <f t="shared" si="2"/>
        <v>56.257199999999997</v>
      </c>
      <c r="Q18" s="19">
        <f t="shared" si="3"/>
        <v>2.3440499999999997</v>
      </c>
      <c r="R18" s="19">
        <f t="shared" si="4"/>
        <v>522.85337500000003</v>
      </c>
      <c r="S18" s="19">
        <f t="shared" si="5"/>
        <v>11.251440000000001</v>
      </c>
      <c r="T18" s="19">
        <f t="shared" si="6"/>
        <v>0.33754319999999999</v>
      </c>
      <c r="U18" s="19">
        <f t="shared" si="7"/>
        <v>44.668216800000003</v>
      </c>
      <c r="V18" s="24">
        <v>25</v>
      </c>
    </row>
    <row r="19" spans="1:22" x14ac:dyDescent="0.3">
      <c r="A19" s="81"/>
      <c r="B19" s="24" t="s">
        <v>33</v>
      </c>
      <c r="C19" s="26">
        <v>45</v>
      </c>
      <c r="D19" s="10"/>
      <c r="E19" s="26">
        <v>209</v>
      </c>
      <c r="F19" s="10"/>
      <c r="G19" s="20">
        <f t="shared" si="9"/>
        <v>9465.2687499999993</v>
      </c>
      <c r="H19" s="26">
        <f t="shared" si="10"/>
        <v>9405</v>
      </c>
      <c r="I19" s="26"/>
      <c r="J19" s="10"/>
      <c r="K19" s="10"/>
      <c r="L19" s="10"/>
      <c r="M19" s="75"/>
      <c r="N19" s="24"/>
      <c r="O19" s="24"/>
      <c r="P19" s="19">
        <f t="shared" si="2"/>
        <v>33.857999999999997</v>
      </c>
      <c r="Q19" s="19">
        <f t="shared" si="3"/>
        <v>1.4107499999999999</v>
      </c>
      <c r="R19" s="19">
        <f t="shared" si="4"/>
        <v>209.78375</v>
      </c>
      <c r="S19" s="19">
        <f t="shared" si="5"/>
        <v>6.7715999999999994</v>
      </c>
      <c r="T19" s="19">
        <f t="shared" si="6"/>
        <v>0.203148</v>
      </c>
      <c r="U19" s="19">
        <f t="shared" si="7"/>
        <v>26.883251999999999</v>
      </c>
      <c r="V19" s="24">
        <v>25</v>
      </c>
    </row>
    <row r="20" spans="1:22" x14ac:dyDescent="0.3">
      <c r="A20" s="24">
        <v>9</v>
      </c>
      <c r="B20" s="14" t="s">
        <v>14</v>
      </c>
      <c r="C20" s="26">
        <v>11</v>
      </c>
      <c r="D20" s="10"/>
      <c r="E20" s="26">
        <v>848</v>
      </c>
      <c r="F20" s="10"/>
      <c r="G20" s="20">
        <f>H20+Q20+S20+T20+U20+V20</f>
        <v>9387.98</v>
      </c>
      <c r="H20" s="26">
        <f t="shared" si="10"/>
        <v>9328</v>
      </c>
      <c r="I20" s="26"/>
      <c r="J20" s="10"/>
      <c r="K20" s="10"/>
      <c r="L20" s="10"/>
      <c r="M20" s="25">
        <v>45666</v>
      </c>
      <c r="N20" s="27"/>
      <c r="O20" s="27"/>
      <c r="P20" s="19">
        <f t="shared" si="2"/>
        <v>33.580799999999996</v>
      </c>
      <c r="Q20" s="19">
        <f t="shared" si="3"/>
        <v>1.3991999999999998</v>
      </c>
      <c r="R20" s="19">
        <f t="shared" si="4"/>
        <v>851.18</v>
      </c>
      <c r="S20" s="19">
        <f t="shared" si="5"/>
        <v>6.7161599999999995</v>
      </c>
      <c r="T20" s="19">
        <f t="shared" si="6"/>
        <v>0.20148479999999999</v>
      </c>
      <c r="U20" s="19">
        <f t="shared" si="7"/>
        <v>26.663155199999999</v>
      </c>
      <c r="V20" s="24">
        <v>25</v>
      </c>
    </row>
    <row r="21" spans="1:22" x14ac:dyDescent="0.3">
      <c r="A21" s="24">
        <v>10</v>
      </c>
      <c r="B21" s="14" t="s">
        <v>14</v>
      </c>
      <c r="C21" s="26">
        <v>19</v>
      </c>
      <c r="D21" s="10"/>
      <c r="E21" s="26">
        <v>829</v>
      </c>
      <c r="F21" s="10"/>
      <c r="G21" s="20">
        <f>H21+Q21+S21+T21+U21+V21</f>
        <v>15835.066249999998</v>
      </c>
      <c r="H21" s="26">
        <f>C21*E21</f>
        <v>15751</v>
      </c>
      <c r="I21" s="26"/>
      <c r="J21" s="10"/>
      <c r="K21" s="10"/>
      <c r="L21" s="10"/>
      <c r="M21" s="25">
        <v>45669</v>
      </c>
      <c r="N21" s="27"/>
      <c r="O21" s="27"/>
      <c r="P21" s="19">
        <f t="shared" si="2"/>
        <v>56.703600000000002</v>
      </c>
      <c r="Q21" s="19">
        <f t="shared" si="3"/>
        <v>2.3626499999999999</v>
      </c>
      <c r="R21" s="19">
        <f t="shared" si="4"/>
        <v>832.10874999999999</v>
      </c>
      <c r="S21" s="19">
        <f t="shared" si="5"/>
        <v>11.340720000000001</v>
      </c>
      <c r="T21" s="19">
        <f t="shared" si="6"/>
        <v>0.34022160000000001</v>
      </c>
      <c r="U21" s="19">
        <f t="shared" si="7"/>
        <v>45.022658400000005</v>
      </c>
      <c r="V21" s="24">
        <v>25</v>
      </c>
    </row>
    <row r="22" spans="1:22" x14ac:dyDescent="0.3">
      <c r="A22" s="24"/>
      <c r="B22" s="24"/>
      <c r="C22" s="26"/>
      <c r="D22" s="10"/>
      <c r="E22" s="26"/>
      <c r="F22" s="10"/>
      <c r="G22" s="26"/>
      <c r="H22" s="26"/>
      <c r="I22" s="26"/>
      <c r="J22" s="10"/>
      <c r="K22" s="10"/>
      <c r="L22" s="10"/>
      <c r="M22" s="26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3">
      <c r="A23" s="24"/>
      <c r="B23" s="24"/>
      <c r="C23" s="26"/>
      <c r="D23" s="10"/>
      <c r="E23" s="26"/>
      <c r="F23" s="10"/>
      <c r="G23" s="26"/>
      <c r="H23" s="26"/>
      <c r="I23" s="26"/>
      <c r="J23" s="29"/>
      <c r="K23" s="10"/>
      <c r="L23" s="10"/>
      <c r="M23" s="26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3">
      <c r="A24" s="24"/>
      <c r="B24" s="24"/>
      <c r="C24" s="26"/>
      <c r="D24" s="10"/>
      <c r="E24" s="26"/>
      <c r="F24" s="10"/>
      <c r="G24" s="26"/>
      <c r="H24" s="26"/>
      <c r="I24" s="26"/>
      <c r="J24" s="10"/>
      <c r="K24" s="10"/>
      <c r="L24" s="10"/>
      <c r="M24" s="26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3">
      <c r="A25" s="24"/>
      <c r="B25" s="24"/>
      <c r="C25" s="26"/>
      <c r="D25" s="10"/>
      <c r="E25" s="26"/>
      <c r="F25" s="10"/>
      <c r="G25" s="26"/>
      <c r="H25" s="26"/>
      <c r="I25" s="26"/>
      <c r="J25" s="10"/>
      <c r="K25" s="10"/>
      <c r="L25" s="10"/>
      <c r="M25" s="26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3">
      <c r="A26" s="24"/>
      <c r="B26" s="24"/>
      <c r="C26" s="26"/>
      <c r="D26" s="10"/>
      <c r="E26" s="26"/>
      <c r="F26" s="10"/>
      <c r="G26" s="26"/>
      <c r="H26" s="26"/>
      <c r="I26" s="26"/>
      <c r="J26" s="10"/>
      <c r="K26" s="10"/>
      <c r="L26" s="10"/>
      <c r="M26" s="26"/>
      <c r="N26" s="24"/>
      <c r="O26" s="24"/>
      <c r="P26" s="24"/>
      <c r="Q26" s="24"/>
      <c r="R26" s="24"/>
      <c r="S26" s="24"/>
      <c r="T26" s="24"/>
      <c r="U26" s="24"/>
      <c r="V26" s="24"/>
    </row>
  </sheetData>
  <mergeCells count="9">
    <mergeCell ref="A16:A19"/>
    <mergeCell ref="M16:M19"/>
    <mergeCell ref="H1:I1"/>
    <mergeCell ref="K1:L1"/>
    <mergeCell ref="A8:A13"/>
    <mergeCell ref="M8:M13"/>
    <mergeCell ref="A14:A15"/>
    <mergeCell ref="I14:I15"/>
    <mergeCell ref="M14:M1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zoomScale="90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2" bestFit="1" customWidth="1"/>
    <col min="4" max="5" width="7.109375" style="3" bestFit="1" customWidth="1"/>
    <col min="6" max="6" width="10" style="2" customWidth="1"/>
    <col min="7" max="7" width="6.6640625" style="3" bestFit="1" customWidth="1"/>
    <col min="8" max="8" width="12" style="2" bestFit="1" customWidth="1"/>
    <col min="9" max="9" width="9" style="2" bestFit="1" customWidth="1"/>
    <col min="10" max="10" width="6" style="2" bestFit="1" customWidth="1"/>
    <col min="11" max="11" width="9.44140625" style="3" customWidth="1"/>
    <col min="12" max="12" width="6" style="3" bestFit="1" customWidth="1"/>
    <col min="13" max="13" width="5.5546875" style="3" customWidth="1"/>
    <col min="14" max="14" width="11.21875" style="2" bestFit="1" customWidth="1"/>
    <col min="15" max="15" width="10.5546875" style="1" bestFit="1" customWidth="1"/>
    <col min="16" max="16" width="10.33203125" style="1" customWidth="1"/>
    <col min="17" max="17" width="11" style="1" customWidth="1"/>
    <col min="18" max="18" width="11.88671875" style="1" customWidth="1"/>
    <col min="19" max="19" width="11.5546875" style="1" customWidth="1"/>
    <col min="20" max="20" width="11.6640625" style="1" customWidth="1"/>
    <col min="21" max="21" width="9.6640625" style="1" customWidth="1"/>
    <col min="22" max="22" width="11.44140625" style="1" customWidth="1"/>
    <col min="23" max="16384" width="8.88671875" style="1"/>
  </cols>
  <sheetData>
    <row r="1" spans="1:23" s="4" customFormat="1" ht="73.2" x14ac:dyDescent="0.3">
      <c r="A1" s="5" t="s">
        <v>0</v>
      </c>
      <c r="B1" s="5" t="s">
        <v>1</v>
      </c>
      <c r="C1" s="50" t="s">
        <v>18</v>
      </c>
      <c r="D1" s="76" t="s">
        <v>39</v>
      </c>
      <c r="E1" s="77"/>
      <c r="F1" s="50" t="s">
        <v>4</v>
      </c>
      <c r="G1" s="51" t="s">
        <v>5</v>
      </c>
      <c r="H1" s="50" t="s">
        <v>30</v>
      </c>
      <c r="I1" s="72" t="s">
        <v>22</v>
      </c>
      <c r="J1" s="72"/>
      <c r="K1" s="51" t="s">
        <v>17</v>
      </c>
      <c r="L1" s="73" t="s">
        <v>20</v>
      </c>
      <c r="M1" s="73"/>
      <c r="N1" s="50" t="s">
        <v>2</v>
      </c>
      <c r="O1" s="51" t="s">
        <v>3</v>
      </c>
      <c r="P1" s="18" t="s">
        <v>29</v>
      </c>
      <c r="Q1" s="5" t="s">
        <v>27</v>
      </c>
      <c r="R1" s="5" t="s">
        <v>23</v>
      </c>
      <c r="S1" s="5" t="s">
        <v>24</v>
      </c>
      <c r="T1" s="5" t="s">
        <v>21</v>
      </c>
      <c r="U1" s="5" t="s">
        <v>25</v>
      </c>
      <c r="V1" s="5" t="s">
        <v>26</v>
      </c>
      <c r="W1" s="5" t="s">
        <v>28</v>
      </c>
    </row>
    <row r="2" spans="1:23" x14ac:dyDescent="0.3">
      <c r="A2" s="49">
        <v>1</v>
      </c>
      <c r="B2" s="49" t="s">
        <v>6</v>
      </c>
      <c r="C2" s="52">
        <v>150</v>
      </c>
      <c r="D2" s="29">
        <f>H2/C2</f>
        <v>270.07504166666666</v>
      </c>
      <c r="E2" s="10"/>
      <c r="F2" s="20">
        <v>268.89999999999998</v>
      </c>
      <c r="G2" s="10"/>
      <c r="H2" s="20">
        <f t="shared" ref="H2:H18" si="0">I2+R2+T2+U2+V2+W2</f>
        <v>40511.256249999999</v>
      </c>
      <c r="I2" s="52">
        <f>C2*F2</f>
        <v>40335</v>
      </c>
      <c r="J2" s="52"/>
      <c r="K2" s="10"/>
      <c r="L2" s="10"/>
      <c r="M2" s="10"/>
      <c r="N2" s="48">
        <v>45585</v>
      </c>
      <c r="O2" s="27"/>
      <c r="P2" s="27">
        <v>45587</v>
      </c>
      <c r="Q2" s="19">
        <f>IF(I2&gt;50000,0.33%*I2,0.36%*I2)</f>
        <v>145.20599999999999</v>
      </c>
      <c r="R2" s="19">
        <f>0.015%*I2</f>
        <v>6.0502499999999992</v>
      </c>
      <c r="S2" s="19">
        <f>(0.36+0.015)%*F2+F2</f>
        <v>269.90837499999998</v>
      </c>
      <c r="T2" s="19">
        <f>Q2*20%</f>
        <v>29.0412</v>
      </c>
      <c r="U2" s="19">
        <f>0.6%*Q2</f>
        <v>0.8712359999999999</v>
      </c>
      <c r="V2" s="19">
        <f>79.4%*Q2</f>
        <v>115.293564</v>
      </c>
      <c r="W2" s="49">
        <v>25</v>
      </c>
    </row>
    <row r="3" spans="1:23" x14ac:dyDescent="0.3">
      <c r="A3" s="49">
        <v>2</v>
      </c>
      <c r="B3" s="49" t="s">
        <v>7</v>
      </c>
      <c r="C3" s="52">
        <v>85</v>
      </c>
      <c r="D3" s="29">
        <f>H3/C3</f>
        <v>603.29732614705881</v>
      </c>
      <c r="E3" s="10"/>
      <c r="F3" s="20">
        <v>600.92999999999995</v>
      </c>
      <c r="G3" s="10"/>
      <c r="H3" s="20">
        <f t="shared" si="0"/>
        <v>51280.272722499998</v>
      </c>
      <c r="I3" s="52">
        <f>C3*F3</f>
        <v>51079.049999999996</v>
      </c>
      <c r="J3" s="52"/>
      <c r="K3" s="10"/>
      <c r="L3" s="10"/>
      <c r="M3" s="10"/>
      <c r="N3" s="48">
        <v>45588</v>
      </c>
      <c r="O3" s="27"/>
      <c r="P3" s="27"/>
      <c r="Q3" s="19">
        <f>IF(I3&gt;50000,0.33%*I3,0.36%*I3)</f>
        <v>168.56086499999998</v>
      </c>
      <c r="R3" s="19">
        <f>0.015%*I3</f>
        <v>7.6618574999999991</v>
      </c>
      <c r="S3" s="19">
        <f>(0.36+0.015)%*F3+F3</f>
        <v>603.18348749999996</v>
      </c>
      <c r="T3" s="19">
        <f>Q3*20%</f>
        <v>33.712173</v>
      </c>
      <c r="U3" s="19">
        <f>0.6%*Q3</f>
        <v>1.0113651899999998</v>
      </c>
      <c r="V3" s="19">
        <f>79.4%*Q3</f>
        <v>133.83732680999998</v>
      </c>
      <c r="W3" s="49">
        <v>25</v>
      </c>
    </row>
    <row r="4" spans="1:23" x14ac:dyDescent="0.3">
      <c r="A4" s="49">
        <v>3</v>
      </c>
      <c r="B4" s="49" t="s">
        <v>8</v>
      </c>
      <c r="C4" s="52">
        <v>40</v>
      </c>
      <c r="D4" s="29">
        <f>H4/C4</f>
        <v>738.38125000000014</v>
      </c>
      <c r="E4" s="70">
        <f>AVERAGE(D4:D5)</f>
        <v>739.28462500000012</v>
      </c>
      <c r="F4" s="20">
        <v>735</v>
      </c>
      <c r="G4" s="10"/>
      <c r="H4" s="20">
        <f t="shared" si="0"/>
        <v>29535.250000000004</v>
      </c>
      <c r="I4" s="52">
        <f>C4*F4</f>
        <v>29400</v>
      </c>
      <c r="J4" s="52"/>
      <c r="K4" s="10"/>
      <c r="L4" s="10"/>
      <c r="M4" s="10"/>
      <c r="N4" s="48">
        <v>45629</v>
      </c>
      <c r="O4" s="27"/>
      <c r="P4" s="27"/>
      <c r="Q4" s="19">
        <f t="shared" ref="Q4:Q22" si="1">IF(I4&gt;50000,0.33%*I4,0.36%*I4)</f>
        <v>105.84</v>
      </c>
      <c r="R4" s="19">
        <f>0.015%*I4</f>
        <v>4.4099999999999993</v>
      </c>
      <c r="S4" s="19">
        <f>(0.36+0.015)%*F4+F4</f>
        <v>737.75625000000002</v>
      </c>
      <c r="T4" s="19">
        <f>Q4*20%</f>
        <v>21.168000000000003</v>
      </c>
      <c r="U4" s="19">
        <f>0.6%*Q4</f>
        <v>0.63504000000000005</v>
      </c>
      <c r="V4" s="19">
        <f>79.4%*Q4</f>
        <v>84.036960000000008</v>
      </c>
      <c r="W4" s="49">
        <v>25</v>
      </c>
    </row>
    <row r="5" spans="1:23" x14ac:dyDescent="0.3">
      <c r="A5" s="49">
        <v>4</v>
      </c>
      <c r="B5" s="49" t="s">
        <v>8</v>
      </c>
      <c r="C5" s="52">
        <v>40</v>
      </c>
      <c r="D5" s="29">
        <f>H5/C5</f>
        <v>740.1880000000001</v>
      </c>
      <c r="E5" s="71"/>
      <c r="F5" s="20">
        <v>736.8</v>
      </c>
      <c r="G5" s="10"/>
      <c r="H5" s="20">
        <f t="shared" si="0"/>
        <v>29607.520000000004</v>
      </c>
      <c r="I5" s="52">
        <f>C5*F5</f>
        <v>29472</v>
      </c>
      <c r="J5" s="52"/>
      <c r="K5" s="10"/>
      <c r="L5" s="10"/>
      <c r="M5" s="10"/>
      <c r="N5" s="48">
        <v>45631</v>
      </c>
      <c r="O5" s="27"/>
      <c r="P5" s="27"/>
      <c r="Q5" s="19">
        <f t="shared" si="1"/>
        <v>106.0992</v>
      </c>
      <c r="R5" s="19">
        <f t="shared" ref="R5:R22" si="2">0.015%*I5</f>
        <v>4.4207999999999998</v>
      </c>
      <c r="S5" s="19">
        <f t="shared" ref="S5:S22" si="3">(0.36+0.015)%*F5+F5</f>
        <v>739.56299999999999</v>
      </c>
      <c r="T5" s="19">
        <f t="shared" ref="T5:T22" si="4">Q5*20%</f>
        <v>21.219840000000001</v>
      </c>
      <c r="U5" s="19">
        <f t="shared" ref="U5:U22" si="5">0.6%*Q5</f>
        <v>0.63659520000000003</v>
      </c>
      <c r="V5" s="19">
        <f t="shared" ref="V5:V22" si="6">79.4%*Q5</f>
        <v>84.242764800000003</v>
      </c>
      <c r="W5" s="49">
        <v>25</v>
      </c>
    </row>
    <row r="6" spans="1:23" x14ac:dyDescent="0.3">
      <c r="A6" s="49">
        <v>5</v>
      </c>
      <c r="B6" s="49" t="s">
        <v>9</v>
      </c>
      <c r="C6" s="52">
        <v>40</v>
      </c>
      <c r="D6" s="29">
        <f>H6/C6</f>
        <v>527.59375</v>
      </c>
      <c r="E6" s="10"/>
      <c r="F6" s="20">
        <v>525</v>
      </c>
      <c r="G6" s="10"/>
      <c r="H6" s="20">
        <f t="shared" si="0"/>
        <v>21103.75</v>
      </c>
      <c r="I6" s="52">
        <f>C6*F6</f>
        <v>21000</v>
      </c>
      <c r="J6" s="52"/>
      <c r="K6" s="10"/>
      <c r="L6" s="10"/>
      <c r="M6" s="10"/>
      <c r="N6" s="48">
        <v>45642</v>
      </c>
      <c r="O6" s="27"/>
      <c r="P6" s="27"/>
      <c r="Q6" s="19">
        <f t="shared" si="1"/>
        <v>75.599999999999994</v>
      </c>
      <c r="R6" s="19">
        <f t="shared" si="2"/>
        <v>3.15</v>
      </c>
      <c r="S6" s="19">
        <f t="shared" si="3"/>
        <v>526.96875</v>
      </c>
      <c r="T6" s="19">
        <f t="shared" si="4"/>
        <v>15.12</v>
      </c>
      <c r="U6" s="19">
        <f t="shared" si="5"/>
        <v>0.45359999999999995</v>
      </c>
      <c r="V6" s="19">
        <f t="shared" si="6"/>
        <v>60.026399999999995</v>
      </c>
      <c r="W6" s="49">
        <v>25</v>
      </c>
    </row>
    <row r="7" spans="1:23" x14ac:dyDescent="0.3">
      <c r="A7" s="74">
        <v>6</v>
      </c>
      <c r="B7" s="53" t="s">
        <v>10</v>
      </c>
      <c r="C7" s="52">
        <v>10</v>
      </c>
      <c r="D7" s="29">
        <f t="shared" ref="D7:D11" si="7">H7/C7</f>
        <v>247.51537500000001</v>
      </c>
      <c r="E7" s="10"/>
      <c r="F7" s="20">
        <v>244.1</v>
      </c>
      <c r="G7" s="10"/>
      <c r="H7" s="20">
        <f t="shared" si="0"/>
        <v>2475.1537499999999</v>
      </c>
      <c r="I7" s="52">
        <f t="shared" ref="I7:I12" si="8">C7*F7</f>
        <v>2441</v>
      </c>
      <c r="J7" s="21"/>
      <c r="K7" s="10"/>
      <c r="L7" s="10"/>
      <c r="M7" s="10"/>
      <c r="N7" s="75">
        <v>45649</v>
      </c>
      <c r="O7" s="27"/>
      <c r="P7" s="27"/>
      <c r="Q7" s="19">
        <f t="shared" si="1"/>
        <v>8.7875999999999994</v>
      </c>
      <c r="R7" s="19">
        <f t="shared" si="2"/>
        <v>0.36614999999999998</v>
      </c>
      <c r="S7" s="19">
        <f t="shared" si="3"/>
        <v>245.01537500000001</v>
      </c>
      <c r="T7" s="19">
        <f t="shared" si="4"/>
        <v>1.75752</v>
      </c>
      <c r="U7" s="19">
        <f t="shared" si="5"/>
        <v>5.2725599999999997E-2</v>
      </c>
      <c r="V7" s="19">
        <f t="shared" si="6"/>
        <v>6.9773544000000003</v>
      </c>
      <c r="W7" s="49">
        <v>25</v>
      </c>
    </row>
    <row r="8" spans="1:23" x14ac:dyDescent="0.3">
      <c r="A8" s="74"/>
      <c r="B8" s="53" t="s">
        <v>11</v>
      </c>
      <c r="C8" s="52">
        <v>20</v>
      </c>
      <c r="D8" s="29">
        <f t="shared" si="7"/>
        <v>255.09837500000003</v>
      </c>
      <c r="E8" s="10"/>
      <c r="F8" s="20">
        <v>252.9</v>
      </c>
      <c r="G8" s="10"/>
      <c r="H8" s="20">
        <f t="shared" si="0"/>
        <v>5101.9675000000007</v>
      </c>
      <c r="I8" s="52">
        <f t="shared" si="8"/>
        <v>5058</v>
      </c>
      <c r="J8" s="21"/>
      <c r="K8" s="10"/>
      <c r="L8" s="10"/>
      <c r="M8" s="10"/>
      <c r="N8" s="75"/>
      <c r="O8" s="27"/>
      <c r="P8" s="27"/>
      <c r="Q8" s="19">
        <f t="shared" si="1"/>
        <v>18.2088</v>
      </c>
      <c r="R8" s="19">
        <f t="shared" si="2"/>
        <v>0.75869999999999993</v>
      </c>
      <c r="S8" s="19">
        <f t="shared" si="3"/>
        <v>253.848375</v>
      </c>
      <c r="T8" s="19">
        <f t="shared" si="4"/>
        <v>3.6417600000000001</v>
      </c>
      <c r="U8" s="19">
        <f t="shared" si="5"/>
        <v>0.1092528</v>
      </c>
      <c r="V8" s="19">
        <f t="shared" si="6"/>
        <v>14.4577872</v>
      </c>
      <c r="W8" s="49">
        <v>25</v>
      </c>
    </row>
    <row r="9" spans="1:23" x14ac:dyDescent="0.3">
      <c r="A9" s="74"/>
      <c r="B9" s="53" t="s">
        <v>7</v>
      </c>
      <c r="C9" s="52">
        <v>20</v>
      </c>
      <c r="D9" s="29">
        <f>H9/C9</f>
        <v>504.12875000000003</v>
      </c>
      <c r="E9" s="29">
        <f>(D3*C3+C9*D9)/(C3+C9)</f>
        <v>584.40807354761898</v>
      </c>
      <c r="F9" s="20">
        <v>501</v>
      </c>
      <c r="G9" s="10"/>
      <c r="H9" s="20">
        <f t="shared" si="0"/>
        <v>10082.575000000001</v>
      </c>
      <c r="I9" s="52">
        <f t="shared" si="8"/>
        <v>10020</v>
      </c>
      <c r="J9" s="21"/>
      <c r="K9" s="10"/>
      <c r="L9" s="10"/>
      <c r="M9" s="10"/>
      <c r="N9" s="75"/>
      <c r="O9" s="27"/>
      <c r="P9" s="27"/>
      <c r="Q9" s="19">
        <f t="shared" si="1"/>
        <v>36.071999999999996</v>
      </c>
      <c r="R9" s="19">
        <f t="shared" si="2"/>
        <v>1.5029999999999999</v>
      </c>
      <c r="S9" s="19">
        <f t="shared" si="3"/>
        <v>502.87875000000003</v>
      </c>
      <c r="T9" s="19">
        <f t="shared" si="4"/>
        <v>7.2143999999999995</v>
      </c>
      <c r="U9" s="19">
        <f t="shared" si="5"/>
        <v>0.21643199999999999</v>
      </c>
      <c r="V9" s="19">
        <f t="shared" si="6"/>
        <v>28.641167999999997</v>
      </c>
      <c r="W9" s="49">
        <v>25</v>
      </c>
    </row>
    <row r="10" spans="1:23" x14ac:dyDescent="0.3">
      <c r="A10" s="74"/>
      <c r="B10" s="53" t="s">
        <v>12</v>
      </c>
      <c r="C10" s="52">
        <v>20</v>
      </c>
      <c r="D10" s="29">
        <f t="shared" si="7"/>
        <v>408.57175000000001</v>
      </c>
      <c r="E10" s="10"/>
      <c r="F10" s="20">
        <v>405.8</v>
      </c>
      <c r="G10" s="10"/>
      <c r="H10" s="20">
        <f t="shared" si="0"/>
        <v>8171.4350000000004</v>
      </c>
      <c r="I10" s="52">
        <f t="shared" si="8"/>
        <v>8116</v>
      </c>
      <c r="J10" s="21"/>
      <c r="K10" s="10"/>
      <c r="L10" s="10"/>
      <c r="M10" s="10"/>
      <c r="N10" s="75"/>
      <c r="O10" s="27"/>
      <c r="P10" s="27"/>
      <c r="Q10" s="19">
        <f t="shared" si="1"/>
        <v>29.217600000000001</v>
      </c>
      <c r="R10" s="19">
        <f t="shared" si="2"/>
        <v>1.2173999999999998</v>
      </c>
      <c r="S10" s="19">
        <f t="shared" si="3"/>
        <v>407.32175000000001</v>
      </c>
      <c r="T10" s="19">
        <f t="shared" si="4"/>
        <v>5.8435200000000007</v>
      </c>
      <c r="U10" s="19">
        <f t="shared" si="5"/>
        <v>0.17530560000000001</v>
      </c>
      <c r="V10" s="19">
        <f t="shared" si="6"/>
        <v>23.198774400000001</v>
      </c>
      <c r="W10" s="49">
        <v>25</v>
      </c>
    </row>
    <row r="11" spans="1:23" x14ac:dyDescent="0.3">
      <c r="A11" s="74"/>
      <c r="B11" s="53" t="s">
        <v>13</v>
      </c>
      <c r="C11" s="52">
        <v>20</v>
      </c>
      <c r="D11" s="29">
        <f t="shared" si="7"/>
        <v>475.02</v>
      </c>
      <c r="E11" s="10"/>
      <c r="F11" s="20">
        <v>472</v>
      </c>
      <c r="G11" s="10"/>
      <c r="H11" s="20">
        <f t="shared" si="0"/>
        <v>9500.4</v>
      </c>
      <c r="I11" s="52">
        <f t="shared" si="8"/>
        <v>9440</v>
      </c>
      <c r="J11" s="21"/>
      <c r="K11" s="10"/>
      <c r="L11" s="10"/>
      <c r="M11" s="10"/>
      <c r="N11" s="75"/>
      <c r="O11" s="27"/>
      <c r="P11" s="27"/>
      <c r="Q11" s="19">
        <f t="shared" si="1"/>
        <v>33.984000000000002</v>
      </c>
      <c r="R11" s="19">
        <f t="shared" si="2"/>
        <v>1.4159999999999999</v>
      </c>
      <c r="S11" s="19">
        <f t="shared" si="3"/>
        <v>473.77</v>
      </c>
      <c r="T11" s="19">
        <f t="shared" si="4"/>
        <v>6.7968000000000011</v>
      </c>
      <c r="U11" s="19">
        <f t="shared" si="5"/>
        <v>0.203904</v>
      </c>
      <c r="V11" s="19">
        <f t="shared" si="6"/>
        <v>26.983296000000003</v>
      </c>
      <c r="W11" s="49">
        <v>25</v>
      </c>
    </row>
    <row r="12" spans="1:23" x14ac:dyDescent="0.3">
      <c r="A12" s="74"/>
      <c r="B12" s="53" t="s">
        <v>14</v>
      </c>
      <c r="C12" s="52">
        <v>10</v>
      </c>
      <c r="D12" s="29">
        <v>440.25</v>
      </c>
      <c r="E12" s="10"/>
      <c r="F12" s="20">
        <v>809</v>
      </c>
      <c r="G12" s="10"/>
      <c r="H12" s="20">
        <f t="shared" si="0"/>
        <v>8145.3374999999996</v>
      </c>
      <c r="I12" s="52">
        <f t="shared" si="8"/>
        <v>8090</v>
      </c>
      <c r="J12" s="21"/>
      <c r="K12" s="10"/>
      <c r="L12" s="10"/>
      <c r="M12" s="10"/>
      <c r="N12" s="75"/>
      <c r="O12" s="27"/>
      <c r="P12" s="27"/>
      <c r="Q12" s="19">
        <f t="shared" si="1"/>
        <v>29.123999999999999</v>
      </c>
      <c r="R12" s="19">
        <f t="shared" si="2"/>
        <v>1.2134999999999998</v>
      </c>
      <c r="S12" s="19">
        <f t="shared" si="3"/>
        <v>812.03375000000005</v>
      </c>
      <c r="T12" s="19">
        <f t="shared" si="4"/>
        <v>5.8247999999999998</v>
      </c>
      <c r="U12" s="19">
        <f t="shared" si="5"/>
        <v>0.17474399999999998</v>
      </c>
      <c r="V12" s="19">
        <f t="shared" si="6"/>
        <v>23.124455999999999</v>
      </c>
      <c r="W12" s="49">
        <v>25</v>
      </c>
    </row>
    <row r="13" spans="1:23" x14ac:dyDescent="0.3">
      <c r="A13" s="74">
        <v>7</v>
      </c>
      <c r="B13" s="53" t="s">
        <v>15</v>
      </c>
      <c r="C13" s="52">
        <v>40</v>
      </c>
      <c r="D13" s="10"/>
      <c r="E13" s="10"/>
      <c r="F13" s="20">
        <v>855</v>
      </c>
      <c r="G13" s="10"/>
      <c r="H13" s="20">
        <f t="shared" si="0"/>
        <v>34353.25</v>
      </c>
      <c r="I13" s="52">
        <f>C13*F13</f>
        <v>34200</v>
      </c>
      <c r="J13" s="83">
        <f>SUM(I13:I14)</f>
        <v>40140</v>
      </c>
      <c r="K13" s="10"/>
      <c r="L13" s="10"/>
      <c r="M13" s="10"/>
      <c r="N13" s="75">
        <v>45657</v>
      </c>
      <c r="O13" s="27"/>
      <c r="P13" s="27"/>
      <c r="Q13" s="19">
        <f t="shared" si="1"/>
        <v>123.11999999999999</v>
      </c>
      <c r="R13" s="19">
        <f t="shared" si="2"/>
        <v>5.13</v>
      </c>
      <c r="S13" s="19">
        <f t="shared" si="3"/>
        <v>858.20624999999995</v>
      </c>
      <c r="T13" s="19">
        <f t="shared" si="4"/>
        <v>24.623999999999999</v>
      </c>
      <c r="U13" s="19">
        <f t="shared" si="5"/>
        <v>0.73871999999999993</v>
      </c>
      <c r="V13" s="19">
        <f t="shared" si="6"/>
        <v>97.757279999999994</v>
      </c>
      <c r="W13" s="49">
        <v>25</v>
      </c>
    </row>
    <row r="14" spans="1:23" x14ac:dyDescent="0.3">
      <c r="A14" s="74"/>
      <c r="B14" s="53" t="s">
        <v>16</v>
      </c>
      <c r="C14" s="52">
        <v>20</v>
      </c>
      <c r="D14" s="10"/>
      <c r="E14" s="10"/>
      <c r="F14" s="20">
        <v>297</v>
      </c>
      <c r="G14" s="10"/>
      <c r="H14" s="20">
        <f t="shared" si="0"/>
        <v>5987.2749999999987</v>
      </c>
      <c r="I14" s="52">
        <f>C14*F14</f>
        <v>5940</v>
      </c>
      <c r="J14" s="83"/>
      <c r="K14" s="10"/>
      <c r="L14" s="10"/>
      <c r="M14" s="10"/>
      <c r="N14" s="75"/>
      <c r="O14" s="27"/>
      <c r="P14" s="27"/>
      <c r="Q14" s="19">
        <f t="shared" si="1"/>
        <v>21.384</v>
      </c>
      <c r="R14" s="19">
        <f t="shared" si="2"/>
        <v>0.8909999999999999</v>
      </c>
      <c r="S14" s="19">
        <f t="shared" si="3"/>
        <v>298.11374999999998</v>
      </c>
      <c r="T14" s="19">
        <f t="shared" si="4"/>
        <v>4.2768000000000006</v>
      </c>
      <c r="U14" s="19">
        <f t="shared" si="5"/>
        <v>0.128304</v>
      </c>
      <c r="V14" s="19">
        <f t="shared" si="6"/>
        <v>16.978896000000002</v>
      </c>
      <c r="W14" s="49">
        <v>25</v>
      </c>
    </row>
    <row r="15" spans="1:23" x14ac:dyDescent="0.3">
      <c r="A15" s="80">
        <v>8</v>
      </c>
      <c r="B15" s="49" t="s">
        <v>31</v>
      </c>
      <c r="C15" s="52">
        <v>60</v>
      </c>
      <c r="D15" s="10"/>
      <c r="E15" s="10"/>
      <c r="F15" s="20">
        <v>410</v>
      </c>
      <c r="G15" s="10"/>
      <c r="H15" s="20">
        <f t="shared" si="0"/>
        <v>24717.25</v>
      </c>
      <c r="I15" s="52">
        <f t="shared" ref="I15:I19" si="9">C15*F15</f>
        <v>24600</v>
      </c>
      <c r="J15" s="52"/>
      <c r="K15" s="10"/>
      <c r="L15" s="10"/>
      <c r="M15" s="10"/>
      <c r="N15" s="75">
        <v>45664</v>
      </c>
      <c r="O15" s="28"/>
      <c r="P15" s="28"/>
      <c r="Q15" s="19">
        <f t="shared" si="1"/>
        <v>88.56</v>
      </c>
      <c r="R15" s="19">
        <f t="shared" si="2"/>
        <v>3.6899999999999995</v>
      </c>
      <c r="S15" s="19">
        <f t="shared" si="3"/>
        <v>411.53750000000002</v>
      </c>
      <c r="T15" s="19">
        <f t="shared" si="4"/>
        <v>17.712</v>
      </c>
      <c r="U15" s="19">
        <f t="shared" si="5"/>
        <v>0.53136000000000005</v>
      </c>
      <c r="V15" s="19">
        <f t="shared" si="6"/>
        <v>70.316640000000007</v>
      </c>
      <c r="W15" s="49">
        <v>25</v>
      </c>
    </row>
    <row r="16" spans="1:23" x14ac:dyDescent="0.3">
      <c r="A16" s="82"/>
      <c r="B16" s="49" t="s">
        <v>32</v>
      </c>
      <c r="C16" s="52">
        <v>80</v>
      </c>
      <c r="D16" s="10"/>
      <c r="E16" s="10"/>
      <c r="F16" s="20">
        <v>225.5</v>
      </c>
      <c r="G16" s="10"/>
      <c r="H16" s="20">
        <f t="shared" si="0"/>
        <v>18132.649999999994</v>
      </c>
      <c r="I16" s="52">
        <f t="shared" si="9"/>
        <v>18040</v>
      </c>
      <c r="J16" s="52"/>
      <c r="K16" s="10"/>
      <c r="L16" s="10"/>
      <c r="M16" s="10"/>
      <c r="N16" s="75"/>
      <c r="O16" s="49"/>
      <c r="P16" s="49"/>
      <c r="Q16" s="19">
        <f t="shared" si="1"/>
        <v>64.944000000000003</v>
      </c>
      <c r="R16" s="19">
        <f t="shared" si="2"/>
        <v>2.706</v>
      </c>
      <c r="S16" s="19">
        <f t="shared" si="3"/>
        <v>226.34562500000001</v>
      </c>
      <c r="T16" s="19">
        <f t="shared" si="4"/>
        <v>12.988800000000001</v>
      </c>
      <c r="U16" s="19">
        <f t="shared" si="5"/>
        <v>0.38966400000000001</v>
      </c>
      <c r="V16" s="19">
        <f t="shared" si="6"/>
        <v>51.565536000000002</v>
      </c>
      <c r="W16" s="49">
        <v>25</v>
      </c>
    </row>
    <row r="17" spans="1:23" x14ac:dyDescent="0.3">
      <c r="A17" s="82"/>
      <c r="B17" s="49" t="s">
        <v>13</v>
      </c>
      <c r="C17" s="52">
        <v>30</v>
      </c>
      <c r="D17" s="10"/>
      <c r="E17" s="10"/>
      <c r="F17" s="20">
        <v>520.9</v>
      </c>
      <c r="G17" s="10"/>
      <c r="H17" s="20">
        <f t="shared" si="0"/>
        <v>15710.60125</v>
      </c>
      <c r="I17" s="52">
        <f t="shared" si="9"/>
        <v>15627</v>
      </c>
      <c r="J17" s="52"/>
      <c r="K17" s="10"/>
      <c r="L17" s="10"/>
      <c r="M17" s="10"/>
      <c r="N17" s="75"/>
      <c r="O17" s="49"/>
      <c r="P17" s="49"/>
      <c r="Q17" s="19">
        <f t="shared" si="1"/>
        <v>56.257199999999997</v>
      </c>
      <c r="R17" s="19">
        <f t="shared" si="2"/>
        <v>2.3440499999999997</v>
      </c>
      <c r="S17" s="19">
        <f t="shared" si="3"/>
        <v>522.85337500000003</v>
      </c>
      <c r="T17" s="19">
        <f t="shared" si="4"/>
        <v>11.251440000000001</v>
      </c>
      <c r="U17" s="19">
        <f t="shared" si="5"/>
        <v>0.33754319999999999</v>
      </c>
      <c r="V17" s="19">
        <f t="shared" si="6"/>
        <v>44.668216800000003</v>
      </c>
      <c r="W17" s="49">
        <v>25</v>
      </c>
    </row>
    <row r="18" spans="1:23" x14ac:dyDescent="0.3">
      <c r="A18" s="81"/>
      <c r="B18" s="49" t="s">
        <v>33</v>
      </c>
      <c r="C18" s="52">
        <v>45</v>
      </c>
      <c r="D18" s="10"/>
      <c r="E18" s="10"/>
      <c r="F18" s="20">
        <v>209</v>
      </c>
      <c r="G18" s="10"/>
      <c r="H18" s="20">
        <f t="shared" si="0"/>
        <v>9465.2687499999993</v>
      </c>
      <c r="I18" s="52">
        <f t="shared" si="9"/>
        <v>9405</v>
      </c>
      <c r="J18" s="52"/>
      <c r="K18" s="10"/>
      <c r="L18" s="10"/>
      <c r="M18" s="10"/>
      <c r="N18" s="75"/>
      <c r="O18" s="49"/>
      <c r="P18" s="49"/>
      <c r="Q18" s="19">
        <f t="shared" si="1"/>
        <v>33.857999999999997</v>
      </c>
      <c r="R18" s="19">
        <f t="shared" si="2"/>
        <v>1.4107499999999999</v>
      </c>
      <c r="S18" s="19">
        <f t="shared" si="3"/>
        <v>209.78375</v>
      </c>
      <c r="T18" s="19">
        <f t="shared" si="4"/>
        <v>6.7715999999999994</v>
      </c>
      <c r="U18" s="19">
        <f t="shared" si="5"/>
        <v>0.203148</v>
      </c>
      <c r="V18" s="19">
        <f t="shared" si="6"/>
        <v>26.883251999999999</v>
      </c>
      <c r="W18" s="49">
        <v>25</v>
      </c>
    </row>
    <row r="19" spans="1:23" x14ac:dyDescent="0.3">
      <c r="A19" s="49">
        <v>9</v>
      </c>
      <c r="B19" s="53" t="s">
        <v>14</v>
      </c>
      <c r="C19" s="52">
        <v>11</v>
      </c>
      <c r="D19" s="10"/>
      <c r="E19" s="10"/>
      <c r="F19" s="20">
        <v>848</v>
      </c>
      <c r="G19" s="10"/>
      <c r="H19" s="20">
        <f>I19+R19+T19+U19+V19+W19</f>
        <v>9387.98</v>
      </c>
      <c r="I19" s="52">
        <f t="shared" si="9"/>
        <v>9328</v>
      </c>
      <c r="J19" s="52"/>
      <c r="K19" s="10"/>
      <c r="L19" s="10"/>
      <c r="M19" s="10"/>
      <c r="N19" s="48">
        <v>45666</v>
      </c>
      <c r="O19" s="27"/>
      <c r="P19" s="27"/>
      <c r="Q19" s="19">
        <f t="shared" si="1"/>
        <v>33.580799999999996</v>
      </c>
      <c r="R19" s="19">
        <f t="shared" si="2"/>
        <v>1.3991999999999998</v>
      </c>
      <c r="S19" s="19">
        <f t="shared" si="3"/>
        <v>851.18</v>
      </c>
      <c r="T19" s="19">
        <f t="shared" si="4"/>
        <v>6.7161599999999995</v>
      </c>
      <c r="U19" s="19">
        <f t="shared" si="5"/>
        <v>0.20148479999999999</v>
      </c>
      <c r="V19" s="19">
        <f t="shared" si="6"/>
        <v>26.663155199999999</v>
      </c>
      <c r="W19" s="49">
        <v>25</v>
      </c>
    </row>
    <row r="20" spans="1:23" x14ac:dyDescent="0.3">
      <c r="A20" s="49">
        <v>10</v>
      </c>
      <c r="B20" s="53" t="s">
        <v>14</v>
      </c>
      <c r="C20" s="52">
        <v>19</v>
      </c>
      <c r="D20" s="10"/>
      <c r="E20" s="10"/>
      <c r="F20" s="20">
        <v>829</v>
      </c>
      <c r="G20" s="10"/>
      <c r="H20" s="20">
        <f>I20+R20+T20+U20+V20+W20</f>
        <v>15835.066249999998</v>
      </c>
      <c r="I20" s="52">
        <f>C20*F20</f>
        <v>15751</v>
      </c>
      <c r="J20" s="52"/>
      <c r="K20" s="10"/>
      <c r="L20" s="10"/>
      <c r="M20" s="10"/>
      <c r="N20" s="48">
        <v>45669</v>
      </c>
      <c r="O20" s="27"/>
      <c r="P20" s="27"/>
      <c r="Q20" s="19">
        <f t="shared" si="1"/>
        <v>56.703600000000002</v>
      </c>
      <c r="R20" s="19">
        <f t="shared" si="2"/>
        <v>2.3626499999999999</v>
      </c>
      <c r="S20" s="19">
        <f t="shared" si="3"/>
        <v>832.10874999999999</v>
      </c>
      <c r="T20" s="19">
        <f t="shared" si="4"/>
        <v>11.340720000000001</v>
      </c>
      <c r="U20" s="19">
        <f t="shared" si="5"/>
        <v>0.34022160000000001</v>
      </c>
      <c r="V20" s="19">
        <f t="shared" si="6"/>
        <v>45.022658400000005</v>
      </c>
      <c r="W20" s="49">
        <v>25</v>
      </c>
    </row>
    <row r="21" spans="1:23" x14ac:dyDescent="0.3">
      <c r="A21" s="80">
        <v>11</v>
      </c>
      <c r="B21" s="53" t="s">
        <v>14</v>
      </c>
      <c r="C21" s="52">
        <v>30</v>
      </c>
      <c r="D21" s="10"/>
      <c r="E21" s="10"/>
      <c r="F21" s="52">
        <v>812</v>
      </c>
      <c r="G21" s="10"/>
      <c r="H21" s="20">
        <f t="shared" ref="H21:H22" si="10">I21+R21+T21+U21+V21+W21</f>
        <v>24476.35</v>
      </c>
      <c r="I21" s="52">
        <f>C21*F21</f>
        <v>24360</v>
      </c>
      <c r="J21" s="52"/>
      <c r="K21" s="10"/>
      <c r="L21" s="10"/>
      <c r="M21" s="10"/>
      <c r="N21" s="78">
        <v>45676</v>
      </c>
      <c r="O21" s="49"/>
      <c r="P21" s="49"/>
      <c r="Q21" s="19">
        <f t="shared" si="1"/>
        <v>87.695999999999998</v>
      </c>
      <c r="R21" s="19">
        <f t="shared" si="2"/>
        <v>3.6539999999999995</v>
      </c>
      <c r="S21" s="19">
        <f t="shared" si="3"/>
        <v>815.04499999999996</v>
      </c>
      <c r="T21" s="19">
        <f t="shared" si="4"/>
        <v>17.539200000000001</v>
      </c>
      <c r="U21" s="19">
        <f t="shared" si="5"/>
        <v>0.52617599999999998</v>
      </c>
      <c r="V21" s="19">
        <f t="shared" si="6"/>
        <v>69.630623999999997</v>
      </c>
      <c r="W21" s="49">
        <v>25</v>
      </c>
    </row>
    <row r="22" spans="1:23" x14ac:dyDescent="0.3">
      <c r="A22" s="81"/>
      <c r="B22" s="49" t="s">
        <v>45</v>
      </c>
      <c r="C22" s="52">
        <v>10</v>
      </c>
      <c r="D22" s="10"/>
      <c r="E22" s="10"/>
      <c r="F22" s="52">
        <v>2278</v>
      </c>
      <c r="G22" s="10"/>
      <c r="H22" s="20">
        <f t="shared" si="10"/>
        <v>22890.425000000003</v>
      </c>
      <c r="I22" s="52">
        <f>C22*F22</f>
        <v>22780</v>
      </c>
      <c r="J22" s="52"/>
      <c r="K22" s="29"/>
      <c r="L22" s="10"/>
      <c r="M22" s="10"/>
      <c r="N22" s="79"/>
      <c r="O22" s="49"/>
      <c r="P22" s="49"/>
      <c r="Q22" s="19">
        <f t="shared" si="1"/>
        <v>82.007999999999996</v>
      </c>
      <c r="R22" s="19">
        <f t="shared" si="2"/>
        <v>3.4169999999999998</v>
      </c>
      <c r="S22" s="19">
        <f t="shared" si="3"/>
        <v>2286.5425</v>
      </c>
      <c r="T22" s="19">
        <f t="shared" si="4"/>
        <v>16.401599999999998</v>
      </c>
      <c r="U22" s="19">
        <f t="shared" si="5"/>
        <v>0.49204799999999999</v>
      </c>
      <c r="V22" s="19">
        <f t="shared" si="6"/>
        <v>65.114351999999997</v>
      </c>
      <c r="W22" s="49">
        <v>25</v>
      </c>
    </row>
    <row r="23" spans="1:23" x14ac:dyDescent="0.3">
      <c r="A23" s="49"/>
      <c r="B23" s="49"/>
      <c r="C23" s="52"/>
      <c r="D23" s="10"/>
      <c r="E23" s="10"/>
      <c r="F23" s="52"/>
      <c r="G23" s="10"/>
      <c r="H23" s="52"/>
      <c r="I23" s="52"/>
      <c r="J23" s="52"/>
      <c r="K23" s="10"/>
      <c r="L23" s="10"/>
      <c r="M23" s="10"/>
      <c r="N23" s="52"/>
      <c r="O23" s="49"/>
      <c r="P23" s="49"/>
      <c r="Q23" s="49"/>
      <c r="R23" s="49"/>
      <c r="S23" s="49"/>
      <c r="T23" s="49"/>
      <c r="U23" s="49"/>
      <c r="V23" s="49"/>
      <c r="W23" s="49"/>
    </row>
    <row r="24" spans="1:23" x14ac:dyDescent="0.3">
      <c r="A24" s="49"/>
      <c r="B24" s="49"/>
      <c r="C24" s="52"/>
      <c r="D24" s="10"/>
      <c r="E24" s="10"/>
      <c r="F24" s="52"/>
      <c r="G24" s="10"/>
      <c r="H24" s="52"/>
      <c r="I24" s="52"/>
      <c r="J24" s="52"/>
      <c r="K24" s="10"/>
      <c r="L24" s="10"/>
      <c r="M24" s="10"/>
      <c r="N24" s="52"/>
      <c r="O24" s="49"/>
      <c r="P24" s="49"/>
      <c r="Q24" s="49"/>
      <c r="R24" s="49"/>
      <c r="S24" s="49"/>
      <c r="T24" s="49"/>
      <c r="U24" s="49"/>
      <c r="V24" s="49"/>
      <c r="W24" s="49"/>
    </row>
    <row r="25" spans="1:23" x14ac:dyDescent="0.3">
      <c r="A25" s="49"/>
      <c r="B25" s="49"/>
      <c r="C25" s="52"/>
      <c r="D25" s="10"/>
      <c r="E25" s="10"/>
      <c r="F25" s="52"/>
      <c r="G25" s="10"/>
      <c r="H25" s="52"/>
      <c r="I25" s="52"/>
      <c r="J25" s="52"/>
      <c r="K25" s="10"/>
      <c r="L25" s="10"/>
      <c r="M25" s="10"/>
      <c r="N25" s="52"/>
      <c r="O25" s="49"/>
      <c r="P25" s="49"/>
      <c r="Q25" s="49"/>
      <c r="R25" s="49"/>
      <c r="S25" s="49"/>
      <c r="T25" s="49"/>
      <c r="U25" s="49"/>
      <c r="V25" s="49"/>
      <c r="W25" s="49"/>
    </row>
    <row r="27" spans="1:23" x14ac:dyDescent="0.3">
      <c r="H27" s="54"/>
      <c r="Q27" s="54"/>
      <c r="R27" s="54"/>
      <c r="S27" s="54"/>
      <c r="T27" s="54"/>
      <c r="U27" s="54"/>
      <c r="V27" s="54"/>
    </row>
  </sheetData>
  <mergeCells count="13">
    <mergeCell ref="A21:A22"/>
    <mergeCell ref="N21:N22"/>
    <mergeCell ref="D1:E1"/>
    <mergeCell ref="I1:J1"/>
    <mergeCell ref="L1:M1"/>
    <mergeCell ref="E4:E5"/>
    <mergeCell ref="A7:A12"/>
    <mergeCell ref="N7:N12"/>
    <mergeCell ref="A13:A14"/>
    <mergeCell ref="J13:J14"/>
    <mergeCell ref="N13:N14"/>
    <mergeCell ref="A15:A18"/>
    <mergeCell ref="N15:N18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</vt:lpstr>
      <vt:lpstr>Sell</vt:lpstr>
      <vt:lpstr>Base price</vt:lpstr>
      <vt:lpstr>Buy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2025-03-05T15:44:08Z</dcterms:modified>
</cp:coreProperties>
</file>