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गणपति ढिकुरेपाटी संरक्षण तथा ढिकुरेपाटी माझ गाँउ सडक\"/>
    </mc:Choice>
  </mc:AlternateContent>
  <bookViews>
    <workbookView xWindow="-120" yWindow="-120" windowWidth="20730" windowHeight="11160" activeTab="3"/>
  </bookViews>
  <sheets>
    <sheet name="Estimate (3)" sheetId="19" r:id="rId1"/>
    <sheet name="WCR" sheetId="6" r:id="rId2"/>
    <sheet name="V" sheetId="20" r:id="rId3"/>
    <sheet name="Measure" sheetId="21" r:id="rId4"/>
  </sheets>
  <externalReferences>
    <externalReference r:id="rId5"/>
    <externalReference r:id="rId6"/>
    <externalReference r:id="rId7"/>
    <externalReference r:id="rId8"/>
    <externalReference r:id="rId9"/>
  </externalReferences>
  <definedNames>
    <definedName name="description_103">[1]Abstract!$B$16</definedName>
    <definedName name="description_124" localSheetId="0">#REF!</definedName>
    <definedName name="description_124" localSheetId="3">#REF!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0">'Estimate (3)'!$A$1:$K$90</definedName>
    <definedName name="_xlnm.Print_Area" localSheetId="3">Measure!$A$1:$K$97</definedName>
    <definedName name="_xlnm.Print_Area" localSheetId="2">V!$A$1:$K$97</definedName>
    <definedName name="_xlnm.Print_Area" localSheetId="1">WCR!$A$1:$K$45</definedName>
    <definedName name="_xlnm.Print_Titles" localSheetId="0">'Estimate (3)'!$1:$8</definedName>
    <definedName name="_xlnm.Print_Titles" localSheetId="3">Measure!$1:$8</definedName>
    <definedName name="_xlnm.Print_Titles" localSheetId="2">V!$1:$8</definedName>
    <definedName name="_xlnm.Print_Titles" localSheetId="1">WCR!$1:$11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97" i="21" l="1"/>
  <c r="C96" i="21"/>
  <c r="G88" i="21"/>
  <c r="J88" i="21" s="1"/>
  <c r="F84" i="21"/>
  <c r="D84" i="21"/>
  <c r="D83" i="21"/>
  <c r="G83" i="21" s="1"/>
  <c r="D82" i="21"/>
  <c r="G82" i="21" s="1"/>
  <c r="E77" i="21"/>
  <c r="D77" i="21"/>
  <c r="E76" i="21"/>
  <c r="D76" i="21"/>
  <c r="F76" i="21" s="1"/>
  <c r="G76" i="21" s="1"/>
  <c r="G71" i="21"/>
  <c r="F70" i="21"/>
  <c r="D70" i="21"/>
  <c r="G70" i="21" s="1"/>
  <c r="C70" i="21"/>
  <c r="F69" i="21"/>
  <c r="G69" i="21" s="1"/>
  <c r="D68" i="21"/>
  <c r="G68" i="21" s="1"/>
  <c r="F67" i="21"/>
  <c r="D67" i="21"/>
  <c r="D24" i="21" s="1"/>
  <c r="G24" i="21" s="1"/>
  <c r="G26" i="21" s="1"/>
  <c r="F62" i="21"/>
  <c r="D62" i="21"/>
  <c r="F61" i="21"/>
  <c r="D61" i="21"/>
  <c r="G61" i="21" s="1"/>
  <c r="G60" i="21"/>
  <c r="F60" i="21"/>
  <c r="D60" i="21"/>
  <c r="F59" i="21"/>
  <c r="D59" i="21"/>
  <c r="F54" i="21"/>
  <c r="E54" i="21"/>
  <c r="G54" i="21" s="1"/>
  <c r="F53" i="21"/>
  <c r="G53" i="21" s="1"/>
  <c r="E53" i="21"/>
  <c r="F52" i="21"/>
  <c r="E52" i="21"/>
  <c r="C47" i="21"/>
  <c r="G47" i="21" s="1"/>
  <c r="F46" i="21"/>
  <c r="D46" i="21"/>
  <c r="F43" i="21"/>
  <c r="D43" i="21"/>
  <c r="D44" i="21" s="1"/>
  <c r="G44" i="21" s="1"/>
  <c r="D41" i="21"/>
  <c r="D32" i="21" s="1"/>
  <c r="G32" i="21" s="1"/>
  <c r="D39" i="21"/>
  <c r="D40" i="21" s="1"/>
  <c r="G40" i="21" s="1"/>
  <c r="D37" i="21"/>
  <c r="D30" i="21" s="1"/>
  <c r="G30" i="21" s="1"/>
  <c r="B30" i="21"/>
  <c r="B10" i="21" s="1"/>
  <c r="D25" i="21"/>
  <c r="G25" i="21" s="1"/>
  <c r="B24" i="21"/>
  <c r="D20" i="21"/>
  <c r="G20" i="21" s="1"/>
  <c r="E19" i="21"/>
  <c r="G19" i="21" s="1"/>
  <c r="D19" i="21"/>
  <c r="D10" i="21"/>
  <c r="G10" i="21" s="1"/>
  <c r="G11" i="21" s="1"/>
  <c r="G85" i="20"/>
  <c r="G78" i="20"/>
  <c r="G72" i="20"/>
  <c r="G63" i="20"/>
  <c r="G55" i="20"/>
  <c r="G48" i="20"/>
  <c r="G33" i="20"/>
  <c r="G26" i="20"/>
  <c r="G59" i="21" l="1"/>
  <c r="G52" i="21"/>
  <c r="G55" i="21" s="1"/>
  <c r="G46" i="21"/>
  <c r="G62" i="21"/>
  <c r="G67" i="21"/>
  <c r="G72" i="21" s="1"/>
  <c r="G84" i="21"/>
  <c r="C94" i="21"/>
  <c r="G33" i="21"/>
  <c r="J27" i="21"/>
  <c r="J26" i="21"/>
  <c r="J12" i="21"/>
  <c r="J11" i="21"/>
  <c r="J56" i="21"/>
  <c r="J55" i="21"/>
  <c r="J72" i="21"/>
  <c r="J73" i="21"/>
  <c r="G21" i="21"/>
  <c r="J21" i="21" s="1"/>
  <c r="G85" i="21"/>
  <c r="D31" i="21"/>
  <c r="G31" i="21" s="1"/>
  <c r="G37" i="21"/>
  <c r="G39" i="21"/>
  <c r="G41" i="21"/>
  <c r="D45" i="21"/>
  <c r="G45" i="21" s="1"/>
  <c r="C77" i="21"/>
  <c r="F77" i="21" s="1"/>
  <c r="G77" i="21" s="1"/>
  <c r="G78" i="21" s="1"/>
  <c r="D38" i="21"/>
  <c r="G38" i="21" s="1"/>
  <c r="D42" i="21"/>
  <c r="G42" i="21" s="1"/>
  <c r="G43" i="21"/>
  <c r="D15" i="21"/>
  <c r="G15" i="21" s="1"/>
  <c r="G16" i="21" s="1"/>
  <c r="J16" i="21" s="1"/>
  <c r="A9" i="6"/>
  <c r="A8" i="6"/>
  <c r="G63" i="21" l="1"/>
  <c r="J78" i="21"/>
  <c r="J79" i="21"/>
  <c r="G48" i="21"/>
  <c r="J34" i="21"/>
  <c r="J33" i="21"/>
  <c r="J86" i="21"/>
  <c r="J85" i="21"/>
  <c r="J16" i="6"/>
  <c r="F84" i="20"/>
  <c r="D84" i="20"/>
  <c r="D67" i="20"/>
  <c r="D24" i="20" s="1"/>
  <c r="G71" i="20"/>
  <c r="J64" i="21" l="1"/>
  <c r="J63" i="21"/>
  <c r="J49" i="21"/>
  <c r="J90" i="21" s="1"/>
  <c r="C92" i="21" s="1"/>
  <c r="J48" i="21"/>
  <c r="G84" i="20"/>
  <c r="D68" i="20"/>
  <c r="G68" i="20" s="1"/>
  <c r="D25" i="20"/>
  <c r="G25" i="20" s="1"/>
  <c r="C47" i="20"/>
  <c r="G47" i="20" s="1"/>
  <c r="F46" i="20"/>
  <c r="D46" i="20"/>
  <c r="G46" i="20" s="1"/>
  <c r="D10" i="20"/>
  <c r="F43" i="20"/>
  <c r="D83" i="20"/>
  <c r="D82" i="20"/>
  <c r="C95" i="21" l="1"/>
  <c r="E94" i="21"/>
  <c r="E95" i="21" s="1"/>
  <c r="D77" i="20"/>
  <c r="D76" i="20"/>
  <c r="C77" i="20" s="1"/>
  <c r="D15" i="20"/>
  <c r="C70" i="20"/>
  <c r="F70" i="20"/>
  <c r="D70" i="20"/>
  <c r="F69" i="20"/>
  <c r="F67" i="20"/>
  <c r="H43" i="6"/>
  <c r="G43" i="6"/>
  <c r="E43" i="6"/>
  <c r="C43" i="6"/>
  <c r="B43" i="6"/>
  <c r="A43" i="6"/>
  <c r="H40" i="6"/>
  <c r="E40" i="6"/>
  <c r="C40" i="6"/>
  <c r="B41" i="6"/>
  <c r="B40" i="6"/>
  <c r="A40" i="6"/>
  <c r="H37" i="6"/>
  <c r="E37" i="6"/>
  <c r="C37" i="6"/>
  <c r="B38" i="6"/>
  <c r="B37" i="6"/>
  <c r="A37" i="6"/>
  <c r="H34" i="6"/>
  <c r="E34" i="6"/>
  <c r="C34" i="6"/>
  <c r="H31" i="6"/>
  <c r="E31" i="6"/>
  <c r="C31" i="6"/>
  <c r="B35" i="6"/>
  <c r="A34" i="6"/>
  <c r="B34" i="6"/>
  <c r="B32" i="6"/>
  <c r="B31" i="6"/>
  <c r="A31" i="6"/>
  <c r="H28" i="6"/>
  <c r="E28" i="6"/>
  <c r="C28" i="6"/>
  <c r="B29" i="6"/>
  <c r="B28" i="6"/>
  <c r="A28" i="6"/>
  <c r="H25" i="6"/>
  <c r="E25" i="6"/>
  <c r="C25" i="6"/>
  <c r="B26" i="6"/>
  <c r="B25" i="6"/>
  <c r="A25" i="6"/>
  <c r="H22" i="6"/>
  <c r="E22" i="6"/>
  <c r="C22" i="6"/>
  <c r="B23" i="6"/>
  <c r="B22" i="6"/>
  <c r="A22" i="6"/>
  <c r="H19" i="6"/>
  <c r="E19" i="6"/>
  <c r="C19" i="6"/>
  <c r="B20" i="6"/>
  <c r="B19" i="6"/>
  <c r="A19" i="6"/>
  <c r="H17" i="6"/>
  <c r="E17" i="6"/>
  <c r="C17" i="6"/>
  <c r="B17" i="6"/>
  <c r="A17" i="6"/>
  <c r="H15" i="6"/>
  <c r="E15" i="6"/>
  <c r="C15" i="6"/>
  <c r="B15" i="6"/>
  <c r="A15" i="6"/>
  <c r="H12" i="6"/>
  <c r="E12" i="6"/>
  <c r="C12" i="6"/>
  <c r="B13" i="6"/>
  <c r="B12" i="6"/>
  <c r="A12" i="6"/>
  <c r="D41" i="20"/>
  <c r="D42" i="20" s="1"/>
  <c r="G42" i="20" s="1"/>
  <c r="D39" i="20"/>
  <c r="D31" i="20" s="1"/>
  <c r="G31" i="20" s="1"/>
  <c r="F53" i="20"/>
  <c r="F54" i="20"/>
  <c r="F52" i="20"/>
  <c r="E54" i="20"/>
  <c r="E53" i="20"/>
  <c r="E52" i="20"/>
  <c r="C97" i="20"/>
  <c r="C96" i="20"/>
  <c r="G88" i="20"/>
  <c r="J88" i="20" s="1"/>
  <c r="G83" i="20"/>
  <c r="G82" i="20"/>
  <c r="E77" i="20"/>
  <c r="E76" i="20"/>
  <c r="F62" i="20"/>
  <c r="D62" i="20"/>
  <c r="F61" i="20"/>
  <c r="D61" i="20"/>
  <c r="F60" i="20"/>
  <c r="D60" i="20"/>
  <c r="F59" i="20"/>
  <c r="D59" i="20"/>
  <c r="D37" i="20"/>
  <c r="G37" i="20" s="1"/>
  <c r="B30" i="20"/>
  <c r="B10" i="20" s="1"/>
  <c r="B24" i="20"/>
  <c r="D20" i="20"/>
  <c r="G20" i="20" s="1"/>
  <c r="E19" i="20"/>
  <c r="D19" i="20"/>
  <c r="G61" i="20" l="1"/>
  <c r="G39" i="20"/>
  <c r="G70" i="20"/>
  <c r="G24" i="20"/>
  <c r="D43" i="20"/>
  <c r="G52" i="20"/>
  <c r="G54" i="20"/>
  <c r="G62" i="20"/>
  <c r="G60" i="20"/>
  <c r="D32" i="20"/>
  <c r="G32" i="20" s="1"/>
  <c r="I43" i="6"/>
  <c r="G41" i="20"/>
  <c r="D40" i="20"/>
  <c r="G40" i="20" s="1"/>
  <c r="G53" i="20"/>
  <c r="F77" i="20"/>
  <c r="G77" i="20" s="1"/>
  <c r="G15" i="20"/>
  <c r="G16" i="20" s="1"/>
  <c r="G19" i="20"/>
  <c r="G21" i="20" s="1"/>
  <c r="G59" i="20"/>
  <c r="C94" i="20"/>
  <c r="F76" i="20"/>
  <c r="G76" i="20" s="1"/>
  <c r="D38" i="20"/>
  <c r="G38" i="20" s="1"/>
  <c r="G10" i="20"/>
  <c r="G11" i="20" s="1"/>
  <c r="D30" i="20"/>
  <c r="G30" i="20" s="1"/>
  <c r="J34" i="20" l="1"/>
  <c r="I23" i="6" s="1"/>
  <c r="G31" i="6"/>
  <c r="G28" i="6"/>
  <c r="I28" i="6" s="1"/>
  <c r="G37" i="6"/>
  <c r="D45" i="20"/>
  <c r="G45" i="20" s="1"/>
  <c r="D44" i="20"/>
  <c r="G44" i="20" s="1"/>
  <c r="G43" i="20"/>
  <c r="G19" i="6"/>
  <c r="J85" i="20"/>
  <c r="J21" i="20"/>
  <c r="G17" i="6"/>
  <c r="I17" i="6" s="1"/>
  <c r="J86" i="20"/>
  <c r="I41" i="6" s="1"/>
  <c r="G40" i="6"/>
  <c r="I40" i="6" s="1"/>
  <c r="J16" i="20"/>
  <c r="G15" i="6"/>
  <c r="I15" i="6" s="1"/>
  <c r="J11" i="20"/>
  <c r="G12" i="6"/>
  <c r="G67" i="20"/>
  <c r="J12" i="20"/>
  <c r="I13" i="6" s="1"/>
  <c r="G69" i="20"/>
  <c r="D46" i="19"/>
  <c r="D77" i="19"/>
  <c r="G77" i="19" s="1"/>
  <c r="G65" i="19"/>
  <c r="D76" i="19"/>
  <c r="G76" i="19" s="1"/>
  <c r="I37" i="6" l="1"/>
  <c r="N62" i="6"/>
  <c r="O62" i="6" s="1"/>
  <c r="N61" i="6"/>
  <c r="O61" i="6" s="1"/>
  <c r="I19" i="6"/>
  <c r="I31" i="6"/>
  <c r="N60" i="6"/>
  <c r="O60" i="6" s="1"/>
  <c r="N59" i="6"/>
  <c r="O59" i="6" s="1"/>
  <c r="N51" i="6"/>
  <c r="O51" i="6" s="1"/>
  <c r="J33" i="20"/>
  <c r="G22" i="6"/>
  <c r="G25" i="6"/>
  <c r="J72" i="20"/>
  <c r="G78" i="19"/>
  <c r="J55" i="20"/>
  <c r="J26" i="20"/>
  <c r="J27" i="20"/>
  <c r="I20" i="6" s="1"/>
  <c r="J56" i="20"/>
  <c r="I29" i="6" s="1"/>
  <c r="J63" i="20"/>
  <c r="J64" i="20"/>
  <c r="I32" i="6" s="1"/>
  <c r="J79" i="20"/>
  <c r="I38" i="6" s="1"/>
  <c r="J78" i="20"/>
  <c r="J79" i="19"/>
  <c r="F41" i="6" s="1"/>
  <c r="M41" i="6" s="1"/>
  <c r="N41" i="6" s="1"/>
  <c r="J78" i="19"/>
  <c r="I25" i="6" l="1"/>
  <c r="N58" i="6"/>
  <c r="O58" i="6" s="1"/>
  <c r="N55" i="6"/>
  <c r="O55" i="6" s="1"/>
  <c r="I22" i="6"/>
  <c r="N54" i="6"/>
  <c r="O54" i="6" s="1"/>
  <c r="J41" i="6"/>
  <c r="G56" i="19"/>
  <c r="D40" i="6"/>
  <c r="F40" i="6" s="1"/>
  <c r="G34" i="6"/>
  <c r="J48" i="20"/>
  <c r="J49" i="20"/>
  <c r="I26" i="6" s="1"/>
  <c r="J73" i="20"/>
  <c r="I35" i="6" s="1"/>
  <c r="D41" i="19"/>
  <c r="G41" i="19" s="1"/>
  <c r="I34" i="6" l="1"/>
  <c r="N52" i="6"/>
  <c r="O52" i="6" s="1"/>
  <c r="N49" i="6"/>
  <c r="N53" i="6"/>
  <c r="O53" i="6" s="1"/>
  <c r="N57" i="6"/>
  <c r="O57" i="6" s="1"/>
  <c r="N50" i="6"/>
  <c r="N56" i="6"/>
  <c r="O56" i="6" s="1"/>
  <c r="O64" i="6" s="1"/>
  <c r="O66" i="6" s="1"/>
  <c r="M40" i="6"/>
  <c r="N40" i="6" s="1"/>
  <c r="J40" i="6"/>
  <c r="J90" i="20"/>
  <c r="C92" i="20" s="1"/>
  <c r="C95" i="20" s="1"/>
  <c r="D40" i="19"/>
  <c r="G40" i="19" s="1"/>
  <c r="C71" i="19"/>
  <c r="D70" i="19"/>
  <c r="M67" i="19"/>
  <c r="D71" i="19"/>
  <c r="E71" i="19"/>
  <c r="E70" i="19"/>
  <c r="F64" i="19"/>
  <c r="F62" i="19"/>
  <c r="P61" i="19"/>
  <c r="N61" i="19"/>
  <c r="M61" i="19"/>
  <c r="N60" i="19"/>
  <c r="B25" i="19"/>
  <c r="B38" i="19" s="1"/>
  <c r="B61" i="19" s="1"/>
  <c r="B31" i="19"/>
  <c r="B10" i="19" s="1"/>
  <c r="D21" i="19"/>
  <c r="G21" i="19" s="1"/>
  <c r="E20" i="19"/>
  <c r="D20" i="19"/>
  <c r="E26" i="19"/>
  <c r="E39" i="19" s="1"/>
  <c r="E25" i="19"/>
  <c r="E38" i="19" s="1"/>
  <c r="C26" i="19"/>
  <c r="C39" i="19" s="1"/>
  <c r="C25" i="19"/>
  <c r="C38" i="19" s="1"/>
  <c r="C61" i="19" s="1"/>
  <c r="D15" i="19"/>
  <c r="D25" i="19" s="1"/>
  <c r="D38" i="19" s="1"/>
  <c r="D61" i="19" s="1"/>
  <c r="D62" i="19" s="1"/>
  <c r="D16" i="19"/>
  <c r="G16" i="19" s="1"/>
  <c r="N64" i="6" l="1"/>
  <c r="F70" i="19"/>
  <c r="G70" i="19" s="1"/>
  <c r="F71" i="19"/>
  <c r="G71" i="19" s="1"/>
  <c r="E94" i="20"/>
  <c r="E95" i="20" s="1"/>
  <c r="C63" i="19"/>
  <c r="C62" i="19"/>
  <c r="G62" i="19" s="1"/>
  <c r="G61" i="19"/>
  <c r="G38" i="19"/>
  <c r="G20" i="19"/>
  <c r="D26" i="19"/>
  <c r="D39" i="19" s="1"/>
  <c r="G72" i="19" l="1"/>
  <c r="D37" i="6" s="1"/>
  <c r="F37" i="6" s="1"/>
  <c r="G39" i="19"/>
  <c r="D63" i="19"/>
  <c r="D64" i="19" s="1"/>
  <c r="C64" i="19"/>
  <c r="G22" i="19"/>
  <c r="D17" i="6" s="1"/>
  <c r="F17" i="6" s="1"/>
  <c r="J22" i="19" l="1"/>
  <c r="J72" i="19"/>
  <c r="M37" i="6"/>
  <c r="N37" i="6" s="1"/>
  <c r="J37" i="6"/>
  <c r="J73" i="19"/>
  <c r="F38" i="6" s="1"/>
  <c r="M17" i="6"/>
  <c r="N17" i="6" s="1"/>
  <c r="J17" i="6"/>
  <c r="G63" i="19"/>
  <c r="G64" i="19"/>
  <c r="G66" i="19" l="1"/>
  <c r="D34" i="6" s="1"/>
  <c r="F34" i="6" s="1"/>
  <c r="M38" i="6"/>
  <c r="N38" i="6" s="1"/>
  <c r="J38" i="6"/>
  <c r="G26" i="19"/>
  <c r="M34" i="6" l="1"/>
  <c r="N34" i="6" s="1"/>
  <c r="J34" i="6"/>
  <c r="J66" i="19"/>
  <c r="J67" i="19"/>
  <c r="F35" i="6" s="1"/>
  <c r="F55" i="19"/>
  <c r="D55" i="19"/>
  <c r="G55" i="19" s="1"/>
  <c r="F54" i="19"/>
  <c r="G54" i="19" s="1"/>
  <c r="D54" i="19"/>
  <c r="F53" i="19"/>
  <c r="G53" i="19" s="1"/>
  <c r="D53" i="19"/>
  <c r="F52" i="19"/>
  <c r="D52" i="19"/>
  <c r="G52" i="19" s="1"/>
  <c r="D51" i="19"/>
  <c r="F51" i="19"/>
  <c r="M35" i="6" l="1"/>
  <c r="N35" i="6" s="1"/>
  <c r="J35" i="6"/>
  <c r="G51" i="19"/>
  <c r="G57" i="19" s="1"/>
  <c r="D31" i="6" s="1"/>
  <c r="F31" i="6" s="1"/>
  <c r="M31" i="6" l="1"/>
  <c r="N31" i="6" s="1"/>
  <c r="J31" i="6"/>
  <c r="J58" i="19"/>
  <c r="F32" i="6" s="1"/>
  <c r="M32" i="6" l="1"/>
  <c r="N32" i="6" s="1"/>
  <c r="J32" i="6"/>
  <c r="J57" i="19"/>
  <c r="E46" i="19"/>
  <c r="N82" i="19" l="1"/>
  <c r="E36" i="19" l="1"/>
  <c r="E31" i="19" s="1"/>
  <c r="C89" i="19"/>
  <c r="G81" i="19"/>
  <c r="D36" i="19"/>
  <c r="D10" i="19"/>
  <c r="J81" i="19" l="1"/>
  <c r="D43" i="6"/>
  <c r="F43" i="6" s="1"/>
  <c r="C90" i="19"/>
  <c r="C87" i="19" s="1"/>
  <c r="E10" i="19"/>
  <c r="D37" i="19"/>
  <c r="G37" i="19" s="1"/>
  <c r="D31" i="19"/>
  <c r="G36" i="19"/>
  <c r="G42" i="19" s="1"/>
  <c r="D25" i="6" s="1"/>
  <c r="F25" i="6" s="1"/>
  <c r="G46" i="19"/>
  <c r="G47" i="19" s="1"/>
  <c r="D28" i="6" s="1"/>
  <c r="F28" i="6" s="1"/>
  <c r="M25" i="6" l="1"/>
  <c r="N25" i="6" s="1"/>
  <c r="J25" i="6"/>
  <c r="M28" i="6"/>
  <c r="N28" i="6" s="1"/>
  <c r="J28" i="6"/>
  <c r="M43" i="6"/>
  <c r="N43" i="6" s="1"/>
  <c r="J43" i="6"/>
  <c r="G10" i="19"/>
  <c r="G11" i="19" s="1"/>
  <c r="J47" i="19"/>
  <c r="J48" i="19"/>
  <c r="F29" i="6" s="1"/>
  <c r="G31" i="19"/>
  <c r="G32" i="19" s="1"/>
  <c r="D22" i="6" s="1"/>
  <c r="F22" i="6" s="1"/>
  <c r="M29" i="6" l="1"/>
  <c r="N29" i="6" s="1"/>
  <c r="J29" i="6"/>
  <c r="J12" i="19"/>
  <c r="F13" i="6" s="1"/>
  <c r="D12" i="6"/>
  <c r="M22" i="6"/>
  <c r="N22" i="6" s="1"/>
  <c r="J22" i="6"/>
  <c r="J11" i="19"/>
  <c r="J42" i="19"/>
  <c r="J43" i="19"/>
  <c r="F26" i="6" s="1"/>
  <c r="M26" i="6" l="1"/>
  <c r="N26" i="6" s="1"/>
  <c r="J26" i="6"/>
  <c r="M13" i="6"/>
  <c r="N13" i="6" s="1"/>
  <c r="J13" i="6"/>
  <c r="I12" i="6"/>
  <c r="I45" i="6" l="1"/>
  <c r="P64" i="6" s="1"/>
  <c r="N66" i="6" s="1"/>
  <c r="P66" i="6" s="1"/>
  <c r="F12" i="6"/>
  <c r="J12" i="6" l="1"/>
  <c r="M12" i="6"/>
  <c r="N12" i="6" s="1"/>
  <c r="J6" i="6" l="1"/>
  <c r="G25" i="19" l="1"/>
  <c r="G27" i="19" s="1"/>
  <c r="D19" i="6" s="1"/>
  <c r="F19" i="6" s="1"/>
  <c r="G15" i="19"/>
  <c r="G17" i="19" s="1"/>
  <c r="D15" i="6" s="1"/>
  <c r="F15" i="6" s="1"/>
  <c r="M15" i="6" l="1"/>
  <c r="N15" i="6" s="1"/>
  <c r="J15" i="6"/>
  <c r="M19" i="6"/>
  <c r="N19" i="6" s="1"/>
  <c r="J19" i="6"/>
  <c r="J17" i="19"/>
  <c r="J28" i="19"/>
  <c r="F20" i="6" s="1"/>
  <c r="J27" i="19"/>
  <c r="J33" i="19"/>
  <c r="F23" i="6" s="1"/>
  <c r="J32" i="19"/>
  <c r="J83" i="19" l="1"/>
  <c r="M23" i="6"/>
  <c r="N23" i="6" s="1"/>
  <c r="J23" i="6"/>
  <c r="M20" i="6"/>
  <c r="N20" i="6" s="1"/>
  <c r="J20" i="6"/>
  <c r="F45" i="6"/>
  <c r="C85" i="19"/>
  <c r="E87" i="19" s="1"/>
  <c r="E88" i="19" s="1"/>
  <c r="C88" i="19" l="1"/>
  <c r="J45" i="6"/>
  <c r="C6" i="6"/>
</calcChain>
</file>

<file path=xl/comments1.xml><?xml version="1.0" encoding="utf-8"?>
<comments xmlns="http://schemas.openxmlformats.org/spreadsheetml/2006/main">
  <authors>
    <author>DELL</author>
  </authors>
  <commentList>
    <comment ref="B56" authorId="0" shapeId="0">
      <text>
        <r>
          <rPr>
            <b/>
            <sz val="10"/>
            <color indexed="81"/>
            <rFont val="Tahoma"/>
          </rPr>
          <t>DELL:</t>
        </r>
        <r>
          <rPr>
            <sz val="10"/>
            <color indexed="81"/>
            <rFont val="Tahoma"/>
          </rPr>
          <t xml:space="preserve">
item no. 10</t>
        </r>
      </text>
    </comment>
    <comment ref="D61" authorId="0" shapeId="0">
      <text>
        <r>
          <rPr>
            <b/>
            <sz val="10"/>
            <color indexed="81"/>
            <rFont val="Tahoma"/>
            <family val="2"/>
          </rPr>
          <t>DELL:</t>
        </r>
        <r>
          <rPr>
            <sz val="10"/>
            <color indexed="81"/>
            <rFont val="Tahoma"/>
            <family val="2"/>
          </rPr>
          <t xml:space="preserve">
column part not included</t>
        </r>
      </text>
    </comment>
  </commentList>
</comments>
</file>

<file path=xl/comments2.xml><?xml version="1.0" encoding="utf-8"?>
<comments xmlns="http://schemas.openxmlformats.org/spreadsheetml/2006/main">
  <authors>
    <author>DELL</author>
  </authors>
  <commentList>
    <comment ref="D67" authorId="0" shapeId="0">
      <text>
        <r>
          <rPr>
            <b/>
            <sz val="10"/>
            <color indexed="81"/>
            <rFont val="Tahoma"/>
            <family val="2"/>
          </rPr>
          <t>DELL:</t>
        </r>
        <r>
          <rPr>
            <sz val="10"/>
            <color indexed="81"/>
            <rFont val="Tahoma"/>
            <family val="2"/>
          </rPr>
          <t xml:space="preserve">
column part not included</t>
        </r>
      </text>
    </comment>
  </commentList>
</comments>
</file>

<file path=xl/comments3.xml><?xml version="1.0" encoding="utf-8"?>
<comments xmlns="http://schemas.openxmlformats.org/spreadsheetml/2006/main">
  <authors>
    <author>DELL</author>
  </authors>
  <commentList>
    <comment ref="D67" authorId="0" shapeId="0">
      <text>
        <r>
          <rPr>
            <b/>
            <sz val="10"/>
            <color indexed="81"/>
            <rFont val="Tahoma"/>
            <family val="2"/>
          </rPr>
          <t>DELL:</t>
        </r>
        <r>
          <rPr>
            <sz val="10"/>
            <color indexed="81"/>
            <rFont val="Tahoma"/>
            <family val="2"/>
          </rPr>
          <t xml:space="preserve">
column part not included</t>
        </r>
      </text>
    </comment>
  </commentList>
</comments>
</file>

<file path=xl/sharedStrings.xml><?xml version="1.0" encoding="utf-8"?>
<sst xmlns="http://schemas.openxmlformats.org/spreadsheetml/2006/main" count="328" uniqueCount="102">
  <si>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</si>
  <si>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</si>
  <si>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</si>
  <si>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</si>
  <si>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</si>
  <si>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</si>
  <si>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</si>
  <si>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</si>
  <si>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</si>
  <si>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</si>
  <si>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</si>
  <si>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</si>
  <si>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</si>
  <si>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</si>
  <si>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</si>
  <si>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</si>
  <si>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</si>
  <si>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</si>
  <si>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</si>
  <si>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</si>
  <si>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</si>
  <si>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</si>
  <si>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</si>
  <si>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</si>
  <si>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</si>
  <si>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</si>
  <si>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</si>
  <si>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</si>
  <si>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</si>
  <si>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</si>
  <si>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</si>
  <si>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</si>
  <si>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</si>
  <si>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</si>
  <si>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</si>
  <si>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</si>
  <si>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</si>
  <si>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</si>
  <si>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VAT calculation</t>
  </si>
  <si>
    <t>m3</t>
  </si>
  <si>
    <t>Sub-total</t>
  </si>
  <si>
    <t>Providing and laying of Plain/Reinforced Cement Concrete in Foundation complete as per Drawing and Technical Specifications, PCC Grade M 15</t>
  </si>
  <si>
    <t>Providing and laying of hand pack Stone soling with 150 to 200 mm thick stones and packing with smaller stone on prepared surface as per Drawing and Technical Specifications.</t>
  </si>
  <si>
    <t>F.Y.: 2081/2082</t>
  </si>
  <si>
    <t>45m</t>
  </si>
  <si>
    <t>13m</t>
  </si>
  <si>
    <t>ht=3'9"</t>
  </si>
  <si>
    <t>Random Rubble Masonry, Providing and laying of Stone Masonry Work in Cement Mortar 1:6 in Foundation complete as per Drawing and Technical Specifications.</t>
  </si>
  <si>
    <t xml:space="preserve">e'O{+tNnfdf lrDgL e§fsf] O{+6fsf] uf/f] l;d]G6 d;nf -!M^_ df </t>
  </si>
  <si>
    <t>subservience</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</si>
  <si>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 (खन्ने पुर्ने कार्य)</t>
  </si>
  <si>
    <t>Length (m)</t>
  </si>
  <si>
    <t>MT</t>
  </si>
  <si>
    <t>Project:- गणपति ढिकुरेपाटी संरक्षण</t>
  </si>
  <si>
    <t>-wall</t>
  </si>
  <si>
    <t>sqm</t>
  </si>
  <si>
    <t>k'/fgf] ;km]{;df XjfO{6jfz ug]{ sfd</t>
  </si>
  <si>
    <t>-deduction for door</t>
  </si>
  <si>
    <t>-deduction for window</t>
  </si>
  <si>
    <t>;'Vvf O{6f RofK6f] 5fKg] sfd</t>
  </si>
  <si>
    <t>-For stone masonary</t>
  </si>
  <si>
    <t xml:space="preserve">g/d k|sf/sf] Sn] / l;N6L df6f]df ;j} lsl;dsf] vGg] sfd </t>
  </si>
  <si>
    <t>-for footing of wall at truss structure</t>
  </si>
  <si>
    <t>3fF; sf6\g] To;sf] h/f lemSg], l9:sf] k'm6fpg] / n]en u/L :yn ;kmf ug]{ ;a} jf]sgL ;d]t</t>
  </si>
  <si>
    <t>-Surrounding environment</t>
  </si>
  <si>
    <t>cf/=;L=;L= nflu kmnfd] 808L sf6\g], df]8\g] #) dL6/ ;Dd</t>
  </si>
  <si>
    <t>Unit wt. (kg/m)</t>
  </si>
  <si>
    <t>Total wt. (kg)</t>
  </si>
  <si>
    <t>Total wt. (MT)</t>
  </si>
  <si>
    <t>-For bands</t>
  </si>
  <si>
    <t>-For stirrups</t>
  </si>
  <si>
    <t>-For sill/lintel/DPC band</t>
  </si>
  <si>
    <t>!@=% dL=dL= l;d]G6 afn'jf -!M$_ Knfi6/</t>
  </si>
  <si>
    <t>-deduction for entrance</t>
  </si>
  <si>
    <t>-as of plaster</t>
  </si>
  <si>
    <t>Date:2081/09/28</t>
  </si>
  <si>
    <t>-steps</t>
  </si>
  <si>
    <t>-entrance</t>
  </si>
  <si>
    <t>-for steps</t>
  </si>
  <si>
    <t>-partition</t>
  </si>
  <si>
    <t>Date:2081/12/06</t>
  </si>
  <si>
    <t>Detail Valuated Sheet</t>
  </si>
  <si>
    <t>Total Valuated</t>
  </si>
  <si>
    <t>Excavator</t>
  </si>
  <si>
    <t>VAT 13%</t>
  </si>
  <si>
    <t>Total amount w/o VAT</t>
  </si>
  <si>
    <t>Skilled</t>
  </si>
  <si>
    <t>unskilled</t>
  </si>
  <si>
    <t>Brick</t>
  </si>
  <si>
    <t>sand</t>
  </si>
  <si>
    <t>stone</t>
  </si>
  <si>
    <t>aggregate</t>
  </si>
  <si>
    <t>cement</t>
  </si>
  <si>
    <t>water</t>
  </si>
  <si>
    <t>formwork</t>
  </si>
  <si>
    <t xml:space="preserve">चुना </t>
  </si>
  <si>
    <t xml:space="preserve">गम </t>
  </si>
  <si>
    <t>rod</t>
  </si>
  <si>
    <t>wire binding</t>
  </si>
  <si>
    <t>Detail Quantity Measurement Sheet</t>
  </si>
  <si>
    <t xml:space="preserve">F.Y:2081/82                </t>
  </si>
  <si>
    <t xml:space="preserve">Date:2081/12/06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</si>
</sst>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23"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b/>
      <sz val="12"/>
      <name val="Preeti"/>
    </font>
    <font>
      <sz val="14"/>
      <name val="Preeti"/>
    </font>
    <font>
      <b/>
      <sz val="10"/>
      <color indexed="81"/>
      <name val="Tahoma"/>
      <family val="2"/>
    </font>
    <font>
      <sz val="10"/>
      <color indexed="81"/>
      <name val="Tahoma"/>
      <family val="2"/>
    </font>
    <font>
      <b/>
      <sz val="12"/>
      <color theme="1"/>
      <name val="Preeti"/>
    </font>
    <font>
      <sz val="10"/>
      <color indexed="81"/>
      <name val="Tahoma"/>
    </font>
    <font>
      <b/>
      <sz val="10"/>
      <color indexed="81"/>
      <name val="Tahoma"/>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109">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3" fillId="0" borderId="1" xfId="0" applyFont="1" applyBorder="1" applyAlignment="1">
      <alignment vertical="center"/>
    </xf>
    <xf numFmtId="164" fontId="15" fillId="0" borderId="1" xfId="0" applyNumberFormat="1" applyFont="1" applyBorder="1" applyAlignment="1">
      <alignment vertical="center"/>
    </xf>
    <xf numFmtId="0" fontId="16" fillId="3" borderId="1" xfId="0" applyFont="1" applyFill="1" applyBorder="1" applyAlignment="1">
      <alignment wrapText="1"/>
    </xf>
    <xf numFmtId="1" fontId="16" fillId="0" borderId="1" xfId="0" applyNumberFormat="1" applyFont="1" applyFill="1" applyBorder="1" applyAlignment="1">
      <alignment vertical="center" wrapText="1"/>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165" fontId="13" fillId="0" borderId="1" xfId="1" applyNumberFormat="1" applyFont="1" applyFill="1" applyBorder="1" applyAlignment="1">
      <alignment vertical="center"/>
    </xf>
    <xf numFmtId="0" fontId="20" fillId="0" borderId="1" xfId="0" applyFont="1" applyBorder="1" applyAlignment="1">
      <alignment wrapText="1"/>
    </xf>
    <xf numFmtId="1" fontId="16" fillId="3" borderId="1" xfId="0" applyNumberFormat="1" applyFont="1" applyFill="1" applyBorder="1" applyAlignment="1">
      <alignment wrapText="1"/>
    </xf>
    <xf numFmtId="1" fontId="15" fillId="0" borderId="1" xfId="0" applyNumberFormat="1" applyFont="1" applyBorder="1" applyAlignment="1"/>
    <xf numFmtId="2" fontId="0" fillId="0" borderId="1" xfId="0" applyNumberFormat="1" applyBorder="1" applyAlignment="1"/>
    <xf numFmtId="43" fontId="2" fillId="0" borderId="1" xfId="1" applyFont="1" applyBorder="1" applyAlignment="1"/>
    <xf numFmtId="0" fontId="0" fillId="0" borderId="1" xfId="0" applyBorder="1" applyAlignment="1">
      <alignment wrapText="1"/>
    </xf>
    <xf numFmtId="0" fontId="0" fillId="0" borderId="0" xfId="0" applyAlignment="1"/>
    <xf numFmtId="1" fontId="6" fillId="0" borderId="1" xfId="0" applyNumberFormat="1" applyFont="1" applyFill="1" applyBorder="1" applyAlignment="1">
      <alignment horizontal="right" vertical="center" wrapText="1"/>
    </xf>
    <xf numFmtId="0" fontId="2" fillId="0" borderId="0" xfId="0" applyFont="1" applyAlignment="1">
      <alignment vertical="center"/>
    </xf>
    <xf numFmtId="2" fontId="0" fillId="0" borderId="0" xfId="0" applyNumberFormat="1" applyAlignment="1">
      <alignment vertical="center" wrapText="1"/>
    </xf>
    <xf numFmtId="2" fontId="2" fillId="0" borderId="0" xfId="0" applyNumberFormat="1" applyFont="1" applyAlignment="1">
      <alignment vertical="center"/>
    </xf>
    <xf numFmtId="2" fontId="0" fillId="0" borderId="0" xfId="0" applyNumberFormat="1" applyAlignment="1">
      <alignment vertical="center"/>
    </xf>
    <xf numFmtId="2" fontId="0" fillId="0" borderId="0" xfId="0" applyNumberFormat="1"/>
    <xf numFmtId="0" fontId="2" fillId="0" borderId="0" xfId="0" applyFont="1" applyAlignment="1">
      <alignment vertical="center" wrapText="1"/>
    </xf>
    <xf numFmtId="0" fontId="6" fillId="0" borderId="0" xfId="0" applyFont="1" applyAlignment="1">
      <alignment horizontal="right"/>
    </xf>
    <xf numFmtId="0" fontId="6" fillId="0" borderId="2" xfId="0" applyFont="1" applyBorder="1" applyAlignment="1">
      <alignment horizontal="right"/>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0" fontId="17" fillId="0" borderId="0" xfId="0" applyFont="1" applyAlignment="1">
      <alignment horizontal="center"/>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47"/>
  <sheetViews>
    <sheetView topLeftCell="A73" zoomScaleNormal="100" workbookViewId="0">
      <selection activeCell="J12" sqref="J12"/>
    </sheetView>
  </sheetViews>
  <sheetFormatPr defaultRowHeight="15" x14ac:dyDescent="0.25"/>
  <cols>
    <col min="1" max="1" width="4.7109375" customWidth="1"/>
    <col min="2" max="2" width="31.28515625" customWidth="1"/>
    <col min="3" max="3" width="5.5703125" bestFit="1" customWidth="1"/>
    <col min="4" max="4" width="7.5703125" customWidth="1"/>
    <col min="5" max="5" width="8.5703125" customWidth="1"/>
    <col min="6" max="6" width="8" customWidth="1"/>
    <col min="7" max="7" width="8.5703125" customWidth="1"/>
    <col min="8" max="8" width="5" bestFit="1" customWidth="1"/>
    <col min="9" max="9" width="9.5703125" bestFit="1" customWidth="1"/>
    <col min="10" max="10" width="10.7109375" bestFit="1" customWidth="1"/>
  </cols>
  <sheetData>
    <row r="1" spans="1:19" s="1" customFormat="1" x14ac:dyDescent="0.25">
      <c r="A1" s="93" t="s">
        <v>0</v>
      </c>
      <c r="B1" s="93"/>
      <c r="C1" s="93"/>
      <c r="D1" s="93"/>
      <c r="E1" s="93"/>
      <c r="F1" s="93"/>
      <c r="G1" s="93"/>
      <c r="H1" s="93"/>
      <c r="I1" s="93"/>
      <c r="J1" s="93"/>
      <c r="K1" s="93"/>
    </row>
    <row r="2" spans="1:19" s="1" customFormat="1" ht="22.5" x14ac:dyDescent="0.25">
      <c r="A2" s="94" t="s">
        <v>1</v>
      </c>
      <c r="B2" s="94"/>
      <c r="C2" s="94"/>
      <c r="D2" s="94"/>
      <c r="E2" s="94"/>
      <c r="F2" s="94"/>
      <c r="G2" s="94"/>
      <c r="H2" s="94"/>
      <c r="I2" s="94"/>
      <c r="J2" s="94"/>
      <c r="K2" s="94"/>
    </row>
    <row r="3" spans="1:19" s="1" customFormat="1" x14ac:dyDescent="0.25">
      <c r="A3" s="95" t="s">
        <v>2</v>
      </c>
      <c r="B3" s="95"/>
      <c r="C3" s="95"/>
      <c r="D3" s="95"/>
      <c r="E3" s="95"/>
      <c r="F3" s="95"/>
      <c r="G3" s="95"/>
      <c r="H3" s="95"/>
      <c r="I3" s="95"/>
      <c r="J3" s="95"/>
      <c r="K3" s="95"/>
    </row>
    <row r="4" spans="1:19" s="1" customFormat="1" x14ac:dyDescent="0.25">
      <c r="A4" s="95" t="s">
        <v>3</v>
      </c>
      <c r="B4" s="95"/>
      <c r="C4" s="95"/>
      <c r="D4" s="95"/>
      <c r="E4" s="95"/>
      <c r="F4" s="95"/>
      <c r="G4" s="95"/>
      <c r="H4" s="95"/>
      <c r="I4" s="95"/>
      <c r="J4" s="95"/>
      <c r="K4" s="95"/>
    </row>
    <row r="5" spans="1:19" ht="18.75" x14ac:dyDescent="0.3">
      <c r="A5" s="96" t="s">
        <v>4</v>
      </c>
      <c r="B5" s="96"/>
      <c r="C5" s="96"/>
      <c r="D5" s="96"/>
      <c r="E5" s="96"/>
      <c r="F5" s="96"/>
      <c r="G5" s="96"/>
      <c r="H5" s="96"/>
      <c r="I5" s="96"/>
      <c r="J5" s="96"/>
      <c r="K5" s="96"/>
    </row>
    <row r="6" spans="1:19" ht="15.75" x14ac:dyDescent="0.25">
      <c r="A6" s="91" t="s">
        <v>53</v>
      </c>
      <c r="B6" s="91"/>
      <c r="C6" s="91"/>
      <c r="D6" s="91"/>
      <c r="E6" s="91"/>
      <c r="F6" s="91"/>
      <c r="G6" s="2"/>
      <c r="H6" s="92" t="s">
        <v>43</v>
      </c>
      <c r="I6" s="92"/>
      <c r="J6" s="92"/>
      <c r="K6" s="92"/>
      <c r="O6" t="s">
        <v>49</v>
      </c>
    </row>
    <row r="7" spans="1:19" ht="15.75" x14ac:dyDescent="0.25">
      <c r="A7" s="87" t="s">
        <v>28</v>
      </c>
      <c r="B7" s="87"/>
      <c r="C7" s="87"/>
      <c r="D7" s="87"/>
      <c r="E7" s="87"/>
      <c r="F7" s="87"/>
      <c r="G7" s="3"/>
      <c r="H7" s="88" t="s">
        <v>75</v>
      </c>
      <c r="I7" s="88"/>
      <c r="J7" s="88"/>
      <c r="K7" s="88"/>
    </row>
    <row r="8" spans="1:19" ht="15" customHeight="1" x14ac:dyDescent="0.25">
      <c r="A8" s="4" t="s">
        <v>5</v>
      </c>
      <c r="B8" s="15" t="s">
        <v>6</v>
      </c>
      <c r="C8" s="4" t="s">
        <v>7</v>
      </c>
      <c r="D8" s="16" t="s">
        <v>8</v>
      </c>
      <c r="E8" s="16" t="s">
        <v>9</v>
      </c>
      <c r="F8" s="16" t="s">
        <v>10</v>
      </c>
      <c r="G8" s="16" t="s">
        <v>11</v>
      </c>
      <c r="H8" s="4" t="s">
        <v>12</v>
      </c>
      <c r="I8" s="16" t="s">
        <v>13</v>
      </c>
      <c r="J8" s="16" t="s">
        <v>14</v>
      </c>
      <c r="K8" s="17" t="s">
        <v>15</v>
      </c>
      <c r="N8" t="s">
        <v>44</v>
      </c>
    </row>
    <row r="9" spans="1:19" ht="150" x14ac:dyDescent="0.25">
      <c r="A9" s="29">
        <v>1</v>
      </c>
      <c r="B9" s="30" t="s">
        <v>50</v>
      </c>
      <c r="C9" s="36"/>
      <c r="D9" s="36"/>
      <c r="E9" s="36"/>
      <c r="F9" s="36"/>
      <c r="G9" s="36"/>
      <c r="H9" s="36"/>
      <c r="I9" s="36"/>
      <c r="J9" s="36"/>
      <c r="K9" s="36"/>
      <c r="N9" t="s">
        <v>45</v>
      </c>
      <c r="O9" t="s">
        <v>46</v>
      </c>
    </row>
    <row r="10" spans="1:19" ht="15" customHeight="1" x14ac:dyDescent="0.25">
      <c r="A10" s="18"/>
      <c r="B10" s="37" t="str">
        <f>B31</f>
        <v>-For stone masonary</v>
      </c>
      <c r="C10" s="36">
        <v>0.5</v>
      </c>
      <c r="D10" s="38">
        <f>D46</f>
        <v>11.8</v>
      </c>
      <c r="E10" s="38">
        <f>F46/2</f>
        <v>1.5</v>
      </c>
      <c r="F10" s="38">
        <v>2</v>
      </c>
      <c r="G10" s="39">
        <f>PRODUCT(C10:F10)</f>
        <v>17.700000000000003</v>
      </c>
      <c r="H10" s="40"/>
      <c r="I10" s="40"/>
      <c r="J10" s="40"/>
      <c r="K10" s="21"/>
      <c r="M10" s="25"/>
      <c r="N10" s="1"/>
      <c r="O10" s="1"/>
      <c r="P10" s="1"/>
      <c r="Q10" s="1"/>
      <c r="R10" s="25"/>
      <c r="S10" s="25"/>
    </row>
    <row r="11" spans="1:19" ht="15" customHeight="1" x14ac:dyDescent="0.25">
      <c r="A11" s="18"/>
      <c r="B11" s="37" t="s">
        <v>40</v>
      </c>
      <c r="C11" s="19"/>
      <c r="D11" s="20"/>
      <c r="E11" s="21"/>
      <c r="F11" s="21"/>
      <c r="G11" s="23">
        <f>SUM(G10:G10)</f>
        <v>17.700000000000003</v>
      </c>
      <c r="H11" s="22" t="s">
        <v>39</v>
      </c>
      <c r="I11" s="23">
        <v>64.63</v>
      </c>
      <c r="J11" s="41">
        <f>G11*I11</f>
        <v>1143.951</v>
      </c>
      <c r="K11" s="21"/>
      <c r="M11" s="25"/>
      <c r="N11" s="1"/>
      <c r="O11" s="1"/>
      <c r="P11" s="1"/>
      <c r="Q11" s="1"/>
      <c r="R11" s="25"/>
      <c r="S11" s="25"/>
    </row>
    <row r="12" spans="1:19" ht="15" customHeight="1" x14ac:dyDescent="0.25">
      <c r="A12" s="18"/>
      <c r="B12" s="37" t="s">
        <v>38</v>
      </c>
      <c r="C12" s="19"/>
      <c r="D12" s="20"/>
      <c r="E12" s="21"/>
      <c r="F12" s="21"/>
      <c r="G12" s="23"/>
      <c r="H12" s="22"/>
      <c r="I12" s="23"/>
      <c r="J12" s="41">
        <f>0.13*G11*19284/360</f>
        <v>123.25690000000003</v>
      </c>
      <c r="K12" s="21"/>
      <c r="M12" s="25"/>
      <c r="N12" s="1"/>
      <c r="O12" s="1"/>
      <c r="P12" s="1"/>
      <c r="Q12" s="1"/>
      <c r="R12" s="25"/>
      <c r="S12" s="25"/>
    </row>
    <row r="13" spans="1:19" ht="15" customHeight="1" x14ac:dyDescent="0.25">
      <c r="A13" s="18"/>
      <c r="B13" s="37"/>
      <c r="C13" s="19"/>
      <c r="D13" s="20"/>
      <c r="E13" s="21"/>
      <c r="F13" s="21"/>
      <c r="G13" s="23"/>
      <c r="H13" s="22"/>
      <c r="I13" s="23"/>
      <c r="J13" s="41"/>
      <c r="K13" s="21"/>
      <c r="M13" s="25"/>
      <c r="N13" s="1"/>
      <c r="O13" s="1"/>
      <c r="P13" s="1"/>
      <c r="Q13" s="1"/>
      <c r="R13" s="25"/>
      <c r="S13" s="25"/>
    </row>
    <row r="14" spans="1:19" ht="30.75" x14ac:dyDescent="0.25">
      <c r="A14" s="18">
        <v>2</v>
      </c>
      <c r="B14" s="65" t="s">
        <v>61</v>
      </c>
      <c r="C14" s="19"/>
      <c r="D14" s="20"/>
      <c r="E14" s="21"/>
      <c r="F14" s="21"/>
      <c r="G14" s="23"/>
      <c r="H14" s="22"/>
      <c r="I14" s="23"/>
      <c r="J14" s="41"/>
      <c r="K14" s="21"/>
      <c r="M14" s="25"/>
      <c r="N14" s="1"/>
      <c r="O14" s="1"/>
      <c r="P14" s="1"/>
      <c r="Q14" s="1"/>
      <c r="R14" s="25"/>
      <c r="S14" s="25"/>
    </row>
    <row r="15" spans="1:19" ht="15" customHeight="1" x14ac:dyDescent="0.25">
      <c r="A15" s="18"/>
      <c r="B15" s="37" t="s">
        <v>62</v>
      </c>
      <c r="C15" s="19">
        <v>2</v>
      </c>
      <c r="D15" s="20">
        <f>(14-1.17*2-0.5)/3.281</f>
        <v>3.4014020115818346</v>
      </c>
      <c r="E15" s="21">
        <v>0.35</v>
      </c>
      <c r="F15" s="21">
        <v>0.75</v>
      </c>
      <c r="G15" s="39">
        <f>PRODUCT(C15:F15)</f>
        <v>1.7857360560804632</v>
      </c>
      <c r="H15" s="22"/>
      <c r="I15" s="23"/>
      <c r="J15" s="41"/>
      <c r="K15" s="21"/>
    </row>
    <row r="16" spans="1:19" ht="15" customHeight="1" x14ac:dyDescent="0.25">
      <c r="A16" s="18"/>
      <c r="B16" s="37"/>
      <c r="C16" s="19">
        <v>2</v>
      </c>
      <c r="D16" s="20">
        <f>(22.42-0.75)/3.281</f>
        <v>6.6046936909478822</v>
      </c>
      <c r="E16" s="21">
        <v>0.35</v>
      </c>
      <c r="F16" s="21">
        <v>0.75</v>
      </c>
      <c r="G16" s="39">
        <f>PRODUCT(C16:F16)</f>
        <v>3.4674641877476384</v>
      </c>
      <c r="H16" s="22"/>
      <c r="I16" s="23"/>
      <c r="J16" s="41"/>
      <c r="K16" s="21"/>
    </row>
    <row r="17" spans="1:21" ht="15" customHeight="1" x14ac:dyDescent="0.25">
      <c r="A17" s="18"/>
      <c r="B17" s="37" t="s">
        <v>40</v>
      </c>
      <c r="C17" s="19"/>
      <c r="D17" s="20"/>
      <c r="E17" s="21"/>
      <c r="F17" s="21"/>
      <c r="G17" s="23">
        <f>SUM(G15:G16)</f>
        <v>5.2532002438281014</v>
      </c>
      <c r="H17" s="22" t="s">
        <v>39</v>
      </c>
      <c r="I17" s="23">
        <v>663.31</v>
      </c>
      <c r="J17" s="41">
        <f>G17*I17</f>
        <v>3484.5002537336177</v>
      </c>
      <c r="K17" s="21"/>
    </row>
    <row r="18" spans="1:21" ht="15" customHeight="1" x14ac:dyDescent="0.25">
      <c r="A18" s="18"/>
      <c r="B18" s="37"/>
      <c r="C18" s="19"/>
      <c r="D18" s="20"/>
      <c r="E18" s="21"/>
      <c r="F18" s="21"/>
      <c r="G18" s="23"/>
      <c r="H18" s="22"/>
      <c r="I18" s="23"/>
      <c r="J18" s="41"/>
      <c r="K18" s="21"/>
    </row>
    <row r="19" spans="1:21" ht="45.75" x14ac:dyDescent="0.25">
      <c r="A19" s="18">
        <v>3</v>
      </c>
      <c r="B19" s="65" t="s">
        <v>63</v>
      </c>
      <c r="C19" s="19"/>
      <c r="D19" s="20"/>
      <c r="E19" s="21"/>
      <c r="F19" s="21"/>
      <c r="G19" s="23"/>
      <c r="H19" s="22"/>
      <c r="I19" s="23"/>
      <c r="J19" s="41"/>
      <c r="K19" s="21"/>
    </row>
    <row r="20" spans="1:21" ht="15" customHeight="1" x14ac:dyDescent="0.25">
      <c r="A20" s="18"/>
      <c r="B20" s="37" t="s">
        <v>64</v>
      </c>
      <c r="C20" s="19">
        <v>1</v>
      </c>
      <c r="D20" s="20">
        <f>25.5/3.281</f>
        <v>7.7720207253886011</v>
      </c>
      <c r="E20" s="21">
        <f>0.5+0.3</f>
        <v>0.8</v>
      </c>
      <c r="F20" s="21"/>
      <c r="G20" s="39">
        <f>PRODUCT(C20:F20)</f>
        <v>6.2176165803108816</v>
      </c>
      <c r="H20" s="22"/>
      <c r="I20" s="23"/>
      <c r="J20" s="41"/>
      <c r="K20" s="21"/>
    </row>
    <row r="21" spans="1:21" ht="15" customHeight="1" x14ac:dyDescent="0.25">
      <c r="A21" s="18"/>
      <c r="B21" s="37"/>
      <c r="C21" s="19">
        <v>1</v>
      </c>
      <c r="D21" s="20">
        <f>12.833/3.281</f>
        <v>3.9113075281926242</v>
      </c>
      <c r="E21" s="21">
        <v>0.3</v>
      </c>
      <c r="F21" s="21"/>
      <c r="G21" s="39">
        <f>PRODUCT(C21:F21)</f>
        <v>1.1733922584577872</v>
      </c>
      <c r="H21" s="22"/>
      <c r="I21" s="23"/>
      <c r="J21" s="41"/>
      <c r="K21" s="21"/>
    </row>
    <row r="22" spans="1:21" ht="15" customHeight="1" x14ac:dyDescent="0.25">
      <c r="A22" s="18"/>
      <c r="B22" s="37" t="s">
        <v>40</v>
      </c>
      <c r="C22" s="19"/>
      <c r="D22" s="20"/>
      <c r="E22" s="21"/>
      <c r="F22" s="21"/>
      <c r="G22" s="23">
        <f>SUM(G20:G21)</f>
        <v>7.391008838768669</v>
      </c>
      <c r="H22" s="22" t="s">
        <v>55</v>
      </c>
      <c r="I22" s="23">
        <v>21.16</v>
      </c>
      <c r="J22" s="41">
        <f>G22*I22</f>
        <v>156.39374702834505</v>
      </c>
      <c r="K22" s="21"/>
    </row>
    <row r="23" spans="1:21" ht="15" customHeight="1" x14ac:dyDescent="0.25">
      <c r="A23" s="18"/>
      <c r="B23" s="37"/>
      <c r="C23" s="19"/>
      <c r="D23" s="20"/>
      <c r="E23" s="21"/>
      <c r="F23" s="21"/>
      <c r="G23" s="23"/>
      <c r="H23" s="22"/>
      <c r="I23" s="23"/>
      <c r="J23" s="41"/>
      <c r="K23" s="21"/>
    </row>
    <row r="24" spans="1:21" x14ac:dyDescent="0.25">
      <c r="A24" s="18">
        <v>4</v>
      </c>
      <c r="B24" s="66" t="s">
        <v>59</v>
      </c>
      <c r="C24" s="19"/>
      <c r="D24" s="20"/>
      <c r="E24" s="21"/>
      <c r="F24" s="21"/>
      <c r="G24" s="23"/>
      <c r="H24" s="22"/>
      <c r="I24" s="23"/>
      <c r="J24" s="41"/>
      <c r="K24" s="21"/>
    </row>
    <row r="25" spans="1:21" ht="15" customHeight="1" x14ac:dyDescent="0.25">
      <c r="A25" s="18"/>
      <c r="B25" s="37" t="str">
        <f>B15</f>
        <v>-for footing of wall at truss structure</v>
      </c>
      <c r="C25" s="19">
        <f>C15</f>
        <v>2</v>
      </c>
      <c r="D25" s="20">
        <f>D15</f>
        <v>3.4014020115818346</v>
      </c>
      <c r="E25" s="21">
        <f>E15</f>
        <v>0.35</v>
      </c>
      <c r="F25" s="21"/>
      <c r="G25" s="39">
        <f>PRODUCT(C25:F25)</f>
        <v>2.3809814081072842</v>
      </c>
      <c r="H25" s="22"/>
      <c r="I25" s="23"/>
      <c r="J25" s="41"/>
      <c r="K25" s="21"/>
    </row>
    <row r="26" spans="1:21" ht="15" customHeight="1" x14ac:dyDescent="0.25">
      <c r="A26" s="18"/>
      <c r="B26" s="37"/>
      <c r="C26" s="19">
        <f>C16</f>
        <v>2</v>
      </c>
      <c r="D26" s="20">
        <f>D16</f>
        <v>6.6046936909478822</v>
      </c>
      <c r="E26" s="21">
        <f>E16</f>
        <v>0.35</v>
      </c>
      <c r="F26" s="21"/>
      <c r="G26" s="39">
        <f>PRODUCT(C26:F26)</f>
        <v>4.6232855836635176</v>
      </c>
      <c r="H26" s="22"/>
      <c r="I26" s="23"/>
      <c r="J26" s="41"/>
      <c r="K26" s="21"/>
    </row>
    <row r="27" spans="1:21" ht="15" customHeight="1" x14ac:dyDescent="0.25">
      <c r="A27" s="18"/>
      <c r="B27" s="37" t="s">
        <v>40</v>
      </c>
      <c r="C27" s="19"/>
      <c r="D27" s="20"/>
      <c r="E27" s="21"/>
      <c r="F27" s="21"/>
      <c r="G27" s="23">
        <f>SUM(G25:G26)</f>
        <v>7.0042669917708018</v>
      </c>
      <c r="H27" s="22" t="s">
        <v>55</v>
      </c>
      <c r="I27" s="23">
        <v>1014.97</v>
      </c>
      <c r="J27" s="41">
        <f>G27*I27</f>
        <v>7109.1208686376112</v>
      </c>
      <c r="K27" s="21"/>
    </row>
    <row r="28" spans="1:21" ht="15" customHeight="1" x14ac:dyDescent="0.25">
      <c r="A28" s="18"/>
      <c r="B28" s="37" t="s">
        <v>38</v>
      </c>
      <c r="C28" s="19"/>
      <c r="D28" s="20"/>
      <c r="E28" s="21"/>
      <c r="F28" s="21"/>
      <c r="G28" s="23"/>
      <c r="H28" s="22"/>
      <c r="I28" s="23"/>
      <c r="J28" s="41">
        <f>0.13*G27*8617.2/10</f>
        <v>784.64320377933575</v>
      </c>
      <c r="K28" s="21"/>
    </row>
    <row r="29" spans="1:21" ht="15" customHeight="1" x14ac:dyDescent="0.25">
      <c r="A29" s="18"/>
      <c r="B29" s="37"/>
      <c r="C29" s="19"/>
      <c r="D29" s="20"/>
      <c r="E29" s="21"/>
      <c r="F29" s="21"/>
      <c r="G29" s="23"/>
      <c r="H29" s="22"/>
      <c r="I29" s="23"/>
      <c r="J29" s="41"/>
      <c r="K29" s="21"/>
    </row>
    <row r="30" spans="1:21" ht="90" x14ac:dyDescent="0.25">
      <c r="A30" s="18">
        <v>5</v>
      </c>
      <c r="B30" s="30" t="s">
        <v>42</v>
      </c>
      <c r="C30" s="19"/>
      <c r="D30" s="20"/>
      <c r="E30" s="21"/>
      <c r="F30" s="21"/>
      <c r="G30" s="23"/>
      <c r="H30" s="22"/>
      <c r="I30" s="23"/>
      <c r="J30" s="41"/>
      <c r="K30" s="21"/>
      <c r="M30" s="25"/>
      <c r="N30" s="1"/>
      <c r="O30" s="90" t="s">
        <v>63</v>
      </c>
      <c r="P30" s="90"/>
      <c r="Q30" s="90"/>
      <c r="R30" s="90"/>
      <c r="S30" s="90"/>
      <c r="T30" s="90"/>
      <c r="U30" s="90"/>
    </row>
    <row r="31" spans="1:21" ht="15" customHeight="1" x14ac:dyDescent="0.25">
      <c r="A31" s="18"/>
      <c r="B31" s="37" t="str">
        <f>B36</f>
        <v>-For stone masonary</v>
      </c>
      <c r="C31" s="36">
        <v>1</v>
      </c>
      <c r="D31" s="38">
        <f>D36</f>
        <v>11.8</v>
      </c>
      <c r="E31" s="38">
        <f>E36</f>
        <v>1.5</v>
      </c>
      <c r="F31" s="38">
        <v>0.15</v>
      </c>
      <c r="G31" s="39">
        <f>PRODUCT(C31:F31)</f>
        <v>2.6550000000000002</v>
      </c>
      <c r="H31" s="40"/>
      <c r="I31" s="40"/>
      <c r="J31" s="40"/>
      <c r="K31" s="21"/>
      <c r="M31" s="25"/>
      <c r="N31" s="1"/>
      <c r="O31" s="1"/>
      <c r="P31" s="1"/>
      <c r="Q31" s="1"/>
      <c r="R31" s="25"/>
      <c r="S31" s="25"/>
    </row>
    <row r="32" spans="1:21" ht="15" customHeight="1" x14ac:dyDescent="0.25">
      <c r="A32" s="40"/>
      <c r="B32" s="37" t="s">
        <v>40</v>
      </c>
      <c r="C32" s="42"/>
      <c r="D32" s="43"/>
      <c r="E32" s="43"/>
      <c r="F32" s="43"/>
      <c r="G32" s="33">
        <f>SUM(G31)</f>
        <v>2.6550000000000002</v>
      </c>
      <c r="H32" s="33" t="s">
        <v>39</v>
      </c>
      <c r="I32" s="33">
        <v>4434.5200000000004</v>
      </c>
      <c r="J32" s="44">
        <f>G32*I32</f>
        <v>11773.650600000003</v>
      </c>
      <c r="K32" s="36"/>
    </row>
    <row r="33" spans="1:19" x14ac:dyDescent="0.25">
      <c r="A33" s="40"/>
      <c r="B33" s="37" t="s">
        <v>38</v>
      </c>
      <c r="C33" s="42"/>
      <c r="D33" s="43"/>
      <c r="E33" s="43"/>
      <c r="F33" s="43"/>
      <c r="G33" s="43"/>
      <c r="H33" s="43"/>
      <c r="I33" s="43"/>
      <c r="J33" s="45">
        <f>0.13*G32*(14817.6/5)</f>
        <v>1022.8589280000002</v>
      </c>
      <c r="K33" s="36"/>
    </row>
    <row r="34" spans="1:19" x14ac:dyDescent="0.25">
      <c r="A34" s="40"/>
      <c r="B34" s="37"/>
      <c r="C34" s="42"/>
      <c r="D34" s="43"/>
      <c r="E34" s="43"/>
      <c r="F34" s="43"/>
      <c r="G34" s="43"/>
      <c r="H34" s="43"/>
      <c r="I34" s="43"/>
      <c r="J34" s="45"/>
      <c r="K34" s="36"/>
    </row>
    <row r="35" spans="1:19" ht="75" x14ac:dyDescent="0.25">
      <c r="A35" s="18">
        <v>6</v>
      </c>
      <c r="B35" s="30" t="s">
        <v>41</v>
      </c>
      <c r="C35" s="19"/>
      <c r="D35" s="20"/>
      <c r="E35" s="21"/>
      <c r="F35" s="21"/>
      <c r="G35" s="23"/>
      <c r="H35" s="22"/>
      <c r="I35" s="23"/>
      <c r="J35" s="41"/>
      <c r="K35" s="21"/>
      <c r="M35" s="25"/>
      <c r="N35" s="1"/>
      <c r="O35" s="1"/>
      <c r="P35" s="1"/>
      <c r="Q35" s="1"/>
      <c r="R35" s="25"/>
      <c r="S35" s="25"/>
    </row>
    <row r="36" spans="1:19" ht="15" customHeight="1" x14ac:dyDescent="0.25">
      <c r="A36" s="18"/>
      <c r="B36" s="37" t="s">
        <v>60</v>
      </c>
      <c r="C36" s="36">
        <v>1</v>
      </c>
      <c r="D36" s="38">
        <f>D46</f>
        <v>11.8</v>
      </c>
      <c r="E36" s="38">
        <f>F46/2</f>
        <v>1.5</v>
      </c>
      <c r="F36" s="38">
        <v>7.4999999999999997E-2</v>
      </c>
      <c r="G36" s="39">
        <f>PRODUCT(C36:F36)</f>
        <v>1.3275000000000001</v>
      </c>
      <c r="H36" s="40"/>
      <c r="I36" s="40"/>
      <c r="J36" s="40"/>
      <c r="K36" s="21"/>
      <c r="M36" s="25"/>
      <c r="N36" s="1"/>
      <c r="O36" s="1"/>
      <c r="P36" s="1"/>
      <c r="Q36" s="1"/>
      <c r="R36" s="25"/>
      <c r="S36" s="25"/>
    </row>
    <row r="37" spans="1:19" ht="15" customHeight="1" x14ac:dyDescent="0.25">
      <c r="A37" s="18"/>
      <c r="B37" s="37"/>
      <c r="C37" s="36">
        <v>1</v>
      </c>
      <c r="D37" s="38">
        <f>D36</f>
        <v>11.8</v>
      </c>
      <c r="E37" s="38">
        <v>0.45</v>
      </c>
      <c r="F37" s="38">
        <v>0.05</v>
      </c>
      <c r="G37" s="39">
        <f>PRODUCT(C37:F37)</f>
        <v>0.26550000000000001</v>
      </c>
      <c r="H37" s="40"/>
      <c r="I37" s="40"/>
      <c r="J37" s="40"/>
      <c r="K37" s="21"/>
      <c r="M37" s="25"/>
      <c r="N37" s="1"/>
      <c r="O37" s="1"/>
      <c r="P37" s="1"/>
      <c r="Q37" s="1"/>
      <c r="R37" s="25"/>
      <c r="S37" s="25"/>
    </row>
    <row r="38" spans="1:19" ht="15" customHeight="1" x14ac:dyDescent="0.25">
      <c r="A38" s="18"/>
      <c r="B38" s="37" t="str">
        <f>B25</f>
        <v>-for footing of wall at truss structure</v>
      </c>
      <c r="C38" s="47">
        <f>C25</f>
        <v>2</v>
      </c>
      <c r="D38" s="38">
        <f>D25</f>
        <v>3.4014020115818346</v>
      </c>
      <c r="E38" s="38">
        <f>E25</f>
        <v>0.35</v>
      </c>
      <c r="F38" s="38">
        <v>7.4999999999999997E-2</v>
      </c>
      <c r="G38" s="39">
        <f t="shared" ref="G38:G41" si="0">PRODUCT(C38:F38)</f>
        <v>0.1785736056080463</v>
      </c>
      <c r="H38" s="40"/>
      <c r="I38" s="40"/>
      <c r="J38" s="40"/>
      <c r="K38" s="21"/>
      <c r="M38" s="25"/>
      <c r="N38" s="1"/>
      <c r="O38" s="1"/>
      <c r="P38" s="1"/>
      <c r="Q38" s="1"/>
      <c r="R38" s="25"/>
      <c r="S38" s="25"/>
    </row>
    <row r="39" spans="1:19" ht="15" customHeight="1" x14ac:dyDescent="0.25">
      <c r="A39" s="18"/>
      <c r="B39" s="37"/>
      <c r="C39" s="47">
        <f>C26</f>
        <v>2</v>
      </c>
      <c r="D39" s="38">
        <f>D26</f>
        <v>6.6046936909478822</v>
      </c>
      <c r="E39" s="38">
        <f>E26</f>
        <v>0.35</v>
      </c>
      <c r="F39" s="38">
        <v>7.4999999999999997E-2</v>
      </c>
      <c r="G39" s="39">
        <f t="shared" si="0"/>
        <v>0.34674641877476381</v>
      </c>
      <c r="H39" s="40"/>
      <c r="I39" s="40"/>
      <c r="J39" s="40"/>
      <c r="K39" s="21"/>
      <c r="M39" s="25"/>
      <c r="N39" s="1"/>
      <c r="O39" s="1"/>
      <c r="P39" s="1"/>
      <c r="Q39" s="1"/>
      <c r="R39" s="25"/>
      <c r="S39" s="25"/>
    </row>
    <row r="40" spans="1:19" ht="15" customHeight="1" x14ac:dyDescent="0.25">
      <c r="A40" s="18"/>
      <c r="B40" s="37" t="s">
        <v>71</v>
      </c>
      <c r="C40" s="47">
        <v>2</v>
      </c>
      <c r="D40" s="38">
        <f>22.42/3.281</f>
        <v>6.8332825358122529</v>
      </c>
      <c r="E40" s="38">
        <v>0.23</v>
      </c>
      <c r="F40" s="38">
        <v>0.15</v>
      </c>
      <c r="G40" s="39">
        <f t="shared" si="0"/>
        <v>0.47149649497104545</v>
      </c>
      <c r="H40" s="40"/>
      <c r="I40" s="40"/>
      <c r="J40" s="40"/>
      <c r="K40" s="21"/>
      <c r="M40" s="25"/>
      <c r="N40" s="1"/>
      <c r="O40" s="1"/>
      <c r="P40" s="1"/>
      <c r="Q40" s="1"/>
      <c r="R40" s="25"/>
      <c r="S40" s="25"/>
    </row>
    <row r="41" spans="1:19" ht="15" customHeight="1" x14ac:dyDescent="0.25">
      <c r="A41" s="18"/>
      <c r="B41" s="37"/>
      <c r="C41" s="47">
        <v>2</v>
      </c>
      <c r="D41" s="38">
        <f>(14-1.5)/3.281</f>
        <v>3.8098140810728434</v>
      </c>
      <c r="E41" s="38">
        <v>0.23</v>
      </c>
      <c r="F41" s="38">
        <v>0.15</v>
      </c>
      <c r="G41" s="39">
        <f t="shared" si="0"/>
        <v>0.26287717159402618</v>
      </c>
      <c r="H41" s="40"/>
      <c r="I41" s="40"/>
      <c r="J41" s="40"/>
      <c r="K41" s="21"/>
      <c r="M41" s="25"/>
      <c r="N41" s="1"/>
      <c r="O41" s="1"/>
      <c r="P41" s="1"/>
      <c r="Q41" s="1"/>
      <c r="R41" s="25"/>
      <c r="S41" s="25"/>
    </row>
    <row r="42" spans="1:19" ht="15" customHeight="1" x14ac:dyDescent="0.25">
      <c r="A42" s="40"/>
      <c r="B42" s="37" t="s">
        <v>40</v>
      </c>
      <c r="C42" s="42"/>
      <c r="D42" s="43"/>
      <c r="E42" s="43"/>
      <c r="F42" s="43"/>
      <c r="G42" s="33">
        <f>SUM(G36:G41)</f>
        <v>2.8526936909478819</v>
      </c>
      <c r="H42" s="33" t="s">
        <v>39</v>
      </c>
      <c r="I42" s="33">
        <v>10634.5</v>
      </c>
      <c r="J42" s="44">
        <f>G42*I42</f>
        <v>30336.97105638525</v>
      </c>
      <c r="K42" s="36"/>
    </row>
    <row r="43" spans="1:19" ht="15" customHeight="1" x14ac:dyDescent="0.25">
      <c r="A43" s="40"/>
      <c r="B43" s="37" t="s">
        <v>38</v>
      </c>
      <c r="C43" s="42"/>
      <c r="D43" s="43"/>
      <c r="E43" s="43"/>
      <c r="F43" s="43"/>
      <c r="G43" s="43"/>
      <c r="H43" s="43"/>
      <c r="I43" s="43"/>
      <c r="J43" s="45">
        <f>0.13*G42*((114907.3+6135.3)/15)</f>
        <v>2992.5779984180435</v>
      </c>
      <c r="K43" s="36"/>
    </row>
    <row r="44" spans="1:19" ht="15" customHeight="1" x14ac:dyDescent="0.25">
      <c r="A44" s="40"/>
      <c r="B44" s="37"/>
      <c r="C44" s="42"/>
      <c r="D44" s="43"/>
      <c r="E44" s="43"/>
      <c r="F44" s="43"/>
      <c r="G44" s="43"/>
      <c r="H44" s="43"/>
      <c r="I44" s="43"/>
      <c r="J44" s="45"/>
      <c r="K44" s="36"/>
    </row>
    <row r="45" spans="1:19" s="1" customFormat="1" ht="90" x14ac:dyDescent="0.25">
      <c r="A45" s="63">
        <v>7</v>
      </c>
      <c r="B45" s="30" t="s">
        <v>47</v>
      </c>
      <c r="C45" s="64"/>
      <c r="D45" s="39"/>
      <c r="E45" s="39"/>
      <c r="F45" s="39"/>
      <c r="G45" s="39"/>
      <c r="H45" s="39"/>
      <c r="I45" s="39"/>
      <c r="J45" s="45"/>
      <c r="K45" s="29"/>
    </row>
    <row r="46" spans="1:19" ht="15" customHeight="1" x14ac:dyDescent="0.25">
      <c r="A46" s="18"/>
      <c r="B46" s="37" t="s">
        <v>60</v>
      </c>
      <c r="C46" s="36">
        <v>1</v>
      </c>
      <c r="D46" s="38">
        <f>7.3+4.5</f>
        <v>11.8</v>
      </c>
      <c r="E46" s="38">
        <f>((F46/2+0.45)/2)</f>
        <v>0.97499999999999998</v>
      </c>
      <c r="F46" s="38">
        <v>3</v>
      </c>
      <c r="G46" s="39">
        <f>PRODUCT(C46:F46)</f>
        <v>34.515000000000001</v>
      </c>
      <c r="H46" s="40"/>
      <c r="I46" s="40"/>
      <c r="J46" s="40"/>
      <c r="K46" s="21"/>
      <c r="M46" s="25"/>
      <c r="N46" s="1"/>
      <c r="O46" s="1"/>
      <c r="P46" s="1"/>
      <c r="Q46" s="1"/>
      <c r="R46" s="25"/>
      <c r="S46" s="25"/>
    </row>
    <row r="47" spans="1:19" ht="15" customHeight="1" x14ac:dyDescent="0.25">
      <c r="A47" s="40"/>
      <c r="B47" s="37" t="s">
        <v>40</v>
      </c>
      <c r="C47" s="42"/>
      <c r="D47" s="43"/>
      <c r="E47" s="43"/>
      <c r="F47" s="43"/>
      <c r="G47" s="33">
        <f>SUM(G46:G46)</f>
        <v>34.515000000000001</v>
      </c>
      <c r="H47" s="33" t="s">
        <v>39</v>
      </c>
      <c r="I47" s="33">
        <v>9709.43</v>
      </c>
      <c r="J47" s="44">
        <f>G47*I47</f>
        <v>335120.97645000002</v>
      </c>
      <c r="K47" s="36"/>
    </row>
    <row r="48" spans="1:19" ht="15" customHeight="1" x14ac:dyDescent="0.25">
      <c r="A48" s="40"/>
      <c r="B48" s="37" t="s">
        <v>38</v>
      </c>
      <c r="C48" s="42"/>
      <c r="D48" s="43"/>
      <c r="E48" s="43"/>
      <c r="F48" s="43"/>
      <c r="G48" s="43"/>
      <c r="H48" s="43"/>
      <c r="I48" s="43"/>
      <c r="J48" s="45">
        <f>0.13*G47*((27092.1)/5)</f>
        <v>24312.179619000002</v>
      </c>
      <c r="K48" s="36"/>
    </row>
    <row r="49" spans="1:16" ht="15" customHeight="1" x14ac:dyDescent="0.25">
      <c r="A49" s="40"/>
      <c r="B49" s="37"/>
      <c r="C49" s="42"/>
      <c r="D49" s="43"/>
      <c r="E49" s="43"/>
      <c r="F49" s="43"/>
      <c r="G49" s="33"/>
      <c r="H49" s="33"/>
      <c r="I49" s="33"/>
      <c r="J49" s="44"/>
      <c r="K49" s="36"/>
    </row>
    <row r="50" spans="1:16" ht="15.75" x14ac:dyDescent="0.25">
      <c r="A50" s="18">
        <v>8</v>
      </c>
      <c r="B50" s="65" t="s">
        <v>56</v>
      </c>
      <c r="C50" s="19"/>
      <c r="D50" s="20"/>
      <c r="E50" s="21"/>
      <c r="F50" s="21"/>
      <c r="G50" s="23"/>
      <c r="H50" s="22"/>
      <c r="I50" s="23"/>
      <c r="J50" s="41"/>
      <c r="K50" s="21"/>
    </row>
    <row r="51" spans="1:16" ht="15" customHeight="1" x14ac:dyDescent="0.25">
      <c r="A51" s="18"/>
      <c r="B51" s="37" t="s">
        <v>54</v>
      </c>
      <c r="C51" s="36">
        <v>1</v>
      </c>
      <c r="D51" s="38">
        <f>(12.833+21+2+5.5+10.833+26.5)/3.281</f>
        <v>23.976226760134104</v>
      </c>
      <c r="E51" s="38"/>
      <c r="F51" s="38">
        <f>9/3.281</f>
        <v>2.7430661383724475</v>
      </c>
      <c r="G51" s="39">
        <f t="shared" ref="G51:G55" si="1">PRODUCT(C51:F51)</f>
        <v>65.7683757516632</v>
      </c>
      <c r="H51" s="40"/>
      <c r="I51" s="40"/>
      <c r="J51" s="40"/>
      <c r="K51" s="21"/>
    </row>
    <row r="52" spans="1:16" ht="15" customHeight="1" x14ac:dyDescent="0.25">
      <c r="A52" s="18"/>
      <c r="B52" s="37"/>
      <c r="C52" s="36">
        <v>1</v>
      </c>
      <c r="D52" s="38">
        <f>(12.833-1.5+21-1.5+2-1.5+5.5-1.5+10.833-1.5+26.5-1.5+12.833-1.5-0.75-0.75)/3.281</f>
        <v>24.230112770496799</v>
      </c>
      <c r="E52" s="38"/>
      <c r="F52" s="38">
        <f>8.5/3.281</f>
        <v>2.5906735751295336</v>
      </c>
      <c r="G52" s="39">
        <f t="shared" si="1"/>
        <v>62.772312876934713</v>
      </c>
      <c r="H52" s="40"/>
      <c r="I52" s="40"/>
      <c r="J52" s="40"/>
      <c r="K52" s="21"/>
    </row>
    <row r="53" spans="1:16" ht="15" customHeight="1" x14ac:dyDescent="0.25">
      <c r="A53" s="18"/>
      <c r="B53" s="37" t="s">
        <v>57</v>
      </c>
      <c r="C53" s="36">
        <v>-2</v>
      </c>
      <c r="D53" s="38">
        <f>3/3.281</f>
        <v>0.91435537945748246</v>
      </c>
      <c r="E53" s="38"/>
      <c r="F53" s="38">
        <f>7/3.281</f>
        <v>2.1334958854007922</v>
      </c>
      <c r="G53" s="39">
        <f t="shared" si="1"/>
        <v>-3.9015468797332375</v>
      </c>
      <c r="H53" s="40"/>
      <c r="I53" s="40"/>
      <c r="J53" s="40"/>
      <c r="K53" s="21"/>
    </row>
    <row r="54" spans="1:16" ht="15" customHeight="1" x14ac:dyDescent="0.25">
      <c r="A54" s="18"/>
      <c r="B54" s="37"/>
      <c r="C54" s="36">
        <v>-2</v>
      </c>
      <c r="D54" s="38">
        <f>2.5/3.281</f>
        <v>0.76196281621456874</v>
      </c>
      <c r="E54" s="38"/>
      <c r="F54" s="38">
        <f>6/3.281</f>
        <v>1.8287107589149649</v>
      </c>
      <c r="G54" s="39">
        <f t="shared" si="1"/>
        <v>-2.786819199809456</v>
      </c>
      <c r="H54" s="40"/>
      <c r="I54" s="40"/>
      <c r="J54" s="40"/>
      <c r="K54" s="21"/>
    </row>
    <row r="55" spans="1:16" ht="15" customHeight="1" x14ac:dyDescent="0.25">
      <c r="A55" s="18"/>
      <c r="B55" s="37" t="s">
        <v>58</v>
      </c>
      <c r="C55" s="36">
        <v>-2</v>
      </c>
      <c r="D55" s="38">
        <f>3.5/3.281</f>
        <v>1.0667479427003961</v>
      </c>
      <c r="E55" s="38"/>
      <c r="F55" s="38">
        <f>4/3.281</f>
        <v>1.2191405059433098</v>
      </c>
      <c r="G55" s="39">
        <f t="shared" si="1"/>
        <v>-2.6010312531554916</v>
      </c>
      <c r="H55" s="40"/>
      <c r="I55" s="40"/>
      <c r="J55" s="40"/>
      <c r="K55" s="21"/>
    </row>
    <row r="56" spans="1:16" ht="15" customHeight="1" x14ac:dyDescent="0.25">
      <c r="A56" s="18"/>
      <c r="B56" s="37" t="s">
        <v>74</v>
      </c>
      <c r="C56" s="36">
        <v>1</v>
      </c>
      <c r="D56" s="38"/>
      <c r="E56" s="38"/>
      <c r="F56" s="38"/>
      <c r="G56" s="39">
        <f>G78</f>
        <v>44.939817128924112</v>
      </c>
      <c r="H56" s="40"/>
      <c r="I56" s="40"/>
      <c r="J56" s="40"/>
      <c r="K56" s="21"/>
    </row>
    <row r="57" spans="1:16" ht="15" customHeight="1" x14ac:dyDescent="0.25">
      <c r="A57" s="18"/>
      <c r="B57" s="37" t="s">
        <v>40</v>
      </c>
      <c r="C57" s="19"/>
      <c r="D57" s="20"/>
      <c r="E57" s="21"/>
      <c r="F57" s="21"/>
      <c r="G57" s="23">
        <f>SUM(G51:G56)</f>
        <v>164.19110842482382</v>
      </c>
      <c r="H57" s="22" t="s">
        <v>55</v>
      </c>
      <c r="I57" s="23">
        <v>20.82</v>
      </c>
      <c r="J57" s="41">
        <f>G57*I57</f>
        <v>3418.458877404832</v>
      </c>
      <c r="K57" s="21"/>
    </row>
    <row r="58" spans="1:16" ht="15" customHeight="1" x14ac:dyDescent="0.25">
      <c r="A58" s="18"/>
      <c r="B58" s="37" t="s">
        <v>38</v>
      </c>
      <c r="C58" s="19"/>
      <c r="D58" s="20"/>
      <c r="E58" s="21"/>
      <c r="F58" s="21"/>
      <c r="G58" s="23"/>
      <c r="H58" s="22"/>
      <c r="I58" s="23"/>
      <c r="J58" s="41">
        <f>0.13*G57*458.4/100</f>
        <v>97.844765332521021</v>
      </c>
      <c r="K58" s="21"/>
    </row>
    <row r="59" spans="1:16" ht="15" customHeight="1" x14ac:dyDescent="0.25">
      <c r="A59" s="18"/>
      <c r="B59" s="37"/>
      <c r="C59" s="19"/>
      <c r="D59" s="20"/>
      <c r="E59" s="21"/>
      <c r="F59" s="21"/>
      <c r="G59" s="23"/>
      <c r="H59" s="22"/>
      <c r="I59" s="23"/>
      <c r="J59" s="41"/>
      <c r="K59" s="21"/>
    </row>
    <row r="60" spans="1:16" ht="30" x14ac:dyDescent="0.25">
      <c r="A60" s="18">
        <v>9</v>
      </c>
      <c r="B60" s="66" t="s">
        <v>48</v>
      </c>
      <c r="C60" s="19"/>
      <c r="D60" s="20"/>
      <c r="E60" s="21"/>
      <c r="F60" s="21"/>
      <c r="G60" s="23"/>
      <c r="H60" s="22"/>
      <c r="I60" s="23"/>
      <c r="J60" s="41"/>
      <c r="K60" s="21"/>
      <c r="N60">
        <f>18.833*2</f>
        <v>37.665999999999997</v>
      </c>
    </row>
    <row r="61" spans="1:16" ht="15" customHeight="1" x14ac:dyDescent="0.25">
      <c r="A61" s="18"/>
      <c r="B61" s="37" t="str">
        <f>B38</f>
        <v>-for footing of wall at truss structure</v>
      </c>
      <c r="C61" s="47">
        <f>C38</f>
        <v>2</v>
      </c>
      <c r="D61" s="38">
        <f>D38</f>
        <v>3.4014020115818346</v>
      </c>
      <c r="E61" s="38">
        <v>0.35</v>
      </c>
      <c r="F61" s="38">
        <v>0.2</v>
      </c>
      <c r="G61" s="39">
        <f>PRODUCT(C61:F61)</f>
        <v>0.47619628162145688</v>
      </c>
      <c r="H61" s="40"/>
      <c r="I61" s="40"/>
      <c r="J61" s="40"/>
      <c r="K61" s="21"/>
      <c r="M61">
        <f>19.083*2/3.281</f>
        <v>11.632429137458091</v>
      </c>
      <c r="N61">
        <f>18.833*2/3.281</f>
        <v>11.480036574215177</v>
      </c>
      <c r="P61">
        <f>0.75-0.075*2</f>
        <v>0.6</v>
      </c>
    </row>
    <row r="62" spans="1:16" ht="15" customHeight="1" x14ac:dyDescent="0.25">
      <c r="A62" s="18"/>
      <c r="B62" s="37"/>
      <c r="C62" s="47">
        <f>C39</f>
        <v>2</v>
      </c>
      <c r="D62" s="38">
        <f>D61</f>
        <v>3.4014020115818346</v>
      </c>
      <c r="E62" s="38">
        <v>0.23</v>
      </c>
      <c r="F62" s="38">
        <f>0.9+0.4</f>
        <v>1.3</v>
      </c>
      <c r="G62" s="39">
        <f>PRODUCT(C62:F62)</f>
        <v>2.0340384029259373</v>
      </c>
      <c r="H62" s="40"/>
      <c r="I62" s="40"/>
      <c r="J62" s="40"/>
      <c r="K62" s="21"/>
    </row>
    <row r="63" spans="1:16" ht="15" customHeight="1" x14ac:dyDescent="0.25">
      <c r="A63" s="18"/>
      <c r="B63" s="37"/>
      <c r="C63" s="47">
        <f>C39</f>
        <v>2</v>
      </c>
      <c r="D63" s="38">
        <f>D39</f>
        <v>6.6046936909478822</v>
      </c>
      <c r="E63" s="38">
        <v>0.35</v>
      </c>
      <c r="F63" s="38">
        <v>0.2</v>
      </c>
      <c r="G63" s="39">
        <f>PRODUCT(C63:F63)</f>
        <v>0.92465711673270357</v>
      </c>
      <c r="H63" s="40"/>
      <c r="I63" s="40"/>
      <c r="J63" s="40"/>
      <c r="K63" s="21"/>
    </row>
    <row r="64" spans="1:16" ht="15" customHeight="1" x14ac:dyDescent="0.25">
      <c r="A64" s="18"/>
      <c r="B64" s="37"/>
      <c r="C64" s="47">
        <f>C63</f>
        <v>2</v>
      </c>
      <c r="D64" s="38">
        <f>D63</f>
        <v>6.6046936909478822</v>
      </c>
      <c r="E64" s="38">
        <v>0.23</v>
      </c>
      <c r="F64" s="38">
        <f>0.9+0.4</f>
        <v>1.3</v>
      </c>
      <c r="G64" s="39">
        <f>PRODUCT(C64:F64)</f>
        <v>3.9496068271868339</v>
      </c>
      <c r="H64" s="40"/>
      <c r="I64" s="40"/>
      <c r="J64" s="40"/>
      <c r="K64" s="21"/>
    </row>
    <row r="65" spans="1:13" ht="15" customHeight="1" x14ac:dyDescent="0.25">
      <c r="A65" s="18"/>
      <c r="B65" s="37" t="s">
        <v>73</v>
      </c>
      <c r="C65" s="47">
        <v>-1</v>
      </c>
      <c r="D65" s="38">
        <v>1.2</v>
      </c>
      <c r="E65" s="38">
        <v>0.23</v>
      </c>
      <c r="F65" s="38">
        <v>0.9</v>
      </c>
      <c r="G65" s="39">
        <f>PRODUCT(C65:F65)</f>
        <v>-0.24840000000000004</v>
      </c>
      <c r="H65" s="40"/>
      <c r="I65" s="40"/>
      <c r="J65" s="40"/>
      <c r="K65" s="21"/>
    </row>
    <row r="66" spans="1:13" ht="15" customHeight="1" x14ac:dyDescent="0.25">
      <c r="A66" s="18"/>
      <c r="B66" s="37" t="s">
        <v>40</v>
      </c>
      <c r="C66" s="19"/>
      <c r="D66" s="20"/>
      <c r="E66" s="21"/>
      <c r="F66" s="21"/>
      <c r="G66" s="23">
        <f>SUM(G61:G65)</f>
        <v>7.1360986284669314</v>
      </c>
      <c r="H66" s="22" t="s">
        <v>39</v>
      </c>
      <c r="I66" s="23">
        <v>14362.76</v>
      </c>
      <c r="J66" s="41">
        <f>G66*I66</f>
        <v>102494.07193699971</v>
      </c>
      <c r="K66" s="21"/>
    </row>
    <row r="67" spans="1:13" ht="15" customHeight="1" x14ac:dyDescent="0.25">
      <c r="A67" s="18"/>
      <c r="B67" s="37" t="s">
        <v>38</v>
      </c>
      <c r="C67" s="19"/>
      <c r="D67" s="20"/>
      <c r="E67" s="21"/>
      <c r="F67" s="21"/>
      <c r="G67" s="23"/>
      <c r="H67" s="22"/>
      <c r="I67" s="23"/>
      <c r="J67" s="41">
        <f>0.13*G66*10311.74</f>
        <v>9566.1271772439868</v>
      </c>
      <c r="K67" s="21"/>
      <c r="M67">
        <f>14/3.281</f>
        <v>4.2669917708015843</v>
      </c>
    </row>
    <row r="68" spans="1:13" ht="15" customHeight="1" x14ac:dyDescent="0.25">
      <c r="A68" s="18"/>
      <c r="B68" s="37"/>
      <c r="C68" s="19"/>
      <c r="D68" s="20"/>
      <c r="E68" s="21"/>
      <c r="F68" s="21"/>
      <c r="G68" s="23"/>
      <c r="H68" s="22"/>
      <c r="I68" s="23"/>
      <c r="J68" s="41"/>
      <c r="K68" s="21"/>
    </row>
    <row r="69" spans="1:13" ht="45" x14ac:dyDescent="0.25">
      <c r="A69" s="18">
        <v>10</v>
      </c>
      <c r="B69" s="66" t="s">
        <v>65</v>
      </c>
      <c r="C69" s="19" t="s">
        <v>7</v>
      </c>
      <c r="D69" s="67" t="s">
        <v>51</v>
      </c>
      <c r="E69" s="68" t="s">
        <v>66</v>
      </c>
      <c r="F69" s="68" t="s">
        <v>67</v>
      </c>
      <c r="G69" s="68" t="s">
        <v>68</v>
      </c>
      <c r="H69" s="22"/>
      <c r="I69" s="23"/>
      <c r="J69" s="41"/>
      <c r="K69" s="21"/>
    </row>
    <row r="70" spans="1:13" ht="15" customHeight="1" x14ac:dyDescent="0.25">
      <c r="A70" s="18"/>
      <c r="B70" s="37" t="s">
        <v>69</v>
      </c>
      <c r="C70" s="19">
        <v>4</v>
      </c>
      <c r="D70" s="20">
        <f>(2*(14+22.42))/3.281</f>
        <v>22.200548613227674</v>
      </c>
      <c r="E70" s="21">
        <f>10*10/162</f>
        <v>0.61728395061728392</v>
      </c>
      <c r="F70" s="21">
        <f>PRODUCT(C70:E70)</f>
        <v>54.816169415376969</v>
      </c>
      <c r="G70" s="69">
        <f>F70/1000</f>
        <v>5.4816169415376967E-2</v>
      </c>
      <c r="H70" s="22"/>
      <c r="I70" s="23"/>
      <c r="J70" s="41"/>
      <c r="K70" s="21"/>
    </row>
    <row r="71" spans="1:13" ht="15" customHeight="1" x14ac:dyDescent="0.25">
      <c r="A71" s="18"/>
      <c r="B71" s="37" t="s">
        <v>70</v>
      </c>
      <c r="C71" s="19">
        <f>44+28+28+44</f>
        <v>144</v>
      </c>
      <c r="D71" s="20">
        <f>(7+2+2)/12/3.281</f>
        <v>0.27938636594534183</v>
      </c>
      <c r="E71" s="21">
        <f>8*8/162</f>
        <v>0.39506172839506171</v>
      </c>
      <c r="F71" s="21">
        <f>PRODUCT(C71:E71)</f>
        <v>15.893979929335</v>
      </c>
      <c r="G71" s="69">
        <f>F71/1000</f>
        <v>1.5893979929335E-2</v>
      </c>
      <c r="H71" s="22"/>
      <c r="I71" s="23"/>
      <c r="J71" s="41"/>
      <c r="K71" s="21"/>
    </row>
    <row r="72" spans="1:13" ht="15" customHeight="1" x14ac:dyDescent="0.25">
      <c r="A72" s="18"/>
      <c r="B72" s="37" t="s">
        <v>40</v>
      </c>
      <c r="C72" s="19"/>
      <c r="D72" s="20"/>
      <c r="E72" s="21"/>
      <c r="F72" s="21"/>
      <c r="G72" s="23">
        <f>SUM(G70:G71)</f>
        <v>7.0710149344711967E-2</v>
      </c>
      <c r="H72" s="22" t="s">
        <v>52</v>
      </c>
      <c r="I72" s="23">
        <v>131940</v>
      </c>
      <c r="J72" s="41">
        <f>G72*I72</f>
        <v>9329.4971045412967</v>
      </c>
      <c r="K72" s="21"/>
    </row>
    <row r="73" spans="1:13" ht="15" customHeight="1" x14ac:dyDescent="0.25">
      <c r="A73" s="18"/>
      <c r="B73" s="37" t="s">
        <v>38</v>
      </c>
      <c r="C73" s="19"/>
      <c r="D73" s="20"/>
      <c r="E73" s="21"/>
      <c r="F73" s="21"/>
      <c r="G73" s="23"/>
      <c r="H73" s="22"/>
      <c r="I73" s="23"/>
      <c r="J73" s="41">
        <f>0.13*G72*106200</f>
        <v>976.22432185309356</v>
      </c>
      <c r="K73" s="21"/>
    </row>
    <row r="74" spans="1:13" ht="15" customHeight="1" x14ac:dyDescent="0.25">
      <c r="A74" s="18"/>
      <c r="B74" s="37"/>
      <c r="C74" s="19"/>
      <c r="D74" s="20"/>
      <c r="E74" s="21"/>
      <c r="F74" s="21"/>
      <c r="G74" s="23"/>
      <c r="H74" s="22"/>
      <c r="I74" s="23"/>
      <c r="J74" s="41"/>
      <c r="K74" s="21"/>
    </row>
    <row r="75" spans="1:13" ht="30.75" x14ac:dyDescent="0.25">
      <c r="A75" s="18">
        <v>11</v>
      </c>
      <c r="B75" s="70" t="s">
        <v>72</v>
      </c>
      <c r="C75" s="19"/>
      <c r="D75" s="20"/>
      <c r="E75" s="21"/>
      <c r="F75" s="21"/>
      <c r="G75" s="23"/>
      <c r="H75" s="22"/>
      <c r="I75" s="23"/>
      <c r="J75" s="41"/>
      <c r="K75" s="21"/>
    </row>
    <row r="76" spans="1:13" ht="15" customHeight="1" x14ac:dyDescent="0.25">
      <c r="A76" s="18"/>
      <c r="B76" s="37" t="s">
        <v>54</v>
      </c>
      <c r="C76" s="36">
        <v>2</v>
      </c>
      <c r="D76" s="38">
        <f>((22.42+22.42)/3.281)-1.2</f>
        <v>12.466565071624506</v>
      </c>
      <c r="E76" s="38"/>
      <c r="F76" s="38">
        <v>0.9</v>
      </c>
      <c r="G76" s="39">
        <f t="shared" ref="G76" si="2">PRODUCT(C76:F76)</f>
        <v>22.439817128924112</v>
      </c>
      <c r="H76" s="40"/>
      <c r="I76" s="40"/>
      <c r="J76" s="40"/>
      <c r="K76" s="21"/>
    </row>
    <row r="77" spans="1:13" ht="15" customHeight="1" x14ac:dyDescent="0.25">
      <c r="A77" s="18"/>
      <c r="B77" s="37"/>
      <c r="C77" s="36">
        <v>2</v>
      </c>
      <c r="D77" s="38">
        <f>(14-1.5)</f>
        <v>12.5</v>
      </c>
      <c r="E77" s="38"/>
      <c r="F77" s="38">
        <v>0.9</v>
      </c>
      <c r="G77" s="39">
        <f t="shared" ref="G77" si="3">PRODUCT(C77:F77)</f>
        <v>22.5</v>
      </c>
      <c r="H77" s="40"/>
      <c r="I77" s="40"/>
      <c r="J77" s="40"/>
      <c r="K77" s="21"/>
    </row>
    <row r="78" spans="1:13" ht="15" customHeight="1" x14ac:dyDescent="0.25">
      <c r="A78" s="18"/>
      <c r="B78" s="37" t="s">
        <v>40</v>
      </c>
      <c r="C78" s="19"/>
      <c r="D78" s="20"/>
      <c r="E78" s="21"/>
      <c r="F78" s="21"/>
      <c r="G78" s="23">
        <f>SUM(G76:G77)</f>
        <v>44.939817128924112</v>
      </c>
      <c r="H78" s="22" t="s">
        <v>55</v>
      </c>
      <c r="I78" s="23">
        <v>405.86</v>
      </c>
      <c r="J78" s="41">
        <f>G78*I78</f>
        <v>18239.27417994514</v>
      </c>
      <c r="K78" s="21"/>
    </row>
    <row r="79" spans="1:13" ht="15" customHeight="1" x14ac:dyDescent="0.25">
      <c r="A79" s="18"/>
      <c r="B79" s="37" t="s">
        <v>38</v>
      </c>
      <c r="C79" s="19"/>
      <c r="D79" s="20"/>
      <c r="E79" s="21"/>
      <c r="F79" s="21"/>
      <c r="G79" s="23"/>
      <c r="H79" s="22"/>
      <c r="I79" s="23"/>
      <c r="J79" s="41">
        <f>0.13*G78*11166.2/100</f>
        <v>652.34908183249024</v>
      </c>
      <c r="K79" s="21"/>
    </row>
    <row r="80" spans="1:13" ht="15" customHeight="1" x14ac:dyDescent="0.25">
      <c r="A80" s="18"/>
      <c r="B80" s="37"/>
      <c r="C80" s="19"/>
      <c r="D80" s="20"/>
      <c r="E80" s="21"/>
      <c r="F80" s="21"/>
      <c r="G80" s="23"/>
      <c r="H80" s="22"/>
      <c r="I80" s="23"/>
      <c r="J80" s="41"/>
      <c r="K80" s="21"/>
    </row>
    <row r="81" spans="1:19" ht="15" customHeight="1" x14ac:dyDescent="0.25">
      <c r="A81" s="18">
        <v>12</v>
      </c>
      <c r="B81" s="30" t="s">
        <v>30</v>
      </c>
      <c r="C81" s="19">
        <v>1</v>
      </c>
      <c r="D81" s="20"/>
      <c r="E81" s="21"/>
      <c r="F81" s="21"/>
      <c r="G81" s="34">
        <f t="shared" ref="G81" si="4">PRODUCT(C81:F81)</f>
        <v>1</v>
      </c>
      <c r="H81" s="22" t="s">
        <v>31</v>
      </c>
      <c r="I81" s="23">
        <v>500</v>
      </c>
      <c r="J81" s="34">
        <f>G81*I81</f>
        <v>500</v>
      </c>
      <c r="K81" s="21"/>
      <c r="M81" s="25"/>
      <c r="N81" s="1"/>
      <c r="O81" s="1"/>
      <c r="P81" s="1"/>
      <c r="Q81" s="1"/>
      <c r="R81" s="25"/>
      <c r="S81" s="25"/>
    </row>
    <row r="82" spans="1:19" ht="15" customHeight="1" x14ac:dyDescent="0.25">
      <c r="A82" s="18"/>
      <c r="B82" s="24"/>
      <c r="C82" s="19"/>
      <c r="D82" s="20"/>
      <c r="E82" s="21"/>
      <c r="F82" s="21"/>
      <c r="G82" s="23"/>
      <c r="H82" s="22"/>
      <c r="I82" s="23"/>
      <c r="J82" s="41"/>
      <c r="K82" s="21"/>
      <c r="M82" s="25"/>
      <c r="N82" s="1">
        <f>2.4*3.281</f>
        <v>7.8743999999999996</v>
      </c>
      <c r="O82" s="1"/>
      <c r="P82" s="1"/>
      <c r="Q82" s="1"/>
      <c r="R82" s="25"/>
      <c r="S82" s="25"/>
    </row>
    <row r="83" spans="1:19" x14ac:dyDescent="0.25">
      <c r="A83" s="40"/>
      <c r="B83" s="46" t="s">
        <v>17</v>
      </c>
      <c r="C83" s="47"/>
      <c r="D83" s="38"/>
      <c r="E83" s="38"/>
      <c r="F83" s="38"/>
      <c r="G83" s="41"/>
      <c r="H83" s="41"/>
      <c r="I83" s="41"/>
      <c r="J83" s="41">
        <f>SUM(J10:J81)</f>
        <v>563634.92807013518</v>
      </c>
      <c r="K83" s="36"/>
    </row>
    <row r="84" spans="1:19" x14ac:dyDescent="0.25">
      <c r="A84" s="58"/>
      <c r="B84" s="61"/>
      <c r="C84" s="62"/>
      <c r="D84" s="59"/>
      <c r="E84" s="59"/>
      <c r="F84" s="59"/>
      <c r="G84" s="60"/>
      <c r="H84" s="60"/>
      <c r="I84" s="60"/>
      <c r="J84" s="60"/>
      <c r="K84" s="57"/>
    </row>
    <row r="85" spans="1:19" s="1" customFormat="1" x14ac:dyDescent="0.25">
      <c r="A85" s="50"/>
      <c r="B85" s="29" t="s">
        <v>27</v>
      </c>
      <c r="C85" s="86">
        <f>J83</f>
        <v>563634.92807013518</v>
      </c>
      <c r="D85" s="86"/>
      <c r="E85" s="39">
        <v>100</v>
      </c>
      <c r="F85" s="51"/>
      <c r="G85" s="52"/>
      <c r="H85" s="51"/>
      <c r="I85" s="53"/>
      <c r="J85" s="54"/>
      <c r="K85" s="55"/>
    </row>
    <row r="86" spans="1:19" x14ac:dyDescent="0.25">
      <c r="A86" s="56"/>
      <c r="B86" s="29" t="s">
        <v>32</v>
      </c>
      <c r="C86" s="89">
        <v>500000</v>
      </c>
      <c r="D86" s="89"/>
      <c r="E86" s="39"/>
      <c r="F86" s="49"/>
      <c r="G86" s="48"/>
      <c r="H86" s="48"/>
      <c r="I86" s="48"/>
      <c r="J86" s="48"/>
      <c r="K86" s="49"/>
    </row>
    <row r="87" spans="1:19" x14ac:dyDescent="0.25">
      <c r="A87" s="56"/>
      <c r="B87" s="29" t="s">
        <v>33</v>
      </c>
      <c r="C87" s="89">
        <f>C86-C89-C90</f>
        <v>475000</v>
      </c>
      <c r="D87" s="89"/>
      <c r="E87" s="39">
        <f>C87/C85*100</f>
        <v>84.274408192973809</v>
      </c>
      <c r="F87" s="49"/>
      <c r="G87" s="48"/>
      <c r="H87" s="48"/>
      <c r="I87" s="48"/>
      <c r="J87" s="48"/>
      <c r="K87" s="49"/>
    </row>
    <row r="88" spans="1:19" x14ac:dyDescent="0.25">
      <c r="A88" s="56"/>
      <c r="B88" s="29" t="s">
        <v>34</v>
      </c>
      <c r="C88" s="86">
        <f>C85-C87</f>
        <v>88634.928070135182</v>
      </c>
      <c r="D88" s="86"/>
      <c r="E88" s="39">
        <f>100-E87</f>
        <v>15.725591807026191</v>
      </c>
      <c r="F88" s="49"/>
      <c r="G88" s="48"/>
      <c r="H88" s="48"/>
      <c r="I88" s="48"/>
      <c r="J88" s="48"/>
      <c r="K88" s="49"/>
    </row>
    <row r="89" spans="1:19" x14ac:dyDescent="0.25">
      <c r="A89" s="56"/>
      <c r="B89" s="29" t="s">
        <v>35</v>
      </c>
      <c r="C89" s="86">
        <f>C86*0.03</f>
        <v>15000</v>
      </c>
      <c r="D89" s="86"/>
      <c r="E89" s="39">
        <v>3</v>
      </c>
      <c r="F89" s="49"/>
      <c r="G89" s="48"/>
      <c r="H89" s="48"/>
      <c r="I89" s="48"/>
      <c r="J89" s="48"/>
      <c r="K89" s="49"/>
    </row>
    <row r="90" spans="1:19" x14ac:dyDescent="0.25">
      <c r="A90" s="56"/>
      <c r="B90" s="29" t="s">
        <v>36</v>
      </c>
      <c r="C90" s="86">
        <f>C86*0.02</f>
        <v>10000</v>
      </c>
      <c r="D90" s="86"/>
      <c r="E90" s="39">
        <v>2</v>
      </c>
      <c r="F90" s="49"/>
      <c r="G90" s="48"/>
      <c r="H90" s="48"/>
      <c r="I90" s="48"/>
      <c r="J90" s="48"/>
      <c r="K90" s="49"/>
    </row>
    <row r="91" spans="1:19" s="35" customFormat="1" x14ac:dyDescent="0.25">
      <c r="A91" s="57"/>
      <c r="B91" s="57"/>
      <c r="C91" s="57"/>
      <c r="D91" s="57"/>
      <c r="E91" s="57"/>
      <c r="F91" s="57"/>
      <c r="G91" s="57"/>
      <c r="H91" s="57"/>
      <c r="I91" s="57"/>
      <c r="J91" s="57"/>
      <c r="K91" s="57"/>
    </row>
    <row r="92" spans="1:19" s="35" customFormat="1" x14ac:dyDescent="0.25"/>
    <row r="93" spans="1:19" s="35" customFormat="1" x14ac:dyDescent="0.25"/>
    <row r="94" spans="1:19" s="35" customFormat="1" x14ac:dyDescent="0.25"/>
    <row r="95" spans="1:19" s="35" customFormat="1" x14ac:dyDescent="0.25"/>
    <row r="96" spans="1:19" s="35" customFormat="1" x14ac:dyDescent="0.25"/>
    <row r="97" s="35" customFormat="1" x14ac:dyDescent="0.25"/>
    <row r="98" s="35" customFormat="1" x14ac:dyDescent="0.25"/>
    <row r="99" s="35" customFormat="1" x14ac:dyDescent="0.25"/>
    <row r="100" s="35" customFormat="1" x14ac:dyDescent="0.25"/>
    <row r="101" s="35" customFormat="1" x14ac:dyDescent="0.25"/>
    <row r="102" s="35" customFormat="1" x14ac:dyDescent="0.25"/>
    <row r="103" s="35" customFormat="1" x14ac:dyDescent="0.25"/>
    <row r="104" s="35" customFormat="1" x14ac:dyDescent="0.25"/>
    <row r="105" s="35" customFormat="1" x14ac:dyDescent="0.25"/>
    <row r="106" s="35" customFormat="1" x14ac:dyDescent="0.25"/>
    <row r="107" s="35" customFormat="1" x14ac:dyDescent="0.25"/>
    <row r="108" s="35" customFormat="1" x14ac:dyDescent="0.25"/>
    <row r="109" s="35" customFormat="1" x14ac:dyDescent="0.25"/>
    <row r="110" s="35" customFormat="1" x14ac:dyDescent="0.25"/>
    <row r="111" s="35" customFormat="1" x14ac:dyDescent="0.25"/>
    <row r="112" s="35" customFormat="1" x14ac:dyDescent="0.25"/>
    <row r="113" s="35" customFormat="1" x14ac:dyDescent="0.25"/>
    <row r="114" s="35" customFormat="1" x14ac:dyDescent="0.25"/>
    <row r="115" s="35" customFormat="1" x14ac:dyDescent="0.25"/>
    <row r="116" s="35" customFormat="1" x14ac:dyDescent="0.25"/>
    <row r="117" s="35" customFormat="1" x14ac:dyDescent="0.25"/>
    <row r="118" s="35" customFormat="1" x14ac:dyDescent="0.25"/>
    <row r="119" s="35" customFormat="1" x14ac:dyDescent="0.25"/>
    <row r="120" s="35" customFormat="1" x14ac:dyDescent="0.25"/>
    <row r="121" s="35" customFormat="1" x14ac:dyDescent="0.25"/>
    <row r="122" s="35" customFormat="1" x14ac:dyDescent="0.25"/>
    <row r="123" s="35" customFormat="1" x14ac:dyDescent="0.25"/>
    <row r="124" s="35" customFormat="1" x14ac:dyDescent="0.25"/>
    <row r="125" s="35" customFormat="1" x14ac:dyDescent="0.25"/>
    <row r="126" s="35" customFormat="1" x14ac:dyDescent="0.25"/>
    <row r="127" s="35" customFormat="1" x14ac:dyDescent="0.25"/>
    <row r="128" s="35" customFormat="1" x14ac:dyDescent="0.25"/>
    <row r="129" s="35" customFormat="1" x14ac:dyDescent="0.25"/>
    <row r="130" s="35" customFormat="1" x14ac:dyDescent="0.25"/>
    <row r="131" s="35" customFormat="1" x14ac:dyDescent="0.25"/>
    <row r="132" s="35" customFormat="1" x14ac:dyDescent="0.25"/>
    <row r="133" s="35" customFormat="1" x14ac:dyDescent="0.25"/>
    <row r="134" s="35" customFormat="1" x14ac:dyDescent="0.25"/>
    <row r="135" s="35" customFormat="1" x14ac:dyDescent="0.25"/>
    <row r="136" s="35" customFormat="1" x14ac:dyDescent="0.25"/>
    <row r="137" s="35" customFormat="1" x14ac:dyDescent="0.25"/>
    <row r="138" s="35" customFormat="1" x14ac:dyDescent="0.25"/>
    <row r="139" s="35" customFormat="1" x14ac:dyDescent="0.25"/>
    <row r="140" s="35" customFormat="1" x14ac:dyDescent="0.25"/>
    <row r="141" s="35" customFormat="1" x14ac:dyDescent="0.25"/>
    <row r="142" s="35" customFormat="1" x14ac:dyDescent="0.25"/>
    <row r="143" s="35" customFormat="1" x14ac:dyDescent="0.25"/>
    <row r="144" s="35" customFormat="1" x14ac:dyDescent="0.25"/>
    <row r="145" s="35" customFormat="1" x14ac:dyDescent="0.25"/>
    <row r="146" s="35" customFormat="1" x14ac:dyDescent="0.25"/>
    <row r="147" s="35" customFormat="1" x14ac:dyDescent="0.25"/>
  </sheetData>
  <mergeCells count="16">
    <mergeCell ref="O30:U30"/>
    <mergeCell ref="A6:F6"/>
    <mergeCell ref="H6:K6"/>
    <mergeCell ref="A1:K1"/>
    <mergeCell ref="A2:K2"/>
    <mergeCell ref="A3:K3"/>
    <mergeCell ref="A4:K4"/>
    <mergeCell ref="A5:K5"/>
    <mergeCell ref="C89:D89"/>
    <mergeCell ref="C90:D90"/>
    <mergeCell ref="A7:F7"/>
    <mergeCell ref="H7:K7"/>
    <mergeCell ref="C85:D85"/>
    <mergeCell ref="C86:D86"/>
    <mergeCell ref="C87:D87"/>
    <mergeCell ref="C88:D88"/>
  </mergeCells>
  <pageMargins left="0.70866141732283472" right="0.70866141732283472" top="0.74803149606299213" bottom="0.74803149606299213" header="0.31496062992125984" footer="0.31496062992125984"/>
  <pageSetup paperSize="9" scale="75" orientation="portrait" r:id="rId1"/>
  <headerFooter>
    <oddFooter>&amp;LPrepared By:&amp;CChecked By:&amp;RApproved By:</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3"/>
  <sheetViews>
    <sheetView zoomScaleNormal="100" workbookViewId="0">
      <selection activeCell="G10" sqref="G10:I10"/>
    </sheetView>
  </sheetViews>
  <sheetFormatPr defaultRowHeight="15" x14ac:dyDescent="0.25"/>
  <cols>
    <col min="1" max="1" width="6.28515625" customWidth="1"/>
    <col min="2" max="2" width="36.7109375" customWidth="1"/>
    <col min="3" max="3" width="7.85546875" customWidth="1"/>
    <col min="4" max="4" width="8.42578125" bestFit="1" customWidth="1"/>
    <col min="5" max="5" width="10.42578125"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 min="13" max="13" width="12" bestFit="1" customWidth="1"/>
    <col min="14" max="14" width="9.5703125" bestFit="1" customWidth="1"/>
    <col min="15" max="15" width="8.5703125" bestFit="1" customWidth="1"/>
  </cols>
  <sheetData>
    <row r="1" spans="1:14" x14ac:dyDescent="0.25">
      <c r="A1" s="106" t="s">
        <v>0</v>
      </c>
      <c r="B1" s="106"/>
      <c r="C1" s="106"/>
      <c r="D1" s="106"/>
      <c r="E1" s="106"/>
      <c r="F1" s="106"/>
      <c r="G1" s="106"/>
      <c r="H1" s="106"/>
      <c r="I1" s="106"/>
      <c r="J1" s="106"/>
      <c r="K1" s="106"/>
    </row>
    <row r="2" spans="1:14" ht="25.5" x14ac:dyDescent="0.35">
      <c r="A2" s="107" t="s">
        <v>1</v>
      </c>
      <c r="B2" s="107"/>
      <c r="C2" s="107"/>
      <c r="D2" s="107"/>
      <c r="E2" s="107"/>
      <c r="F2" s="107"/>
      <c r="G2" s="107"/>
      <c r="H2" s="107"/>
      <c r="I2" s="107"/>
      <c r="J2" s="107"/>
      <c r="K2" s="107"/>
    </row>
    <row r="3" spans="1:14" s="1" customFormat="1" x14ac:dyDescent="0.25">
      <c r="A3" s="95" t="s">
        <v>2</v>
      </c>
      <c r="B3" s="95"/>
      <c r="C3" s="95"/>
      <c r="D3" s="95"/>
      <c r="E3" s="95"/>
      <c r="F3" s="95"/>
      <c r="G3" s="95"/>
      <c r="H3" s="95"/>
      <c r="I3" s="95"/>
      <c r="J3" s="95"/>
      <c r="K3" s="95"/>
    </row>
    <row r="4" spans="1:14" s="1" customFormat="1" x14ac:dyDescent="0.25">
      <c r="A4" s="95" t="s">
        <v>3</v>
      </c>
      <c r="B4" s="95"/>
      <c r="C4" s="95"/>
      <c r="D4" s="95"/>
      <c r="E4" s="95"/>
      <c r="F4" s="95"/>
      <c r="G4" s="95"/>
      <c r="H4" s="95"/>
      <c r="I4" s="95"/>
      <c r="J4" s="95"/>
      <c r="K4" s="95"/>
    </row>
    <row r="5" spans="1:14" ht="18.75" x14ac:dyDescent="0.3">
      <c r="A5" s="108" t="s">
        <v>18</v>
      </c>
      <c r="B5" s="108"/>
      <c r="C5" s="108"/>
      <c r="D5" s="108"/>
      <c r="E5" s="108"/>
      <c r="F5" s="108"/>
      <c r="G5" s="108"/>
      <c r="H5" s="108"/>
      <c r="I5" s="108"/>
      <c r="J5" s="108"/>
      <c r="K5" s="108"/>
    </row>
    <row r="6" spans="1:14" ht="18.75" x14ac:dyDescent="0.3">
      <c r="A6" s="8" t="s">
        <v>19</v>
      </c>
      <c r="B6" s="8"/>
      <c r="C6" s="104">
        <f>F45</f>
        <v>563634.92807013518</v>
      </c>
      <c r="D6" s="105"/>
      <c r="E6" s="9"/>
      <c r="F6" s="8"/>
      <c r="G6" s="8"/>
      <c r="H6" s="8" t="s">
        <v>20</v>
      </c>
      <c r="I6" s="8"/>
      <c r="J6" s="104">
        <f>I45</f>
        <v>564688.31314685999</v>
      </c>
      <c r="K6" s="105"/>
    </row>
    <row r="7" spans="1:14" x14ac:dyDescent="0.25">
      <c r="A7" s="26" t="s">
        <v>29</v>
      </c>
      <c r="B7" s="10"/>
      <c r="C7" s="10"/>
      <c r="D7" s="10"/>
      <c r="F7" s="99"/>
      <c r="G7" s="99"/>
      <c r="I7" s="100" t="s">
        <v>37</v>
      </c>
      <c r="J7" s="100"/>
      <c r="K7" s="100"/>
    </row>
    <row r="8" spans="1:14" ht="15.75" x14ac:dyDescent="0.25">
      <c r="A8" s="91" t="str">
        <f>'Estimate (3)'!A6:F6</f>
        <v>Project:- गणपति ढिकुरेपाटी संरक्षण</v>
      </c>
      <c r="B8" s="91"/>
      <c r="C8" s="91"/>
      <c r="D8" s="91"/>
      <c r="E8" s="91"/>
      <c r="F8" s="91"/>
      <c r="I8" s="101" t="s">
        <v>100</v>
      </c>
      <c r="J8" s="101"/>
      <c r="K8" s="101"/>
    </row>
    <row r="9" spans="1:14" x14ac:dyDescent="0.25">
      <c r="A9" s="102" t="str">
        <f>'Estimate (3)'!A7:F7</f>
        <v>Location:- Shankharapur Municipality 9</v>
      </c>
      <c r="B9" s="102"/>
      <c r="C9" s="102"/>
      <c r="D9" s="102"/>
      <c r="E9" s="102"/>
      <c r="F9" s="102"/>
      <c r="I9" s="101" t="s">
        <v>101</v>
      </c>
      <c r="J9" s="101"/>
      <c r="K9" s="101"/>
    </row>
    <row r="10" spans="1:14" x14ac:dyDescent="0.25">
      <c r="A10" s="97" t="s">
        <v>21</v>
      </c>
      <c r="B10" s="97" t="s">
        <v>22</v>
      </c>
      <c r="C10" s="97" t="s">
        <v>12</v>
      </c>
      <c r="D10" s="103" t="s">
        <v>23</v>
      </c>
      <c r="E10" s="103"/>
      <c r="F10" s="103"/>
      <c r="G10" s="103" t="s">
        <v>24</v>
      </c>
      <c r="H10" s="103"/>
      <c r="I10" s="103"/>
      <c r="J10" s="97" t="s">
        <v>25</v>
      </c>
      <c r="K10" s="98" t="s">
        <v>15</v>
      </c>
    </row>
    <row r="11" spans="1:14" x14ac:dyDescent="0.25">
      <c r="A11" s="97"/>
      <c r="B11" s="97"/>
      <c r="C11" s="97"/>
      <c r="D11" s="11" t="s">
        <v>26</v>
      </c>
      <c r="E11" s="11" t="s">
        <v>13</v>
      </c>
      <c r="F11" s="11" t="s">
        <v>14</v>
      </c>
      <c r="G11" s="11" t="s">
        <v>26</v>
      </c>
      <c r="H11" s="11" t="s">
        <v>13</v>
      </c>
      <c r="I11" s="11" t="s">
        <v>14</v>
      </c>
      <c r="J11" s="97"/>
      <c r="K11" s="98"/>
    </row>
    <row r="12" spans="1:14" s="1" customFormat="1" ht="141.75" x14ac:dyDescent="0.25">
      <c r="A12" s="27">
        <f>'Estimate (3)'!A9</f>
        <v>1</v>
      </c>
      <c r="B12" s="32" t="str">
        <f>'Estimate (3)'!B9</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 (खन्ने पुर्ने कार्य)</v>
      </c>
      <c r="C12" s="12" t="str">
        <f>'Estimate (3)'!H11</f>
        <v>m3</v>
      </c>
      <c r="D12" s="12">
        <f>'Estimate (3)'!G11</f>
        <v>17.700000000000003</v>
      </c>
      <c r="E12" s="12">
        <f>'Estimate (3)'!I11</f>
        <v>64.63</v>
      </c>
      <c r="F12" s="12">
        <f>D12*E12</f>
        <v>1143.951</v>
      </c>
      <c r="G12" s="12">
        <f>V!G11</f>
        <v>20.784000000000002</v>
      </c>
      <c r="H12" s="12">
        <f>V!I11</f>
        <v>64.63</v>
      </c>
      <c r="I12" s="12">
        <f>G12*H12</f>
        <v>1343.26992</v>
      </c>
      <c r="J12" s="28">
        <f>I12-F12</f>
        <v>199.31891999999993</v>
      </c>
      <c r="K12" s="14"/>
      <c r="M12" s="1">
        <f>1.25*F12</f>
        <v>1429.93875</v>
      </c>
      <c r="N12" s="1" t="b">
        <f>IF(M12&gt;I12,TRUE,FALSE)</f>
        <v>1</v>
      </c>
    </row>
    <row r="13" spans="1:14" s="1" customFormat="1" ht="15.75" x14ac:dyDescent="0.25">
      <c r="A13" s="27"/>
      <c r="B13" s="77" t="str">
        <f>'Estimate (3)'!B12</f>
        <v>VAT calculation</v>
      </c>
      <c r="C13" s="12"/>
      <c r="D13" s="12"/>
      <c r="E13" s="12"/>
      <c r="F13" s="12">
        <f>'Estimate (3)'!J12</f>
        <v>123.25690000000003</v>
      </c>
      <c r="G13" s="12"/>
      <c r="H13" s="12"/>
      <c r="I13" s="12">
        <f>V!J12</f>
        <v>144.73284800000002</v>
      </c>
      <c r="J13" s="28">
        <f>I13-F13</f>
        <v>21.475947999999988</v>
      </c>
      <c r="K13" s="14"/>
      <c r="M13" s="1">
        <f t="shared" ref="M13:M43" si="0">1.25*F13</f>
        <v>154.07112500000005</v>
      </c>
      <c r="N13" s="1" t="b">
        <f t="shared" ref="N13:N43" si="1">IF(M13&gt;I13,TRUE,FALSE)</f>
        <v>1</v>
      </c>
    </row>
    <row r="14" spans="1:14" s="1" customFormat="1" x14ac:dyDescent="0.25">
      <c r="A14" s="29"/>
      <c r="B14" s="29"/>
      <c r="C14" s="12"/>
      <c r="D14" s="12"/>
      <c r="E14" s="12"/>
      <c r="F14" s="12"/>
      <c r="G14" s="12"/>
      <c r="H14" s="12"/>
      <c r="I14" s="12"/>
      <c r="J14" s="28"/>
      <c r="K14" s="14"/>
    </row>
    <row r="15" spans="1:14" s="1" customFormat="1" ht="30" x14ac:dyDescent="0.2">
      <c r="A15" s="27">
        <f>'Estimate (3)'!A14</f>
        <v>2</v>
      </c>
      <c r="B15" s="65" t="str">
        <f>'Estimate (3)'!B14</f>
        <v xml:space="preserve">g/d k|sf/sf] Sn] / l;N6L df6f]df ;j} lsl;dsf] vGg] sfd </v>
      </c>
      <c r="C15" s="12" t="str">
        <f>'Estimate (3)'!H17</f>
        <v>m3</v>
      </c>
      <c r="D15" s="12">
        <f>'Estimate (3)'!G17</f>
        <v>5.2532002438281014</v>
      </c>
      <c r="E15" s="12">
        <f>'Estimate (3)'!I17</f>
        <v>663.31</v>
      </c>
      <c r="F15" s="12">
        <f>D15*E15</f>
        <v>3484.5002537336177</v>
      </c>
      <c r="G15" s="12">
        <f>V!G16</f>
        <v>1.6864749999999999</v>
      </c>
      <c r="H15" s="12">
        <f>V!I16</f>
        <v>663.31</v>
      </c>
      <c r="I15" s="12">
        <f>G15*H15</f>
        <v>1118.6557322499998</v>
      </c>
      <c r="J15" s="28">
        <f>I15-F15</f>
        <v>-2365.8445214836179</v>
      </c>
      <c r="K15" s="14"/>
      <c r="M15" s="1">
        <f t="shared" si="0"/>
        <v>4355.6253171670223</v>
      </c>
      <c r="N15" s="1" t="b">
        <f t="shared" si="1"/>
        <v>1</v>
      </c>
    </row>
    <row r="16" spans="1:14" s="1" customFormat="1" x14ac:dyDescent="0.25">
      <c r="A16" s="29"/>
      <c r="B16" s="29"/>
      <c r="C16" s="12"/>
      <c r="D16" s="12"/>
      <c r="E16" s="12"/>
      <c r="F16" s="12"/>
      <c r="G16" s="12"/>
      <c r="H16" s="12"/>
      <c r="I16" s="12"/>
      <c r="J16" s="28">
        <f>I16-F16</f>
        <v>0</v>
      </c>
      <c r="K16" s="14"/>
    </row>
    <row r="17" spans="1:14" s="1" customFormat="1" ht="45" x14ac:dyDescent="0.2">
      <c r="A17" s="27">
        <f>'Estimate (3)'!A19</f>
        <v>3</v>
      </c>
      <c r="B17" s="65" t="str">
        <f>'Estimate (3)'!B19</f>
        <v>3fF; sf6\g] To;sf] h/f lemSg], l9:sf] k'm6fpg] / n]en u/L :yn ;kmf ug]{ ;a} jf]sgL ;d]t</v>
      </c>
      <c r="C17" s="12" t="str">
        <f>'Estimate (3)'!H22</f>
        <v>sqm</v>
      </c>
      <c r="D17" s="12">
        <f>'Estimate (3)'!G22</f>
        <v>7.391008838768669</v>
      </c>
      <c r="E17" s="12">
        <f>'Estimate (3)'!I22</f>
        <v>21.16</v>
      </c>
      <c r="F17" s="12">
        <f>D17*E17</f>
        <v>156.39374702834505</v>
      </c>
      <c r="G17" s="12">
        <f>V!G21</f>
        <v>7.391008838768669</v>
      </c>
      <c r="H17" s="12">
        <f>V!I21</f>
        <v>21.16</v>
      </c>
      <c r="I17" s="12">
        <f>G17*H17</f>
        <v>156.39374702834505</v>
      </c>
      <c r="J17" s="28">
        <f>I17-F17</f>
        <v>0</v>
      </c>
      <c r="K17" s="14"/>
      <c r="M17" s="1">
        <f t="shared" si="0"/>
        <v>195.49218378543131</v>
      </c>
      <c r="N17" s="1" t="b">
        <f t="shared" si="1"/>
        <v>1</v>
      </c>
    </row>
    <row r="18" spans="1:14" s="1" customFormat="1" x14ac:dyDescent="0.25">
      <c r="A18" s="29"/>
      <c r="B18" s="29"/>
      <c r="C18" s="12"/>
      <c r="D18" s="12"/>
      <c r="E18" s="12"/>
      <c r="F18" s="12"/>
      <c r="G18" s="12"/>
      <c r="H18" s="12"/>
      <c r="I18" s="12"/>
      <c r="J18" s="28"/>
      <c r="K18" s="14"/>
    </row>
    <row r="19" spans="1:14" s="1" customFormat="1" x14ac:dyDescent="0.2">
      <c r="A19" s="27">
        <f>'Estimate (3)'!A24</f>
        <v>4</v>
      </c>
      <c r="B19" s="65" t="str">
        <f>'Estimate (3)'!B24</f>
        <v>;'Vvf O{6f RofK6f] 5fKg] sfd</v>
      </c>
      <c r="C19" s="12" t="str">
        <f>'Estimate (3)'!H27</f>
        <v>sqm</v>
      </c>
      <c r="D19" s="12">
        <f>'Estimate (3)'!G27</f>
        <v>7.0042669917708018</v>
      </c>
      <c r="E19" s="12">
        <f>'Estimate (3)'!I27</f>
        <v>1014.97</v>
      </c>
      <c r="F19" s="12">
        <f>D19*E19</f>
        <v>7109.1208686376112</v>
      </c>
      <c r="G19" s="12">
        <f>V!G26</f>
        <v>6.7425691252666873</v>
      </c>
      <c r="H19" s="12">
        <f>V!I26</f>
        <v>1014.97</v>
      </c>
      <c r="I19" s="12">
        <f>G19*H19</f>
        <v>6843.5053850719296</v>
      </c>
      <c r="J19" s="28">
        <f>I19-F19</f>
        <v>-265.61548356568164</v>
      </c>
      <c r="K19" s="14"/>
      <c r="M19" s="1">
        <f t="shared" si="0"/>
        <v>8886.4010857970134</v>
      </c>
      <c r="N19" s="1" t="b">
        <f t="shared" si="1"/>
        <v>1</v>
      </c>
    </row>
    <row r="20" spans="1:14" s="1" customFormat="1" ht="15.75" x14ac:dyDescent="0.25">
      <c r="A20" s="27"/>
      <c r="B20" s="77" t="str">
        <f>'Estimate (3)'!B28</f>
        <v>VAT calculation</v>
      </c>
      <c r="C20" s="12"/>
      <c r="D20" s="12"/>
      <c r="E20" s="12"/>
      <c r="F20" s="12">
        <f>'Estimate (3)'!J28</f>
        <v>784.64320377933575</v>
      </c>
      <c r="G20" s="12"/>
      <c r="H20" s="12"/>
      <c r="I20" s="12">
        <f>V!J27</f>
        <v>755.32686666122538</v>
      </c>
      <c r="J20" s="28">
        <f>I20-F20</f>
        <v>-29.316337118110368</v>
      </c>
      <c r="K20" s="14"/>
      <c r="M20" s="1">
        <f t="shared" si="0"/>
        <v>980.80400472416966</v>
      </c>
      <c r="N20" s="1" t="b">
        <f t="shared" si="1"/>
        <v>1</v>
      </c>
    </row>
    <row r="21" spans="1:14" s="1" customFormat="1" x14ac:dyDescent="0.25">
      <c r="A21" s="29"/>
      <c r="B21" s="29"/>
      <c r="C21" s="12"/>
      <c r="D21" s="12"/>
      <c r="E21" s="12"/>
      <c r="F21" s="12"/>
      <c r="G21" s="12"/>
      <c r="H21" s="12"/>
      <c r="I21" s="12"/>
      <c r="J21" s="28"/>
      <c r="K21" s="14"/>
    </row>
    <row r="22" spans="1:14" s="1" customFormat="1" ht="78.75" x14ac:dyDescent="0.25">
      <c r="A22" s="27">
        <f>'Estimate (3)'!A30</f>
        <v>5</v>
      </c>
      <c r="B22" s="32" t="str">
        <f>'Estimate (3)'!B30</f>
        <v>Providing and laying of hand pack Stone soling with 150 to 200 mm thick stones and packing with smaller stone on prepared surface as per Drawing and Technical Specifications.</v>
      </c>
      <c r="C22" s="12" t="str">
        <f>'Estimate (3)'!H32</f>
        <v>m3</v>
      </c>
      <c r="D22" s="12">
        <f>'Estimate (3)'!G32</f>
        <v>2.6550000000000002</v>
      </c>
      <c r="E22" s="12">
        <f>'Estimate (3)'!I32</f>
        <v>4434.5200000000004</v>
      </c>
      <c r="F22" s="12">
        <f>D22*E22</f>
        <v>11773.650600000003</v>
      </c>
      <c r="G22" s="12">
        <f>V!G33</f>
        <v>3.0553499999999998</v>
      </c>
      <c r="H22" s="12">
        <f>V!I33</f>
        <v>4434.5200000000004</v>
      </c>
      <c r="I22" s="12">
        <f>G22*H22</f>
        <v>13549.010682</v>
      </c>
      <c r="J22" s="28">
        <f>I22-F22</f>
        <v>1775.3600819999974</v>
      </c>
      <c r="K22" s="14"/>
      <c r="M22" s="1">
        <f t="shared" si="0"/>
        <v>14717.063250000003</v>
      </c>
      <c r="N22" s="1" t="b">
        <f t="shared" si="1"/>
        <v>1</v>
      </c>
    </row>
    <row r="23" spans="1:14" s="1" customFormat="1" ht="15.75" x14ac:dyDescent="0.25">
      <c r="A23" s="27"/>
      <c r="B23" s="77" t="str">
        <f>'Estimate (3)'!B33</f>
        <v>VAT calculation</v>
      </c>
      <c r="C23" s="12"/>
      <c r="D23" s="12"/>
      <c r="E23" s="12"/>
      <c r="F23" s="12">
        <f>'Estimate (3)'!J33</f>
        <v>1022.8589280000002</v>
      </c>
      <c r="G23" s="12"/>
      <c r="H23" s="12"/>
      <c r="I23" s="12">
        <f>V!J34</f>
        <v>1177.0968081599999</v>
      </c>
      <c r="J23" s="28">
        <f>I23-F23</f>
        <v>154.23788015999969</v>
      </c>
      <c r="K23" s="14"/>
      <c r="M23" s="1">
        <f t="shared" si="0"/>
        <v>1278.5736600000002</v>
      </c>
      <c r="N23" s="1" t="b">
        <f t="shared" si="1"/>
        <v>1</v>
      </c>
    </row>
    <row r="24" spans="1:14" s="1" customFormat="1" x14ac:dyDescent="0.25">
      <c r="A24" s="29"/>
      <c r="B24" s="29"/>
      <c r="C24" s="12"/>
      <c r="D24" s="12"/>
      <c r="E24" s="12"/>
      <c r="F24" s="12"/>
      <c r="G24" s="12"/>
      <c r="H24" s="12"/>
      <c r="I24" s="12"/>
      <c r="J24" s="28"/>
      <c r="K24" s="14"/>
    </row>
    <row r="25" spans="1:14" s="1" customFormat="1" ht="63" x14ac:dyDescent="0.25">
      <c r="A25" s="27">
        <f>'Estimate (3)'!A35</f>
        <v>6</v>
      </c>
      <c r="B25" s="32" t="str">
        <f>'Estimate (3)'!B35</f>
        <v>Providing and laying of Plain/Reinforced Cement Concrete in Foundation complete as per Drawing and Technical Specifications, PCC Grade M 15</v>
      </c>
      <c r="C25" s="12" t="str">
        <f>'Estimate (3)'!H42</f>
        <v>m3</v>
      </c>
      <c r="D25" s="12">
        <f>'Estimate (3)'!G42</f>
        <v>2.8526936909478819</v>
      </c>
      <c r="E25" s="12">
        <f>'Estimate (3)'!I42</f>
        <v>10634.5</v>
      </c>
      <c r="F25" s="12">
        <f>D25*E25</f>
        <v>30336.97105638525</v>
      </c>
      <c r="G25" s="12">
        <f>V!G48</f>
        <v>2.6055576633275774</v>
      </c>
      <c r="H25" s="12">
        <f>V!I48</f>
        <v>10634.5</v>
      </c>
      <c r="I25" s="12">
        <f>G25*H25</f>
        <v>27708.802970657121</v>
      </c>
      <c r="J25" s="28">
        <f>I25-F25</f>
        <v>-2628.1680857281281</v>
      </c>
      <c r="K25" s="14"/>
      <c r="M25" s="1">
        <f t="shared" si="0"/>
        <v>37921.213820481564</v>
      </c>
      <c r="N25" s="1" t="b">
        <f t="shared" si="1"/>
        <v>1</v>
      </c>
    </row>
    <row r="26" spans="1:14" s="1" customFormat="1" ht="15.75" x14ac:dyDescent="0.25">
      <c r="A26" s="27"/>
      <c r="B26" s="77" t="str">
        <f>'Estimate (3)'!B43</f>
        <v>VAT calculation</v>
      </c>
      <c r="C26" s="12"/>
      <c r="D26" s="12"/>
      <c r="E26" s="12"/>
      <c r="F26" s="12">
        <f>'Estimate (3)'!J43</f>
        <v>2992.5779984180435</v>
      </c>
      <c r="G26" s="12"/>
      <c r="H26" s="12"/>
      <c r="I26" s="12">
        <f>V!J49</f>
        <v>2733.3234414988206</v>
      </c>
      <c r="J26" s="28">
        <f>I26-F26</f>
        <v>-259.25455691922298</v>
      </c>
      <c r="K26" s="14"/>
      <c r="M26" s="1">
        <f t="shared" si="0"/>
        <v>3740.7224980225546</v>
      </c>
      <c r="N26" s="1" t="b">
        <f t="shared" si="1"/>
        <v>1</v>
      </c>
    </row>
    <row r="27" spans="1:14" s="1" customFormat="1" x14ac:dyDescent="0.25">
      <c r="A27" s="29"/>
      <c r="B27" s="29"/>
      <c r="C27" s="12"/>
      <c r="D27" s="12"/>
      <c r="E27" s="12"/>
      <c r="F27" s="12"/>
      <c r="G27" s="12"/>
      <c r="H27" s="12"/>
      <c r="I27" s="12"/>
      <c r="J27" s="28"/>
      <c r="K27" s="14"/>
    </row>
    <row r="28" spans="1:14" s="1" customFormat="1" ht="78.75" x14ac:dyDescent="0.25">
      <c r="A28" s="27">
        <f>'Estimate (3)'!A45</f>
        <v>7</v>
      </c>
      <c r="B28" s="32" t="str">
        <f>'Estimate (3)'!B45</f>
        <v>Random Rubble Masonry, Providing and laying of Stone Masonry Work in Cement Mortar 1:6 in Foundation complete as per Drawing and Technical Specifications.</v>
      </c>
      <c r="C28" s="12" t="str">
        <f>'Estimate (3)'!H47</f>
        <v>m3</v>
      </c>
      <c r="D28" s="12">
        <f>'Estimate (3)'!G47</f>
        <v>34.515000000000001</v>
      </c>
      <c r="E28" s="12">
        <f>'Estimate (3)'!I47</f>
        <v>9709.43</v>
      </c>
      <c r="F28" s="12">
        <f>D28*E28</f>
        <v>335120.97645000002</v>
      </c>
      <c r="G28" s="12">
        <f>V!G55</f>
        <v>34.555305000000011</v>
      </c>
      <c r="H28" s="12">
        <f>V!I55</f>
        <v>9709.43</v>
      </c>
      <c r="I28" s="12">
        <f>G28*H28</f>
        <v>335512.31502615014</v>
      </c>
      <c r="J28" s="28">
        <f>I28-F28</f>
        <v>391.33857615012676</v>
      </c>
      <c r="K28" s="14"/>
      <c r="M28" s="1">
        <f t="shared" si="0"/>
        <v>418901.22056250001</v>
      </c>
      <c r="N28" s="1" t="b">
        <f t="shared" si="1"/>
        <v>1</v>
      </c>
    </row>
    <row r="29" spans="1:14" s="1" customFormat="1" ht="15.75" x14ac:dyDescent="0.25">
      <c r="A29" s="27"/>
      <c r="B29" s="77" t="str">
        <f>'Estimate (3)'!B48</f>
        <v>VAT calculation</v>
      </c>
      <c r="C29" s="12"/>
      <c r="D29" s="12"/>
      <c r="E29" s="12"/>
      <c r="F29" s="12">
        <f>'Estimate (3)'!J48</f>
        <v>24312.179619000002</v>
      </c>
      <c r="G29" s="12"/>
      <c r="H29" s="12"/>
      <c r="I29" s="12">
        <f>V!J56</f>
        <v>24340.57024335301</v>
      </c>
      <c r="J29" s="28">
        <f>I29-F29</f>
        <v>28.390624353007297</v>
      </c>
      <c r="K29" s="14"/>
      <c r="M29" s="1">
        <f t="shared" si="0"/>
        <v>30390.224523750003</v>
      </c>
      <c r="N29" s="1" t="b">
        <f t="shared" si="1"/>
        <v>1</v>
      </c>
    </row>
    <row r="30" spans="1:14" s="1" customFormat="1" x14ac:dyDescent="0.25">
      <c r="A30" s="29"/>
      <c r="B30" s="29"/>
      <c r="C30" s="12"/>
      <c r="D30" s="12"/>
      <c r="E30" s="12"/>
      <c r="F30" s="12"/>
      <c r="G30" s="12"/>
      <c r="H30" s="12"/>
      <c r="I30" s="12"/>
      <c r="J30" s="28"/>
      <c r="K30" s="14"/>
    </row>
    <row r="31" spans="1:14" s="1" customFormat="1" x14ac:dyDescent="0.2">
      <c r="A31" s="27">
        <f>'Estimate (3)'!A50</f>
        <v>8</v>
      </c>
      <c r="B31" s="65" t="str">
        <f>'Estimate (3)'!B50</f>
        <v>k'/fgf] ;km]{;df XjfO{6jfz ug]{ sfd</v>
      </c>
      <c r="C31" s="12" t="str">
        <f>'Estimate (3)'!H57</f>
        <v>sqm</v>
      </c>
      <c r="D31" s="12">
        <f>'Estimate (3)'!G57</f>
        <v>164.19110842482382</v>
      </c>
      <c r="E31" s="12">
        <f>'Estimate (3)'!I57</f>
        <v>20.82</v>
      </c>
      <c r="F31" s="12">
        <f>D31*E31</f>
        <v>3418.458877404832</v>
      </c>
      <c r="G31" s="12">
        <f>V!G63</f>
        <v>58.12761421058562</v>
      </c>
      <c r="H31" s="12">
        <f>V!I63</f>
        <v>20.82</v>
      </c>
      <c r="I31" s="12">
        <f>G31*H31</f>
        <v>1210.2169278643926</v>
      </c>
      <c r="J31" s="28">
        <f>I31-F31</f>
        <v>-2208.2419495404392</v>
      </c>
      <c r="K31" s="14"/>
      <c r="M31" s="1">
        <f t="shared" si="0"/>
        <v>4273.0735967560404</v>
      </c>
      <c r="N31" s="1" t="b">
        <f t="shared" si="1"/>
        <v>1</v>
      </c>
    </row>
    <row r="32" spans="1:14" s="1" customFormat="1" ht="15.75" x14ac:dyDescent="0.25">
      <c r="A32" s="27"/>
      <c r="B32" s="77" t="str">
        <f>'Estimate (3)'!B58</f>
        <v>VAT calculation</v>
      </c>
      <c r="C32" s="12"/>
      <c r="D32" s="12"/>
      <c r="E32" s="12"/>
      <c r="F32" s="12">
        <f>'Estimate (3)'!J58</f>
        <v>97.844765332521021</v>
      </c>
      <c r="G32" s="12"/>
      <c r="H32" s="12"/>
      <c r="I32" s="12">
        <f>V!J64</f>
        <v>34.639407860372181</v>
      </c>
      <c r="J32" s="28">
        <f>I32-F32</f>
        <v>-63.20535747214884</v>
      </c>
      <c r="K32" s="14"/>
      <c r="M32" s="1">
        <f t="shared" si="0"/>
        <v>122.30595666565128</v>
      </c>
      <c r="N32" s="1" t="b">
        <f t="shared" si="1"/>
        <v>1</v>
      </c>
    </row>
    <row r="33" spans="1:15" s="1" customFormat="1" x14ac:dyDescent="0.25">
      <c r="A33" s="29"/>
      <c r="B33" s="29"/>
      <c r="C33" s="12"/>
      <c r="D33" s="12"/>
      <c r="E33" s="12"/>
      <c r="F33" s="12"/>
      <c r="G33" s="12"/>
      <c r="H33" s="12"/>
      <c r="I33" s="12"/>
      <c r="J33" s="28"/>
      <c r="K33" s="14"/>
    </row>
    <row r="34" spans="1:15" s="1" customFormat="1" ht="30" x14ac:dyDescent="0.2">
      <c r="A34" s="27">
        <f>'Estimate (3)'!A60</f>
        <v>9</v>
      </c>
      <c r="B34" s="65" t="str">
        <f>'Estimate (3)'!B60</f>
        <v xml:space="preserve">e'O{+tNnfdf lrDgL e§fsf] O{+6fsf] uf/f] l;d]G6 d;nf -!M^_ df </v>
      </c>
      <c r="C34" s="12" t="str">
        <f>'Estimate (3)'!H66</f>
        <v>m3</v>
      </c>
      <c r="D34" s="12">
        <f>'Estimate (3)'!G66</f>
        <v>7.1360986284669314</v>
      </c>
      <c r="E34" s="12">
        <f>'Estimate (3)'!I66</f>
        <v>14362.76</v>
      </c>
      <c r="F34" s="12">
        <f>D34*E34</f>
        <v>102494.07193699971</v>
      </c>
      <c r="G34" s="12">
        <f>V!G72</f>
        <v>7.2088592413899129</v>
      </c>
      <c r="H34" s="12">
        <f>V!I72</f>
        <v>14362.76</v>
      </c>
      <c r="I34" s="12">
        <f>G34*H34</f>
        <v>103539.11515786538</v>
      </c>
      <c r="J34" s="28">
        <f>I34-F34</f>
        <v>1045.0432208656712</v>
      </c>
      <c r="K34" s="14"/>
      <c r="M34" s="1">
        <f t="shared" si="0"/>
        <v>128117.58992124963</v>
      </c>
      <c r="N34" s="1" t="b">
        <f t="shared" si="1"/>
        <v>1</v>
      </c>
    </row>
    <row r="35" spans="1:15" s="1" customFormat="1" ht="15.75" x14ac:dyDescent="0.25">
      <c r="A35" s="27"/>
      <c r="B35" s="77" t="str">
        <f>'Estimate (3)'!B67</f>
        <v>VAT calculation</v>
      </c>
      <c r="C35" s="12"/>
      <c r="D35" s="12"/>
      <c r="E35" s="12"/>
      <c r="F35" s="12">
        <f>'Estimate (3)'!J67</f>
        <v>9566.1271772439868</v>
      </c>
      <c r="G35" s="12"/>
      <c r="H35" s="12"/>
      <c r="I35" s="12">
        <f>V!J73</f>
        <v>9663.6646851953028</v>
      </c>
      <c r="J35" s="28">
        <f>I35-F35</f>
        <v>97.537507951316002</v>
      </c>
      <c r="K35" s="14"/>
      <c r="M35" s="1">
        <f t="shared" si="0"/>
        <v>11957.658971554984</v>
      </c>
      <c r="N35" s="1" t="b">
        <f t="shared" si="1"/>
        <v>1</v>
      </c>
    </row>
    <row r="36" spans="1:15" s="1" customFormat="1" x14ac:dyDescent="0.25">
      <c r="A36" s="29"/>
      <c r="B36" s="29"/>
      <c r="C36" s="12"/>
      <c r="D36" s="12"/>
      <c r="E36" s="12"/>
      <c r="F36" s="12"/>
      <c r="G36" s="12"/>
      <c r="H36" s="12"/>
      <c r="I36" s="12"/>
      <c r="J36" s="28"/>
      <c r="K36" s="14"/>
    </row>
    <row r="37" spans="1:15" s="1" customFormat="1" ht="30" x14ac:dyDescent="0.2">
      <c r="A37" s="27">
        <f>'Estimate (3)'!A69</f>
        <v>10</v>
      </c>
      <c r="B37" s="71" t="str">
        <f>'Estimate (3)'!B69</f>
        <v>cf/=;L=;L= nflu kmnfd] 808L sf6\g], df]8\g] #) dL6/ ;Dd</v>
      </c>
      <c r="C37" s="12" t="str">
        <f>'Estimate (3)'!H72</f>
        <v>MT</v>
      </c>
      <c r="D37" s="12">
        <f>'Estimate (3)'!G72</f>
        <v>7.0710149344711967E-2</v>
      </c>
      <c r="E37" s="12">
        <f>'Estimate (3)'!I72</f>
        <v>131940</v>
      </c>
      <c r="F37" s="12">
        <f>D37*E37</f>
        <v>9329.4971045412967</v>
      </c>
      <c r="G37" s="12">
        <f>V!G78</f>
        <v>7.8599656583672295E-2</v>
      </c>
      <c r="H37" s="12">
        <f>V!I78</f>
        <v>131940</v>
      </c>
      <c r="I37" s="12">
        <f>G37*H37</f>
        <v>10370.438689649722</v>
      </c>
      <c r="J37" s="28">
        <f>I37-F37</f>
        <v>1040.941585108425</v>
      </c>
      <c r="K37" s="14"/>
      <c r="M37" s="1">
        <f t="shared" si="0"/>
        <v>11661.871380676621</v>
      </c>
      <c r="N37" s="1" t="b">
        <f t="shared" si="1"/>
        <v>1</v>
      </c>
    </row>
    <row r="38" spans="1:15" s="1" customFormat="1" ht="15.75" x14ac:dyDescent="0.25">
      <c r="A38" s="27"/>
      <c r="B38" s="77" t="str">
        <f>'Estimate (3)'!B73</f>
        <v>VAT calculation</v>
      </c>
      <c r="C38" s="12"/>
      <c r="D38" s="12"/>
      <c r="E38" s="12"/>
      <c r="F38" s="12">
        <f>'Estimate (3)'!J73</f>
        <v>976.22432185309356</v>
      </c>
      <c r="G38" s="12"/>
      <c r="H38" s="12"/>
      <c r="I38" s="12">
        <f>V!J79</f>
        <v>1085.1468587941799</v>
      </c>
      <c r="J38" s="28">
        <f>I38-F38</f>
        <v>108.92253694108638</v>
      </c>
      <c r="K38" s="14"/>
      <c r="M38" s="1">
        <f t="shared" si="0"/>
        <v>1220.2804023163669</v>
      </c>
      <c r="N38" s="1" t="b">
        <f t="shared" si="1"/>
        <v>1</v>
      </c>
    </row>
    <row r="39" spans="1:15" s="1" customFormat="1" x14ac:dyDescent="0.25">
      <c r="A39" s="29"/>
      <c r="B39" s="29"/>
      <c r="C39" s="12"/>
      <c r="D39" s="12"/>
      <c r="E39" s="12"/>
      <c r="F39" s="12"/>
      <c r="G39" s="12"/>
      <c r="H39" s="12"/>
      <c r="I39" s="12"/>
      <c r="J39" s="28"/>
      <c r="K39" s="14"/>
    </row>
    <row r="40" spans="1:15" s="76" customFormat="1" ht="15.75" x14ac:dyDescent="0.25">
      <c r="A40" s="72">
        <f>'Estimate (3)'!A75</f>
        <v>11</v>
      </c>
      <c r="B40" s="65" t="str">
        <f>'Estimate (3)'!B75</f>
        <v>!@=% dL=dL= l;d]G6 afn'jf -!M$_ Knfi6/</v>
      </c>
      <c r="C40" s="73" t="str">
        <f>'Estimate (3)'!H78</f>
        <v>sqm</v>
      </c>
      <c r="D40" s="73">
        <f>'Estimate (3)'!G78</f>
        <v>44.939817128924112</v>
      </c>
      <c r="E40" s="73">
        <f>'Estimate (3)'!I78</f>
        <v>405.86</v>
      </c>
      <c r="F40" s="73">
        <f>D40*E40</f>
        <v>18239.27417994514</v>
      </c>
      <c r="G40" s="73">
        <f>V!G85</f>
        <v>54.480000000000004</v>
      </c>
      <c r="H40" s="73">
        <f>V!I85</f>
        <v>405.86</v>
      </c>
      <c r="I40" s="73">
        <f>G40*H40</f>
        <v>22111.252800000002</v>
      </c>
      <c r="J40" s="74">
        <f>I40-F40</f>
        <v>3871.9786200548624</v>
      </c>
      <c r="K40" s="75"/>
      <c r="M40" s="1">
        <f t="shared" si="0"/>
        <v>22799.092724931426</v>
      </c>
      <c r="N40" s="1" t="b">
        <f t="shared" si="1"/>
        <v>1</v>
      </c>
    </row>
    <row r="41" spans="1:15" s="1" customFormat="1" ht="15.75" x14ac:dyDescent="0.25">
      <c r="A41" s="27"/>
      <c r="B41" s="77" t="str">
        <f>'Estimate (3)'!B79</f>
        <v>VAT calculation</v>
      </c>
      <c r="C41" s="12"/>
      <c r="D41" s="12"/>
      <c r="E41" s="12"/>
      <c r="F41" s="12">
        <f>'Estimate (3)'!J79</f>
        <v>652.34908183249024</v>
      </c>
      <c r="G41" s="12"/>
      <c r="H41" s="12"/>
      <c r="I41" s="12">
        <f>V!J86</f>
        <v>790.83494880000012</v>
      </c>
      <c r="J41" s="74">
        <f>I41-F41</f>
        <v>138.48586696750988</v>
      </c>
      <c r="K41" s="14"/>
      <c r="M41" s="1">
        <f t="shared" si="0"/>
        <v>815.43635229061283</v>
      </c>
      <c r="N41" s="1" t="b">
        <f t="shared" si="1"/>
        <v>1</v>
      </c>
    </row>
    <row r="42" spans="1:15" s="1" customFormat="1" x14ac:dyDescent="0.25">
      <c r="A42" s="29"/>
      <c r="B42" s="29"/>
      <c r="C42" s="12"/>
      <c r="D42" s="12"/>
      <c r="E42" s="12"/>
      <c r="F42" s="12"/>
      <c r="G42" s="12"/>
      <c r="H42" s="12"/>
      <c r="I42" s="12"/>
      <c r="J42" s="28"/>
      <c r="K42" s="14"/>
    </row>
    <row r="43" spans="1:15" s="1" customFormat="1" x14ac:dyDescent="0.25">
      <c r="A43" s="27">
        <f>'Estimate (3)'!A81</f>
        <v>12</v>
      </c>
      <c r="B43" s="31" t="str">
        <f>'Estimate (3)'!B81</f>
        <v>Information board (सुचना पाटि)</v>
      </c>
      <c r="C43" s="12" t="str">
        <f>'Estimate (3)'!H81</f>
        <v>no.</v>
      </c>
      <c r="D43" s="12">
        <f>'Estimate (3)'!G81</f>
        <v>1</v>
      </c>
      <c r="E43" s="12">
        <f>'Estimate (3)'!I81</f>
        <v>500</v>
      </c>
      <c r="F43" s="12">
        <f>D43*E43</f>
        <v>500</v>
      </c>
      <c r="G43" s="12">
        <f>V!C88</f>
        <v>1</v>
      </c>
      <c r="H43" s="12">
        <f>V!I88</f>
        <v>500</v>
      </c>
      <c r="I43" s="12">
        <f>G43*H43</f>
        <v>500</v>
      </c>
      <c r="J43" s="28">
        <f>I43-F43</f>
        <v>0</v>
      </c>
      <c r="K43" s="14"/>
      <c r="M43" s="1">
        <f t="shared" si="0"/>
        <v>625</v>
      </c>
      <c r="N43" s="1" t="b">
        <f t="shared" si="1"/>
        <v>1</v>
      </c>
    </row>
    <row r="44" spans="1:15" s="1" customFormat="1" x14ac:dyDescent="0.25">
      <c r="A44" s="29"/>
      <c r="B44" s="29"/>
      <c r="C44" s="12"/>
      <c r="D44" s="12"/>
      <c r="E44" s="12"/>
      <c r="F44" s="12"/>
      <c r="G44" s="12"/>
      <c r="H44" s="12"/>
      <c r="I44" s="12"/>
      <c r="J44" s="28"/>
      <c r="K44" s="14"/>
    </row>
    <row r="45" spans="1:15" x14ac:dyDescent="0.25">
      <c r="A45" s="5"/>
      <c r="B45" s="6" t="s">
        <v>16</v>
      </c>
      <c r="C45" s="6"/>
      <c r="D45" s="7"/>
      <c r="E45" s="7"/>
      <c r="F45" s="7">
        <f>SUM(F12:F43)</f>
        <v>563634.92807013518</v>
      </c>
      <c r="G45" s="7"/>
      <c r="H45" s="7"/>
      <c r="I45" s="7">
        <f>SUM(I12:I43)</f>
        <v>564688.31314685999</v>
      </c>
      <c r="J45" s="13">
        <f>I45-F45</f>
        <v>1053.3850767248077</v>
      </c>
      <c r="K45" s="5"/>
      <c r="N45" s="1"/>
    </row>
    <row r="48" spans="1:15" ht="45" x14ac:dyDescent="0.25">
      <c r="M48" s="78" t="s">
        <v>22</v>
      </c>
      <c r="N48" s="83" t="s">
        <v>85</v>
      </c>
      <c r="O48" s="78" t="s">
        <v>84</v>
      </c>
    </row>
    <row r="49" spans="3:16" x14ac:dyDescent="0.25">
      <c r="M49" s="78" t="s">
        <v>86</v>
      </c>
      <c r="N49" s="79">
        <f>(1225/360*G12)+(612.5/10*G19)+(3675/5*G22)+(3675/15*G25)+(8575/5*G28)+(980/100*G31)+(1837.5*G34)+(14700*G37)+(14700/100*G40)</f>
        <v>85610.002071868876</v>
      </c>
      <c r="O49" s="80"/>
    </row>
    <row r="50" spans="3:16" x14ac:dyDescent="0.25">
      <c r="M50" s="78" t="s">
        <v>87</v>
      </c>
      <c r="N50" s="79">
        <f>(2760/360*G12)+(G15*H15)+(G17*H17)+(920/10*G19)+(3680/5*G22)+(27600/15*G25)+(12880/5*G28)+(644/100*G31)+((2024+184)*G34)+(11040*G37)+(14720/100*G40)</f>
        <v>123290.83846851448</v>
      </c>
      <c r="O50" s="80"/>
    </row>
    <row r="51" spans="3:16" x14ac:dyDescent="0.25">
      <c r="M51" s="78" t="s">
        <v>83</v>
      </c>
      <c r="N51" s="81">
        <f>19284/360*G12</f>
        <v>1113.3296000000003</v>
      </c>
      <c r="O51" s="81">
        <f>N51*0.13</f>
        <v>144.73284800000005</v>
      </c>
    </row>
    <row r="52" spans="3:16" x14ac:dyDescent="0.25">
      <c r="M52" s="78" t="s">
        <v>88</v>
      </c>
      <c r="N52" s="82">
        <f>(6360.9/10*G19)+(8481.2*G34)</f>
        <v>65428.657792967024</v>
      </c>
      <c r="O52" s="81">
        <f t="shared" ref="O52:O53" si="2">N52*0.13</f>
        <v>8505.7255130857138</v>
      </c>
    </row>
    <row r="53" spans="3:16" x14ac:dyDescent="0.25">
      <c r="M53" s="78" t="s">
        <v>89</v>
      </c>
      <c r="N53" s="82">
        <f>(2256.3/10*G19)+(21432.6/15*G25)+(6604.416/5*G28)+(953.37*G34)+(4639.73/100*G40)</f>
        <v>60288.207767742817</v>
      </c>
      <c r="O53" s="81">
        <f t="shared" si="2"/>
        <v>7837.4670098065662</v>
      </c>
    </row>
    <row r="54" spans="3:16" x14ac:dyDescent="0.25">
      <c r="M54" s="78" t="s">
        <v>90</v>
      </c>
      <c r="N54" s="82">
        <f>(14817.6/5*G22)+(14808.78/5*G28)</f>
        <v>111398.97274758005</v>
      </c>
      <c r="O54" s="82">
        <f>0.13*N54</f>
        <v>14481.866457185406</v>
      </c>
    </row>
    <row r="55" spans="3:16" x14ac:dyDescent="0.25">
      <c r="M55" s="78" t="s">
        <v>91</v>
      </c>
      <c r="N55" s="82">
        <f>((25719.12+13573.98+4286.52)/15)*G25</f>
        <v>7569.9475237269162</v>
      </c>
      <c r="O55" s="82">
        <f>0.13*N55</f>
        <v>984.09317808449919</v>
      </c>
    </row>
    <row r="56" spans="3:16" x14ac:dyDescent="0.25">
      <c r="M56" s="78" t="s">
        <v>92</v>
      </c>
      <c r="N56" s="82">
        <f>(49275.03/15*G25)+(5368.95/5*G28)+(849.17*G34)+(6526.47/100*G40)</f>
        <v>55341.570949107503</v>
      </c>
      <c r="O56" s="82">
        <f>0.13*N56</f>
        <v>7194.4042233839755</v>
      </c>
    </row>
    <row r="57" spans="3:16" x14ac:dyDescent="0.25">
      <c r="M57" s="78" t="s">
        <v>93</v>
      </c>
      <c r="N57" s="82">
        <f>(620/15*G25)+(310/5*G28)+(28*G34)</f>
        <v>2451.9733521764579</v>
      </c>
      <c r="O57" s="82">
        <f>0.13*N57</f>
        <v>318.75653578293952</v>
      </c>
    </row>
    <row r="58" spans="3:16" x14ac:dyDescent="0.25">
      <c r="M58" s="78" t="s">
        <v>94</v>
      </c>
      <c r="N58" s="82">
        <f>(6135.3/15*G25)</f>
        <v>1065.7251954542457</v>
      </c>
      <c r="O58" s="82">
        <f>0.13*N58</f>
        <v>138.54427540905195</v>
      </c>
    </row>
    <row r="59" spans="3:16" x14ac:dyDescent="0.25">
      <c r="C59" s="82"/>
      <c r="D59" s="82"/>
      <c r="M59" s="78" t="s">
        <v>95</v>
      </c>
      <c r="N59">
        <f>(350/100*G31)</f>
        <v>203.44664973704965</v>
      </c>
      <c r="O59" s="82">
        <f t="shared" ref="O59:O62" si="3">0.13*N59</f>
        <v>26.448064465816454</v>
      </c>
    </row>
    <row r="60" spans="3:16" x14ac:dyDescent="0.25">
      <c r="C60" s="82"/>
      <c r="D60" s="82"/>
      <c r="M60" s="78" t="s">
        <v>96</v>
      </c>
      <c r="N60">
        <f>(108.4/100*G31)</f>
        <v>63.010333804274815</v>
      </c>
      <c r="O60" s="82">
        <f t="shared" si="3"/>
        <v>8.1913433945557266</v>
      </c>
    </row>
    <row r="61" spans="3:16" x14ac:dyDescent="0.25">
      <c r="C61" s="82"/>
      <c r="D61" s="82"/>
      <c r="M61" s="78" t="s">
        <v>97</v>
      </c>
      <c r="N61">
        <f>(105000*G37)</f>
        <v>8252.9639412855904</v>
      </c>
      <c r="O61" s="82">
        <f t="shared" si="3"/>
        <v>1072.8853123671267</v>
      </c>
    </row>
    <row r="62" spans="3:16" x14ac:dyDescent="0.25">
      <c r="C62" s="82"/>
      <c r="D62" s="82"/>
      <c r="M62" s="78" t="s">
        <v>98</v>
      </c>
      <c r="N62">
        <f>(1200*G37)</f>
        <v>94.319587900406759</v>
      </c>
      <c r="O62" s="82">
        <f t="shared" si="3"/>
        <v>12.261546427052879</v>
      </c>
    </row>
    <row r="63" spans="3:16" x14ac:dyDescent="0.25">
      <c r="C63" s="82"/>
      <c r="D63" s="82"/>
    </row>
    <row r="64" spans="3:16" x14ac:dyDescent="0.25">
      <c r="C64" s="82"/>
      <c r="D64" s="82"/>
      <c r="N64" s="82">
        <f>SUM(N49:N62)</f>
        <v>522172.96598186577</v>
      </c>
      <c r="O64" s="82">
        <f>SUM(O51:O62)</f>
        <v>40725.376307392711</v>
      </c>
      <c r="P64" s="82">
        <f>N64+O64-I45</f>
        <v>-1789.9708576014964</v>
      </c>
    </row>
    <row r="65" spans="3:16" x14ac:dyDescent="0.25">
      <c r="C65" s="82"/>
      <c r="D65" s="82"/>
    </row>
    <row r="66" spans="3:16" x14ac:dyDescent="0.25">
      <c r="C66" s="82"/>
      <c r="D66" s="82"/>
      <c r="N66" s="82">
        <f>N64-P64</f>
        <v>523962.93683946726</v>
      </c>
      <c r="O66" s="82">
        <f>O64</f>
        <v>40725.376307392711</v>
      </c>
      <c r="P66" s="82">
        <f>N66+O66-I45</f>
        <v>0</v>
      </c>
    </row>
    <row r="67" spans="3:16" x14ac:dyDescent="0.25">
      <c r="C67" s="82"/>
      <c r="D67" s="82"/>
    </row>
    <row r="68" spans="3:16" x14ac:dyDescent="0.25">
      <c r="C68" s="82"/>
      <c r="D68" s="82"/>
    </row>
    <row r="69" spans="3:16" x14ac:dyDescent="0.25">
      <c r="C69" s="82"/>
      <c r="D69" s="82"/>
    </row>
    <row r="70" spans="3:16" x14ac:dyDescent="0.25">
      <c r="C70" s="82"/>
      <c r="D70" s="82"/>
    </row>
    <row r="71" spans="3:16" x14ac:dyDescent="0.25">
      <c r="C71" s="82"/>
      <c r="D71" s="82"/>
    </row>
    <row r="72" spans="3:16" x14ac:dyDescent="0.25">
      <c r="C72" s="82"/>
      <c r="D72" s="82"/>
    </row>
    <row r="73" spans="3:16" x14ac:dyDescent="0.25">
      <c r="C73" s="82"/>
      <c r="D73" s="82"/>
    </row>
    <row r="74" spans="3:16" x14ac:dyDescent="0.25">
      <c r="C74" s="82"/>
      <c r="D74" s="82"/>
    </row>
    <row r="75" spans="3:16" x14ac:dyDescent="0.25">
      <c r="C75" s="82"/>
      <c r="D75" s="82"/>
    </row>
    <row r="76" spans="3:16" x14ac:dyDescent="0.25">
      <c r="C76" s="82"/>
      <c r="D76" s="82"/>
    </row>
    <row r="77" spans="3:16" x14ac:dyDescent="0.25">
      <c r="C77" s="82"/>
      <c r="D77" s="82"/>
    </row>
    <row r="78" spans="3:16" x14ac:dyDescent="0.25">
      <c r="C78" s="82"/>
      <c r="D78" s="82"/>
    </row>
    <row r="79" spans="3:16" x14ac:dyDescent="0.25">
      <c r="C79" s="82"/>
      <c r="D79" s="82"/>
    </row>
    <row r="80" spans="3:16" x14ac:dyDescent="0.25">
      <c r="C80" s="82"/>
      <c r="D80" s="82"/>
    </row>
    <row r="81" spans="3:4" x14ac:dyDescent="0.25">
      <c r="C81" s="82"/>
      <c r="D81" s="82"/>
    </row>
    <row r="82" spans="3:4" x14ac:dyDescent="0.25">
      <c r="C82" s="82"/>
      <c r="D82" s="82"/>
    </row>
    <row r="83" spans="3:4" x14ac:dyDescent="0.25">
      <c r="C83" s="82"/>
      <c r="D83" s="82"/>
    </row>
    <row r="84" spans="3:4" x14ac:dyDescent="0.25">
      <c r="C84" s="82"/>
      <c r="D84" s="82"/>
    </row>
    <row r="85" spans="3:4" x14ac:dyDescent="0.25">
      <c r="C85" s="82"/>
      <c r="D85" s="82"/>
    </row>
    <row r="86" spans="3:4" x14ac:dyDescent="0.25">
      <c r="C86" s="82"/>
      <c r="D86" s="82"/>
    </row>
    <row r="87" spans="3:4" x14ac:dyDescent="0.25">
      <c r="C87" s="82"/>
      <c r="D87" s="82"/>
    </row>
    <row r="88" spans="3:4" x14ac:dyDescent="0.25">
      <c r="C88" s="82"/>
      <c r="D88" s="82"/>
    </row>
    <row r="89" spans="3:4" x14ac:dyDescent="0.25">
      <c r="C89" s="82"/>
      <c r="D89" s="82"/>
    </row>
    <row r="90" spans="3:4" x14ac:dyDescent="0.25">
      <c r="C90" s="82"/>
      <c r="D90" s="82"/>
    </row>
    <row r="91" spans="3:4" x14ac:dyDescent="0.25">
      <c r="C91" s="82"/>
      <c r="D91" s="82"/>
    </row>
    <row r="92" spans="3:4" x14ac:dyDescent="0.25">
      <c r="C92" s="82"/>
      <c r="D92" s="82"/>
    </row>
    <row r="93" spans="3:4" x14ac:dyDescent="0.25">
      <c r="C93" s="82"/>
      <c r="D93" s="82"/>
    </row>
  </sheetData>
  <mergeCells count="20">
    <mergeCell ref="C6:D6"/>
    <mergeCell ref="J6:K6"/>
    <mergeCell ref="A1:K1"/>
    <mergeCell ref="A2:K2"/>
    <mergeCell ref="A3:K3"/>
    <mergeCell ref="A4:K4"/>
    <mergeCell ref="A5:K5"/>
    <mergeCell ref="J10:J11"/>
    <mergeCell ref="K10:K11"/>
    <mergeCell ref="A8:F8"/>
    <mergeCell ref="F7:G7"/>
    <mergeCell ref="I7:K7"/>
    <mergeCell ref="I8:K8"/>
    <mergeCell ref="A9:F9"/>
    <mergeCell ref="I9:K9"/>
    <mergeCell ref="A10:A11"/>
    <mergeCell ref="B10:B11"/>
    <mergeCell ref="C10:C11"/>
    <mergeCell ref="D10:F10"/>
    <mergeCell ref="G10:I10"/>
  </mergeCells>
  <printOptions horizontalCentered="1"/>
  <pageMargins left="0.7" right="0.7" top="0.75" bottom="0.75" header="0.3" footer="0.3"/>
  <pageSetup scale="80"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54"/>
  <sheetViews>
    <sheetView view="pageBreakPreview" zoomScale="60" zoomScaleNormal="100" workbookViewId="0">
      <selection activeCell="J81" sqref="J81"/>
    </sheetView>
  </sheetViews>
  <sheetFormatPr defaultRowHeight="15" x14ac:dyDescent="0.25"/>
  <cols>
    <col min="1" max="1" width="4.7109375" customWidth="1"/>
    <col min="2" max="2" width="31.28515625" customWidth="1"/>
    <col min="3" max="3" width="5.5703125" bestFit="1" customWidth="1"/>
    <col min="4" max="4" width="7.5703125" customWidth="1"/>
    <col min="5" max="5" width="8.5703125" customWidth="1"/>
    <col min="6" max="6" width="8" customWidth="1"/>
    <col min="7" max="7" width="8.5703125" customWidth="1"/>
    <col min="8" max="8" width="5" bestFit="1" customWidth="1"/>
    <col min="9" max="9" width="10.7109375" customWidth="1"/>
    <col min="10" max="10" width="10.7109375" bestFit="1" customWidth="1"/>
  </cols>
  <sheetData>
    <row r="1" spans="1:14" s="1" customFormat="1" x14ac:dyDescent="0.25">
      <c r="A1" s="93" t="s">
        <v>0</v>
      </c>
      <c r="B1" s="93"/>
      <c r="C1" s="93"/>
      <c r="D1" s="93"/>
      <c r="E1" s="93"/>
      <c r="F1" s="93"/>
      <c r="G1" s="93"/>
      <c r="H1" s="93"/>
      <c r="I1" s="93"/>
      <c r="J1" s="93"/>
      <c r="K1" s="93"/>
    </row>
    <row r="2" spans="1:14" s="1" customFormat="1" ht="22.5" x14ac:dyDescent="0.25">
      <c r="A2" s="94" t="s">
        <v>1</v>
      </c>
      <c r="B2" s="94"/>
      <c r="C2" s="94"/>
      <c r="D2" s="94"/>
      <c r="E2" s="94"/>
      <c r="F2" s="94"/>
      <c r="G2" s="94"/>
      <c r="H2" s="94"/>
      <c r="I2" s="94"/>
      <c r="J2" s="94"/>
      <c r="K2" s="94"/>
    </row>
    <row r="3" spans="1:14" s="1" customFormat="1" x14ac:dyDescent="0.25">
      <c r="A3" s="95" t="s">
        <v>2</v>
      </c>
      <c r="B3" s="95"/>
      <c r="C3" s="95"/>
      <c r="D3" s="95"/>
      <c r="E3" s="95"/>
      <c r="F3" s="95"/>
      <c r="G3" s="95"/>
      <c r="H3" s="95"/>
      <c r="I3" s="95"/>
      <c r="J3" s="95"/>
      <c r="K3" s="95"/>
    </row>
    <row r="4" spans="1:14" s="1" customFormat="1" x14ac:dyDescent="0.25">
      <c r="A4" s="95" t="s">
        <v>3</v>
      </c>
      <c r="B4" s="95"/>
      <c r="C4" s="95"/>
      <c r="D4" s="95"/>
      <c r="E4" s="95"/>
      <c r="F4" s="95"/>
      <c r="G4" s="95"/>
      <c r="H4" s="95"/>
      <c r="I4" s="95"/>
      <c r="J4" s="95"/>
      <c r="K4" s="95"/>
    </row>
    <row r="5" spans="1:14" ht="18.75" x14ac:dyDescent="0.3">
      <c r="A5" s="96" t="s">
        <v>81</v>
      </c>
      <c r="B5" s="96"/>
      <c r="C5" s="96"/>
      <c r="D5" s="96"/>
      <c r="E5" s="96"/>
      <c r="F5" s="96"/>
      <c r="G5" s="96"/>
      <c r="H5" s="96"/>
      <c r="I5" s="96"/>
      <c r="J5" s="96"/>
      <c r="K5" s="96"/>
    </row>
    <row r="6" spans="1:14" ht="15.75" x14ac:dyDescent="0.25">
      <c r="A6" s="91" t="s">
        <v>53</v>
      </c>
      <c r="B6" s="91"/>
      <c r="C6" s="91"/>
      <c r="D6" s="91"/>
      <c r="E6" s="91"/>
      <c r="F6" s="91"/>
      <c r="G6" s="2"/>
      <c r="H6" s="92" t="s">
        <v>43</v>
      </c>
      <c r="I6" s="92"/>
      <c r="J6" s="92"/>
      <c r="K6" s="92"/>
    </row>
    <row r="7" spans="1:14" ht="15.75" x14ac:dyDescent="0.25">
      <c r="A7" s="87" t="s">
        <v>28</v>
      </c>
      <c r="B7" s="87"/>
      <c r="C7" s="87"/>
      <c r="D7" s="87"/>
      <c r="E7" s="87"/>
      <c r="F7" s="87"/>
      <c r="G7" s="3"/>
      <c r="H7" s="88" t="s">
        <v>80</v>
      </c>
      <c r="I7" s="88"/>
      <c r="J7" s="88"/>
      <c r="K7" s="88"/>
    </row>
    <row r="8" spans="1:14" ht="15" customHeight="1" x14ac:dyDescent="0.25">
      <c r="A8" s="4" t="s">
        <v>5</v>
      </c>
      <c r="B8" s="15" t="s">
        <v>6</v>
      </c>
      <c r="C8" s="4" t="s">
        <v>7</v>
      </c>
      <c r="D8" s="16" t="s">
        <v>8</v>
      </c>
      <c r="E8" s="16" t="s">
        <v>9</v>
      </c>
      <c r="F8" s="16" t="s">
        <v>10</v>
      </c>
      <c r="G8" s="16" t="s">
        <v>11</v>
      </c>
      <c r="H8" s="4" t="s">
        <v>12</v>
      </c>
      <c r="I8" s="16" t="s">
        <v>13</v>
      </c>
      <c r="J8" s="16" t="s">
        <v>14</v>
      </c>
      <c r="K8" s="17" t="s">
        <v>15</v>
      </c>
    </row>
    <row r="9" spans="1:14" ht="150" x14ac:dyDescent="0.25">
      <c r="A9" s="29">
        <v>1</v>
      </c>
      <c r="B9" s="30" t="s">
        <v>50</v>
      </c>
      <c r="C9" s="36"/>
      <c r="D9" s="36"/>
      <c r="E9" s="36"/>
      <c r="F9" s="36"/>
      <c r="G9" s="36"/>
      <c r="H9" s="36"/>
      <c r="I9" s="36"/>
      <c r="J9" s="36"/>
      <c r="K9" s="36"/>
    </row>
    <row r="10" spans="1:14" ht="15" customHeight="1" x14ac:dyDescent="0.25">
      <c r="A10" s="18"/>
      <c r="B10" s="37" t="str">
        <f>B30</f>
        <v>-For stone masonary</v>
      </c>
      <c r="C10" s="36">
        <v>0.5</v>
      </c>
      <c r="D10" s="38">
        <f>D52+D53+D54</f>
        <v>12.99</v>
      </c>
      <c r="E10" s="38">
        <v>1.6</v>
      </c>
      <c r="F10" s="38">
        <v>2</v>
      </c>
      <c r="G10" s="39">
        <f>PRODUCT(C10:F10)</f>
        <v>20.784000000000002</v>
      </c>
      <c r="H10" s="40"/>
      <c r="I10" s="40"/>
      <c r="J10" s="40"/>
      <c r="K10" s="21"/>
      <c r="M10" s="25"/>
      <c r="N10" s="25"/>
    </row>
    <row r="11" spans="1:14" ht="15" customHeight="1" x14ac:dyDescent="0.25">
      <c r="A11" s="18"/>
      <c r="B11" s="37" t="s">
        <v>40</v>
      </c>
      <c r="C11" s="19"/>
      <c r="D11" s="20"/>
      <c r="E11" s="21"/>
      <c r="F11" s="21"/>
      <c r="G11" s="23">
        <f>SUM(G10:G10)</f>
        <v>20.784000000000002</v>
      </c>
      <c r="H11" s="22" t="s">
        <v>39</v>
      </c>
      <c r="I11" s="23">
        <v>64.63</v>
      </c>
      <c r="J11" s="41">
        <f>G11*I11</f>
        <v>1343.26992</v>
      </c>
      <c r="K11" s="21"/>
      <c r="M11" s="25"/>
      <c r="N11" s="25"/>
    </row>
    <row r="12" spans="1:14" ht="15" customHeight="1" x14ac:dyDescent="0.25">
      <c r="A12" s="18"/>
      <c r="B12" s="37" t="s">
        <v>38</v>
      </c>
      <c r="C12" s="19"/>
      <c r="D12" s="20"/>
      <c r="E12" s="21"/>
      <c r="F12" s="21"/>
      <c r="G12" s="23"/>
      <c r="H12" s="22"/>
      <c r="I12" s="23"/>
      <c r="J12" s="41">
        <f>0.13*G11*19284/360</f>
        <v>144.73284800000002</v>
      </c>
      <c r="K12" s="21"/>
      <c r="M12" s="25"/>
      <c r="N12" s="25"/>
    </row>
    <row r="13" spans="1:14" ht="15" customHeight="1" x14ac:dyDescent="0.25">
      <c r="A13" s="18"/>
      <c r="B13" s="37"/>
      <c r="C13" s="19"/>
      <c r="D13" s="20"/>
      <c r="E13" s="21"/>
      <c r="F13" s="21"/>
      <c r="G13" s="23"/>
      <c r="H13" s="22"/>
      <c r="I13" s="23"/>
      <c r="J13" s="41"/>
      <c r="K13" s="21"/>
      <c r="M13" s="25"/>
      <c r="N13" s="25"/>
    </row>
    <row r="14" spans="1:14" ht="30.75" x14ac:dyDescent="0.25">
      <c r="A14" s="18">
        <v>2</v>
      </c>
      <c r="B14" s="65" t="s">
        <v>61</v>
      </c>
      <c r="C14" s="19"/>
      <c r="D14" s="20"/>
      <c r="E14" s="21"/>
      <c r="F14" s="21"/>
      <c r="G14" s="23"/>
      <c r="H14" s="22"/>
      <c r="I14" s="23"/>
      <c r="J14" s="41"/>
      <c r="K14" s="21"/>
      <c r="M14" s="25"/>
      <c r="N14" s="25"/>
    </row>
    <row r="15" spans="1:14" ht="15" customHeight="1" x14ac:dyDescent="0.25">
      <c r="A15" s="18"/>
      <c r="B15" s="37" t="s">
        <v>62</v>
      </c>
      <c r="C15" s="19">
        <v>1</v>
      </c>
      <c r="D15" s="20">
        <f>D67</f>
        <v>20.95</v>
      </c>
      <c r="E15" s="21">
        <v>0.35</v>
      </c>
      <c r="F15" s="21">
        <v>0.23</v>
      </c>
      <c r="G15" s="39">
        <f>PRODUCT(C15:F15)</f>
        <v>1.6864749999999999</v>
      </c>
      <c r="H15" s="22"/>
      <c r="I15" s="23"/>
      <c r="J15" s="41"/>
      <c r="K15" s="21"/>
    </row>
    <row r="16" spans="1:14" ht="15" customHeight="1" x14ac:dyDescent="0.25">
      <c r="A16" s="18"/>
      <c r="B16" s="37" t="s">
        <v>40</v>
      </c>
      <c r="C16" s="19"/>
      <c r="D16" s="20"/>
      <c r="E16" s="21"/>
      <c r="F16" s="21"/>
      <c r="G16" s="23">
        <f>SUM(G15:G15)</f>
        <v>1.6864749999999999</v>
      </c>
      <c r="H16" s="22" t="s">
        <v>39</v>
      </c>
      <c r="I16" s="23">
        <v>663.31</v>
      </c>
      <c r="J16" s="41">
        <f>G16*I16</f>
        <v>1118.6557322499998</v>
      </c>
      <c r="K16" s="21"/>
    </row>
    <row r="17" spans="1:16" ht="15" customHeight="1" x14ac:dyDescent="0.25">
      <c r="A17" s="18"/>
      <c r="B17" s="37"/>
      <c r="C17" s="19"/>
      <c r="D17" s="20"/>
      <c r="E17" s="21"/>
      <c r="F17" s="21"/>
      <c r="G17" s="23"/>
      <c r="H17" s="22"/>
      <c r="I17" s="23"/>
      <c r="J17" s="41"/>
      <c r="K17" s="21"/>
    </row>
    <row r="18" spans="1:16" ht="45.75" x14ac:dyDescent="0.25">
      <c r="A18" s="18">
        <v>3</v>
      </c>
      <c r="B18" s="65" t="s">
        <v>63</v>
      </c>
      <c r="C18" s="19"/>
      <c r="D18" s="20"/>
      <c r="E18" s="21"/>
      <c r="F18" s="21"/>
      <c r="G18" s="23"/>
      <c r="H18" s="22"/>
      <c r="I18" s="23"/>
      <c r="J18" s="41"/>
      <c r="K18" s="21"/>
    </row>
    <row r="19" spans="1:16" ht="15" customHeight="1" x14ac:dyDescent="0.25">
      <c r="A19" s="18"/>
      <c r="B19" s="37" t="s">
        <v>64</v>
      </c>
      <c r="C19" s="19">
        <v>1</v>
      </c>
      <c r="D19" s="20">
        <f>25.5/3.281</f>
        <v>7.7720207253886011</v>
      </c>
      <c r="E19" s="21">
        <f>0.5+0.3</f>
        <v>0.8</v>
      </c>
      <c r="F19" s="21"/>
      <c r="G19" s="39">
        <f>PRODUCT(C19:F19)</f>
        <v>6.2176165803108816</v>
      </c>
      <c r="H19" s="22"/>
      <c r="I19" s="23"/>
      <c r="J19" s="41"/>
      <c r="K19" s="21"/>
    </row>
    <row r="20" spans="1:16" ht="15" customHeight="1" x14ac:dyDescent="0.25">
      <c r="A20" s="18"/>
      <c r="B20" s="37"/>
      <c r="C20" s="19">
        <v>1</v>
      </c>
      <c r="D20" s="20">
        <f>12.833/3.281</f>
        <v>3.9113075281926242</v>
      </c>
      <c r="E20" s="21">
        <v>0.3</v>
      </c>
      <c r="F20" s="21"/>
      <c r="G20" s="39">
        <f>PRODUCT(C20:F20)</f>
        <v>1.1733922584577872</v>
      </c>
      <c r="H20" s="22"/>
      <c r="I20" s="23"/>
      <c r="J20" s="41"/>
      <c r="K20" s="21"/>
    </row>
    <row r="21" spans="1:16" ht="15" customHeight="1" x14ac:dyDescent="0.25">
      <c r="A21" s="18"/>
      <c r="B21" s="37" t="s">
        <v>40</v>
      </c>
      <c r="C21" s="19"/>
      <c r="D21" s="20"/>
      <c r="E21" s="21"/>
      <c r="F21" s="21"/>
      <c r="G21" s="23">
        <f>SUM(G19:G20)</f>
        <v>7.391008838768669</v>
      </c>
      <c r="H21" s="22" t="s">
        <v>55</v>
      </c>
      <c r="I21" s="23">
        <v>21.16</v>
      </c>
      <c r="J21" s="41">
        <f>G21*I21</f>
        <v>156.39374702834505</v>
      </c>
      <c r="K21" s="21"/>
    </row>
    <row r="22" spans="1:16" ht="15" customHeight="1" x14ac:dyDescent="0.25">
      <c r="A22" s="18"/>
      <c r="B22" s="37"/>
      <c r="C22" s="19"/>
      <c r="D22" s="20"/>
      <c r="E22" s="21"/>
      <c r="F22" s="21"/>
      <c r="G22" s="23"/>
      <c r="H22" s="22"/>
      <c r="I22" s="23"/>
      <c r="J22" s="41"/>
      <c r="K22" s="21"/>
    </row>
    <row r="23" spans="1:16" x14ac:dyDescent="0.25">
      <c r="A23" s="18">
        <v>4</v>
      </c>
      <c r="B23" s="66" t="s">
        <v>59</v>
      </c>
      <c r="C23" s="19"/>
      <c r="D23" s="20"/>
      <c r="E23" s="21"/>
      <c r="F23" s="21"/>
      <c r="G23" s="23"/>
      <c r="H23" s="22"/>
      <c r="I23" s="23"/>
      <c r="J23" s="41"/>
      <c r="K23" s="21"/>
    </row>
    <row r="24" spans="1:16" ht="15" customHeight="1" x14ac:dyDescent="0.25">
      <c r="A24" s="18"/>
      <c r="B24" s="37" t="str">
        <f>B15</f>
        <v>-for footing of wall at truss structure</v>
      </c>
      <c r="C24" s="19">
        <v>1</v>
      </c>
      <c r="D24" s="20">
        <f>D67+D69</f>
        <v>22.11</v>
      </c>
      <c r="E24" s="21">
        <v>0.23</v>
      </c>
      <c r="F24" s="21"/>
      <c r="G24" s="39">
        <f>PRODUCT(C24:F24)</f>
        <v>5.0853000000000002</v>
      </c>
      <c r="H24" s="22"/>
      <c r="I24" s="23"/>
      <c r="J24" s="41"/>
      <c r="K24" s="21"/>
    </row>
    <row r="25" spans="1:16" ht="15" customHeight="1" x14ac:dyDescent="0.25">
      <c r="A25" s="18"/>
      <c r="B25" s="37" t="s">
        <v>78</v>
      </c>
      <c r="C25" s="19">
        <v>1</v>
      </c>
      <c r="D25" s="20">
        <f>7.25/3.281</f>
        <v>2.2096921670222494</v>
      </c>
      <c r="E25" s="21">
        <v>0.75</v>
      </c>
      <c r="F25" s="21"/>
      <c r="G25" s="39">
        <f>PRODUCT(C25:F25)</f>
        <v>1.6572691252666871</v>
      </c>
      <c r="H25" s="22"/>
      <c r="I25" s="23"/>
      <c r="J25" s="41"/>
      <c r="K25" s="21"/>
    </row>
    <row r="26" spans="1:16" ht="15" customHeight="1" x14ac:dyDescent="0.25">
      <c r="A26" s="18"/>
      <c r="B26" s="37" t="s">
        <v>40</v>
      </c>
      <c r="C26" s="19"/>
      <c r="D26" s="20"/>
      <c r="E26" s="21"/>
      <c r="F26" s="21"/>
      <c r="G26" s="23">
        <f>SUM(G24:G25)</f>
        <v>6.7425691252666873</v>
      </c>
      <c r="H26" s="22" t="s">
        <v>55</v>
      </c>
      <c r="I26" s="23">
        <v>1014.97</v>
      </c>
      <c r="J26" s="41">
        <f>G26*I26</f>
        <v>6843.5053850719296</v>
      </c>
      <c r="K26" s="21"/>
    </row>
    <row r="27" spans="1:16" ht="15" customHeight="1" x14ac:dyDescent="0.25">
      <c r="A27" s="18"/>
      <c r="B27" s="37" t="s">
        <v>38</v>
      </c>
      <c r="C27" s="19"/>
      <c r="D27" s="20"/>
      <c r="E27" s="21"/>
      <c r="F27" s="21"/>
      <c r="G27" s="23"/>
      <c r="H27" s="22"/>
      <c r="I27" s="23"/>
      <c r="J27" s="41">
        <f>0.13*G26*8617.2/10</f>
        <v>755.32686666122538</v>
      </c>
      <c r="K27" s="21"/>
    </row>
    <row r="28" spans="1:16" ht="15" customHeight="1" x14ac:dyDescent="0.25">
      <c r="A28" s="18"/>
      <c r="B28" s="37"/>
      <c r="C28" s="19"/>
      <c r="D28" s="20"/>
      <c r="E28" s="21"/>
      <c r="F28" s="21"/>
      <c r="G28" s="23"/>
      <c r="H28" s="22"/>
      <c r="I28" s="23"/>
      <c r="J28" s="41"/>
      <c r="K28" s="21"/>
    </row>
    <row r="29" spans="1:16" ht="90" x14ac:dyDescent="0.25">
      <c r="A29" s="18">
        <v>5</v>
      </c>
      <c r="B29" s="30" t="s">
        <v>42</v>
      </c>
      <c r="C29" s="19"/>
      <c r="D29" s="20"/>
      <c r="E29" s="21"/>
      <c r="F29" s="21"/>
      <c r="G29" s="23"/>
      <c r="H29" s="22"/>
      <c r="I29" s="23"/>
      <c r="J29" s="41"/>
      <c r="K29" s="21"/>
      <c r="M29" s="90"/>
      <c r="N29" s="90"/>
      <c r="O29" s="90"/>
      <c r="P29" s="90"/>
    </row>
    <row r="30" spans="1:16" ht="15" customHeight="1" x14ac:dyDescent="0.25">
      <c r="A30" s="18"/>
      <c r="B30" s="37" t="str">
        <f>B37</f>
        <v>-For stone masonary</v>
      </c>
      <c r="C30" s="36">
        <v>1</v>
      </c>
      <c r="D30" s="38">
        <f>D37</f>
        <v>4.53</v>
      </c>
      <c r="E30" s="38">
        <v>1.6</v>
      </c>
      <c r="F30" s="38">
        <v>0.15</v>
      </c>
      <c r="G30" s="39">
        <f>PRODUCT(C30:F30)</f>
        <v>1.0872000000000002</v>
      </c>
      <c r="H30" s="40"/>
      <c r="I30" s="40"/>
      <c r="J30" s="40"/>
      <c r="K30" s="21"/>
      <c r="M30" s="25"/>
      <c r="N30" s="25"/>
    </row>
    <row r="31" spans="1:16" ht="15" customHeight="1" x14ac:dyDescent="0.25">
      <c r="A31" s="18"/>
      <c r="B31" s="37"/>
      <c r="C31" s="36">
        <v>1</v>
      </c>
      <c r="D31" s="38">
        <f>D39</f>
        <v>4.3099999999999996</v>
      </c>
      <c r="E31" s="38">
        <v>1.6</v>
      </c>
      <c r="F31" s="38">
        <v>0.15</v>
      </c>
      <c r="G31" s="39">
        <f t="shared" ref="G31:G32" si="0">PRODUCT(C31:F31)</f>
        <v>1.0344</v>
      </c>
      <c r="H31" s="40"/>
      <c r="I31" s="40"/>
      <c r="J31" s="40"/>
      <c r="K31" s="21"/>
      <c r="M31" s="25"/>
      <c r="N31" s="25"/>
    </row>
    <row r="32" spans="1:16" ht="15" customHeight="1" x14ac:dyDescent="0.25">
      <c r="A32" s="18"/>
      <c r="B32" s="37"/>
      <c r="C32" s="36">
        <v>1</v>
      </c>
      <c r="D32" s="38">
        <f>D41</f>
        <v>4.1500000000000004</v>
      </c>
      <c r="E32" s="38">
        <v>1.5</v>
      </c>
      <c r="F32" s="38">
        <v>0.15</v>
      </c>
      <c r="G32" s="39">
        <f t="shared" si="0"/>
        <v>0.93375000000000008</v>
      </c>
      <c r="H32" s="40"/>
      <c r="I32" s="40"/>
      <c r="J32" s="40"/>
      <c r="K32" s="21"/>
      <c r="M32" s="25"/>
      <c r="N32" s="25"/>
    </row>
    <row r="33" spans="1:14" ht="15" customHeight="1" x14ac:dyDescent="0.25">
      <c r="A33" s="40"/>
      <c r="B33" s="37" t="s">
        <v>40</v>
      </c>
      <c r="C33" s="42"/>
      <c r="D33" s="43"/>
      <c r="E33" s="43"/>
      <c r="F33" s="43"/>
      <c r="G33" s="33">
        <f>SUM(G30:G32)</f>
        <v>3.0553499999999998</v>
      </c>
      <c r="H33" s="33" t="s">
        <v>39</v>
      </c>
      <c r="I33" s="33">
        <v>4434.5200000000004</v>
      </c>
      <c r="J33" s="44">
        <f>G33*I33</f>
        <v>13549.010682</v>
      </c>
      <c r="K33" s="36"/>
    </row>
    <row r="34" spans="1:14" x14ac:dyDescent="0.25">
      <c r="A34" s="40"/>
      <c r="B34" s="37" t="s">
        <v>38</v>
      </c>
      <c r="C34" s="42"/>
      <c r="D34" s="43"/>
      <c r="E34" s="43"/>
      <c r="F34" s="43"/>
      <c r="G34" s="43"/>
      <c r="H34" s="43"/>
      <c r="I34" s="43"/>
      <c r="J34" s="45">
        <f>0.13*G33*(14817.6/5)</f>
        <v>1177.0968081599999</v>
      </c>
      <c r="K34" s="36"/>
    </row>
    <row r="35" spans="1:14" x14ac:dyDescent="0.25">
      <c r="A35" s="40"/>
      <c r="B35" s="37"/>
      <c r="C35" s="42"/>
      <c r="D35" s="43"/>
      <c r="E35" s="43"/>
      <c r="F35" s="43"/>
      <c r="G35" s="43"/>
      <c r="H35" s="43"/>
      <c r="I35" s="43"/>
      <c r="J35" s="45"/>
      <c r="K35" s="36"/>
    </row>
    <row r="36" spans="1:14" ht="75" x14ac:dyDescent="0.25">
      <c r="A36" s="18">
        <v>6</v>
      </c>
      <c r="B36" s="30" t="s">
        <v>41</v>
      </c>
      <c r="C36" s="19"/>
      <c r="D36" s="20"/>
      <c r="E36" s="21"/>
      <c r="F36" s="21"/>
      <c r="G36" s="23"/>
      <c r="H36" s="22"/>
      <c r="I36" s="23"/>
      <c r="J36" s="41"/>
      <c r="K36" s="21"/>
      <c r="M36" s="25"/>
      <c r="N36" s="25"/>
    </row>
    <row r="37" spans="1:14" ht="15" customHeight="1" x14ac:dyDescent="0.25">
      <c r="A37" s="18"/>
      <c r="B37" s="37" t="s">
        <v>60</v>
      </c>
      <c r="C37" s="36">
        <v>1</v>
      </c>
      <c r="D37" s="38">
        <f>D52</f>
        <v>4.53</v>
      </c>
      <c r="E37" s="38">
        <v>1.6</v>
      </c>
      <c r="F37" s="38">
        <v>0.05</v>
      </c>
      <c r="G37" s="39">
        <f t="shared" ref="G37:G42" si="1">PRODUCT(C37:F37)</f>
        <v>0.36240000000000006</v>
      </c>
      <c r="H37" s="40"/>
      <c r="I37" s="40"/>
      <c r="J37" s="40"/>
      <c r="K37" s="21"/>
      <c r="M37" s="25"/>
      <c r="N37" s="25"/>
    </row>
    <row r="38" spans="1:14" ht="15" customHeight="1" x14ac:dyDescent="0.25">
      <c r="A38" s="18"/>
      <c r="B38" s="37"/>
      <c r="C38" s="36">
        <v>1</v>
      </c>
      <c r="D38" s="38">
        <f>D37</f>
        <v>4.53</v>
      </c>
      <c r="E38" s="38">
        <v>0.53</v>
      </c>
      <c r="F38" s="38">
        <v>0.05</v>
      </c>
      <c r="G38" s="39">
        <f t="shared" si="1"/>
        <v>0.12004500000000001</v>
      </c>
      <c r="H38" s="40"/>
      <c r="I38" s="40"/>
      <c r="J38" s="40"/>
      <c r="K38" s="21"/>
      <c r="M38" s="25"/>
      <c r="N38" s="25"/>
    </row>
    <row r="39" spans="1:14" ht="15" customHeight="1" x14ac:dyDescent="0.25">
      <c r="A39" s="18"/>
      <c r="B39" s="37" t="s">
        <v>60</v>
      </c>
      <c r="C39" s="36">
        <v>1</v>
      </c>
      <c r="D39" s="38">
        <f>D53</f>
        <v>4.3099999999999996</v>
      </c>
      <c r="E39" s="38">
        <v>1.6</v>
      </c>
      <c r="F39" s="38">
        <v>0.05</v>
      </c>
      <c r="G39" s="39">
        <f t="shared" si="1"/>
        <v>0.3448</v>
      </c>
      <c r="H39" s="40"/>
      <c r="I39" s="40"/>
      <c r="J39" s="40"/>
      <c r="K39" s="21"/>
      <c r="M39" s="25"/>
      <c r="N39" s="25"/>
    </row>
    <row r="40" spans="1:14" ht="15" customHeight="1" x14ac:dyDescent="0.25">
      <c r="A40" s="18"/>
      <c r="B40" s="37"/>
      <c r="C40" s="36">
        <v>1</v>
      </c>
      <c r="D40" s="38">
        <f>D39</f>
        <v>4.3099999999999996</v>
      </c>
      <c r="E40" s="38">
        <v>0.53</v>
      </c>
      <c r="F40" s="38">
        <v>0.05</v>
      </c>
      <c r="G40" s="39">
        <f t="shared" si="1"/>
        <v>0.11421500000000001</v>
      </c>
      <c r="H40" s="40"/>
      <c r="I40" s="40"/>
      <c r="J40" s="40"/>
      <c r="K40" s="21"/>
      <c r="M40" s="25"/>
      <c r="N40" s="25"/>
    </row>
    <row r="41" spans="1:14" ht="15" customHeight="1" x14ac:dyDescent="0.25">
      <c r="A41" s="18"/>
      <c r="B41" s="37" t="s">
        <v>60</v>
      </c>
      <c r="C41" s="36">
        <v>1</v>
      </c>
      <c r="D41" s="38">
        <f>D54</f>
        <v>4.1500000000000004</v>
      </c>
      <c r="E41" s="38">
        <v>1.5</v>
      </c>
      <c r="F41" s="38">
        <v>0.05</v>
      </c>
      <c r="G41" s="39">
        <f t="shared" si="1"/>
        <v>0.31125000000000003</v>
      </c>
      <c r="H41" s="40"/>
      <c r="I41" s="40"/>
      <c r="J41" s="40"/>
      <c r="K41" s="21"/>
      <c r="M41" s="25"/>
      <c r="N41" s="25"/>
    </row>
    <row r="42" spans="1:14" ht="15" customHeight="1" x14ac:dyDescent="0.25">
      <c r="A42" s="18"/>
      <c r="B42" s="37"/>
      <c r="C42" s="36">
        <v>1</v>
      </c>
      <c r="D42" s="38">
        <f>D41</f>
        <v>4.1500000000000004</v>
      </c>
      <c r="E42" s="38">
        <v>0.6</v>
      </c>
      <c r="F42" s="38">
        <v>0.05</v>
      </c>
      <c r="G42" s="39">
        <f t="shared" si="1"/>
        <v>0.12450000000000001</v>
      </c>
      <c r="H42" s="40"/>
      <c r="I42" s="40"/>
      <c r="J42" s="40"/>
      <c r="K42" s="21"/>
      <c r="M42" s="25"/>
      <c r="N42" s="25"/>
    </row>
    <row r="43" spans="1:14" ht="15" customHeight="1" x14ac:dyDescent="0.25">
      <c r="A43" s="18"/>
      <c r="B43" s="37" t="s">
        <v>71</v>
      </c>
      <c r="C43" s="47">
        <v>1</v>
      </c>
      <c r="D43" s="38">
        <f>D67</f>
        <v>20.95</v>
      </c>
      <c r="E43" s="38">
        <v>0.23</v>
      </c>
      <c r="F43" s="38">
        <f>0.05</f>
        <v>0.05</v>
      </c>
      <c r="G43" s="39">
        <f t="shared" ref="G43:G44" si="2">PRODUCT(C43:F43)</f>
        <v>0.24092500000000003</v>
      </c>
      <c r="H43" s="40"/>
      <c r="I43" s="40"/>
      <c r="J43" s="40"/>
      <c r="K43" s="21"/>
      <c r="M43" s="25"/>
      <c r="N43" s="25"/>
    </row>
    <row r="44" spans="1:14" ht="15" customHeight="1" x14ac:dyDescent="0.25">
      <c r="A44" s="18"/>
      <c r="B44" s="37"/>
      <c r="C44" s="47">
        <v>1</v>
      </c>
      <c r="D44" s="38">
        <f>D43</f>
        <v>20.95</v>
      </c>
      <c r="E44" s="38">
        <v>0.23</v>
      </c>
      <c r="F44" s="38">
        <v>7.4999999999999997E-2</v>
      </c>
      <c r="G44" s="39">
        <f t="shared" si="2"/>
        <v>0.36138750000000003</v>
      </c>
      <c r="H44" s="40"/>
      <c r="I44" s="40"/>
      <c r="J44" s="40"/>
      <c r="K44" s="21"/>
      <c r="M44" s="25"/>
      <c r="N44" s="25"/>
    </row>
    <row r="45" spans="1:14" ht="15" customHeight="1" x14ac:dyDescent="0.25">
      <c r="A45" s="18"/>
      <c r="B45" s="37"/>
      <c r="C45" s="47">
        <v>1</v>
      </c>
      <c r="D45" s="38">
        <f>D43</f>
        <v>20.95</v>
      </c>
      <c r="E45" s="38">
        <v>0.23</v>
      </c>
      <c r="F45" s="38">
        <v>0.1</v>
      </c>
      <c r="G45" s="39">
        <f t="shared" ref="G45:G47" si="3">PRODUCT(C45:F45)</f>
        <v>0.48185000000000006</v>
      </c>
      <c r="H45" s="40"/>
      <c r="I45" s="40"/>
      <c r="J45" s="40"/>
      <c r="K45" s="21"/>
      <c r="M45" s="25"/>
      <c r="N45" s="25"/>
    </row>
    <row r="46" spans="1:14" ht="15" customHeight="1" x14ac:dyDescent="0.25">
      <c r="A46" s="18"/>
      <c r="B46" s="37" t="s">
        <v>78</v>
      </c>
      <c r="C46" s="47">
        <v>1</v>
      </c>
      <c r="D46" s="38">
        <f>7.25/3.281</f>
        <v>2.2096921670222494</v>
      </c>
      <c r="E46" s="38">
        <v>0.75</v>
      </c>
      <c r="F46" s="38">
        <f>2/12/3.281</f>
        <v>5.0797521080971242E-2</v>
      </c>
      <c r="G46" s="39">
        <f t="shared" si="3"/>
        <v>8.4185163327577306E-2</v>
      </c>
      <c r="H46" s="40"/>
      <c r="I46" s="40"/>
      <c r="J46" s="40"/>
      <c r="K46" s="21"/>
      <c r="M46" s="25"/>
      <c r="N46" s="25"/>
    </row>
    <row r="47" spans="1:14" ht="15" customHeight="1" x14ac:dyDescent="0.25">
      <c r="A47" s="18"/>
      <c r="B47" s="37"/>
      <c r="C47" s="47">
        <f>0.5*1</f>
        <v>0.5</v>
      </c>
      <c r="D47" s="38">
        <v>0.5</v>
      </c>
      <c r="E47" s="38">
        <v>0.6</v>
      </c>
      <c r="F47" s="38">
        <v>0.4</v>
      </c>
      <c r="G47" s="39">
        <f t="shared" si="3"/>
        <v>0.06</v>
      </c>
      <c r="H47" s="40"/>
      <c r="I47" s="40"/>
      <c r="J47" s="40"/>
      <c r="K47" s="21"/>
      <c r="M47" s="25"/>
      <c r="N47" s="25"/>
    </row>
    <row r="48" spans="1:14" ht="15" customHeight="1" x14ac:dyDescent="0.25">
      <c r="A48" s="40"/>
      <c r="B48" s="37" t="s">
        <v>40</v>
      </c>
      <c r="C48" s="42"/>
      <c r="D48" s="43"/>
      <c r="E48" s="43"/>
      <c r="F48" s="43"/>
      <c r="G48" s="33">
        <f>SUM(G37:G47)</f>
        <v>2.6055576633275774</v>
      </c>
      <c r="H48" s="33" t="s">
        <v>39</v>
      </c>
      <c r="I48" s="33">
        <v>10634.5</v>
      </c>
      <c r="J48" s="44">
        <f>G48*I48</f>
        <v>27708.802970657121</v>
      </c>
      <c r="K48" s="36"/>
    </row>
    <row r="49" spans="1:14" ht="15" customHeight="1" x14ac:dyDescent="0.25">
      <c r="A49" s="40"/>
      <c r="B49" s="37" t="s">
        <v>38</v>
      </c>
      <c r="C49" s="42"/>
      <c r="D49" s="43"/>
      <c r="E49" s="43"/>
      <c r="F49" s="43"/>
      <c r="G49" s="43"/>
      <c r="H49" s="43"/>
      <c r="I49" s="43"/>
      <c r="J49" s="45">
        <f>0.13*G48*((114907.3+6135.3)/15)</f>
        <v>2733.3234414988206</v>
      </c>
      <c r="K49" s="36"/>
    </row>
    <row r="50" spans="1:14" ht="15" customHeight="1" x14ac:dyDescent="0.25">
      <c r="A50" s="40"/>
      <c r="B50" s="37"/>
      <c r="C50" s="42"/>
      <c r="D50" s="43"/>
      <c r="E50" s="43"/>
      <c r="F50" s="43"/>
      <c r="G50" s="43"/>
      <c r="H50" s="43"/>
      <c r="I50" s="43"/>
      <c r="J50" s="45"/>
      <c r="K50" s="36"/>
    </row>
    <row r="51" spans="1:14" s="1" customFormat="1" ht="90" x14ac:dyDescent="0.25">
      <c r="A51" s="63">
        <v>7</v>
      </c>
      <c r="B51" s="30" t="s">
        <v>47</v>
      </c>
      <c r="C51" s="64"/>
      <c r="D51" s="39"/>
      <c r="E51" s="39"/>
      <c r="F51" s="39"/>
      <c r="G51" s="39"/>
      <c r="H51" s="39"/>
      <c r="I51" s="39"/>
      <c r="J51" s="45"/>
      <c r="K51" s="29"/>
    </row>
    <row r="52" spans="1:14" ht="15" customHeight="1" x14ac:dyDescent="0.25">
      <c r="A52" s="18"/>
      <c r="B52" s="37" t="s">
        <v>60</v>
      </c>
      <c r="C52" s="36">
        <v>1</v>
      </c>
      <c r="D52" s="38">
        <v>4.53</v>
      </c>
      <c r="E52" s="38">
        <f>((1.55+0.53)/2)</f>
        <v>1.04</v>
      </c>
      <c r="F52" s="38">
        <f>2.7-0.05-0.1</f>
        <v>2.5500000000000003</v>
      </c>
      <c r="G52" s="39">
        <f>PRODUCT(C52:F52)</f>
        <v>12.013560000000004</v>
      </c>
      <c r="H52" s="40"/>
      <c r="I52" s="40"/>
      <c r="J52" s="40"/>
      <c r="K52" s="21"/>
      <c r="M52" s="25"/>
      <c r="N52" s="25"/>
    </row>
    <row r="53" spans="1:14" ht="15" customHeight="1" x14ac:dyDescent="0.25">
      <c r="A53" s="18"/>
      <c r="B53" s="37"/>
      <c r="C53" s="36">
        <v>1</v>
      </c>
      <c r="D53" s="38">
        <v>4.3099999999999996</v>
      </c>
      <c r="E53" s="38">
        <f>((1.55+0.53)/2)</f>
        <v>1.04</v>
      </c>
      <c r="F53" s="38">
        <f t="shared" ref="F53:F54" si="4">2.7-0.05-0.1</f>
        <v>2.5500000000000003</v>
      </c>
      <c r="G53" s="39">
        <f t="shared" ref="G53:G54" si="5">PRODUCT(C53:F53)</f>
        <v>11.430120000000002</v>
      </c>
      <c r="H53" s="40"/>
      <c r="I53" s="40"/>
      <c r="J53" s="40"/>
      <c r="K53" s="21"/>
      <c r="M53" s="25"/>
      <c r="N53" s="25"/>
    </row>
    <row r="54" spans="1:14" ht="15" customHeight="1" x14ac:dyDescent="0.25">
      <c r="A54" s="18"/>
      <c r="B54" s="37"/>
      <c r="C54" s="36">
        <v>1</v>
      </c>
      <c r="D54" s="38">
        <v>4.1500000000000004</v>
      </c>
      <c r="E54" s="38">
        <f>((1.5+0.6)/2)</f>
        <v>1.05</v>
      </c>
      <c r="F54" s="38">
        <f t="shared" si="4"/>
        <v>2.5500000000000003</v>
      </c>
      <c r="G54" s="39">
        <f t="shared" si="5"/>
        <v>11.111625000000004</v>
      </c>
      <c r="H54" s="40"/>
      <c r="I54" s="40"/>
      <c r="J54" s="40"/>
      <c r="K54" s="21"/>
      <c r="M54" s="25"/>
      <c r="N54" s="25"/>
    </row>
    <row r="55" spans="1:14" ht="15" customHeight="1" x14ac:dyDescent="0.25">
      <c r="A55" s="40"/>
      <c r="B55" s="37" t="s">
        <v>40</v>
      </c>
      <c r="C55" s="42"/>
      <c r="D55" s="43"/>
      <c r="E55" s="43"/>
      <c r="F55" s="43"/>
      <c r="G55" s="33">
        <f>SUM(G52:G54)</f>
        <v>34.555305000000011</v>
      </c>
      <c r="H55" s="33" t="s">
        <v>39</v>
      </c>
      <c r="I55" s="33">
        <v>9709.43</v>
      </c>
      <c r="J55" s="44">
        <f>G55*I55</f>
        <v>335512.31502615014</v>
      </c>
      <c r="K55" s="36"/>
    </row>
    <row r="56" spans="1:14" ht="15" customHeight="1" x14ac:dyDescent="0.25">
      <c r="A56" s="40"/>
      <c r="B56" s="37" t="s">
        <v>38</v>
      </c>
      <c r="C56" s="42"/>
      <c r="D56" s="43"/>
      <c r="E56" s="43"/>
      <c r="F56" s="43"/>
      <c r="G56" s="43"/>
      <c r="H56" s="43"/>
      <c r="I56" s="43"/>
      <c r="J56" s="45">
        <f>0.13*G55*((27092.1)/5)</f>
        <v>24340.57024335301</v>
      </c>
      <c r="K56" s="36"/>
    </row>
    <row r="57" spans="1:14" ht="15" customHeight="1" x14ac:dyDescent="0.25">
      <c r="A57" s="40"/>
      <c r="B57" s="37"/>
      <c r="C57" s="42"/>
      <c r="D57" s="43"/>
      <c r="E57" s="43"/>
      <c r="F57" s="43"/>
      <c r="G57" s="33"/>
      <c r="H57" s="33"/>
      <c r="I57" s="33"/>
      <c r="J57" s="44"/>
      <c r="K57" s="36"/>
    </row>
    <row r="58" spans="1:14" ht="15.75" x14ac:dyDescent="0.25">
      <c r="A58" s="18">
        <v>8</v>
      </c>
      <c r="B58" s="65" t="s">
        <v>56</v>
      </c>
      <c r="C58" s="19"/>
      <c r="D58" s="20"/>
      <c r="E58" s="21"/>
      <c r="F58" s="21"/>
      <c r="G58" s="23"/>
      <c r="H58" s="22"/>
      <c r="I58" s="23"/>
      <c r="J58" s="41"/>
      <c r="K58" s="21"/>
    </row>
    <row r="59" spans="1:14" ht="15" customHeight="1" x14ac:dyDescent="0.25">
      <c r="A59" s="18"/>
      <c r="B59" s="37" t="s">
        <v>54</v>
      </c>
      <c r="C59" s="36">
        <v>1</v>
      </c>
      <c r="D59" s="38">
        <f>(12.833-1.5+21-1.5+2-1.5+5.5-1.5+10.833-1.5+26.5-1.5+12.833-1.5-0.75-0.75)/3.281</f>
        <v>24.230112770496799</v>
      </c>
      <c r="E59" s="38"/>
      <c r="F59" s="38">
        <f>8.5/3.281</f>
        <v>2.5906735751295336</v>
      </c>
      <c r="G59" s="39">
        <f t="shared" ref="G59:G62" si="6">PRODUCT(C59:F59)</f>
        <v>62.772312876934713</v>
      </c>
      <c r="H59" s="40"/>
      <c r="I59" s="40"/>
      <c r="J59" s="40"/>
      <c r="K59" s="21"/>
    </row>
    <row r="60" spans="1:14" ht="15" customHeight="1" x14ac:dyDescent="0.25">
      <c r="A60" s="18"/>
      <c r="B60" s="37" t="s">
        <v>57</v>
      </c>
      <c r="C60" s="36">
        <v>-1</v>
      </c>
      <c r="D60" s="38">
        <f>3/3.281</f>
        <v>0.91435537945748246</v>
      </c>
      <c r="E60" s="38"/>
      <c r="F60" s="38">
        <f>7/3.281</f>
        <v>2.1334958854007922</v>
      </c>
      <c r="G60" s="39">
        <f t="shared" si="6"/>
        <v>-1.9507734398666188</v>
      </c>
      <c r="H60" s="40"/>
      <c r="I60" s="40"/>
      <c r="J60" s="40"/>
      <c r="K60" s="21"/>
    </row>
    <row r="61" spans="1:14" ht="15" customHeight="1" x14ac:dyDescent="0.25">
      <c r="A61" s="18"/>
      <c r="B61" s="37"/>
      <c r="C61" s="36">
        <v>-1</v>
      </c>
      <c r="D61" s="38">
        <f>2.5/3.281</f>
        <v>0.76196281621456874</v>
      </c>
      <c r="E61" s="38"/>
      <c r="F61" s="38">
        <f>6/3.281</f>
        <v>1.8287107589149649</v>
      </c>
      <c r="G61" s="39">
        <f>PRODUCT(C61:F61)</f>
        <v>-1.393409599904728</v>
      </c>
      <c r="H61" s="40"/>
      <c r="I61" s="40"/>
      <c r="J61" s="40"/>
      <c r="K61" s="21"/>
    </row>
    <row r="62" spans="1:14" ht="15" customHeight="1" x14ac:dyDescent="0.25">
      <c r="A62" s="18"/>
      <c r="B62" s="37" t="s">
        <v>58</v>
      </c>
      <c r="C62" s="36">
        <v>-1</v>
      </c>
      <c r="D62" s="38">
        <f>3.5/3.281</f>
        <v>1.0667479427003961</v>
      </c>
      <c r="E62" s="38"/>
      <c r="F62" s="38">
        <f>4/3.281</f>
        <v>1.2191405059433098</v>
      </c>
      <c r="G62" s="39">
        <f t="shared" si="6"/>
        <v>-1.3005156265777458</v>
      </c>
      <c r="H62" s="40"/>
      <c r="I62" s="40"/>
      <c r="J62" s="40"/>
      <c r="K62" s="21"/>
    </row>
    <row r="63" spans="1:14" ht="15" customHeight="1" x14ac:dyDescent="0.25">
      <c r="A63" s="18"/>
      <c r="B63" s="37" t="s">
        <v>40</v>
      </c>
      <c r="C63" s="19"/>
      <c r="D63" s="20"/>
      <c r="E63" s="21"/>
      <c r="F63" s="21"/>
      <c r="G63" s="23">
        <f>SUM(G59:G62)</f>
        <v>58.12761421058562</v>
      </c>
      <c r="H63" s="22" t="s">
        <v>55</v>
      </c>
      <c r="I63" s="23">
        <v>20.82</v>
      </c>
      <c r="J63" s="41">
        <f>G63*I63</f>
        <v>1210.2169278643926</v>
      </c>
      <c r="K63" s="21"/>
    </row>
    <row r="64" spans="1:14" ht="15" customHeight="1" x14ac:dyDescent="0.25">
      <c r="A64" s="18"/>
      <c r="B64" s="37" t="s">
        <v>38</v>
      </c>
      <c r="C64" s="19"/>
      <c r="D64" s="20"/>
      <c r="E64" s="21"/>
      <c r="F64" s="21"/>
      <c r="G64" s="23"/>
      <c r="H64" s="22"/>
      <c r="I64" s="23"/>
      <c r="J64" s="41">
        <f>0.13*G63*458.4/100</f>
        <v>34.639407860372181</v>
      </c>
      <c r="K64" s="21"/>
    </row>
    <row r="65" spans="1:11" ht="15" customHeight="1" x14ac:dyDescent="0.25">
      <c r="A65" s="18"/>
      <c r="B65" s="37"/>
      <c r="C65" s="19"/>
      <c r="D65" s="20"/>
      <c r="E65" s="21"/>
      <c r="F65" s="21"/>
      <c r="G65" s="23"/>
      <c r="H65" s="22"/>
      <c r="I65" s="23"/>
      <c r="J65" s="41"/>
      <c r="K65" s="21"/>
    </row>
    <row r="66" spans="1:11" ht="30" x14ac:dyDescent="0.25">
      <c r="A66" s="18">
        <v>9</v>
      </c>
      <c r="B66" s="66" t="s">
        <v>48</v>
      </c>
      <c r="C66" s="19"/>
      <c r="D66" s="20"/>
      <c r="E66" s="21"/>
      <c r="F66" s="21"/>
      <c r="G66" s="23"/>
      <c r="H66" s="22"/>
      <c r="I66" s="23"/>
      <c r="J66" s="41"/>
      <c r="K66" s="21"/>
    </row>
    <row r="67" spans="1:11" ht="15" customHeight="1" x14ac:dyDescent="0.25">
      <c r="A67" s="18"/>
      <c r="B67" s="37" t="s">
        <v>54</v>
      </c>
      <c r="C67" s="47">
        <v>1</v>
      </c>
      <c r="D67" s="38">
        <f>3.92+3.94+(3.52+3.49)+3.98+2.1</f>
        <v>20.95</v>
      </c>
      <c r="E67" s="38">
        <v>0.23</v>
      </c>
      <c r="F67" s="38">
        <f>1.47-0.23</f>
        <v>1.24</v>
      </c>
      <c r="G67" s="39">
        <f>PRODUCT(C67:F67)</f>
        <v>5.9749400000000001</v>
      </c>
      <c r="H67" s="40"/>
      <c r="I67" s="40"/>
      <c r="J67" s="40"/>
      <c r="K67" s="21"/>
    </row>
    <row r="68" spans="1:11" ht="15" customHeight="1" x14ac:dyDescent="0.25">
      <c r="A68" s="18"/>
      <c r="B68" s="37"/>
      <c r="C68" s="47">
        <v>1</v>
      </c>
      <c r="D68" s="38">
        <f>3.94-0.9</f>
        <v>3.04</v>
      </c>
      <c r="E68" s="38">
        <v>0.23</v>
      </c>
      <c r="F68" s="38">
        <v>1.2</v>
      </c>
      <c r="G68" s="39">
        <f>PRODUCT(C68:F68)</f>
        <v>0.83904000000000001</v>
      </c>
      <c r="H68" s="40"/>
      <c r="I68" s="40"/>
      <c r="J68" s="40"/>
      <c r="K68" s="21"/>
    </row>
    <row r="69" spans="1:11" ht="15" customHeight="1" x14ac:dyDescent="0.25">
      <c r="A69" s="18"/>
      <c r="B69" s="37" t="s">
        <v>77</v>
      </c>
      <c r="C69" s="47">
        <v>1</v>
      </c>
      <c r="D69" s="38">
        <v>1.1599999999999999</v>
      </c>
      <c r="E69" s="38">
        <v>0.23</v>
      </c>
      <c r="F69" s="38">
        <f>1.47-1.18-0.05-0.1</f>
        <v>0.14000000000000004</v>
      </c>
      <c r="G69" s="39">
        <f>PRODUCT(C69:F69)</f>
        <v>3.735200000000001E-2</v>
      </c>
      <c r="H69" s="40"/>
      <c r="I69" s="40"/>
      <c r="J69" s="40"/>
      <c r="K69" s="21"/>
    </row>
    <row r="70" spans="1:11" ht="15" customHeight="1" x14ac:dyDescent="0.25">
      <c r="A70" s="18"/>
      <c r="B70" s="37" t="s">
        <v>76</v>
      </c>
      <c r="C70" s="47">
        <f>0.5*7</f>
        <v>3.5</v>
      </c>
      <c r="D70" s="38">
        <f>2.42/3.281</f>
        <v>0.73758000609570251</v>
      </c>
      <c r="E70" s="38">
        <v>0.3</v>
      </c>
      <c r="F70" s="38">
        <f>7.5/12/3.281</f>
        <v>0.19049070405364218</v>
      </c>
      <c r="G70" s="39">
        <f>PRODUCT(C70:F70)</f>
        <v>0.14752724138991305</v>
      </c>
      <c r="H70" s="40"/>
      <c r="I70" s="40"/>
      <c r="J70" s="40"/>
      <c r="K70" s="21"/>
    </row>
    <row r="71" spans="1:11" ht="15" customHeight="1" x14ac:dyDescent="0.25">
      <c r="A71" s="18"/>
      <c r="B71" s="37" t="s">
        <v>79</v>
      </c>
      <c r="C71" s="47">
        <v>1</v>
      </c>
      <c r="D71" s="38">
        <v>3</v>
      </c>
      <c r="E71" s="38">
        <v>0.1</v>
      </c>
      <c r="F71" s="38">
        <v>0.7</v>
      </c>
      <c r="G71" s="39">
        <f>PRODUCT(C71:F71)</f>
        <v>0.21000000000000002</v>
      </c>
      <c r="H71" s="40"/>
      <c r="I71" s="40"/>
      <c r="J71" s="40"/>
      <c r="K71" s="21"/>
    </row>
    <row r="72" spans="1:11" ht="15" customHeight="1" x14ac:dyDescent="0.25">
      <c r="A72" s="18"/>
      <c r="B72" s="37" t="s">
        <v>40</v>
      </c>
      <c r="C72" s="19"/>
      <c r="D72" s="20"/>
      <c r="E72" s="21"/>
      <c r="F72" s="21"/>
      <c r="G72" s="23">
        <f>SUM(G67:G71)</f>
        <v>7.2088592413899129</v>
      </c>
      <c r="H72" s="22" t="s">
        <v>39</v>
      </c>
      <c r="I72" s="23">
        <v>14362.76</v>
      </c>
      <c r="J72" s="41">
        <f>G72*I72</f>
        <v>103539.11515786538</v>
      </c>
      <c r="K72" s="21"/>
    </row>
    <row r="73" spans="1:11" ht="15" customHeight="1" x14ac:dyDescent="0.25">
      <c r="A73" s="18"/>
      <c r="B73" s="37" t="s">
        <v>38</v>
      </c>
      <c r="C73" s="19"/>
      <c r="D73" s="20"/>
      <c r="E73" s="21"/>
      <c r="F73" s="21"/>
      <c r="G73" s="23"/>
      <c r="H73" s="22"/>
      <c r="I73" s="23"/>
      <c r="J73" s="41">
        <f>0.13*G72*10311.74</f>
        <v>9663.6646851953028</v>
      </c>
      <c r="K73" s="21"/>
    </row>
    <row r="74" spans="1:11" ht="15" customHeight="1" x14ac:dyDescent="0.25">
      <c r="A74" s="18"/>
      <c r="B74" s="37"/>
      <c r="C74" s="19"/>
      <c r="D74" s="20"/>
      <c r="E74" s="21"/>
      <c r="F74" s="21"/>
      <c r="G74" s="23"/>
      <c r="H74" s="22"/>
      <c r="I74" s="23"/>
      <c r="J74" s="41"/>
      <c r="K74" s="21"/>
    </row>
    <row r="75" spans="1:11" ht="45" x14ac:dyDescent="0.25">
      <c r="A75" s="18">
        <v>10</v>
      </c>
      <c r="B75" s="66" t="s">
        <v>65</v>
      </c>
      <c r="C75" s="19" t="s">
        <v>7</v>
      </c>
      <c r="D75" s="67" t="s">
        <v>51</v>
      </c>
      <c r="E75" s="68" t="s">
        <v>66</v>
      </c>
      <c r="F75" s="68" t="s">
        <v>67</v>
      </c>
      <c r="G75" s="68" t="s">
        <v>68</v>
      </c>
      <c r="H75" s="22"/>
      <c r="I75" s="23"/>
      <c r="J75" s="41"/>
      <c r="K75" s="21"/>
    </row>
    <row r="76" spans="1:11" ht="15" customHeight="1" x14ac:dyDescent="0.25">
      <c r="A76" s="18"/>
      <c r="B76" s="37" t="s">
        <v>69</v>
      </c>
      <c r="C76" s="19">
        <v>4</v>
      </c>
      <c r="D76" s="20">
        <f>3.92+3.94+3.52+3.49+3.98+2.1</f>
        <v>20.95</v>
      </c>
      <c r="E76" s="21">
        <f>10*10/162</f>
        <v>0.61728395061728392</v>
      </c>
      <c r="F76" s="21">
        <f>PRODUCT(C76:E76)</f>
        <v>51.728395061728392</v>
      </c>
      <c r="G76" s="69">
        <f>F76/1000</f>
        <v>5.172839506172839E-2</v>
      </c>
      <c r="H76" s="22"/>
      <c r="I76" s="23"/>
      <c r="J76" s="41"/>
      <c r="K76" s="21"/>
    </row>
    <row r="77" spans="1:11" ht="15" customHeight="1" x14ac:dyDescent="0.25">
      <c r="A77" s="18"/>
      <c r="B77" s="37" t="s">
        <v>70</v>
      </c>
      <c r="C77" s="19">
        <f>2*TRUNC(D76/(8/12/3.281),0)</f>
        <v>206</v>
      </c>
      <c r="D77" s="20">
        <f>(7+3+3)/12/3.281</f>
        <v>0.33018388702631307</v>
      </c>
      <c r="E77" s="21">
        <f>8*8/162</f>
        <v>0.39506172839506171</v>
      </c>
      <c r="F77" s="21">
        <f>PRODUCT(C77:E77)</f>
        <v>26.871261521943897</v>
      </c>
      <c r="G77" s="69">
        <f>F77/1000</f>
        <v>2.6871261521943898E-2</v>
      </c>
      <c r="H77" s="22"/>
      <c r="I77" s="23"/>
      <c r="J77" s="41"/>
      <c r="K77" s="21"/>
    </row>
    <row r="78" spans="1:11" ht="15" customHeight="1" x14ac:dyDescent="0.25">
      <c r="A78" s="18"/>
      <c r="B78" s="37" t="s">
        <v>40</v>
      </c>
      <c r="C78" s="19"/>
      <c r="D78" s="20"/>
      <c r="E78" s="21"/>
      <c r="F78" s="21"/>
      <c r="G78" s="23">
        <f>SUM(G76:G77)</f>
        <v>7.8599656583672295E-2</v>
      </c>
      <c r="H78" s="22" t="s">
        <v>52</v>
      </c>
      <c r="I78" s="23">
        <v>131940</v>
      </c>
      <c r="J78" s="41">
        <f>G78*I78</f>
        <v>10370.438689649722</v>
      </c>
      <c r="K78" s="21"/>
    </row>
    <row r="79" spans="1:11" ht="15" customHeight="1" x14ac:dyDescent="0.25">
      <c r="A79" s="18"/>
      <c r="B79" s="37" t="s">
        <v>38</v>
      </c>
      <c r="C79" s="19"/>
      <c r="D79" s="20"/>
      <c r="E79" s="21"/>
      <c r="F79" s="21"/>
      <c r="G79" s="23"/>
      <c r="H79" s="22"/>
      <c r="I79" s="23"/>
      <c r="J79" s="41">
        <f>0.13*G78*106200</f>
        <v>1085.1468587941799</v>
      </c>
      <c r="K79" s="21"/>
    </row>
    <row r="80" spans="1:11" ht="15" customHeight="1" x14ac:dyDescent="0.25">
      <c r="A80" s="18"/>
      <c r="B80" s="37"/>
      <c r="C80" s="19"/>
      <c r="D80" s="20"/>
      <c r="E80" s="21"/>
      <c r="F80" s="21"/>
      <c r="G80" s="23"/>
      <c r="H80" s="22"/>
      <c r="I80" s="23"/>
      <c r="J80" s="41"/>
      <c r="K80" s="21"/>
    </row>
    <row r="81" spans="1:14" ht="30.75" x14ac:dyDescent="0.25">
      <c r="A81" s="18">
        <v>11</v>
      </c>
      <c r="B81" s="70" t="s">
        <v>72</v>
      </c>
      <c r="C81" s="19"/>
      <c r="D81" s="20"/>
      <c r="E81" s="21"/>
      <c r="F81" s="21"/>
      <c r="G81" s="23"/>
      <c r="H81" s="22"/>
      <c r="I81" s="23"/>
      <c r="J81" s="41"/>
      <c r="K81" s="21"/>
    </row>
    <row r="82" spans="1:14" ht="15" customHeight="1" x14ac:dyDescent="0.25">
      <c r="A82" s="18"/>
      <c r="B82" s="37" t="s">
        <v>54</v>
      </c>
      <c r="C82" s="36">
        <v>1</v>
      </c>
      <c r="D82" s="38">
        <f>3.92+3.94+0.23+0.23+3.52+3.49+3.98+0.23+0.23+2.1</f>
        <v>21.87</v>
      </c>
      <c r="E82" s="38"/>
      <c r="F82" s="38">
        <v>1.2</v>
      </c>
      <c r="G82" s="39">
        <f t="shared" ref="G82:G84" si="7">PRODUCT(C82:F82)</f>
        <v>26.244</v>
      </c>
      <c r="H82" s="40"/>
      <c r="I82" s="40"/>
      <c r="J82" s="40"/>
      <c r="K82" s="21"/>
    </row>
    <row r="83" spans="1:14" ht="15" customHeight="1" x14ac:dyDescent="0.25">
      <c r="A83" s="18"/>
      <c r="B83" s="37"/>
      <c r="C83" s="36">
        <v>1</v>
      </c>
      <c r="D83" s="38">
        <f>3.92-0.23+3.94+3.52+3.49-0.23-0.23+3.98+2.1-0.23</f>
        <v>20.03</v>
      </c>
      <c r="E83" s="38"/>
      <c r="F83" s="38">
        <v>1.2</v>
      </c>
      <c r="G83" s="39">
        <f t="shared" si="7"/>
        <v>24.036000000000001</v>
      </c>
      <c r="H83" s="40"/>
      <c r="I83" s="40"/>
      <c r="J83" s="40"/>
      <c r="K83" s="21"/>
    </row>
    <row r="84" spans="1:14" ht="15" customHeight="1" x14ac:dyDescent="0.25">
      <c r="A84" s="18"/>
      <c r="B84" s="37" t="s">
        <v>79</v>
      </c>
      <c r="C84" s="36">
        <v>2</v>
      </c>
      <c r="D84" s="38">
        <f>D71</f>
        <v>3</v>
      </c>
      <c r="E84" s="38"/>
      <c r="F84" s="38">
        <f>F71</f>
        <v>0.7</v>
      </c>
      <c r="G84" s="39">
        <f t="shared" si="7"/>
        <v>4.1999999999999993</v>
      </c>
      <c r="H84" s="40"/>
      <c r="I84" s="40"/>
      <c r="J84" s="40"/>
      <c r="K84" s="21"/>
    </row>
    <row r="85" spans="1:14" ht="15" customHeight="1" x14ac:dyDescent="0.25">
      <c r="A85" s="18"/>
      <c r="B85" s="37" t="s">
        <v>40</v>
      </c>
      <c r="C85" s="19"/>
      <c r="D85" s="20"/>
      <c r="E85" s="21"/>
      <c r="F85" s="21"/>
      <c r="G85" s="23">
        <f>SUM(G82:G84)</f>
        <v>54.480000000000004</v>
      </c>
      <c r="H85" s="22" t="s">
        <v>55</v>
      </c>
      <c r="I85" s="23">
        <v>405.86</v>
      </c>
      <c r="J85" s="41">
        <f>G85*I85</f>
        <v>22111.252800000002</v>
      </c>
      <c r="K85" s="21"/>
    </row>
    <row r="86" spans="1:14" ht="15" customHeight="1" x14ac:dyDescent="0.25">
      <c r="A86" s="18"/>
      <c r="B86" s="37" t="s">
        <v>38</v>
      </c>
      <c r="C86" s="19"/>
      <c r="D86" s="20"/>
      <c r="E86" s="21"/>
      <c r="F86" s="21"/>
      <c r="G86" s="23"/>
      <c r="H86" s="22"/>
      <c r="I86" s="23"/>
      <c r="J86" s="41">
        <f>0.13*G85*11166.2/100</f>
        <v>790.83494880000012</v>
      </c>
      <c r="K86" s="21"/>
    </row>
    <row r="87" spans="1:14" ht="15" customHeight="1" x14ac:dyDescent="0.25">
      <c r="A87" s="18"/>
      <c r="B87" s="37"/>
      <c r="C87" s="19"/>
      <c r="D87" s="20"/>
      <c r="E87" s="21"/>
      <c r="F87" s="21"/>
      <c r="G87" s="23"/>
      <c r="H87" s="22"/>
      <c r="I87" s="23"/>
      <c r="J87" s="41"/>
      <c r="K87" s="21"/>
    </row>
    <row r="88" spans="1:14" ht="15" customHeight="1" x14ac:dyDescent="0.25">
      <c r="A88" s="18">
        <v>12</v>
      </c>
      <c r="B88" s="30" t="s">
        <v>30</v>
      </c>
      <c r="C88" s="19">
        <v>1</v>
      </c>
      <c r="D88" s="20"/>
      <c r="E88" s="21"/>
      <c r="F88" s="21"/>
      <c r="G88" s="34">
        <f t="shared" ref="G88" si="8">PRODUCT(C88:F88)</f>
        <v>1</v>
      </c>
      <c r="H88" s="22" t="s">
        <v>31</v>
      </c>
      <c r="I88" s="23">
        <v>500</v>
      </c>
      <c r="J88" s="34">
        <f>G88*I88</f>
        <v>500</v>
      </c>
      <c r="K88" s="21"/>
      <c r="M88" s="25"/>
      <c r="N88" s="25"/>
    </row>
    <row r="89" spans="1:14" ht="15" customHeight="1" x14ac:dyDescent="0.25">
      <c r="A89" s="18"/>
      <c r="B89" s="24"/>
      <c r="C89" s="19"/>
      <c r="D89" s="20"/>
      <c r="E89" s="21"/>
      <c r="F89" s="21"/>
      <c r="G89" s="23"/>
      <c r="H89" s="22"/>
      <c r="I89" s="23"/>
      <c r="J89" s="41"/>
      <c r="K89" s="21"/>
      <c r="M89" s="25"/>
      <c r="N89" s="25"/>
    </row>
    <row r="90" spans="1:14" x14ac:dyDescent="0.25">
      <c r="A90" s="40"/>
      <c r="B90" s="46" t="s">
        <v>17</v>
      </c>
      <c r="C90" s="47"/>
      <c r="D90" s="38"/>
      <c r="E90" s="38"/>
      <c r="F90" s="38"/>
      <c r="G90" s="41"/>
      <c r="H90" s="41"/>
      <c r="I90" s="41"/>
      <c r="J90" s="41">
        <f>SUM(J10:J88)</f>
        <v>564688.31314685999</v>
      </c>
      <c r="K90" s="36"/>
    </row>
    <row r="91" spans="1:14" x14ac:dyDescent="0.25">
      <c r="A91" s="58"/>
      <c r="B91" s="61"/>
      <c r="C91" s="62"/>
      <c r="D91" s="59"/>
      <c r="E91" s="59"/>
      <c r="F91" s="59"/>
      <c r="G91" s="60"/>
      <c r="H91" s="60"/>
      <c r="I91" s="60"/>
      <c r="J91" s="60"/>
      <c r="K91" s="57"/>
    </row>
    <row r="92" spans="1:14" s="1" customFormat="1" x14ac:dyDescent="0.25">
      <c r="A92" s="50"/>
      <c r="B92" s="29" t="s">
        <v>82</v>
      </c>
      <c r="C92" s="86">
        <f>J90</f>
        <v>564688.31314685999</v>
      </c>
      <c r="D92" s="86"/>
      <c r="E92" s="39">
        <v>100</v>
      </c>
      <c r="F92" s="51"/>
      <c r="G92" s="52"/>
      <c r="H92" s="51"/>
      <c r="I92" s="53"/>
      <c r="J92" s="54"/>
      <c r="K92" s="55"/>
    </row>
    <row r="93" spans="1:14" x14ac:dyDescent="0.25">
      <c r="A93" s="56"/>
      <c r="B93" s="29" t="s">
        <v>32</v>
      </c>
      <c r="C93" s="89">
        <v>500000</v>
      </c>
      <c r="D93" s="89"/>
      <c r="E93" s="39"/>
      <c r="F93" s="49"/>
      <c r="G93" s="48"/>
      <c r="H93" s="48"/>
      <c r="I93" s="48"/>
      <c r="J93" s="48"/>
      <c r="K93" s="49"/>
    </row>
    <row r="94" spans="1:14" x14ac:dyDescent="0.25">
      <c r="A94" s="56"/>
      <c r="B94" s="29" t="s">
        <v>33</v>
      </c>
      <c r="C94" s="89">
        <f>C93-C96-C97</f>
        <v>475000</v>
      </c>
      <c r="D94" s="89"/>
      <c r="E94" s="39">
        <f>C94/C92*100</f>
        <v>84.117200399092638</v>
      </c>
      <c r="F94" s="49"/>
      <c r="G94" s="48"/>
      <c r="H94" s="48"/>
      <c r="I94" s="48"/>
      <c r="J94" s="48"/>
      <c r="K94" s="49"/>
    </row>
    <row r="95" spans="1:14" x14ac:dyDescent="0.25">
      <c r="A95" s="56"/>
      <c r="B95" s="29" t="s">
        <v>34</v>
      </c>
      <c r="C95" s="86">
        <f>C92-C94</f>
        <v>89688.31314685999</v>
      </c>
      <c r="D95" s="86"/>
      <c r="E95" s="39">
        <f>100-E94</f>
        <v>15.882799600907362</v>
      </c>
      <c r="F95" s="49"/>
      <c r="G95" s="48"/>
      <c r="H95" s="48"/>
      <c r="I95" s="48"/>
      <c r="J95" s="48"/>
      <c r="K95" s="49"/>
    </row>
    <row r="96" spans="1:14" x14ac:dyDescent="0.25">
      <c r="A96" s="56"/>
      <c r="B96" s="29" t="s">
        <v>35</v>
      </c>
      <c r="C96" s="86">
        <f>C93*0.03</f>
        <v>15000</v>
      </c>
      <c r="D96" s="86"/>
      <c r="E96" s="39">
        <v>3</v>
      </c>
      <c r="F96" s="49"/>
      <c r="G96" s="48"/>
      <c r="H96" s="48"/>
      <c r="I96" s="48"/>
      <c r="J96" s="48"/>
      <c r="K96" s="49"/>
    </row>
    <row r="97" spans="1:11" x14ac:dyDescent="0.25">
      <c r="A97" s="56"/>
      <c r="B97" s="29" t="s">
        <v>36</v>
      </c>
      <c r="C97" s="86">
        <f>C93*0.02</f>
        <v>10000</v>
      </c>
      <c r="D97" s="86"/>
      <c r="E97" s="39">
        <v>2</v>
      </c>
      <c r="F97" s="49"/>
      <c r="G97" s="48"/>
      <c r="H97" s="48"/>
      <c r="I97" s="48"/>
      <c r="J97" s="48"/>
      <c r="K97" s="49"/>
    </row>
    <row r="98" spans="1:11" s="35" customFormat="1" x14ac:dyDescent="0.25">
      <c r="A98" s="57"/>
      <c r="B98" s="57"/>
      <c r="C98" s="57"/>
      <c r="D98" s="57"/>
      <c r="E98" s="57"/>
      <c r="F98" s="57"/>
      <c r="G98" s="57"/>
      <c r="H98" s="57"/>
      <c r="I98" s="57"/>
      <c r="J98" s="57"/>
      <c r="K98" s="57"/>
    </row>
    <row r="99" spans="1:11" s="35" customFormat="1" x14ac:dyDescent="0.25"/>
    <row r="100" spans="1:11" s="35" customFormat="1" x14ac:dyDescent="0.25"/>
    <row r="101" spans="1:11" s="35" customFormat="1" x14ac:dyDescent="0.25"/>
    <row r="102" spans="1:11" s="35" customFormat="1" x14ac:dyDescent="0.25"/>
    <row r="103" spans="1:11" s="35" customFormat="1" x14ac:dyDescent="0.25"/>
    <row r="104" spans="1:11" s="35" customFormat="1" x14ac:dyDescent="0.25"/>
    <row r="105" spans="1:11" s="35" customFormat="1" x14ac:dyDescent="0.25"/>
    <row r="106" spans="1:11" s="35" customFormat="1" x14ac:dyDescent="0.25"/>
    <row r="107" spans="1:11" s="35" customFormat="1" x14ac:dyDescent="0.25"/>
    <row r="108" spans="1:11" s="35" customFormat="1" x14ac:dyDescent="0.25"/>
    <row r="109" spans="1:11" s="35" customFormat="1" x14ac:dyDescent="0.25"/>
    <row r="110" spans="1:11" s="35" customFormat="1" x14ac:dyDescent="0.25"/>
    <row r="111" spans="1:11" s="35" customFormat="1" x14ac:dyDescent="0.25"/>
    <row r="112" spans="1:11" s="35" customFormat="1" x14ac:dyDescent="0.25"/>
    <row r="113" s="35" customFormat="1" x14ac:dyDescent="0.25"/>
    <row r="114" s="35" customFormat="1" x14ac:dyDescent="0.25"/>
    <row r="115" s="35" customFormat="1" x14ac:dyDescent="0.25"/>
    <row r="116" s="35" customFormat="1" x14ac:dyDescent="0.25"/>
    <row r="117" s="35" customFormat="1" x14ac:dyDescent="0.25"/>
    <row r="118" s="35" customFormat="1" x14ac:dyDescent="0.25"/>
    <row r="119" s="35" customFormat="1" x14ac:dyDescent="0.25"/>
    <row r="120" s="35" customFormat="1" x14ac:dyDescent="0.25"/>
    <row r="121" s="35" customFormat="1" x14ac:dyDescent="0.25"/>
    <row r="122" s="35" customFormat="1" x14ac:dyDescent="0.25"/>
    <row r="123" s="35" customFormat="1" x14ac:dyDescent="0.25"/>
    <row r="124" s="35" customFormat="1" x14ac:dyDescent="0.25"/>
    <row r="125" s="35" customFormat="1" x14ac:dyDescent="0.25"/>
    <row r="126" s="35" customFormat="1" x14ac:dyDescent="0.25"/>
    <row r="127" s="35" customFormat="1" x14ac:dyDescent="0.25"/>
    <row r="128" s="35" customFormat="1" x14ac:dyDescent="0.25"/>
    <row r="129" s="35" customFormat="1" x14ac:dyDescent="0.25"/>
    <row r="130" s="35" customFormat="1" x14ac:dyDescent="0.25"/>
    <row r="131" s="35" customFormat="1" x14ac:dyDescent="0.25"/>
    <row r="132" s="35" customFormat="1" x14ac:dyDescent="0.25"/>
    <row r="133" s="35" customFormat="1" x14ac:dyDescent="0.25"/>
    <row r="134" s="35" customFormat="1" x14ac:dyDescent="0.25"/>
    <row r="135" s="35" customFormat="1" x14ac:dyDescent="0.25"/>
    <row r="136" s="35" customFormat="1" x14ac:dyDescent="0.25"/>
    <row r="137" s="35" customFormat="1" x14ac:dyDescent="0.25"/>
    <row r="138" s="35" customFormat="1" x14ac:dyDescent="0.25"/>
    <row r="139" s="35" customFormat="1" x14ac:dyDescent="0.25"/>
    <row r="140" s="35" customFormat="1" x14ac:dyDescent="0.25"/>
    <row r="141" s="35" customFormat="1" x14ac:dyDescent="0.25"/>
    <row r="142" s="35" customFormat="1" x14ac:dyDescent="0.25"/>
    <row r="143" s="35" customFormat="1" x14ac:dyDescent="0.25"/>
    <row r="144" s="35" customFormat="1" x14ac:dyDescent="0.25"/>
    <row r="145" s="35" customFormat="1" x14ac:dyDescent="0.25"/>
    <row r="146" s="35" customFormat="1" x14ac:dyDescent="0.25"/>
    <row r="147" s="35" customFormat="1" x14ac:dyDescent="0.25"/>
    <row r="148" s="35" customFormat="1" x14ac:dyDescent="0.25"/>
    <row r="149" s="35" customFormat="1" x14ac:dyDescent="0.25"/>
    <row r="150" s="35" customFormat="1" x14ac:dyDescent="0.25"/>
    <row r="151" s="35" customFormat="1" x14ac:dyDescent="0.25"/>
    <row r="152" s="35" customFormat="1" x14ac:dyDescent="0.25"/>
    <row r="153" s="35" customFormat="1" x14ac:dyDescent="0.25"/>
    <row r="154" s="35" customFormat="1" x14ac:dyDescent="0.25"/>
  </sheetData>
  <mergeCells count="16">
    <mergeCell ref="M29:P29"/>
    <mergeCell ref="C92:D92"/>
    <mergeCell ref="C93:D93"/>
    <mergeCell ref="C94:D94"/>
    <mergeCell ref="A1:K1"/>
    <mergeCell ref="A2:K2"/>
    <mergeCell ref="A3:K3"/>
    <mergeCell ref="A4:K4"/>
    <mergeCell ref="A5:K5"/>
    <mergeCell ref="A6:F6"/>
    <mergeCell ref="H6:K6"/>
    <mergeCell ref="C95:D95"/>
    <mergeCell ref="C96:D96"/>
    <mergeCell ref="C97:D97"/>
    <mergeCell ref="A7:F7"/>
    <mergeCell ref="H7:K7"/>
  </mergeCells>
  <pageMargins left="0.70866141732283472" right="0.70866141732283472" top="0.74803149606299213" bottom="0.74803149606299213" header="0.31496062992125984" footer="0.31496062992125984"/>
  <pageSetup paperSize="9" scale="73" orientation="portrait" r:id="rId1"/>
  <headerFooter>
    <oddFooter>&amp;LPrepared By:&amp;CChecked By:&amp;RApproved By:</oddFooter>
  </headerFooter>
  <rowBreaks count="1" manualBreakCount="1">
    <brk id="46" max="10"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54"/>
  <sheetViews>
    <sheetView tabSelected="1" view="pageBreakPreview" topLeftCell="A29" zoomScale="60" zoomScaleNormal="100" workbookViewId="0">
      <selection activeCell="A6" sqref="A6:F6"/>
    </sheetView>
  </sheetViews>
  <sheetFormatPr defaultRowHeight="15" x14ac:dyDescent="0.25"/>
  <cols>
    <col min="1" max="1" width="4.7109375" customWidth="1"/>
    <col min="2" max="2" width="31.28515625" customWidth="1"/>
    <col min="3" max="3" width="5.5703125" bestFit="1" customWidth="1"/>
    <col min="4" max="4" width="7.5703125" customWidth="1"/>
    <col min="5" max="5" width="8.5703125" customWidth="1"/>
    <col min="6" max="6" width="8" customWidth="1"/>
    <col min="7" max="7" width="8.5703125" customWidth="1"/>
    <col min="8" max="8" width="5" bestFit="1" customWidth="1"/>
    <col min="9" max="10" width="10.7109375" hidden="1" customWidth="1"/>
  </cols>
  <sheetData>
    <row r="1" spans="1:14" s="1" customFormat="1" x14ac:dyDescent="0.25">
      <c r="A1" s="93" t="s">
        <v>0</v>
      </c>
      <c r="B1" s="93"/>
      <c r="C1" s="93"/>
      <c r="D1" s="93"/>
      <c r="E1" s="93"/>
      <c r="F1" s="93"/>
      <c r="G1" s="93"/>
      <c r="H1" s="93"/>
      <c r="I1" s="93"/>
      <c r="J1" s="93"/>
      <c r="K1" s="93"/>
    </row>
    <row r="2" spans="1:14" s="1" customFormat="1" ht="22.5" x14ac:dyDescent="0.25">
      <c r="A2" s="94" t="s">
        <v>1</v>
      </c>
      <c r="B2" s="94"/>
      <c r="C2" s="94"/>
      <c r="D2" s="94"/>
      <c r="E2" s="94"/>
      <c r="F2" s="94"/>
      <c r="G2" s="94"/>
      <c r="H2" s="94"/>
      <c r="I2" s="94"/>
      <c r="J2" s="94"/>
      <c r="K2" s="94"/>
    </row>
    <row r="3" spans="1:14" s="1" customFormat="1" x14ac:dyDescent="0.25">
      <c r="A3" s="95" t="s">
        <v>2</v>
      </c>
      <c r="B3" s="95"/>
      <c r="C3" s="95"/>
      <c r="D3" s="95"/>
      <c r="E3" s="95"/>
      <c r="F3" s="95"/>
      <c r="G3" s="95"/>
      <c r="H3" s="95"/>
      <c r="I3" s="95"/>
      <c r="J3" s="95"/>
      <c r="K3" s="95"/>
    </row>
    <row r="4" spans="1:14" s="1" customFormat="1" x14ac:dyDescent="0.25">
      <c r="A4" s="95" t="s">
        <v>3</v>
      </c>
      <c r="B4" s="95"/>
      <c r="C4" s="95"/>
      <c r="D4" s="95"/>
      <c r="E4" s="95"/>
      <c r="F4" s="95"/>
      <c r="G4" s="95"/>
      <c r="H4" s="95"/>
      <c r="I4" s="95"/>
      <c r="J4" s="95"/>
      <c r="K4" s="95"/>
    </row>
    <row r="5" spans="1:14" ht="18.75" x14ac:dyDescent="0.3">
      <c r="A5" s="96" t="s">
        <v>99</v>
      </c>
      <c r="B5" s="96"/>
      <c r="C5" s="96"/>
      <c r="D5" s="96"/>
      <c r="E5" s="96"/>
      <c r="F5" s="96"/>
      <c r="G5" s="96"/>
      <c r="H5" s="96"/>
      <c r="I5" s="96"/>
      <c r="J5" s="96"/>
      <c r="K5" s="96"/>
    </row>
    <row r="6" spans="1:14" ht="15.75" x14ac:dyDescent="0.25">
      <c r="A6" s="91" t="s">
        <v>53</v>
      </c>
      <c r="B6" s="91"/>
      <c r="C6" s="91"/>
      <c r="D6" s="91"/>
      <c r="E6" s="91"/>
      <c r="F6" s="91"/>
      <c r="G6" s="2"/>
      <c r="I6" s="84"/>
      <c r="J6" s="84"/>
      <c r="K6" s="84" t="s">
        <v>43</v>
      </c>
    </row>
    <row r="7" spans="1:14" ht="15.75" x14ac:dyDescent="0.25">
      <c r="A7" s="87" t="s">
        <v>28</v>
      </c>
      <c r="B7" s="87"/>
      <c r="C7" s="87"/>
      <c r="D7" s="87"/>
      <c r="E7" s="87"/>
      <c r="F7" s="87"/>
      <c r="G7" s="3"/>
      <c r="I7" s="85"/>
      <c r="J7" s="85"/>
      <c r="K7" s="85" t="s">
        <v>80</v>
      </c>
    </row>
    <row r="8" spans="1:14" ht="15" customHeight="1" x14ac:dyDescent="0.25">
      <c r="A8" s="4" t="s">
        <v>5</v>
      </c>
      <c r="B8" s="15" t="s">
        <v>6</v>
      </c>
      <c r="C8" s="4" t="s">
        <v>7</v>
      </c>
      <c r="D8" s="16" t="s">
        <v>8</v>
      </c>
      <c r="E8" s="16" t="s">
        <v>9</v>
      </c>
      <c r="F8" s="16" t="s">
        <v>10</v>
      </c>
      <c r="G8" s="16" t="s">
        <v>11</v>
      </c>
      <c r="H8" s="4" t="s">
        <v>12</v>
      </c>
      <c r="I8" s="16" t="s">
        <v>13</v>
      </c>
      <c r="J8" s="16" t="s">
        <v>14</v>
      </c>
      <c r="K8" s="17" t="s">
        <v>15</v>
      </c>
    </row>
    <row r="9" spans="1:14" ht="150" x14ac:dyDescent="0.25">
      <c r="A9" s="29">
        <v>1</v>
      </c>
      <c r="B9" s="30" t="s">
        <v>50</v>
      </c>
      <c r="C9" s="36"/>
      <c r="D9" s="36"/>
      <c r="E9" s="36"/>
      <c r="F9" s="36"/>
      <c r="G9" s="36"/>
      <c r="H9" s="36"/>
      <c r="I9" s="36"/>
      <c r="J9" s="36"/>
      <c r="K9" s="36"/>
    </row>
    <row r="10" spans="1:14" ht="15" customHeight="1" x14ac:dyDescent="0.25">
      <c r="A10" s="18"/>
      <c r="B10" s="37" t="str">
        <f>B30</f>
        <v>-For stone masonary</v>
      </c>
      <c r="C10" s="36">
        <v>0.5</v>
      </c>
      <c r="D10" s="38">
        <f>D52+D53+D54</f>
        <v>12.99</v>
      </c>
      <c r="E10" s="38">
        <v>1.6</v>
      </c>
      <c r="F10" s="38">
        <v>2</v>
      </c>
      <c r="G10" s="39">
        <f>PRODUCT(C10:F10)</f>
        <v>20.784000000000002</v>
      </c>
      <c r="H10" s="40"/>
      <c r="I10" s="40"/>
      <c r="J10" s="40"/>
      <c r="K10" s="21"/>
      <c r="M10" s="25"/>
      <c r="N10" s="25"/>
    </row>
    <row r="11" spans="1:14" ht="15" customHeight="1" x14ac:dyDescent="0.25">
      <c r="A11" s="18"/>
      <c r="B11" s="37" t="s">
        <v>40</v>
      </c>
      <c r="C11" s="19"/>
      <c r="D11" s="20"/>
      <c r="E11" s="21"/>
      <c r="F11" s="21"/>
      <c r="G11" s="23">
        <f>SUM(G10:G10)</f>
        <v>20.784000000000002</v>
      </c>
      <c r="H11" s="22" t="s">
        <v>39</v>
      </c>
      <c r="I11" s="23">
        <v>64.63</v>
      </c>
      <c r="J11" s="41">
        <f>G11*I11</f>
        <v>1343.26992</v>
      </c>
      <c r="K11" s="21"/>
      <c r="M11" s="25"/>
      <c r="N11" s="25"/>
    </row>
    <row r="12" spans="1:14" ht="15" hidden="1" customHeight="1" x14ac:dyDescent="0.25">
      <c r="A12" s="18"/>
      <c r="B12" s="37" t="s">
        <v>38</v>
      </c>
      <c r="C12" s="19"/>
      <c r="D12" s="20"/>
      <c r="E12" s="21"/>
      <c r="F12" s="21"/>
      <c r="G12" s="23"/>
      <c r="H12" s="22"/>
      <c r="I12" s="23"/>
      <c r="J12" s="41">
        <f>0.13*G11*19284/360</f>
        <v>144.73284800000002</v>
      </c>
      <c r="K12" s="21"/>
      <c r="M12" s="25"/>
      <c r="N12" s="25"/>
    </row>
    <row r="13" spans="1:14" ht="15" customHeight="1" x14ac:dyDescent="0.25">
      <c r="A13" s="18"/>
      <c r="B13" s="37"/>
      <c r="C13" s="19"/>
      <c r="D13" s="20"/>
      <c r="E13" s="21"/>
      <c r="F13" s="21"/>
      <c r="G13" s="23"/>
      <c r="H13" s="22"/>
      <c r="I13" s="23"/>
      <c r="J13" s="41"/>
      <c r="K13" s="21"/>
      <c r="M13" s="25"/>
      <c r="N13" s="25"/>
    </row>
    <row r="14" spans="1:14" ht="30.75" x14ac:dyDescent="0.25">
      <c r="A14" s="18">
        <v>2</v>
      </c>
      <c r="B14" s="65" t="s">
        <v>61</v>
      </c>
      <c r="C14" s="19"/>
      <c r="D14" s="20"/>
      <c r="E14" s="21"/>
      <c r="F14" s="21"/>
      <c r="G14" s="23"/>
      <c r="H14" s="22"/>
      <c r="I14" s="23"/>
      <c r="J14" s="41"/>
      <c r="K14" s="21"/>
      <c r="M14" s="25"/>
      <c r="N14" s="25"/>
    </row>
    <row r="15" spans="1:14" ht="15" customHeight="1" x14ac:dyDescent="0.25">
      <c r="A15" s="18"/>
      <c r="B15" s="37" t="s">
        <v>62</v>
      </c>
      <c r="C15" s="19">
        <v>1</v>
      </c>
      <c r="D15" s="20">
        <f>D67</f>
        <v>20.95</v>
      </c>
      <c r="E15" s="21">
        <v>0.35</v>
      </c>
      <c r="F15" s="21">
        <v>0.23</v>
      </c>
      <c r="G15" s="39">
        <f>PRODUCT(C15:F15)</f>
        <v>1.6864749999999999</v>
      </c>
      <c r="H15" s="22"/>
      <c r="I15" s="23"/>
      <c r="J15" s="41"/>
      <c r="K15" s="21"/>
    </row>
    <row r="16" spans="1:14" ht="15" customHeight="1" x14ac:dyDescent="0.25">
      <c r="A16" s="18"/>
      <c r="B16" s="37" t="s">
        <v>40</v>
      </c>
      <c r="C16" s="19"/>
      <c r="D16" s="20"/>
      <c r="E16" s="21"/>
      <c r="F16" s="21"/>
      <c r="G16" s="23">
        <f>SUM(G15:G15)</f>
        <v>1.6864749999999999</v>
      </c>
      <c r="H16" s="22" t="s">
        <v>39</v>
      </c>
      <c r="I16" s="23">
        <v>663.31</v>
      </c>
      <c r="J16" s="41">
        <f>G16*I16</f>
        <v>1118.6557322499998</v>
      </c>
      <c r="K16" s="21"/>
    </row>
    <row r="17" spans="1:16" ht="15" customHeight="1" x14ac:dyDescent="0.25">
      <c r="A17" s="18"/>
      <c r="B17" s="37"/>
      <c r="C17" s="19"/>
      <c r="D17" s="20"/>
      <c r="E17" s="21"/>
      <c r="F17" s="21"/>
      <c r="G17" s="23"/>
      <c r="H17" s="22"/>
      <c r="I17" s="23"/>
      <c r="J17" s="41"/>
      <c r="K17" s="21"/>
    </row>
    <row r="18" spans="1:16" ht="45.75" x14ac:dyDescent="0.25">
      <c r="A18" s="18">
        <v>3</v>
      </c>
      <c r="B18" s="65" t="s">
        <v>63</v>
      </c>
      <c r="C18" s="19"/>
      <c r="D18" s="20"/>
      <c r="E18" s="21"/>
      <c r="F18" s="21"/>
      <c r="G18" s="23"/>
      <c r="H18" s="22"/>
      <c r="I18" s="23"/>
      <c r="J18" s="41"/>
      <c r="K18" s="21"/>
    </row>
    <row r="19" spans="1:16" ht="15" customHeight="1" x14ac:dyDescent="0.25">
      <c r="A19" s="18"/>
      <c r="B19" s="37" t="s">
        <v>64</v>
      </c>
      <c r="C19" s="19">
        <v>1</v>
      </c>
      <c r="D19" s="20">
        <f>25.5/3.281</f>
        <v>7.7720207253886011</v>
      </c>
      <c r="E19" s="21">
        <f>0.5+0.3</f>
        <v>0.8</v>
      </c>
      <c r="F19" s="21"/>
      <c r="G19" s="39">
        <f>PRODUCT(C19:F19)</f>
        <v>6.2176165803108816</v>
      </c>
      <c r="H19" s="22"/>
      <c r="I19" s="23"/>
      <c r="J19" s="41"/>
      <c r="K19" s="21"/>
    </row>
    <row r="20" spans="1:16" ht="15" customHeight="1" x14ac:dyDescent="0.25">
      <c r="A20" s="18"/>
      <c r="B20" s="37"/>
      <c r="C20" s="19">
        <v>1</v>
      </c>
      <c r="D20" s="20">
        <f>12.833/3.281</f>
        <v>3.9113075281926242</v>
      </c>
      <c r="E20" s="21">
        <v>0.3</v>
      </c>
      <c r="F20" s="21"/>
      <c r="G20" s="39">
        <f>PRODUCT(C20:F20)</f>
        <v>1.1733922584577872</v>
      </c>
      <c r="H20" s="22"/>
      <c r="I20" s="23"/>
      <c r="J20" s="41"/>
      <c r="K20" s="21"/>
    </row>
    <row r="21" spans="1:16" ht="15" customHeight="1" x14ac:dyDescent="0.25">
      <c r="A21" s="18"/>
      <c r="B21" s="37" t="s">
        <v>40</v>
      </c>
      <c r="C21" s="19"/>
      <c r="D21" s="20"/>
      <c r="E21" s="21"/>
      <c r="F21" s="21"/>
      <c r="G21" s="23">
        <f>SUM(G19:G20)</f>
        <v>7.391008838768669</v>
      </c>
      <c r="H21" s="22" t="s">
        <v>55</v>
      </c>
      <c r="I21" s="23">
        <v>21.16</v>
      </c>
      <c r="J21" s="41">
        <f>G21*I21</f>
        <v>156.39374702834505</v>
      </c>
      <c r="K21" s="21"/>
    </row>
    <row r="22" spans="1:16" ht="15" customHeight="1" x14ac:dyDescent="0.25">
      <c r="A22" s="18"/>
      <c r="B22" s="37"/>
      <c r="C22" s="19"/>
      <c r="D22" s="20"/>
      <c r="E22" s="21"/>
      <c r="F22" s="21"/>
      <c r="G22" s="23"/>
      <c r="H22" s="22"/>
      <c r="I22" s="23"/>
      <c r="J22" s="41"/>
      <c r="K22" s="21"/>
    </row>
    <row r="23" spans="1:16" x14ac:dyDescent="0.25">
      <c r="A23" s="18">
        <v>4</v>
      </c>
      <c r="B23" s="66" t="s">
        <v>59</v>
      </c>
      <c r="C23" s="19"/>
      <c r="D23" s="20"/>
      <c r="E23" s="21"/>
      <c r="F23" s="21"/>
      <c r="G23" s="23"/>
      <c r="H23" s="22"/>
      <c r="I23" s="23"/>
      <c r="J23" s="41"/>
      <c r="K23" s="21"/>
    </row>
    <row r="24" spans="1:16" ht="15" customHeight="1" x14ac:dyDescent="0.25">
      <c r="A24" s="18"/>
      <c r="B24" s="37" t="str">
        <f>B15</f>
        <v>-for footing of wall at truss structure</v>
      </c>
      <c r="C24" s="19">
        <v>1</v>
      </c>
      <c r="D24" s="20">
        <f>D67+D69</f>
        <v>22.11</v>
      </c>
      <c r="E24" s="21">
        <v>0.23</v>
      </c>
      <c r="F24" s="21"/>
      <c r="G24" s="39">
        <f>PRODUCT(C24:F24)</f>
        <v>5.0853000000000002</v>
      </c>
      <c r="H24" s="22"/>
      <c r="I24" s="23"/>
      <c r="J24" s="41"/>
      <c r="K24" s="21"/>
    </row>
    <row r="25" spans="1:16" ht="15" customHeight="1" x14ac:dyDescent="0.25">
      <c r="A25" s="18"/>
      <c r="B25" s="37" t="s">
        <v>78</v>
      </c>
      <c r="C25" s="19">
        <v>1</v>
      </c>
      <c r="D25" s="20">
        <f>7.25/3.281</f>
        <v>2.2096921670222494</v>
      </c>
      <c r="E25" s="21">
        <v>0.75</v>
      </c>
      <c r="F25" s="21"/>
      <c r="G25" s="39">
        <f>PRODUCT(C25:F25)</f>
        <v>1.6572691252666871</v>
      </c>
      <c r="H25" s="22"/>
      <c r="I25" s="23"/>
      <c r="J25" s="41"/>
      <c r="K25" s="21"/>
    </row>
    <row r="26" spans="1:16" ht="15" customHeight="1" x14ac:dyDescent="0.25">
      <c r="A26" s="18"/>
      <c r="B26" s="37" t="s">
        <v>40</v>
      </c>
      <c r="C26" s="19"/>
      <c r="D26" s="20"/>
      <c r="E26" s="21"/>
      <c r="F26" s="21"/>
      <c r="G26" s="23">
        <f>SUM(G24:G25)</f>
        <v>6.7425691252666873</v>
      </c>
      <c r="H26" s="22" t="s">
        <v>55</v>
      </c>
      <c r="I26" s="23">
        <v>1014.97</v>
      </c>
      <c r="J26" s="41">
        <f>G26*I26</f>
        <v>6843.5053850719296</v>
      </c>
      <c r="K26" s="21"/>
    </row>
    <row r="27" spans="1:16" ht="15" hidden="1" customHeight="1" x14ac:dyDescent="0.25">
      <c r="A27" s="18"/>
      <c r="B27" s="37" t="s">
        <v>38</v>
      </c>
      <c r="C27" s="19"/>
      <c r="D27" s="20"/>
      <c r="E27" s="21"/>
      <c r="F27" s="21"/>
      <c r="G27" s="23"/>
      <c r="H27" s="22"/>
      <c r="I27" s="23"/>
      <c r="J27" s="41">
        <f>0.13*G26*8617.2/10</f>
        <v>755.32686666122538</v>
      </c>
      <c r="K27" s="21"/>
    </row>
    <row r="28" spans="1:16" ht="15" customHeight="1" x14ac:dyDescent="0.25">
      <c r="A28" s="18"/>
      <c r="B28" s="37"/>
      <c r="C28" s="19"/>
      <c r="D28" s="20"/>
      <c r="E28" s="21"/>
      <c r="F28" s="21"/>
      <c r="G28" s="23"/>
      <c r="H28" s="22"/>
      <c r="I28" s="23"/>
      <c r="J28" s="41"/>
      <c r="K28" s="21"/>
    </row>
    <row r="29" spans="1:16" ht="90" x14ac:dyDescent="0.25">
      <c r="A29" s="18">
        <v>5</v>
      </c>
      <c r="B29" s="30" t="s">
        <v>42</v>
      </c>
      <c r="C29" s="19"/>
      <c r="D29" s="20"/>
      <c r="E29" s="21"/>
      <c r="F29" s="21"/>
      <c r="G29" s="23"/>
      <c r="H29" s="22"/>
      <c r="I29" s="23"/>
      <c r="J29" s="41"/>
      <c r="K29" s="21"/>
      <c r="M29" s="90"/>
      <c r="N29" s="90"/>
      <c r="O29" s="90"/>
      <c r="P29" s="90"/>
    </row>
    <row r="30" spans="1:16" ht="15" customHeight="1" x14ac:dyDescent="0.25">
      <c r="A30" s="18"/>
      <c r="B30" s="37" t="str">
        <f>B37</f>
        <v>-For stone masonary</v>
      </c>
      <c r="C30" s="36">
        <v>1</v>
      </c>
      <c r="D30" s="38">
        <f>D37</f>
        <v>4.53</v>
      </c>
      <c r="E30" s="38">
        <v>1.6</v>
      </c>
      <c r="F30" s="38">
        <v>0.15</v>
      </c>
      <c r="G30" s="39">
        <f>PRODUCT(C30:F30)</f>
        <v>1.0872000000000002</v>
      </c>
      <c r="H30" s="40"/>
      <c r="I30" s="40"/>
      <c r="J30" s="40"/>
      <c r="K30" s="21"/>
      <c r="M30" s="25"/>
      <c r="N30" s="25"/>
    </row>
    <row r="31" spans="1:16" ht="15" customHeight="1" x14ac:dyDescent="0.25">
      <c r="A31" s="18"/>
      <c r="B31" s="37"/>
      <c r="C31" s="36">
        <v>1</v>
      </c>
      <c r="D31" s="38">
        <f>D39</f>
        <v>4.3099999999999996</v>
      </c>
      <c r="E31" s="38">
        <v>1.6</v>
      </c>
      <c r="F31" s="38">
        <v>0.15</v>
      </c>
      <c r="G31" s="39">
        <f t="shared" ref="G31:G32" si="0">PRODUCT(C31:F31)</f>
        <v>1.0344</v>
      </c>
      <c r="H31" s="40"/>
      <c r="I31" s="40"/>
      <c r="J31" s="40"/>
      <c r="K31" s="21"/>
      <c r="M31" s="25"/>
      <c r="N31" s="25"/>
    </row>
    <row r="32" spans="1:16" ht="15" customHeight="1" x14ac:dyDescent="0.25">
      <c r="A32" s="18"/>
      <c r="B32" s="37"/>
      <c r="C32" s="36">
        <v>1</v>
      </c>
      <c r="D32" s="38">
        <f>D41</f>
        <v>4.1500000000000004</v>
      </c>
      <c r="E32" s="38">
        <v>1.5</v>
      </c>
      <c r="F32" s="38">
        <v>0.15</v>
      </c>
      <c r="G32" s="39">
        <f t="shared" si="0"/>
        <v>0.93375000000000008</v>
      </c>
      <c r="H32" s="40"/>
      <c r="I32" s="40"/>
      <c r="J32" s="40"/>
      <c r="K32" s="21"/>
      <c r="M32" s="25"/>
      <c r="N32" s="25"/>
    </row>
    <row r="33" spans="1:14" ht="15" customHeight="1" x14ac:dyDescent="0.25">
      <c r="A33" s="40"/>
      <c r="B33" s="37" t="s">
        <v>40</v>
      </c>
      <c r="C33" s="42"/>
      <c r="D33" s="43"/>
      <c r="E33" s="43"/>
      <c r="F33" s="43"/>
      <c r="G33" s="33">
        <f>SUM(G30:G32)</f>
        <v>3.0553499999999998</v>
      </c>
      <c r="H33" s="33" t="s">
        <v>39</v>
      </c>
      <c r="I33" s="33">
        <v>4434.5200000000004</v>
      </c>
      <c r="J33" s="44">
        <f>G33*I33</f>
        <v>13549.010682</v>
      </c>
      <c r="K33" s="36"/>
    </row>
    <row r="34" spans="1:14" hidden="1" x14ac:dyDescent="0.25">
      <c r="A34" s="40"/>
      <c r="B34" s="37" t="s">
        <v>38</v>
      </c>
      <c r="C34" s="42"/>
      <c r="D34" s="43"/>
      <c r="E34" s="43"/>
      <c r="F34" s="43"/>
      <c r="G34" s="43"/>
      <c r="H34" s="43"/>
      <c r="I34" s="43"/>
      <c r="J34" s="45">
        <f>0.13*G33*(14817.6/5)</f>
        <v>1177.0968081599999</v>
      </c>
      <c r="K34" s="36"/>
    </row>
    <row r="35" spans="1:14" x14ac:dyDescent="0.25">
      <c r="A35" s="40"/>
      <c r="B35" s="37"/>
      <c r="C35" s="42"/>
      <c r="D35" s="43"/>
      <c r="E35" s="43"/>
      <c r="F35" s="43"/>
      <c r="G35" s="43"/>
      <c r="H35" s="43"/>
      <c r="I35" s="43"/>
      <c r="J35" s="45"/>
      <c r="K35" s="36"/>
    </row>
    <row r="36" spans="1:14" ht="75" x14ac:dyDescent="0.25">
      <c r="A36" s="18">
        <v>6</v>
      </c>
      <c r="B36" s="30" t="s">
        <v>41</v>
      </c>
      <c r="C36" s="19"/>
      <c r="D36" s="20"/>
      <c r="E36" s="21"/>
      <c r="F36" s="21"/>
      <c r="G36" s="23"/>
      <c r="H36" s="22"/>
      <c r="I36" s="23"/>
      <c r="J36" s="41"/>
      <c r="K36" s="21"/>
      <c r="M36" s="25"/>
      <c r="N36" s="25"/>
    </row>
    <row r="37" spans="1:14" ht="15" customHeight="1" x14ac:dyDescent="0.25">
      <c r="A37" s="18"/>
      <c r="B37" s="37" t="s">
        <v>60</v>
      </c>
      <c r="C37" s="36">
        <v>1</v>
      </c>
      <c r="D37" s="38">
        <f>D52</f>
        <v>4.53</v>
      </c>
      <c r="E37" s="38">
        <v>1.6</v>
      </c>
      <c r="F37" s="38">
        <v>0.05</v>
      </c>
      <c r="G37" s="39">
        <f t="shared" ref="G37:G47" si="1">PRODUCT(C37:F37)</f>
        <v>0.36240000000000006</v>
      </c>
      <c r="H37" s="40"/>
      <c r="I37" s="40"/>
      <c r="J37" s="40"/>
      <c r="K37" s="21"/>
      <c r="M37" s="25"/>
      <c r="N37" s="25"/>
    </row>
    <row r="38" spans="1:14" ht="15" customHeight="1" x14ac:dyDescent="0.25">
      <c r="A38" s="18"/>
      <c r="B38" s="37"/>
      <c r="C38" s="36">
        <v>1</v>
      </c>
      <c r="D38" s="38">
        <f>D37</f>
        <v>4.53</v>
      </c>
      <c r="E38" s="38">
        <v>0.53</v>
      </c>
      <c r="F38" s="38">
        <v>0.05</v>
      </c>
      <c r="G38" s="39">
        <f t="shared" si="1"/>
        <v>0.12004500000000001</v>
      </c>
      <c r="H38" s="40"/>
      <c r="I38" s="40"/>
      <c r="J38" s="40"/>
      <c r="K38" s="21"/>
      <c r="M38" s="25"/>
      <c r="N38" s="25"/>
    </row>
    <row r="39" spans="1:14" ht="15" customHeight="1" x14ac:dyDescent="0.25">
      <c r="A39" s="18"/>
      <c r="B39" s="37" t="s">
        <v>60</v>
      </c>
      <c r="C39" s="36">
        <v>1</v>
      </c>
      <c r="D39" s="38">
        <f>D53</f>
        <v>4.3099999999999996</v>
      </c>
      <c r="E39" s="38">
        <v>1.6</v>
      </c>
      <c r="F39" s="38">
        <v>0.05</v>
      </c>
      <c r="G39" s="39">
        <f t="shared" si="1"/>
        <v>0.3448</v>
      </c>
      <c r="H39" s="40"/>
      <c r="I39" s="40"/>
      <c r="J39" s="40"/>
      <c r="K39" s="21"/>
      <c r="M39" s="25"/>
      <c r="N39" s="25"/>
    </row>
    <row r="40" spans="1:14" ht="15" customHeight="1" x14ac:dyDescent="0.25">
      <c r="A40" s="18"/>
      <c r="B40" s="37"/>
      <c r="C40" s="36">
        <v>1</v>
      </c>
      <c r="D40" s="38">
        <f>D39</f>
        <v>4.3099999999999996</v>
      </c>
      <c r="E40" s="38">
        <v>0.53</v>
      </c>
      <c r="F40" s="38">
        <v>0.05</v>
      </c>
      <c r="G40" s="39">
        <f t="shared" si="1"/>
        <v>0.11421500000000001</v>
      </c>
      <c r="H40" s="40"/>
      <c r="I40" s="40"/>
      <c r="J40" s="40"/>
      <c r="K40" s="21"/>
      <c r="M40" s="25"/>
      <c r="N40" s="25"/>
    </row>
    <row r="41" spans="1:14" ht="15" customHeight="1" x14ac:dyDescent="0.25">
      <c r="A41" s="18"/>
      <c r="B41" s="37" t="s">
        <v>60</v>
      </c>
      <c r="C41" s="36">
        <v>1</v>
      </c>
      <c r="D41" s="38">
        <f>D54</f>
        <v>4.1500000000000004</v>
      </c>
      <c r="E41" s="38">
        <v>1.5</v>
      </c>
      <c r="F41" s="38">
        <v>0.05</v>
      </c>
      <c r="G41" s="39">
        <f t="shared" si="1"/>
        <v>0.31125000000000003</v>
      </c>
      <c r="H41" s="40"/>
      <c r="I41" s="40"/>
      <c r="J41" s="40"/>
      <c r="K41" s="21"/>
      <c r="M41" s="25"/>
      <c r="N41" s="25"/>
    </row>
    <row r="42" spans="1:14" ht="15" customHeight="1" x14ac:dyDescent="0.25">
      <c r="A42" s="18"/>
      <c r="B42" s="37"/>
      <c r="C42" s="36">
        <v>1</v>
      </c>
      <c r="D42" s="38">
        <f>D41</f>
        <v>4.1500000000000004</v>
      </c>
      <c r="E42" s="38">
        <v>0.6</v>
      </c>
      <c r="F42" s="38">
        <v>0.05</v>
      </c>
      <c r="G42" s="39">
        <f t="shared" si="1"/>
        <v>0.12450000000000001</v>
      </c>
      <c r="H42" s="40"/>
      <c r="I42" s="40"/>
      <c r="J42" s="40"/>
      <c r="K42" s="21"/>
      <c r="M42" s="25"/>
      <c r="N42" s="25"/>
    </row>
    <row r="43" spans="1:14" ht="15" customHeight="1" x14ac:dyDescent="0.25">
      <c r="A43" s="18"/>
      <c r="B43" s="37" t="s">
        <v>71</v>
      </c>
      <c r="C43" s="47">
        <v>1</v>
      </c>
      <c r="D43" s="38">
        <f>D67</f>
        <v>20.95</v>
      </c>
      <c r="E43" s="38">
        <v>0.23</v>
      </c>
      <c r="F43" s="38">
        <f>0.05</f>
        <v>0.05</v>
      </c>
      <c r="G43" s="39">
        <f t="shared" si="1"/>
        <v>0.24092500000000003</v>
      </c>
      <c r="H43" s="40"/>
      <c r="I43" s="40"/>
      <c r="J43" s="40"/>
      <c r="K43" s="21"/>
      <c r="M43" s="25"/>
      <c r="N43" s="25"/>
    </row>
    <row r="44" spans="1:14" ht="15" customHeight="1" x14ac:dyDescent="0.25">
      <c r="A44" s="18"/>
      <c r="B44" s="37"/>
      <c r="C44" s="47">
        <v>1</v>
      </c>
      <c r="D44" s="38">
        <f>D43</f>
        <v>20.95</v>
      </c>
      <c r="E44" s="38">
        <v>0.23</v>
      </c>
      <c r="F44" s="38">
        <v>7.4999999999999997E-2</v>
      </c>
      <c r="G44" s="39">
        <f t="shared" si="1"/>
        <v>0.36138750000000003</v>
      </c>
      <c r="H44" s="40"/>
      <c r="I44" s="40"/>
      <c r="J44" s="40"/>
      <c r="K44" s="21"/>
      <c r="M44" s="25"/>
      <c r="N44" s="25"/>
    </row>
    <row r="45" spans="1:14" ht="15" customHeight="1" x14ac:dyDescent="0.25">
      <c r="A45" s="18"/>
      <c r="B45" s="37"/>
      <c r="C45" s="47">
        <v>1</v>
      </c>
      <c r="D45" s="38">
        <f>D43</f>
        <v>20.95</v>
      </c>
      <c r="E45" s="38">
        <v>0.23</v>
      </c>
      <c r="F45" s="38">
        <v>0.1</v>
      </c>
      <c r="G45" s="39">
        <f t="shared" si="1"/>
        <v>0.48185000000000006</v>
      </c>
      <c r="H45" s="40"/>
      <c r="I45" s="40"/>
      <c r="J45" s="40"/>
      <c r="K45" s="21"/>
      <c r="M45" s="25"/>
      <c r="N45" s="25"/>
    </row>
    <row r="46" spans="1:14" ht="15" customHeight="1" x14ac:dyDescent="0.25">
      <c r="A46" s="18"/>
      <c r="B46" s="37" t="s">
        <v>78</v>
      </c>
      <c r="C46" s="47">
        <v>1</v>
      </c>
      <c r="D46" s="38">
        <f>7.25/3.281</f>
        <v>2.2096921670222494</v>
      </c>
      <c r="E46" s="38">
        <v>0.75</v>
      </c>
      <c r="F46" s="38">
        <f>2/12/3.281</f>
        <v>5.0797521080971242E-2</v>
      </c>
      <c r="G46" s="39">
        <f t="shared" si="1"/>
        <v>8.4185163327577306E-2</v>
      </c>
      <c r="H46" s="40"/>
      <c r="I46" s="40"/>
      <c r="J46" s="40"/>
      <c r="K46" s="21"/>
      <c r="M46" s="25"/>
      <c r="N46" s="25"/>
    </row>
    <row r="47" spans="1:14" ht="15" customHeight="1" x14ac:dyDescent="0.25">
      <c r="A47" s="18"/>
      <c r="B47" s="37"/>
      <c r="C47" s="47">
        <f>0.5*1</f>
        <v>0.5</v>
      </c>
      <c r="D47" s="38">
        <v>0.5</v>
      </c>
      <c r="E47" s="38">
        <v>0.6</v>
      </c>
      <c r="F47" s="38">
        <v>0.4</v>
      </c>
      <c r="G47" s="39">
        <f t="shared" si="1"/>
        <v>0.06</v>
      </c>
      <c r="H47" s="40"/>
      <c r="I47" s="40"/>
      <c r="J47" s="40"/>
      <c r="K47" s="21"/>
      <c r="M47" s="25"/>
      <c r="N47" s="25"/>
    </row>
    <row r="48" spans="1:14" ht="15" customHeight="1" x14ac:dyDescent="0.25">
      <c r="A48" s="40"/>
      <c r="B48" s="37" t="s">
        <v>40</v>
      </c>
      <c r="C48" s="42"/>
      <c r="D48" s="43"/>
      <c r="E48" s="43"/>
      <c r="F48" s="43"/>
      <c r="G48" s="33">
        <f>SUM(G37:G47)</f>
        <v>2.6055576633275774</v>
      </c>
      <c r="H48" s="33" t="s">
        <v>39</v>
      </c>
      <c r="I48" s="33">
        <v>10634.5</v>
      </c>
      <c r="J48" s="44">
        <f>G48*I48</f>
        <v>27708.802970657121</v>
      </c>
      <c r="K48" s="36"/>
    </row>
    <row r="49" spans="1:14" ht="15" hidden="1" customHeight="1" x14ac:dyDescent="0.25">
      <c r="A49" s="40"/>
      <c r="B49" s="37" t="s">
        <v>38</v>
      </c>
      <c r="C49" s="42"/>
      <c r="D49" s="43"/>
      <c r="E49" s="43"/>
      <c r="F49" s="43"/>
      <c r="G49" s="43"/>
      <c r="H49" s="43"/>
      <c r="I49" s="43"/>
      <c r="J49" s="45">
        <f>0.13*G48*((114907.3+6135.3)/15)</f>
        <v>2733.3234414988206</v>
      </c>
      <c r="K49" s="36"/>
    </row>
    <row r="50" spans="1:14" ht="15" customHeight="1" x14ac:dyDescent="0.25">
      <c r="A50" s="40"/>
      <c r="B50" s="37"/>
      <c r="C50" s="42"/>
      <c r="D50" s="43"/>
      <c r="E50" s="43"/>
      <c r="F50" s="43"/>
      <c r="G50" s="43"/>
      <c r="H50" s="43"/>
      <c r="I50" s="43"/>
      <c r="J50" s="45"/>
      <c r="K50" s="36"/>
    </row>
    <row r="51" spans="1:14" s="1" customFormat="1" ht="90" x14ac:dyDescent="0.25">
      <c r="A51" s="63">
        <v>7</v>
      </c>
      <c r="B51" s="30" t="s">
        <v>47</v>
      </c>
      <c r="C51" s="64"/>
      <c r="D51" s="39"/>
      <c r="E51" s="39"/>
      <c r="F51" s="39"/>
      <c r="G51" s="39"/>
      <c r="H51" s="39"/>
      <c r="I51" s="39"/>
      <c r="J51" s="45"/>
      <c r="K51" s="29"/>
    </row>
    <row r="52" spans="1:14" ht="15" customHeight="1" x14ac:dyDescent="0.25">
      <c r="A52" s="18"/>
      <c r="B52" s="37" t="s">
        <v>60</v>
      </c>
      <c r="C52" s="36">
        <v>1</v>
      </c>
      <c r="D52" s="38">
        <v>4.53</v>
      </c>
      <c r="E52" s="38">
        <f>((1.55+0.53)/2)</f>
        <v>1.04</v>
      </c>
      <c r="F52" s="38">
        <f>2.7-0.05-0.1</f>
        <v>2.5500000000000003</v>
      </c>
      <c r="G52" s="39">
        <f>PRODUCT(C52:F52)</f>
        <v>12.013560000000004</v>
      </c>
      <c r="H52" s="40"/>
      <c r="I52" s="40"/>
      <c r="J52" s="40"/>
      <c r="K52" s="21"/>
      <c r="M52" s="25"/>
      <c r="N52" s="25"/>
    </row>
    <row r="53" spans="1:14" ht="15" customHeight="1" x14ac:dyDescent="0.25">
      <c r="A53" s="18"/>
      <c r="B53" s="37"/>
      <c r="C53" s="36">
        <v>1</v>
      </c>
      <c r="D53" s="38">
        <v>4.3099999999999996</v>
      </c>
      <c r="E53" s="38">
        <f>((1.55+0.53)/2)</f>
        <v>1.04</v>
      </c>
      <c r="F53" s="38">
        <f t="shared" ref="F53:F54" si="2">2.7-0.05-0.1</f>
        <v>2.5500000000000003</v>
      </c>
      <c r="G53" s="39">
        <f t="shared" ref="G53:G54" si="3">PRODUCT(C53:F53)</f>
        <v>11.430120000000002</v>
      </c>
      <c r="H53" s="40"/>
      <c r="I53" s="40"/>
      <c r="J53" s="40"/>
      <c r="K53" s="21"/>
      <c r="M53" s="25"/>
      <c r="N53" s="25"/>
    </row>
    <row r="54" spans="1:14" ht="15" customHeight="1" x14ac:dyDescent="0.25">
      <c r="A54" s="18"/>
      <c r="B54" s="37"/>
      <c r="C54" s="36">
        <v>1</v>
      </c>
      <c r="D54" s="38">
        <v>4.1500000000000004</v>
      </c>
      <c r="E54" s="38">
        <f>((1.5+0.6)/2)</f>
        <v>1.05</v>
      </c>
      <c r="F54" s="38">
        <f t="shared" si="2"/>
        <v>2.5500000000000003</v>
      </c>
      <c r="G54" s="39">
        <f t="shared" si="3"/>
        <v>11.111625000000004</v>
      </c>
      <c r="H54" s="40"/>
      <c r="I54" s="40"/>
      <c r="J54" s="40"/>
      <c r="K54" s="21"/>
      <c r="M54" s="25"/>
      <c r="N54" s="25"/>
    </row>
    <row r="55" spans="1:14" ht="15" customHeight="1" x14ac:dyDescent="0.25">
      <c r="A55" s="40"/>
      <c r="B55" s="37" t="s">
        <v>40</v>
      </c>
      <c r="C55" s="42"/>
      <c r="D55" s="43"/>
      <c r="E55" s="43"/>
      <c r="F55" s="43"/>
      <c r="G55" s="33">
        <f>SUM(G52:G54)</f>
        <v>34.555305000000011</v>
      </c>
      <c r="H55" s="33" t="s">
        <v>39</v>
      </c>
      <c r="I55" s="33">
        <v>9709.43</v>
      </c>
      <c r="J55" s="44">
        <f>G55*I55</f>
        <v>335512.31502615014</v>
      </c>
      <c r="K55" s="36"/>
    </row>
    <row r="56" spans="1:14" ht="15" hidden="1" customHeight="1" x14ac:dyDescent="0.25">
      <c r="A56" s="40"/>
      <c r="B56" s="37" t="s">
        <v>38</v>
      </c>
      <c r="C56" s="42"/>
      <c r="D56" s="43"/>
      <c r="E56" s="43"/>
      <c r="F56" s="43"/>
      <c r="G56" s="43"/>
      <c r="H56" s="43"/>
      <c r="I56" s="43"/>
      <c r="J56" s="45">
        <f>0.13*G55*((27092.1)/5)</f>
        <v>24340.57024335301</v>
      </c>
      <c r="K56" s="36"/>
    </row>
    <row r="57" spans="1:14" ht="15" customHeight="1" x14ac:dyDescent="0.25">
      <c r="A57" s="40"/>
      <c r="B57" s="37"/>
      <c r="C57" s="42"/>
      <c r="D57" s="43"/>
      <c r="E57" s="43"/>
      <c r="F57" s="43"/>
      <c r="G57" s="33"/>
      <c r="H57" s="33"/>
      <c r="I57" s="33"/>
      <c r="J57" s="44"/>
      <c r="K57" s="36"/>
    </row>
    <row r="58" spans="1:14" ht="15.75" x14ac:dyDescent="0.25">
      <c r="A58" s="18">
        <v>8</v>
      </c>
      <c r="B58" s="65" t="s">
        <v>56</v>
      </c>
      <c r="C58" s="19"/>
      <c r="D58" s="20"/>
      <c r="E58" s="21"/>
      <c r="F58" s="21"/>
      <c r="G58" s="23"/>
      <c r="H58" s="22"/>
      <c r="I58" s="23"/>
      <c r="J58" s="41"/>
      <c r="K58" s="21"/>
    </row>
    <row r="59" spans="1:14" ht="15" customHeight="1" x14ac:dyDescent="0.25">
      <c r="A59" s="18"/>
      <c r="B59" s="37" t="s">
        <v>54</v>
      </c>
      <c r="C59" s="36">
        <v>1</v>
      </c>
      <c r="D59" s="38">
        <f>(12.833-1.5+21-1.5+2-1.5+5.5-1.5+10.833-1.5+26.5-1.5+12.833-1.5-0.75-0.75)/3.281</f>
        <v>24.230112770496799</v>
      </c>
      <c r="E59" s="38"/>
      <c r="F59" s="38">
        <f>8.5/3.281</f>
        <v>2.5906735751295336</v>
      </c>
      <c r="G59" s="39">
        <f t="shared" ref="G59:G62" si="4">PRODUCT(C59:F59)</f>
        <v>62.772312876934713</v>
      </c>
      <c r="H59" s="40"/>
      <c r="I59" s="40"/>
      <c r="J59" s="40"/>
      <c r="K59" s="21"/>
    </row>
    <row r="60" spans="1:14" ht="15" customHeight="1" x14ac:dyDescent="0.25">
      <c r="A60" s="18"/>
      <c r="B60" s="37" t="s">
        <v>57</v>
      </c>
      <c r="C60" s="36">
        <v>-1</v>
      </c>
      <c r="D60" s="38">
        <f>3/3.281</f>
        <v>0.91435537945748246</v>
      </c>
      <c r="E60" s="38"/>
      <c r="F60" s="38">
        <f>7/3.281</f>
        <v>2.1334958854007922</v>
      </c>
      <c r="G60" s="39">
        <f t="shared" si="4"/>
        <v>-1.9507734398666188</v>
      </c>
      <c r="H60" s="40"/>
      <c r="I60" s="40"/>
      <c r="J60" s="40"/>
      <c r="K60" s="21"/>
    </row>
    <row r="61" spans="1:14" ht="15" customHeight="1" x14ac:dyDescent="0.25">
      <c r="A61" s="18"/>
      <c r="B61" s="37"/>
      <c r="C61" s="36">
        <v>-1</v>
      </c>
      <c r="D61" s="38">
        <f>2.5/3.281</f>
        <v>0.76196281621456874</v>
      </c>
      <c r="E61" s="38"/>
      <c r="F61" s="38">
        <f>6/3.281</f>
        <v>1.8287107589149649</v>
      </c>
      <c r="G61" s="39">
        <f>PRODUCT(C61:F61)</f>
        <v>-1.393409599904728</v>
      </c>
      <c r="H61" s="40"/>
      <c r="I61" s="40"/>
      <c r="J61" s="40"/>
      <c r="K61" s="21"/>
    </row>
    <row r="62" spans="1:14" ht="15" customHeight="1" x14ac:dyDescent="0.25">
      <c r="A62" s="18"/>
      <c r="B62" s="37" t="s">
        <v>58</v>
      </c>
      <c r="C62" s="36">
        <v>-1</v>
      </c>
      <c r="D62" s="38">
        <f>3.5/3.281</f>
        <v>1.0667479427003961</v>
      </c>
      <c r="E62" s="38"/>
      <c r="F62" s="38">
        <f>4/3.281</f>
        <v>1.2191405059433098</v>
      </c>
      <c r="G62" s="39">
        <f t="shared" si="4"/>
        <v>-1.3005156265777458</v>
      </c>
      <c r="H62" s="40"/>
      <c r="I62" s="40"/>
      <c r="J62" s="40"/>
      <c r="K62" s="21"/>
    </row>
    <row r="63" spans="1:14" ht="15" customHeight="1" x14ac:dyDescent="0.25">
      <c r="A63" s="18"/>
      <c r="B63" s="37" t="s">
        <v>40</v>
      </c>
      <c r="C63" s="19"/>
      <c r="D63" s="20"/>
      <c r="E63" s="21"/>
      <c r="F63" s="21"/>
      <c r="G63" s="23">
        <f>SUM(G59:G62)</f>
        <v>58.12761421058562</v>
      </c>
      <c r="H63" s="22" t="s">
        <v>55</v>
      </c>
      <c r="I63" s="23">
        <v>20.82</v>
      </c>
      <c r="J63" s="41">
        <f>G63*I63</f>
        <v>1210.2169278643926</v>
      </c>
      <c r="K63" s="21"/>
    </row>
    <row r="64" spans="1:14" ht="15" hidden="1" customHeight="1" x14ac:dyDescent="0.25">
      <c r="A64" s="18"/>
      <c r="B64" s="37" t="s">
        <v>38</v>
      </c>
      <c r="C64" s="19"/>
      <c r="D64" s="20"/>
      <c r="E64" s="21"/>
      <c r="F64" s="21"/>
      <c r="G64" s="23"/>
      <c r="H64" s="22"/>
      <c r="I64" s="23"/>
      <c r="J64" s="41">
        <f>0.13*G63*458.4/100</f>
        <v>34.639407860372181</v>
      </c>
      <c r="K64" s="21"/>
    </row>
    <row r="65" spans="1:11" ht="15" customHeight="1" x14ac:dyDescent="0.25">
      <c r="A65" s="18"/>
      <c r="B65" s="37"/>
      <c r="C65" s="19"/>
      <c r="D65" s="20"/>
      <c r="E65" s="21"/>
      <c r="F65" s="21"/>
      <c r="G65" s="23"/>
      <c r="H65" s="22"/>
      <c r="I65" s="23"/>
      <c r="J65" s="41"/>
      <c r="K65" s="21"/>
    </row>
    <row r="66" spans="1:11" ht="30" x14ac:dyDescent="0.25">
      <c r="A66" s="18">
        <v>9</v>
      </c>
      <c r="B66" s="66" t="s">
        <v>48</v>
      </c>
      <c r="C66" s="19"/>
      <c r="D66" s="20"/>
      <c r="E66" s="21"/>
      <c r="F66" s="21"/>
      <c r="G66" s="23"/>
      <c r="H66" s="22"/>
      <c r="I66" s="23"/>
      <c r="J66" s="41"/>
      <c r="K66" s="21"/>
    </row>
    <row r="67" spans="1:11" ht="15" customHeight="1" x14ac:dyDescent="0.25">
      <c r="A67" s="18"/>
      <c r="B67" s="37" t="s">
        <v>54</v>
      </c>
      <c r="C67" s="47">
        <v>1</v>
      </c>
      <c r="D67" s="38">
        <f>3.92+3.94+(3.52+3.49)+3.98+2.1</f>
        <v>20.95</v>
      </c>
      <c r="E67" s="38">
        <v>0.23</v>
      </c>
      <c r="F67" s="38">
        <f>1.47-0.23</f>
        <v>1.24</v>
      </c>
      <c r="G67" s="39">
        <f>PRODUCT(C67:F67)</f>
        <v>5.9749400000000001</v>
      </c>
      <c r="H67" s="40"/>
      <c r="I67" s="40"/>
      <c r="J67" s="40"/>
      <c r="K67" s="21"/>
    </row>
    <row r="68" spans="1:11" ht="15" customHeight="1" x14ac:dyDescent="0.25">
      <c r="A68" s="18"/>
      <c r="B68" s="37"/>
      <c r="C68" s="47">
        <v>1</v>
      </c>
      <c r="D68" s="38">
        <f>3.94-0.9</f>
        <v>3.04</v>
      </c>
      <c r="E68" s="38">
        <v>0.23</v>
      </c>
      <c r="F68" s="38">
        <v>1.2</v>
      </c>
      <c r="G68" s="39">
        <f>PRODUCT(C68:F68)</f>
        <v>0.83904000000000001</v>
      </c>
      <c r="H68" s="40"/>
      <c r="I68" s="40"/>
      <c r="J68" s="40"/>
      <c r="K68" s="21"/>
    </row>
    <row r="69" spans="1:11" ht="15" customHeight="1" x14ac:dyDescent="0.25">
      <c r="A69" s="18"/>
      <c r="B69" s="37" t="s">
        <v>77</v>
      </c>
      <c r="C69" s="47">
        <v>1</v>
      </c>
      <c r="D69" s="38">
        <v>1.1599999999999999</v>
      </c>
      <c r="E69" s="38">
        <v>0.23</v>
      </c>
      <c r="F69" s="38">
        <f>1.47-1.18-0.05-0.1</f>
        <v>0.14000000000000004</v>
      </c>
      <c r="G69" s="39">
        <f>PRODUCT(C69:F69)</f>
        <v>3.735200000000001E-2</v>
      </c>
      <c r="H69" s="40"/>
      <c r="I69" s="40"/>
      <c r="J69" s="40"/>
      <c r="K69" s="21"/>
    </row>
    <row r="70" spans="1:11" ht="15" customHeight="1" x14ac:dyDescent="0.25">
      <c r="A70" s="18"/>
      <c r="B70" s="37" t="s">
        <v>76</v>
      </c>
      <c r="C70" s="47">
        <f>0.5*7</f>
        <v>3.5</v>
      </c>
      <c r="D70" s="38">
        <f>2.42/3.281</f>
        <v>0.73758000609570251</v>
      </c>
      <c r="E70" s="38">
        <v>0.3</v>
      </c>
      <c r="F70" s="38">
        <f>7.5/12/3.281</f>
        <v>0.19049070405364218</v>
      </c>
      <c r="G70" s="39">
        <f>PRODUCT(C70:F70)</f>
        <v>0.14752724138991305</v>
      </c>
      <c r="H70" s="40"/>
      <c r="I70" s="40"/>
      <c r="J70" s="40"/>
      <c r="K70" s="21"/>
    </row>
    <row r="71" spans="1:11" ht="15" customHeight="1" x14ac:dyDescent="0.25">
      <c r="A71" s="18"/>
      <c r="B71" s="37" t="s">
        <v>79</v>
      </c>
      <c r="C71" s="47">
        <v>1</v>
      </c>
      <c r="D71" s="38">
        <v>3</v>
      </c>
      <c r="E71" s="38">
        <v>0.1</v>
      </c>
      <c r="F71" s="38">
        <v>0.7</v>
      </c>
      <c r="G71" s="39">
        <f>PRODUCT(C71:F71)</f>
        <v>0.21000000000000002</v>
      </c>
      <c r="H71" s="40"/>
      <c r="I71" s="40"/>
      <c r="J71" s="40"/>
      <c r="K71" s="21"/>
    </row>
    <row r="72" spans="1:11" ht="15" customHeight="1" x14ac:dyDescent="0.25">
      <c r="A72" s="18"/>
      <c r="B72" s="37" t="s">
        <v>40</v>
      </c>
      <c r="C72" s="19"/>
      <c r="D72" s="20"/>
      <c r="E72" s="21"/>
      <c r="F72" s="21"/>
      <c r="G72" s="23">
        <f>SUM(G67:G71)</f>
        <v>7.2088592413899129</v>
      </c>
      <c r="H72" s="22" t="s">
        <v>39</v>
      </c>
      <c r="I72" s="23">
        <v>14362.76</v>
      </c>
      <c r="J72" s="41">
        <f>G72*I72</f>
        <v>103539.11515786538</v>
      </c>
      <c r="K72" s="21"/>
    </row>
    <row r="73" spans="1:11" ht="15" hidden="1" customHeight="1" x14ac:dyDescent="0.25">
      <c r="A73" s="18"/>
      <c r="B73" s="37" t="s">
        <v>38</v>
      </c>
      <c r="C73" s="19"/>
      <c r="D73" s="20"/>
      <c r="E73" s="21"/>
      <c r="F73" s="21"/>
      <c r="G73" s="23"/>
      <c r="H73" s="22"/>
      <c r="I73" s="23"/>
      <c r="J73" s="41">
        <f>0.13*G72*10311.74</f>
        <v>9663.6646851953028</v>
      </c>
      <c r="K73" s="21"/>
    </row>
    <row r="74" spans="1:11" ht="15" customHeight="1" x14ac:dyDescent="0.25">
      <c r="A74" s="18"/>
      <c r="B74" s="37"/>
      <c r="C74" s="19"/>
      <c r="D74" s="20"/>
      <c r="E74" s="21"/>
      <c r="F74" s="21"/>
      <c r="G74" s="23"/>
      <c r="H74" s="22"/>
      <c r="I74" s="23"/>
      <c r="J74" s="41"/>
      <c r="K74" s="21"/>
    </row>
    <row r="75" spans="1:11" ht="45" x14ac:dyDescent="0.25">
      <c r="A75" s="18">
        <v>10</v>
      </c>
      <c r="B75" s="66" t="s">
        <v>65</v>
      </c>
      <c r="C75" s="19" t="s">
        <v>7</v>
      </c>
      <c r="D75" s="67" t="s">
        <v>51</v>
      </c>
      <c r="E75" s="68" t="s">
        <v>66</v>
      </c>
      <c r="F75" s="68" t="s">
        <v>67</v>
      </c>
      <c r="G75" s="68" t="s">
        <v>68</v>
      </c>
      <c r="H75" s="22"/>
      <c r="I75" s="23"/>
      <c r="J75" s="41"/>
      <c r="K75" s="21"/>
    </row>
    <row r="76" spans="1:11" ht="15" customHeight="1" x14ac:dyDescent="0.25">
      <c r="A76" s="18"/>
      <c r="B76" s="37" t="s">
        <v>69</v>
      </c>
      <c r="C76" s="19">
        <v>4</v>
      </c>
      <c r="D76" s="20">
        <f>3.92+3.94+3.52+3.49+3.98+2.1</f>
        <v>20.95</v>
      </c>
      <c r="E76" s="21">
        <f>10*10/162</f>
        <v>0.61728395061728392</v>
      </c>
      <c r="F76" s="21">
        <f>PRODUCT(C76:E76)</f>
        <v>51.728395061728392</v>
      </c>
      <c r="G76" s="69">
        <f>F76/1000</f>
        <v>5.172839506172839E-2</v>
      </c>
      <c r="H76" s="22"/>
      <c r="I76" s="23"/>
      <c r="J76" s="41"/>
      <c r="K76" s="21"/>
    </row>
    <row r="77" spans="1:11" ht="15" customHeight="1" x14ac:dyDescent="0.25">
      <c r="A77" s="18"/>
      <c r="B77" s="37" t="s">
        <v>70</v>
      </c>
      <c r="C77" s="19">
        <f>2*TRUNC(D76/(8/12/3.281),0)</f>
        <v>206</v>
      </c>
      <c r="D77" s="20">
        <f>(7+3+3)/12/3.281</f>
        <v>0.33018388702631307</v>
      </c>
      <c r="E77" s="21">
        <f>8*8/162</f>
        <v>0.39506172839506171</v>
      </c>
      <c r="F77" s="21">
        <f>PRODUCT(C77:E77)</f>
        <v>26.871261521943897</v>
      </c>
      <c r="G77" s="69">
        <f>F77/1000</f>
        <v>2.6871261521943898E-2</v>
      </c>
      <c r="H77" s="22"/>
      <c r="I77" s="23"/>
      <c r="J77" s="41"/>
      <c r="K77" s="21"/>
    </row>
    <row r="78" spans="1:11" ht="15" customHeight="1" x14ac:dyDescent="0.25">
      <c r="A78" s="18"/>
      <c r="B78" s="37" t="s">
        <v>40</v>
      </c>
      <c r="C78" s="19"/>
      <c r="D78" s="20"/>
      <c r="E78" s="21"/>
      <c r="F78" s="21"/>
      <c r="G78" s="23">
        <f>SUM(G76:G77)</f>
        <v>7.8599656583672295E-2</v>
      </c>
      <c r="H78" s="22" t="s">
        <v>52</v>
      </c>
      <c r="I78" s="23">
        <v>131940</v>
      </c>
      <c r="J78" s="41">
        <f>G78*I78</f>
        <v>10370.438689649722</v>
      </c>
      <c r="K78" s="21"/>
    </row>
    <row r="79" spans="1:11" ht="15" hidden="1" customHeight="1" x14ac:dyDescent="0.25">
      <c r="A79" s="18"/>
      <c r="B79" s="37" t="s">
        <v>38</v>
      </c>
      <c r="C79" s="19"/>
      <c r="D79" s="20"/>
      <c r="E79" s="21"/>
      <c r="F79" s="21"/>
      <c r="G79" s="23"/>
      <c r="H79" s="22"/>
      <c r="I79" s="23"/>
      <c r="J79" s="41">
        <f>0.13*G78*106200</f>
        <v>1085.1468587941799</v>
      </c>
      <c r="K79" s="21"/>
    </row>
    <row r="80" spans="1:11" ht="15" customHeight="1" x14ac:dyDescent="0.25">
      <c r="A80" s="18"/>
      <c r="B80" s="37"/>
      <c r="C80" s="19"/>
      <c r="D80" s="20"/>
      <c r="E80" s="21"/>
      <c r="F80" s="21"/>
      <c r="G80" s="23"/>
      <c r="H80" s="22"/>
      <c r="I80" s="23"/>
      <c r="J80" s="41"/>
      <c r="K80" s="21"/>
    </row>
    <row r="81" spans="1:14" ht="30.75" x14ac:dyDescent="0.25">
      <c r="A81" s="18">
        <v>11</v>
      </c>
      <c r="B81" s="70" t="s">
        <v>72</v>
      </c>
      <c r="C81" s="19"/>
      <c r="D81" s="20"/>
      <c r="E81" s="21"/>
      <c r="F81" s="21"/>
      <c r="G81" s="23"/>
      <c r="H81" s="22"/>
      <c r="I81" s="23"/>
      <c r="J81" s="41"/>
      <c r="K81" s="21"/>
    </row>
    <row r="82" spans="1:14" ht="15" customHeight="1" x14ac:dyDescent="0.25">
      <c r="A82" s="18"/>
      <c r="B82" s="37" t="s">
        <v>54</v>
      </c>
      <c r="C82" s="36">
        <v>1</v>
      </c>
      <c r="D82" s="38">
        <f>3.92+3.94+0.23+0.23+3.52+3.49+3.98+0.23+0.23+2.1</f>
        <v>21.87</v>
      </c>
      <c r="E82" s="38"/>
      <c r="F82" s="38">
        <v>1.2</v>
      </c>
      <c r="G82" s="39">
        <f t="shared" ref="G82:G84" si="5">PRODUCT(C82:F82)</f>
        <v>26.244</v>
      </c>
      <c r="H82" s="40"/>
      <c r="I82" s="40"/>
      <c r="J82" s="40"/>
      <c r="K82" s="21"/>
    </row>
    <row r="83" spans="1:14" ht="15" customHeight="1" x14ac:dyDescent="0.25">
      <c r="A83" s="18"/>
      <c r="B83" s="37"/>
      <c r="C83" s="36">
        <v>1</v>
      </c>
      <c r="D83" s="38">
        <f>3.92-0.23+3.94+3.52+3.49-0.23-0.23+3.98+2.1-0.23</f>
        <v>20.03</v>
      </c>
      <c r="E83" s="38"/>
      <c r="F83" s="38">
        <v>1.2</v>
      </c>
      <c r="G83" s="39">
        <f t="shared" si="5"/>
        <v>24.036000000000001</v>
      </c>
      <c r="H83" s="40"/>
      <c r="I83" s="40"/>
      <c r="J83" s="40"/>
      <c r="K83" s="21"/>
    </row>
    <row r="84" spans="1:14" ht="15" customHeight="1" x14ac:dyDescent="0.25">
      <c r="A84" s="18"/>
      <c r="B84" s="37" t="s">
        <v>79</v>
      </c>
      <c r="C84" s="36">
        <v>2</v>
      </c>
      <c r="D84" s="38">
        <f>D71</f>
        <v>3</v>
      </c>
      <c r="E84" s="38"/>
      <c r="F84" s="38">
        <f>F71</f>
        <v>0.7</v>
      </c>
      <c r="G84" s="39">
        <f t="shared" si="5"/>
        <v>4.1999999999999993</v>
      </c>
      <c r="H84" s="40"/>
      <c r="I84" s="40"/>
      <c r="J84" s="40"/>
      <c r="K84" s="21"/>
    </row>
    <row r="85" spans="1:14" ht="15" customHeight="1" x14ac:dyDescent="0.25">
      <c r="A85" s="18"/>
      <c r="B85" s="37" t="s">
        <v>40</v>
      </c>
      <c r="C85" s="19"/>
      <c r="D85" s="20"/>
      <c r="E85" s="21"/>
      <c r="F85" s="21"/>
      <c r="G85" s="23">
        <f>SUM(G82:G84)</f>
        <v>54.480000000000004</v>
      </c>
      <c r="H85" s="22" t="s">
        <v>55</v>
      </c>
      <c r="I85" s="23">
        <v>405.86</v>
      </c>
      <c r="J85" s="41">
        <f>G85*I85</f>
        <v>22111.252800000002</v>
      </c>
      <c r="K85" s="21"/>
    </row>
    <row r="86" spans="1:14" ht="15" hidden="1" customHeight="1" x14ac:dyDescent="0.25">
      <c r="A86" s="18"/>
      <c r="B86" s="37" t="s">
        <v>38</v>
      </c>
      <c r="C86" s="19"/>
      <c r="D86" s="20"/>
      <c r="E86" s="21"/>
      <c r="F86" s="21"/>
      <c r="G86" s="23"/>
      <c r="H86" s="22"/>
      <c r="I86" s="23"/>
      <c r="J86" s="41">
        <f>0.13*G85*11166.2/100</f>
        <v>790.83494880000012</v>
      </c>
      <c r="K86" s="21"/>
    </row>
    <row r="87" spans="1:14" ht="15" customHeight="1" x14ac:dyDescent="0.25">
      <c r="A87" s="18"/>
      <c r="B87" s="37"/>
      <c r="C87" s="19"/>
      <c r="D87" s="20"/>
      <c r="E87" s="21"/>
      <c r="F87" s="21"/>
      <c r="G87" s="23"/>
      <c r="H87" s="22"/>
      <c r="I87" s="23"/>
      <c r="J87" s="41"/>
      <c r="K87" s="21"/>
    </row>
    <row r="88" spans="1:14" ht="15" customHeight="1" x14ac:dyDescent="0.25">
      <c r="A88" s="18">
        <v>12</v>
      </c>
      <c r="B88" s="30" t="s">
        <v>30</v>
      </c>
      <c r="C88" s="19">
        <v>1</v>
      </c>
      <c r="D88" s="20"/>
      <c r="E88" s="21"/>
      <c r="F88" s="21"/>
      <c r="G88" s="34">
        <f t="shared" ref="G88" si="6">PRODUCT(C88:F88)</f>
        <v>1</v>
      </c>
      <c r="H88" s="22" t="s">
        <v>31</v>
      </c>
      <c r="I88" s="23">
        <v>500</v>
      </c>
      <c r="J88" s="34">
        <f>G88*I88</f>
        <v>500</v>
      </c>
      <c r="K88" s="21"/>
      <c r="M88" s="25"/>
      <c r="N88" s="25"/>
    </row>
    <row r="89" spans="1:14" ht="15" customHeight="1" x14ac:dyDescent="0.25">
      <c r="A89" s="18"/>
      <c r="B89" s="24"/>
      <c r="C89" s="19"/>
      <c r="D89" s="20"/>
      <c r="E89" s="21"/>
      <c r="F89" s="21"/>
      <c r="G89" s="23"/>
      <c r="H89" s="22"/>
      <c r="I89" s="23"/>
      <c r="J89" s="41"/>
      <c r="K89" s="21"/>
      <c r="M89" s="25"/>
      <c r="N89" s="25"/>
    </row>
    <row r="90" spans="1:14" x14ac:dyDescent="0.25">
      <c r="A90" s="40"/>
      <c r="B90" s="46" t="s">
        <v>17</v>
      </c>
      <c r="C90" s="47"/>
      <c r="D90" s="38"/>
      <c r="E90" s="38"/>
      <c r="F90" s="38"/>
      <c r="G90" s="41"/>
      <c r="H90" s="41"/>
      <c r="I90" s="41"/>
      <c r="J90" s="41">
        <f>SUM(J10:J88)</f>
        <v>564688.31314685999</v>
      </c>
      <c r="K90" s="36"/>
    </row>
    <row r="91" spans="1:14" x14ac:dyDescent="0.25">
      <c r="A91" s="58"/>
      <c r="B91" s="61"/>
      <c r="C91" s="62"/>
      <c r="D91" s="59"/>
      <c r="E91" s="59"/>
      <c r="F91" s="59"/>
      <c r="G91" s="60"/>
      <c r="H91" s="60"/>
      <c r="I91" s="60"/>
      <c r="J91" s="60"/>
      <c r="K91" s="57"/>
    </row>
    <row r="92" spans="1:14" s="1" customFormat="1" hidden="1" x14ac:dyDescent="0.25">
      <c r="A92" s="50"/>
      <c r="B92" s="29" t="s">
        <v>82</v>
      </c>
      <c r="C92" s="86">
        <f>J90</f>
        <v>564688.31314685999</v>
      </c>
      <c r="D92" s="86"/>
      <c r="E92" s="39">
        <v>100</v>
      </c>
      <c r="F92" s="51"/>
      <c r="G92" s="52"/>
      <c r="H92" s="51"/>
      <c r="I92" s="53"/>
      <c r="J92" s="54"/>
      <c r="K92" s="55"/>
    </row>
    <row r="93" spans="1:14" hidden="1" x14ac:dyDescent="0.25">
      <c r="A93" s="56"/>
      <c r="B93" s="29" t="s">
        <v>32</v>
      </c>
      <c r="C93" s="89">
        <v>500000</v>
      </c>
      <c r="D93" s="89"/>
      <c r="E93" s="39"/>
      <c r="F93" s="49"/>
      <c r="G93" s="48"/>
      <c r="H93" s="48"/>
      <c r="I93" s="48"/>
      <c r="J93" s="48"/>
      <c r="K93" s="49"/>
    </row>
    <row r="94" spans="1:14" hidden="1" x14ac:dyDescent="0.25">
      <c r="A94" s="56"/>
      <c r="B94" s="29" t="s">
        <v>33</v>
      </c>
      <c r="C94" s="89">
        <f>C93-C96-C97</f>
        <v>475000</v>
      </c>
      <c r="D94" s="89"/>
      <c r="E94" s="39">
        <f>C94/C92*100</f>
        <v>84.117200399092638</v>
      </c>
      <c r="F94" s="49"/>
      <c r="G94" s="48"/>
      <c r="H94" s="48"/>
      <c r="I94" s="48"/>
      <c r="J94" s="48"/>
      <c r="K94" s="49"/>
    </row>
    <row r="95" spans="1:14" hidden="1" x14ac:dyDescent="0.25">
      <c r="A95" s="56"/>
      <c r="B95" s="29" t="s">
        <v>34</v>
      </c>
      <c r="C95" s="86">
        <f>C92-C94</f>
        <v>89688.31314685999</v>
      </c>
      <c r="D95" s="86"/>
      <c r="E95" s="39">
        <f>100-E94</f>
        <v>15.882799600907362</v>
      </c>
      <c r="F95" s="49"/>
      <c r="G95" s="48"/>
      <c r="H95" s="48"/>
      <c r="I95" s="48"/>
      <c r="J95" s="48"/>
      <c r="K95" s="49"/>
    </row>
    <row r="96" spans="1:14" hidden="1" x14ac:dyDescent="0.25">
      <c r="A96" s="56"/>
      <c r="B96" s="29" t="s">
        <v>35</v>
      </c>
      <c r="C96" s="86">
        <f>C93*0.03</f>
        <v>15000</v>
      </c>
      <c r="D96" s="86"/>
      <c r="E96" s="39">
        <v>3</v>
      </c>
      <c r="F96" s="49"/>
      <c r="G96" s="48"/>
      <c r="H96" s="48"/>
      <c r="I96" s="48"/>
      <c r="J96" s="48"/>
      <c r="K96" s="49"/>
    </row>
    <row r="97" spans="1:11" hidden="1" x14ac:dyDescent="0.25">
      <c r="A97" s="56"/>
      <c r="B97" s="29" t="s">
        <v>36</v>
      </c>
      <c r="C97" s="86">
        <f>C93*0.02</f>
        <v>10000</v>
      </c>
      <c r="D97" s="86"/>
      <c r="E97" s="39">
        <v>2</v>
      </c>
      <c r="F97" s="49"/>
      <c r="G97" s="48"/>
      <c r="H97" s="48"/>
      <c r="I97" s="48"/>
      <c r="J97" s="48"/>
      <c r="K97" s="49"/>
    </row>
    <row r="98" spans="1:11" s="35" customFormat="1" x14ac:dyDescent="0.25">
      <c r="A98" s="57"/>
      <c r="B98" s="57"/>
      <c r="C98" s="57"/>
      <c r="D98" s="57"/>
      <c r="E98" s="57"/>
      <c r="F98" s="57"/>
      <c r="G98" s="57"/>
      <c r="H98" s="57"/>
      <c r="I98" s="57"/>
      <c r="J98" s="57"/>
      <c r="K98" s="57"/>
    </row>
    <row r="99" spans="1:11" s="35" customFormat="1" x14ac:dyDescent="0.25"/>
    <row r="100" spans="1:11" s="35" customFormat="1" x14ac:dyDescent="0.25"/>
    <row r="101" spans="1:11" s="35" customFormat="1" x14ac:dyDescent="0.25"/>
    <row r="102" spans="1:11" s="35" customFormat="1" x14ac:dyDescent="0.25"/>
    <row r="103" spans="1:11" s="35" customFormat="1" x14ac:dyDescent="0.25"/>
    <row r="104" spans="1:11" s="35" customFormat="1" x14ac:dyDescent="0.25"/>
    <row r="105" spans="1:11" s="35" customFormat="1" x14ac:dyDescent="0.25"/>
    <row r="106" spans="1:11" s="35" customFormat="1" x14ac:dyDescent="0.25"/>
    <row r="107" spans="1:11" s="35" customFormat="1" x14ac:dyDescent="0.25"/>
    <row r="108" spans="1:11" s="35" customFormat="1" x14ac:dyDescent="0.25"/>
    <row r="109" spans="1:11" s="35" customFormat="1" x14ac:dyDescent="0.25"/>
    <row r="110" spans="1:11" s="35" customFormat="1" x14ac:dyDescent="0.25"/>
    <row r="111" spans="1:11" s="35" customFormat="1" x14ac:dyDescent="0.25"/>
    <row r="112" spans="1:11" s="35" customFormat="1" x14ac:dyDescent="0.25"/>
    <row r="113" s="35" customFormat="1" x14ac:dyDescent="0.25"/>
    <row r="114" s="35" customFormat="1" x14ac:dyDescent="0.25"/>
    <row r="115" s="35" customFormat="1" x14ac:dyDescent="0.25"/>
    <row r="116" s="35" customFormat="1" x14ac:dyDescent="0.25"/>
    <row r="117" s="35" customFormat="1" x14ac:dyDescent="0.25"/>
    <row r="118" s="35" customFormat="1" x14ac:dyDescent="0.25"/>
    <row r="119" s="35" customFormat="1" x14ac:dyDescent="0.25"/>
    <row r="120" s="35" customFormat="1" x14ac:dyDescent="0.25"/>
    <row r="121" s="35" customFormat="1" x14ac:dyDescent="0.25"/>
    <row r="122" s="35" customFormat="1" x14ac:dyDescent="0.25"/>
    <row r="123" s="35" customFormat="1" x14ac:dyDescent="0.25"/>
    <row r="124" s="35" customFormat="1" x14ac:dyDescent="0.25"/>
    <row r="125" s="35" customFormat="1" x14ac:dyDescent="0.25"/>
    <row r="126" s="35" customFormat="1" x14ac:dyDescent="0.25"/>
    <row r="127" s="35" customFormat="1" x14ac:dyDescent="0.25"/>
    <row r="128" s="35" customFormat="1" x14ac:dyDescent="0.25"/>
    <row r="129" s="35" customFormat="1" x14ac:dyDescent="0.25"/>
    <row r="130" s="35" customFormat="1" x14ac:dyDescent="0.25"/>
    <row r="131" s="35" customFormat="1" x14ac:dyDescent="0.25"/>
    <row r="132" s="35" customFormat="1" x14ac:dyDescent="0.25"/>
    <row r="133" s="35" customFormat="1" x14ac:dyDescent="0.25"/>
    <row r="134" s="35" customFormat="1" x14ac:dyDescent="0.25"/>
    <row r="135" s="35" customFormat="1" x14ac:dyDescent="0.25"/>
    <row r="136" s="35" customFormat="1" x14ac:dyDescent="0.25"/>
    <row r="137" s="35" customFormat="1" x14ac:dyDescent="0.25"/>
    <row r="138" s="35" customFormat="1" x14ac:dyDescent="0.25"/>
    <row r="139" s="35" customFormat="1" x14ac:dyDescent="0.25"/>
    <row r="140" s="35" customFormat="1" x14ac:dyDescent="0.25"/>
    <row r="141" s="35" customFormat="1" x14ac:dyDescent="0.25"/>
    <row r="142" s="35" customFormat="1" x14ac:dyDescent="0.25"/>
    <row r="143" s="35" customFormat="1" x14ac:dyDescent="0.25"/>
    <row r="144" s="35" customFormat="1" x14ac:dyDescent="0.25"/>
    <row r="145" s="35" customFormat="1" x14ac:dyDescent="0.25"/>
    <row r="146" s="35" customFormat="1" x14ac:dyDescent="0.25"/>
    <row r="147" s="35" customFormat="1" x14ac:dyDescent="0.25"/>
    <row r="148" s="35" customFormat="1" x14ac:dyDescent="0.25"/>
    <row r="149" s="35" customFormat="1" x14ac:dyDescent="0.25"/>
    <row r="150" s="35" customFormat="1" x14ac:dyDescent="0.25"/>
    <row r="151" s="35" customFormat="1" x14ac:dyDescent="0.25"/>
    <row r="152" s="35" customFormat="1" x14ac:dyDescent="0.25"/>
    <row r="153" s="35" customFormat="1" x14ac:dyDescent="0.25"/>
    <row r="154" s="35" customFormat="1" x14ac:dyDescent="0.25"/>
  </sheetData>
  <mergeCells count="14">
    <mergeCell ref="C95:D95"/>
    <mergeCell ref="C96:D96"/>
    <mergeCell ref="C97:D97"/>
    <mergeCell ref="A7:F7"/>
    <mergeCell ref="M29:P29"/>
    <mergeCell ref="C92:D92"/>
    <mergeCell ref="C93:D93"/>
    <mergeCell ref="C94:D94"/>
    <mergeCell ref="A1:K1"/>
    <mergeCell ref="A2:K2"/>
    <mergeCell ref="A3:K3"/>
    <mergeCell ref="A4:K4"/>
    <mergeCell ref="A5:K5"/>
    <mergeCell ref="A6:F6"/>
  </mergeCells>
  <pageMargins left="0.70866141732283472" right="0.70866141732283472" top="0.74803149606299213" bottom="0.74803149606299213" header="0.31496062992125984" footer="0.31496062992125984"/>
  <pageSetup paperSize="9" scale="83" orientation="portrait" r:id="rId1"/>
  <headerFooter>
    <oddFooter>&amp;LPrepared By:&amp;CChecked By:&amp;RApproved By:</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Estimate (3)</vt:lpstr>
      <vt:lpstr>WCR</vt:lpstr>
      <vt:lpstr>V</vt:lpstr>
      <vt:lpstr>Measure</vt:lpstr>
      <vt:lpstr>'Estimate (3)'!Print_Area</vt:lpstr>
      <vt:lpstr>Measure!Print_Area</vt:lpstr>
      <vt:lpstr>V!Print_Area</vt:lpstr>
      <vt:lpstr>WCR!Print_Area</vt:lpstr>
      <vt:lpstr>'Estimate (3)'!Print_Titles</vt:lpstr>
      <vt:lpstr>Measure!Print_Titles</vt:lpstr>
      <vt:lpstr>V!Print_Titles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2025-03-21T04:49:10Z</cp:lastPrinted>
  <dcterms:created xsi:type="dcterms:W3CDTF">2015-06-05T18:17:20Z</dcterms:created>
  <dcterms:modified xsi:type="dcterms:W3CDTF">2025-03-21T04:49:43Z</dcterms:modified>
</cp:coreProperties>
</file>