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पशु शाखा इस्तिमेट\"/>
    </mc:Choice>
  </mc:AlternateContent>
  <bookViews>
    <workbookView xWindow="-120" yWindow="-120" windowWidth="20730" windowHeight="11160"/>
  </bookViews>
  <sheets>
    <sheet name="as per mistry" sheetId="19" r:id="rId1"/>
    <sheet name="Sheet1" sheetId="20" r:id="rId2"/>
  </sheets>
  <externalReferences>
    <externalReference r:id="rId3"/>
    <externalReference r:id="rId4"/>
    <externalReference r:id="rId5"/>
    <externalReference r:id="rId6"/>
    <externalReference r:id="rId7"/>
    <externalReference r:id="rId8"/>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24">[4]Abstract!$B$18</definedName>
    <definedName name="description_2">[3]Abstract!$B$168</definedName>
    <definedName name="description_261">[5]Abstract!$B$33</definedName>
    <definedName name="description_262">[6]Abstract!$B$34</definedName>
    <definedName name="description_6">[3]Abstract!$B$172</definedName>
    <definedName name="description_784">[3]Abstract!$B$300</definedName>
    <definedName name="excavator">[2]Equipment_Rate!$J$19</definedName>
    <definedName name="generator">[2]Equipment_Rate!$J$20</definedName>
    <definedName name="_xlnm.Print_Area" localSheetId="0">'as per mistry'!$A$1:$K$48</definedName>
    <definedName name="_xlnm.Print_Titles" localSheetId="0">'as per mistry'!$1:$8</definedName>
    <definedName name="skilled">[2]District_Rate!$D$148</definedName>
    <definedName name="skilled_blacksmith">[2]District_Rate!$D$149</definedName>
    <definedName name="unskilled">[2]District_Rate!$D$156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6" i="19" l="1"/>
  <c r="E35" i="19"/>
  <c r="D35" i="19"/>
  <c r="E34" i="19"/>
  <c r="J21" i="19" l="1"/>
  <c r="F13" i="19"/>
  <c r="G13" i="19" s="1"/>
  <c r="F14" i="19"/>
  <c r="G14" i="19"/>
  <c r="D14" i="19"/>
  <c r="D13" i="19"/>
  <c r="G15" i="19" l="1"/>
  <c r="E28" i="19"/>
  <c r="E33" i="19" l="1"/>
  <c r="D33" i="19"/>
  <c r="M30" i="19"/>
  <c r="C28" i="19"/>
  <c r="D28" i="19"/>
  <c r="G24" i="19"/>
  <c r="E24" i="19"/>
  <c r="D12" i="19"/>
  <c r="C12" i="19"/>
  <c r="D11" i="19"/>
  <c r="E19" i="19"/>
  <c r="D19" i="19"/>
  <c r="G34" i="19" l="1"/>
  <c r="G28" i="19"/>
  <c r="G25" i="19"/>
  <c r="C35" i="19"/>
  <c r="G35" i="19" s="1"/>
  <c r="B28" i="19"/>
  <c r="F6" i="20"/>
  <c r="G6" i="20" s="1"/>
  <c r="F9" i="20"/>
  <c r="G9" i="20" s="1"/>
  <c r="F8" i="20"/>
  <c r="G8" i="20" s="1"/>
  <c r="H9" i="20" s="1"/>
  <c r="G7" i="20"/>
  <c r="G5" i="20"/>
  <c r="G4" i="20"/>
  <c r="A1" i="20"/>
  <c r="G29" i="19" l="1"/>
  <c r="J30" i="19" s="1"/>
  <c r="H5" i="20"/>
  <c r="H10" i="20" s="1"/>
  <c r="I20" i="19" s="1"/>
  <c r="H11" i="20" l="1"/>
  <c r="H12" i="20" s="1"/>
  <c r="B12" i="20" s="1"/>
  <c r="D12" i="20" s="1"/>
  <c r="N30" i="19" l="1"/>
  <c r="O30" i="19" s="1"/>
  <c r="C48" i="19"/>
  <c r="C47" i="19"/>
  <c r="G39" i="19"/>
  <c r="J39" i="19" s="1"/>
  <c r="G33" i="19"/>
  <c r="G19" i="19"/>
  <c r="G20" i="19" s="1"/>
  <c r="F12" i="19"/>
  <c r="G12" i="19" s="1"/>
  <c r="F11" i="19"/>
  <c r="G11" i="19" s="1"/>
  <c r="F10" i="19"/>
  <c r="G10" i="19" s="1"/>
  <c r="J16" i="19" l="1"/>
  <c r="J25" i="19"/>
  <c r="J37" i="19"/>
  <c r="J36" i="19"/>
  <c r="J20" i="19"/>
  <c r="J29" i="19" l="1"/>
  <c r="J15" i="19"/>
  <c r="J41" i="19" l="1"/>
  <c r="C43" i="19" s="1"/>
  <c r="C46" i="19" s="1"/>
  <c r="E45" i="19" l="1"/>
  <c r="E46" i="19" s="1"/>
</calcChain>
</file>

<file path=xl/sharedStrings.xml><?xml version="1.0" encoding="utf-8"?>
<sst xmlns="http://schemas.openxmlformats.org/spreadsheetml/2006/main" count="86" uniqueCount="73">
  <si>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</si>
  <si>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</si>
  <si>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</si>
  <si>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</si>
  <si>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</si>
  <si>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</si>
  <si>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</si>
  <si>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</si>
  <si>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</si>
  <si>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</si>
  <si>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</si>
  <si>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</si>
  <si>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</si>
  <si>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</si>
  <si>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</si>
  <si>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</si>
  <si>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</si>
  <si>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</si>
  <si>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</si>
  <si>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</si>
  <si>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</si>
  <si>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</si>
  <si>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</si>
  <si>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</si>
  <si>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</si>
  <si>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</si>
  <si>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</si>
  <si>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</si>
  <si>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</si>
  <si>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</si>
  <si>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</si>
  <si>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sqm</t>
  </si>
  <si>
    <t>Information board</t>
  </si>
  <si>
    <t>-VAT 13% for materials</t>
  </si>
  <si>
    <t xml:space="preserve">g/d k|sf/sf] Sn] / l;N6L df6f]df ;j} lsl;dsf] vGg] sfd </t>
  </si>
  <si>
    <t>;-for footing</t>
  </si>
  <si>
    <t>cum</t>
  </si>
  <si>
    <t xml:space="preserve">hu leQf kvf{ndf l;d]G6 s+lqm6 ug]{ sfd -lk=;L=;L= !M@M$_  </t>
  </si>
  <si>
    <t>no.</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</si>
  <si>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</si>
  <si>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</si>
  <si>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</si>
  <si>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</si>
  <si>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</si>
  <si>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</si>
  <si>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</si>
  <si>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</si>
  <si>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</si>
  <si>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</si>
  <si>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</si>
  <si>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</si>
  <si>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</si>
  <si>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</si>
  <si>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</si>
  <si>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</si>
  <si>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</si>
  <si>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</si>
  <si>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</si>
  <si>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</si>
  <si>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</si>
  <si>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</si>
  <si>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</si>
  <si>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</si>
  <si>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</si>
  <si>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</si>
  <si>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r>
      <t>CGI</t>
    </r>
    <r>
      <rPr>
        <sz val="13"/>
        <rFont val="Preeti"/>
      </rPr>
      <t xml:space="preserve"> </t>
    </r>
    <r>
      <rPr>
        <sz val="10"/>
        <rFont val="Preeti"/>
      </rPr>
      <t xml:space="preserve">kftf #) u]h </t>
    </r>
    <r>
      <rPr>
        <sz val="8"/>
        <rFont val="Arial"/>
        <family val="2"/>
      </rPr>
      <t>(0.24mm)</t>
    </r>
  </si>
  <si>
    <t xml:space="preserve">)=@$ dL=dL= afSnf] ;L=hL=cfO{= 5fgf 5fpg] sfd </t>
  </si>
  <si>
    <t>-for passage flooring</t>
  </si>
  <si>
    <t>Project:- फ्रेंश कृषि तथा पशुपालन</t>
  </si>
  <si>
    <t xml:space="preserve">Date: 2082/02/05  </t>
  </si>
  <si>
    <t>husf] vf8ndf 9'+uf eg]{ / n]en ug]{ sfddf</t>
  </si>
  <si>
    <t>dfn;fdfg pknAw u/L )=@$ dL=dL= afSnf] ;L=hL=cfO{= zL6 -h:tf kftfsf]_ 5fgf 5fpg] sfd k'/f .</t>
  </si>
  <si>
    <t>-MS square pipe of 1.5"*1.5" of 1.6mm thickness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</si>
</sst>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6">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96">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081-082/ofc/ofc/Rate%20analysis/for-all-Civil-rate-analysis-81-82-shankharapur-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
  <sheetViews>
    <sheetView tabSelected="1" topLeftCell="A25" zoomScaleNormal="100" zoomScaleSheetLayoutView="80" workbookViewId="0">
      <selection activeCell="C12" sqref="C12"/>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77" t="s">
        <v>0</v>
      </c>
      <c r="B1" s="77"/>
      <c r="C1" s="77"/>
      <c r="D1" s="77"/>
      <c r="E1" s="77"/>
      <c r="F1" s="77"/>
      <c r="G1" s="77"/>
      <c r="H1" s="77"/>
      <c r="I1" s="77"/>
      <c r="J1" s="77"/>
      <c r="K1" s="77"/>
    </row>
    <row r="2" spans="1:13" s="1" customFormat="1" ht="22.5">
      <c r="A2" s="78" t="s">
        <v>1</v>
      </c>
      <c r="B2" s="78"/>
      <c r="C2" s="78"/>
      <c r="D2" s="78"/>
      <c r="E2" s="78"/>
      <c r="F2" s="78"/>
      <c r="G2" s="78"/>
      <c r="H2" s="78"/>
      <c r="I2" s="78"/>
      <c r="J2" s="78"/>
      <c r="K2" s="78"/>
    </row>
    <row r="3" spans="1:13" s="1" customFormat="1">
      <c r="A3" s="79" t="s">
        <v>2</v>
      </c>
      <c r="B3" s="79"/>
      <c r="C3" s="79"/>
      <c r="D3" s="79"/>
      <c r="E3" s="79"/>
      <c r="F3" s="79"/>
      <c r="G3" s="79"/>
      <c r="H3" s="79"/>
      <c r="I3" s="79"/>
      <c r="J3" s="79"/>
      <c r="K3" s="79"/>
    </row>
    <row r="4" spans="1:13" s="1" customFormat="1">
      <c r="A4" s="79" t="s">
        <v>3</v>
      </c>
      <c r="B4" s="79"/>
      <c r="C4" s="79"/>
      <c r="D4" s="79"/>
      <c r="E4" s="79"/>
      <c r="F4" s="79"/>
      <c r="G4" s="79"/>
      <c r="H4" s="79"/>
      <c r="I4" s="79"/>
      <c r="J4" s="79"/>
      <c r="K4" s="79"/>
    </row>
    <row r="5" spans="1:13" ht="18.75">
      <c r="A5" s="80" t="s">
        <v>4</v>
      </c>
      <c r="B5" s="80"/>
      <c r="C5" s="80"/>
      <c r="D5" s="80"/>
      <c r="E5" s="80"/>
      <c r="F5" s="80"/>
      <c r="G5" s="80"/>
      <c r="H5" s="80"/>
      <c r="I5" s="80"/>
      <c r="J5" s="80"/>
      <c r="K5" s="80"/>
    </row>
    <row r="6" spans="1:13" ht="18.75">
      <c r="A6" s="75" t="s">
        <v>68</v>
      </c>
      <c r="B6" s="75"/>
      <c r="C6" s="75"/>
      <c r="D6" s="75"/>
      <c r="E6" s="75"/>
      <c r="F6" s="75"/>
      <c r="G6" s="75"/>
      <c r="H6" s="76" t="s">
        <v>24</v>
      </c>
      <c r="I6" s="76"/>
      <c r="J6" s="76"/>
      <c r="K6" s="76"/>
    </row>
    <row r="7" spans="1:13" ht="15.75">
      <c r="A7" s="83" t="s">
        <v>23</v>
      </c>
      <c r="B7" s="83"/>
      <c r="C7" s="83"/>
      <c r="D7" s="83"/>
      <c r="E7" s="83"/>
      <c r="F7" s="83"/>
      <c r="G7" s="2"/>
      <c r="H7" s="76" t="s">
        <v>69</v>
      </c>
      <c r="I7" s="76"/>
      <c r="J7" s="76"/>
      <c r="K7" s="76"/>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72</v>
      </c>
      <c r="C10" s="40">
        <v>3</v>
      </c>
      <c r="D10" s="10">
        <v>2.5299999999999998</v>
      </c>
      <c r="E10" s="10">
        <v>1.83</v>
      </c>
      <c r="F10" s="10">
        <f t="shared" ref="F10:F12" si="0">PRODUCT(C10:E10)</f>
        <v>13.889699999999999</v>
      </c>
      <c r="G10" s="36">
        <f t="shared" ref="G10:G12"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ref="F13:F14" si="2">PRODUCT(C13:E13)</f>
        <v>16.73270344407193</v>
      </c>
      <c r="G13" s="36">
        <f t="shared" ref="G13:G14" si="3">F13</f>
        <v>16.73270344407193</v>
      </c>
      <c r="H13" s="27"/>
      <c r="I13" s="27"/>
      <c r="J13" s="27"/>
      <c r="K13" s="11"/>
      <c r="M13" s="12"/>
    </row>
    <row r="14" spans="1:13" s="1" customFormat="1">
      <c r="A14" s="38"/>
      <c r="B14" s="39"/>
      <c r="C14" s="40">
        <v>3</v>
      </c>
      <c r="D14" s="10">
        <f>7.5/3.281</f>
        <v>2.2858884486437061</v>
      </c>
      <c r="E14" s="10">
        <v>1.83</v>
      </c>
      <c r="F14" s="10">
        <f t="shared" si="2"/>
        <v>12.549527583053948</v>
      </c>
      <c r="G14" s="36">
        <f t="shared" si="3"/>
        <v>12.549527583053948</v>
      </c>
      <c r="H14" s="27"/>
      <c r="I14" s="27"/>
      <c r="J14" s="27"/>
      <c r="K14" s="11"/>
      <c r="M14" s="12"/>
    </row>
    <row r="15" spans="1:13" s="1" customFormat="1">
      <c r="A15" s="21"/>
      <c r="B15" s="39" t="s">
        <v>25</v>
      </c>
      <c r="C15" s="22"/>
      <c r="D15" s="23"/>
      <c r="E15" s="24"/>
      <c r="F15" s="24"/>
      <c r="G15" s="27">
        <f>SUM(G10:G14)</f>
        <v>47.82832633343493</v>
      </c>
      <c r="H15" s="25" t="s">
        <v>30</v>
      </c>
      <c r="I15" s="26">
        <v>181.17</v>
      </c>
      <c r="J15" s="27">
        <f>G15*I15</f>
        <v>8665.0578818284048</v>
      </c>
      <c r="K15" s="24"/>
    </row>
    <row r="16" spans="1:13" s="1" customFormat="1">
      <c r="A16" s="21"/>
      <c r="B16" s="39" t="s">
        <v>33</v>
      </c>
      <c r="C16" s="22"/>
      <c r="D16" s="23"/>
      <c r="E16" s="24"/>
      <c r="F16" s="24"/>
      <c r="G16" s="27"/>
      <c r="H16" s="25"/>
      <c r="I16" s="26"/>
      <c r="J16" s="27">
        <f>0.13*G15*(1871.42/18.94)</f>
        <v>614.35560932941837</v>
      </c>
      <c r="K16" s="24"/>
    </row>
    <row r="17" spans="1:15" s="1" customFormat="1">
      <c r="A17" s="21"/>
      <c r="B17" s="37"/>
      <c r="C17" s="22"/>
      <c r="D17" s="23"/>
      <c r="E17" s="24"/>
      <c r="F17" s="24"/>
      <c r="G17" s="28"/>
      <c r="H17" s="25"/>
      <c r="I17" s="26"/>
      <c r="J17" s="27"/>
      <c r="K17" s="24"/>
    </row>
    <row r="18" spans="1:15" s="1" customFormat="1" ht="30">
      <c r="A18" s="38">
        <v>2</v>
      </c>
      <c r="B18" s="74" t="s">
        <v>66</v>
      </c>
      <c r="C18" s="40"/>
      <c r="D18" s="10"/>
      <c r="E18" s="10"/>
      <c r="F18" s="10"/>
      <c r="G18" s="36"/>
      <c r="H18" s="27"/>
      <c r="I18" s="27"/>
      <c r="J18" s="27"/>
      <c r="K18" s="11"/>
      <c r="M18" s="12"/>
    </row>
    <row r="19" spans="1:15" s="1" customFormat="1">
      <c r="A19" s="38"/>
      <c r="B19" s="39"/>
      <c r="C19" s="40">
        <v>5</v>
      </c>
      <c r="D19" s="10">
        <f>8/3.281</f>
        <v>2.4382810118866196</v>
      </c>
      <c r="E19" s="10">
        <f>2.17/3.281</f>
        <v>0.66138372447424565</v>
      </c>
      <c r="F19" s="10"/>
      <c r="G19" s="36">
        <f>PRODUCT(C19:F19)</f>
        <v>8.063196884782025</v>
      </c>
      <c r="H19" s="27"/>
      <c r="I19" s="27"/>
      <c r="J19" s="27"/>
      <c r="K19" s="11"/>
      <c r="M19" s="12"/>
    </row>
    <row r="20" spans="1:15" s="1" customFormat="1">
      <c r="A20" s="21"/>
      <c r="B20" s="39" t="s">
        <v>25</v>
      </c>
      <c r="C20" s="22"/>
      <c r="D20" s="23"/>
      <c r="E20" s="24"/>
      <c r="F20" s="24"/>
      <c r="G20" s="27">
        <f>SUM(G19:G19)</f>
        <v>8.063196884782025</v>
      </c>
      <c r="H20" s="25" t="s">
        <v>31</v>
      </c>
      <c r="I20" s="26">
        <f>Sheet1!H10/10</f>
        <v>249.75</v>
      </c>
      <c r="J20" s="27">
        <f>G20*I20</f>
        <v>2013.7834219743108</v>
      </c>
      <c r="K20" s="24"/>
    </row>
    <row r="21" spans="1:15" s="1" customFormat="1">
      <c r="A21" s="21"/>
      <c r="B21" s="39" t="s">
        <v>33</v>
      </c>
      <c r="C21" s="22"/>
      <c r="D21" s="23"/>
      <c r="E21" s="24"/>
      <c r="F21" s="24"/>
      <c r="G21" s="27"/>
      <c r="H21" s="25"/>
      <c r="I21" s="26"/>
      <c r="J21" s="27">
        <f>0*0.13*G20*5298.54/10</f>
        <v>0</v>
      </c>
      <c r="K21" s="24"/>
    </row>
    <row r="22" spans="1:15" s="1" customFormat="1">
      <c r="A22" s="21"/>
      <c r="B22" s="39"/>
      <c r="C22" s="22"/>
      <c r="D22" s="23"/>
      <c r="E22" s="24"/>
      <c r="F22" s="24"/>
      <c r="G22" s="27"/>
      <c r="H22" s="25"/>
      <c r="I22" s="26"/>
      <c r="J22" s="27"/>
      <c r="K22" s="24"/>
    </row>
    <row r="23" spans="1:15" s="1" customFormat="1" ht="30">
      <c r="A23" s="21">
        <v>3</v>
      </c>
      <c r="B23" s="37" t="s">
        <v>34</v>
      </c>
      <c r="C23" s="22"/>
      <c r="D23" s="23"/>
      <c r="E23" s="24"/>
      <c r="F23" s="24"/>
      <c r="G23" s="27"/>
      <c r="H23" s="25"/>
      <c r="I23" s="26"/>
      <c r="J23" s="27"/>
      <c r="K23" s="24"/>
    </row>
    <row r="24" spans="1:15" s="1" customFormat="1">
      <c r="A24" s="21"/>
      <c r="B24" s="39" t="s">
        <v>67</v>
      </c>
      <c r="C24" s="22">
        <v>1</v>
      </c>
      <c r="D24" s="23">
        <v>4.5</v>
      </c>
      <c r="E24" s="24">
        <f>10/3.281</f>
        <v>3.047851264858275</v>
      </c>
      <c r="F24" s="24">
        <v>0.15</v>
      </c>
      <c r="G24" s="36">
        <f t="shared" ref="G24" si="4">PRODUCT(C24:F24)</f>
        <v>2.0572996037793354</v>
      </c>
      <c r="H24" s="25"/>
      <c r="I24" s="26"/>
      <c r="J24" s="27"/>
      <c r="K24" s="24"/>
    </row>
    <row r="25" spans="1:15" s="1" customFormat="1">
      <c r="A25" s="21"/>
      <c r="B25" s="39" t="s">
        <v>25</v>
      </c>
      <c r="C25" s="22"/>
      <c r="D25" s="23"/>
      <c r="E25" s="24"/>
      <c r="F25" s="24"/>
      <c r="G25" s="27">
        <f>SUM(G24:G24)</f>
        <v>2.0572996037793354</v>
      </c>
      <c r="H25" s="25" t="s">
        <v>36</v>
      </c>
      <c r="I25" s="26">
        <v>663.31</v>
      </c>
      <c r="J25" s="27">
        <f>G25*I25</f>
        <v>1364.6274001828708</v>
      </c>
      <c r="K25" s="24"/>
    </row>
    <row r="26" spans="1:15" s="1" customFormat="1">
      <c r="A26" s="21"/>
      <c r="B26" s="39"/>
      <c r="C26" s="22"/>
      <c r="D26" s="23"/>
      <c r="E26" s="24"/>
      <c r="F26" s="24"/>
      <c r="G26" s="27"/>
      <c r="H26" s="25"/>
      <c r="I26" s="26"/>
      <c r="J26" s="27"/>
      <c r="K26" s="24"/>
    </row>
    <row r="27" spans="1:15" s="1" customFormat="1" ht="30">
      <c r="A27" s="21">
        <v>4</v>
      </c>
      <c r="B27" s="74" t="s">
        <v>70</v>
      </c>
      <c r="C27" s="22"/>
      <c r="D27" s="23"/>
      <c r="E27" s="24"/>
      <c r="F27" s="24"/>
      <c r="G27" s="27"/>
      <c r="H27" s="25"/>
      <c r="I27" s="26"/>
      <c r="J27" s="27"/>
      <c r="K27" s="24"/>
    </row>
    <row r="28" spans="1:15" s="1" customFormat="1">
      <c r="A28" s="21"/>
      <c r="B28" s="39" t="str">
        <f>B24</f>
        <v>-for passage flooring</v>
      </c>
      <c r="C28" s="22">
        <f>C24</f>
        <v>1</v>
      </c>
      <c r="D28" s="23">
        <f>D24</f>
        <v>4.5</v>
      </c>
      <c r="E28" s="24">
        <f>10/3.281</f>
        <v>3.047851264858275</v>
      </c>
      <c r="F28" s="24">
        <v>0.15</v>
      </c>
      <c r="G28" s="36">
        <f t="shared" ref="G28" si="5">PRODUCT(C28:F28)</f>
        <v>2.0572996037793354</v>
      </c>
      <c r="H28" s="25"/>
      <c r="I28" s="26"/>
      <c r="J28" s="27"/>
      <c r="K28" s="24"/>
    </row>
    <row r="29" spans="1:15" s="1" customFormat="1">
      <c r="A29" s="21"/>
      <c r="B29" s="39" t="s">
        <v>25</v>
      </c>
      <c r="C29" s="22"/>
      <c r="D29" s="23"/>
      <c r="E29" s="24"/>
      <c r="F29" s="24"/>
      <c r="G29" s="27">
        <f>SUM(G28:G28)</f>
        <v>2.0572996037793354</v>
      </c>
      <c r="H29" s="25" t="s">
        <v>31</v>
      </c>
      <c r="I29" s="26">
        <v>4473.1499999999996</v>
      </c>
      <c r="J29" s="27">
        <f>G29*I29</f>
        <v>9202.6097226455331</v>
      </c>
      <c r="K29" s="24"/>
    </row>
    <row r="30" spans="1:15" s="1" customFormat="1">
      <c r="A30" s="21"/>
      <c r="B30" s="39" t="s">
        <v>33</v>
      </c>
      <c r="C30" s="22"/>
      <c r="D30" s="23"/>
      <c r="E30" s="24"/>
      <c r="F30" s="24"/>
      <c r="G30" s="27"/>
      <c r="H30" s="25"/>
      <c r="I30" s="26"/>
      <c r="J30" s="27">
        <f>0.13*G29*3093.15</f>
        <v>827.25971502590676</v>
      </c>
      <c r="K30" s="24"/>
      <c r="M30" s="1">
        <f>4434</f>
        <v>4434</v>
      </c>
      <c r="N30" s="1" t="e">
        <f>(PRODUCT(#REF!))*0.15+(PRODUCT(#REF!))*0.15+(PRODUCT(C28:E28))*0.15</f>
        <v>#REF!</v>
      </c>
      <c r="O30" s="1" t="e">
        <f>N30*M30</f>
        <v>#REF!</v>
      </c>
    </row>
    <row r="31" spans="1:15" s="1" customFormat="1">
      <c r="A31" s="21"/>
      <c r="B31" s="39"/>
      <c r="C31" s="22"/>
      <c r="D31" s="23"/>
      <c r="E31" s="24"/>
      <c r="F31" s="24"/>
      <c r="G31" s="27"/>
      <c r="H31" s="25"/>
      <c r="I31" s="26"/>
      <c r="J31" s="27"/>
      <c r="K31" s="24"/>
    </row>
    <row r="32" spans="1:15" s="1" customFormat="1" ht="30">
      <c r="A32" s="21">
        <v>5</v>
      </c>
      <c r="B32" s="37" t="s">
        <v>37</v>
      </c>
      <c r="C32" s="22"/>
      <c r="D32" s="23"/>
      <c r="E32" s="24"/>
      <c r="F32" s="24"/>
      <c r="G32" s="27"/>
      <c r="H32" s="25"/>
      <c r="I32" s="26"/>
      <c r="J32" s="27"/>
      <c r="K32" s="24"/>
    </row>
    <row r="33" spans="1:31" s="1" customFormat="1">
      <c r="A33" s="21"/>
      <c r="B33" s="39" t="s">
        <v>35</v>
      </c>
      <c r="C33" s="22">
        <v>1</v>
      </c>
      <c r="D33" s="23">
        <f>11/3.281</f>
        <v>3.3526363913441024</v>
      </c>
      <c r="E33" s="24">
        <f>8.25/3.281</f>
        <v>2.5144772935080768</v>
      </c>
      <c r="F33" s="24">
        <v>5.5E-2</v>
      </c>
      <c r="G33" s="36">
        <f>PRODUCT(C33:F33)</f>
        <v>0.46365704436829819</v>
      </c>
      <c r="H33" s="25"/>
      <c r="I33" s="26"/>
      <c r="J33" s="27"/>
      <c r="K33" s="24"/>
    </row>
    <row r="34" spans="1:31" s="1" customFormat="1">
      <c r="A34" s="21"/>
      <c r="B34" s="39"/>
      <c r="C34" s="22">
        <v>1</v>
      </c>
      <c r="D34" s="23">
        <v>4.7</v>
      </c>
      <c r="E34" s="24">
        <f>2.58</f>
        <v>2.58</v>
      </c>
      <c r="F34" s="24">
        <v>0.1</v>
      </c>
      <c r="G34" s="36">
        <f t="shared" ref="G34:G35" si="6">PRODUCT(C34:F34)</f>
        <v>1.2126000000000001</v>
      </c>
      <c r="H34" s="25"/>
      <c r="I34" s="26"/>
      <c r="J34" s="27"/>
      <c r="K34" s="24"/>
    </row>
    <row r="35" spans="1:31" s="1" customFormat="1">
      <c r="A35" s="21"/>
      <c r="B35" s="39"/>
      <c r="C35" s="22">
        <f t="shared" ref="C35:E35" si="7">C28</f>
        <v>1</v>
      </c>
      <c r="D35" s="23">
        <f>16/3.281</f>
        <v>4.8765620237732392</v>
      </c>
      <c r="E35" s="24">
        <f>(2.8+2.2)/2</f>
        <v>2.5</v>
      </c>
      <c r="F35" s="24">
        <v>0.1</v>
      </c>
      <c r="G35" s="36">
        <f t="shared" si="6"/>
        <v>1.2191405059433098</v>
      </c>
      <c r="H35" s="25"/>
      <c r="I35" s="26"/>
      <c r="J35" s="27"/>
      <c r="K35" s="24"/>
    </row>
    <row r="36" spans="1:31" s="1" customFormat="1">
      <c r="A36" s="21"/>
      <c r="B36" s="39" t="s">
        <v>25</v>
      </c>
      <c r="C36" s="22"/>
      <c r="D36" s="23"/>
      <c r="E36" s="24"/>
      <c r="F36" s="24"/>
      <c r="G36" s="27">
        <f>SUM(G33:G35)</f>
        <v>2.8953975503116078</v>
      </c>
      <c r="H36" s="25" t="s">
        <v>36</v>
      </c>
      <c r="I36" s="26">
        <v>12983.1</v>
      </c>
      <c r="J36" s="27">
        <f>G36*I36</f>
        <v>37591.235935450633</v>
      </c>
      <c r="K36" s="24"/>
    </row>
    <row r="37" spans="1:31" s="1" customFormat="1">
      <c r="A37" s="21"/>
      <c r="B37" s="39" t="s">
        <v>33</v>
      </c>
      <c r="C37" s="22"/>
      <c r="D37" s="23"/>
      <c r="E37" s="24"/>
      <c r="F37" s="24"/>
      <c r="G37" s="27"/>
      <c r="H37" s="25"/>
      <c r="I37" s="26"/>
      <c r="J37" s="27">
        <f>0.13*G36*8078.11</f>
        <v>3040.6141876692013</v>
      </c>
      <c r="K37" s="24"/>
    </row>
    <row r="38" spans="1:31" s="1" customFormat="1">
      <c r="A38" s="21"/>
      <c r="B38" s="39"/>
      <c r="C38" s="22"/>
      <c r="D38" s="23"/>
      <c r="E38" s="24"/>
      <c r="F38" s="24"/>
      <c r="G38" s="27"/>
      <c r="H38" s="25"/>
      <c r="I38" s="26"/>
      <c r="J38" s="27"/>
      <c r="K38" s="24"/>
    </row>
    <row r="39" spans="1:31" s="1" customFormat="1">
      <c r="A39" s="21">
        <v>6</v>
      </c>
      <c r="B39" s="41" t="s">
        <v>32</v>
      </c>
      <c r="C39" s="22">
        <v>1</v>
      </c>
      <c r="D39" s="23"/>
      <c r="E39" s="24"/>
      <c r="F39" s="24"/>
      <c r="G39" s="36">
        <f>PRODUCT(C39:F39)</f>
        <v>1</v>
      </c>
      <c r="H39" s="25" t="s">
        <v>38</v>
      </c>
      <c r="I39" s="26">
        <v>500</v>
      </c>
      <c r="J39" s="27">
        <f>G39*I39</f>
        <v>500</v>
      </c>
      <c r="K39" s="24"/>
    </row>
    <row r="40" spans="1:31" s="1" customFormat="1">
      <c r="A40" s="21"/>
      <c r="B40" s="39"/>
      <c r="C40" s="22"/>
      <c r="D40" s="23"/>
      <c r="E40" s="24"/>
      <c r="F40" s="24"/>
      <c r="G40" s="27"/>
      <c r="H40" s="25"/>
      <c r="I40" s="26"/>
      <c r="J40" s="27"/>
      <c r="K40" s="24"/>
    </row>
    <row r="41" spans="1:31">
      <c r="A41" s="9"/>
      <c r="B41" s="20" t="s">
        <v>16</v>
      </c>
      <c r="C41" s="8"/>
      <c r="D41" s="6"/>
      <c r="E41" s="6"/>
      <c r="F41" s="6"/>
      <c r="G41" s="33"/>
      <c r="H41" s="7"/>
      <c r="I41" s="7"/>
      <c r="J41" s="7">
        <f>SUM(J10:J40)</f>
        <v>63819.543874106283</v>
      </c>
      <c r="K41" s="4"/>
      <c r="M41" s="29"/>
      <c r="P41" s="32"/>
      <c r="Q41" s="32"/>
    </row>
    <row r="42" spans="1:31">
      <c r="M42" s="29"/>
      <c r="N42" s="30"/>
      <c r="O42" s="30"/>
      <c r="P42" s="31"/>
      <c r="R42" s="30"/>
      <c r="S42" s="30"/>
      <c r="T42" s="30"/>
      <c r="U42" s="29"/>
      <c r="V42" s="29"/>
      <c r="W42" s="29"/>
      <c r="X42" s="29"/>
      <c r="Y42" s="29"/>
      <c r="Z42" s="29"/>
      <c r="AA42" s="29"/>
      <c r="AB42" s="29"/>
      <c r="AC42" s="29"/>
      <c r="AD42" s="29"/>
      <c r="AE42" s="29"/>
    </row>
    <row r="43" spans="1:31" s="1" customFormat="1">
      <c r="B43" s="11" t="s">
        <v>22</v>
      </c>
      <c r="C43" s="81">
        <f>J41</f>
        <v>63819.543874106283</v>
      </c>
      <c r="D43" s="82"/>
      <c r="E43" s="10">
        <v>100</v>
      </c>
      <c r="F43" s="12"/>
      <c r="G43" s="13"/>
      <c r="H43" s="12"/>
      <c r="I43" s="14"/>
      <c r="J43" s="15"/>
      <c r="K43" s="16"/>
      <c r="M43" s="12"/>
      <c r="N43" s="30"/>
      <c r="O43" s="30"/>
      <c r="P43" s="30"/>
      <c r="Q43" s="30"/>
      <c r="R43" s="30"/>
      <c r="S43" s="30"/>
      <c r="T43" s="30"/>
      <c r="U43" s="12"/>
      <c r="V43" s="12"/>
      <c r="W43" s="12"/>
      <c r="X43" s="12"/>
      <c r="Y43" s="12"/>
      <c r="Z43" s="12"/>
      <c r="AA43" s="12"/>
      <c r="AB43" s="12"/>
      <c r="AC43" s="12"/>
      <c r="AD43" s="12"/>
      <c r="AE43" s="12"/>
    </row>
    <row r="44" spans="1:31">
      <c r="B44" s="11" t="s">
        <v>17</v>
      </c>
      <c r="C44" s="84">
        <v>60000</v>
      </c>
      <c r="D44" s="85"/>
      <c r="E44" s="10"/>
      <c r="M44" s="29"/>
      <c r="N44" s="30"/>
      <c r="O44" s="30"/>
      <c r="P44" s="30"/>
      <c r="Q44" s="30"/>
      <c r="R44" s="30"/>
      <c r="S44" s="30"/>
      <c r="T44" s="30"/>
      <c r="U44" s="29"/>
      <c r="V44" s="29"/>
      <c r="W44" s="29"/>
      <c r="X44" s="29"/>
      <c r="Y44" s="29"/>
      <c r="Z44" s="29"/>
      <c r="AA44" s="29"/>
      <c r="AB44" s="29"/>
      <c r="AC44" s="29"/>
      <c r="AD44" s="29"/>
      <c r="AE44" s="29"/>
    </row>
    <row r="45" spans="1:31">
      <c r="B45" s="11" t="s">
        <v>18</v>
      </c>
      <c r="C45" s="84">
        <v>30000</v>
      </c>
      <c r="D45" s="85"/>
      <c r="E45" s="10">
        <f>C45/C43*100</f>
        <v>47.007543737980242</v>
      </c>
      <c r="M45" s="29"/>
      <c r="N45" s="29"/>
      <c r="O45" s="29"/>
      <c r="P45" s="29"/>
      <c r="Q45" s="29"/>
      <c r="R45" s="29"/>
      <c r="S45" s="29"/>
      <c r="T45" s="29"/>
      <c r="U45" s="29"/>
      <c r="V45" s="29"/>
      <c r="W45" s="29"/>
      <c r="X45" s="29"/>
      <c r="Y45" s="29"/>
      <c r="Z45" s="29"/>
      <c r="AA45" s="29"/>
      <c r="AB45" s="29"/>
      <c r="AC45" s="29"/>
      <c r="AD45" s="29"/>
      <c r="AE45" s="29"/>
    </row>
    <row r="46" spans="1:31">
      <c r="B46" s="11" t="s">
        <v>19</v>
      </c>
      <c r="C46" s="86">
        <f>C43-C45</f>
        <v>33819.543874106283</v>
      </c>
      <c r="D46" s="86"/>
      <c r="E46" s="10">
        <f>100-E45</f>
        <v>52.992456262019758</v>
      </c>
      <c r="M46" s="29"/>
      <c r="N46" s="29"/>
      <c r="O46" s="29"/>
      <c r="P46" s="29"/>
      <c r="Q46" s="29"/>
      <c r="R46" s="29"/>
      <c r="S46" s="29"/>
      <c r="T46" s="29"/>
      <c r="U46" s="29"/>
      <c r="V46" s="29"/>
      <c r="W46" s="29"/>
      <c r="X46" s="29"/>
      <c r="Y46" s="29"/>
      <c r="Z46" s="29"/>
      <c r="AA46" s="29"/>
      <c r="AB46" s="29"/>
      <c r="AC46" s="29"/>
      <c r="AD46" s="29"/>
      <c r="AE46" s="29"/>
    </row>
    <row r="47" spans="1:31">
      <c r="B47" s="11" t="s">
        <v>20</v>
      </c>
      <c r="C47" s="81">
        <f>C44*0.03</f>
        <v>1800</v>
      </c>
      <c r="D47" s="82"/>
      <c r="E47" s="10">
        <v>3</v>
      </c>
      <c r="M47" s="29"/>
      <c r="N47" s="29"/>
      <c r="O47" s="29"/>
      <c r="P47" s="29"/>
      <c r="Q47" s="29"/>
      <c r="R47" s="29"/>
      <c r="S47" s="29"/>
      <c r="T47" s="29"/>
      <c r="U47" s="29"/>
      <c r="V47" s="29"/>
      <c r="W47" s="29"/>
      <c r="X47" s="29"/>
      <c r="Y47" s="29"/>
      <c r="Z47" s="29"/>
      <c r="AA47" s="29"/>
      <c r="AB47" s="29"/>
      <c r="AC47" s="29"/>
      <c r="AD47" s="29"/>
      <c r="AE47" s="29"/>
    </row>
    <row r="48" spans="1:31">
      <c r="B48" s="11" t="s">
        <v>21</v>
      </c>
      <c r="C48" s="81">
        <f>C44*0.02</f>
        <v>1200</v>
      </c>
      <c r="D48" s="82"/>
      <c r="E48" s="10">
        <v>2</v>
      </c>
      <c r="M48" s="29"/>
      <c r="N48" s="29"/>
      <c r="O48" s="29"/>
      <c r="P48" s="29"/>
      <c r="Q48" s="29"/>
      <c r="R48" s="29"/>
      <c r="S48" s="29"/>
      <c r="T48" s="29"/>
      <c r="U48" s="29"/>
      <c r="V48" s="29"/>
      <c r="W48" s="29"/>
      <c r="X48" s="29"/>
      <c r="Y48" s="29"/>
      <c r="Z48" s="29"/>
      <c r="AA48" s="29"/>
      <c r="AB48" s="29"/>
      <c r="AC48" s="29"/>
      <c r="AD48" s="29"/>
      <c r="AE48" s="29"/>
    </row>
  </sheetData>
  <mergeCells count="15">
    <mergeCell ref="C47:D47"/>
    <mergeCell ref="C48:D48"/>
    <mergeCell ref="A7:F7"/>
    <mergeCell ref="H7:K7"/>
    <mergeCell ref="C43:D43"/>
    <mergeCell ref="C44:D44"/>
    <mergeCell ref="C45:D45"/>
    <mergeCell ref="C46:D46"/>
    <mergeCell ref="A6:G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H8" sqref="H8"/>
    </sheetView>
  </sheetViews>
  <sheetFormatPr defaultColWidth="9.140625" defaultRowHeight="1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 min="9" max="9" width="0" hidden="1" customWidth="1"/>
    <col min="12" max="12" width="16.7109375" customWidth="1"/>
  </cols>
  <sheetData>
    <row r="1" spans="1:8" s="43" customFormat="1" ht="20.100000000000001" customHeight="1">
      <c r="A1" s="42" t="e">
        <f>#REF!+1</f>
        <v>#REF!</v>
      </c>
      <c r="B1" s="87" t="s">
        <v>71</v>
      </c>
      <c r="C1" s="88"/>
      <c r="D1" s="88"/>
      <c r="E1" s="88"/>
      <c r="F1" s="88"/>
      <c r="G1" s="88"/>
      <c r="H1" s="88"/>
    </row>
    <row r="2" spans="1:8" s="43" customFormat="1" ht="20.100000000000001" customHeight="1">
      <c r="A2" s="44" t="s">
        <v>39</v>
      </c>
      <c r="B2" s="89" t="s">
        <v>40</v>
      </c>
      <c r="C2" s="90"/>
      <c r="D2" s="90"/>
      <c r="E2" s="90"/>
      <c r="F2" s="90"/>
      <c r="G2" s="90"/>
      <c r="H2" s="90"/>
    </row>
    <row r="3" spans="1:8" s="43" customFormat="1" ht="33" customHeight="1">
      <c r="B3" s="45" t="s">
        <v>41</v>
      </c>
      <c r="C3" s="45" t="s">
        <v>42</v>
      </c>
      <c r="D3" s="45" t="s">
        <v>43</v>
      </c>
      <c r="E3" s="45" t="s">
        <v>44</v>
      </c>
      <c r="F3" s="45" t="s">
        <v>45</v>
      </c>
      <c r="G3" s="45" t="s">
        <v>46</v>
      </c>
      <c r="H3" s="45" t="s">
        <v>47</v>
      </c>
    </row>
    <row r="4" spans="1:8" s="43" customFormat="1" ht="20.100000000000001" customHeight="1">
      <c r="B4" s="91" t="s">
        <v>48</v>
      </c>
      <c r="C4" s="46" t="s">
        <v>49</v>
      </c>
      <c r="D4" s="47">
        <v>1.1000000000000001</v>
      </c>
      <c r="E4" s="48" t="s">
        <v>50</v>
      </c>
      <c r="F4" s="49">
        <v>1225</v>
      </c>
      <c r="G4" s="49">
        <f t="shared" ref="G4:G9" si="0">FLOOR(D4*F4,0.01)</f>
        <v>1347.5</v>
      </c>
      <c r="H4" s="50"/>
    </row>
    <row r="5" spans="1:8" s="43" customFormat="1" ht="20.100000000000001" customHeight="1">
      <c r="B5" s="92"/>
      <c r="C5" s="51" t="s">
        <v>51</v>
      </c>
      <c r="D5" s="52">
        <v>1.25</v>
      </c>
      <c r="E5" s="51" t="s">
        <v>50</v>
      </c>
      <c r="F5" s="53">
        <v>920</v>
      </c>
      <c r="G5" s="53">
        <f t="shared" si="0"/>
        <v>1150</v>
      </c>
      <c r="H5" s="54">
        <f>SUM(G4+G5)</f>
        <v>2497.5</v>
      </c>
    </row>
    <row r="6" spans="1:8" s="43" customFormat="1" ht="16.5">
      <c r="B6" s="93" t="s">
        <v>52</v>
      </c>
      <c r="C6" s="55" t="s">
        <v>65</v>
      </c>
      <c r="D6" s="56">
        <v>12</v>
      </c>
      <c r="E6" s="57" t="s">
        <v>53</v>
      </c>
      <c r="F6" s="58">
        <f>313.4529148</f>
        <v>313.45291479999997</v>
      </c>
      <c r="G6" s="58">
        <f t="shared" si="0"/>
        <v>3761.4300000000003</v>
      </c>
      <c r="H6" s="59"/>
    </row>
    <row r="7" spans="1:8" s="43" customFormat="1" ht="16.5">
      <c r="B7" s="94"/>
      <c r="C7" s="57" t="s">
        <v>54</v>
      </c>
      <c r="D7" s="56">
        <v>30</v>
      </c>
      <c r="E7" s="57" t="s">
        <v>55</v>
      </c>
      <c r="F7" s="58">
        <v>34.130000000000003</v>
      </c>
      <c r="G7" s="58">
        <f t="shared" si="0"/>
        <v>1023.9</v>
      </c>
      <c r="H7" s="60"/>
    </row>
    <row r="8" spans="1:8" s="43" customFormat="1" ht="20.100000000000001" customHeight="1">
      <c r="B8" s="94"/>
      <c r="C8" s="57" t="s">
        <v>56</v>
      </c>
      <c r="D8" s="56">
        <v>25</v>
      </c>
      <c r="E8" s="57" t="s">
        <v>55</v>
      </c>
      <c r="F8" s="58">
        <f>'[1]update Rate'!$N$131</f>
        <v>13.928571428571429</v>
      </c>
      <c r="G8" s="58">
        <f t="shared" si="0"/>
        <v>348.21</v>
      </c>
      <c r="H8" s="60"/>
    </row>
    <row r="9" spans="1:8" s="61" customFormat="1" ht="20.100000000000001" customHeight="1">
      <c r="B9" s="95"/>
      <c r="C9" s="62" t="s">
        <v>57</v>
      </c>
      <c r="D9" s="63">
        <v>55</v>
      </c>
      <c r="E9" s="62" t="s">
        <v>55</v>
      </c>
      <c r="F9" s="64">
        <f>'[1]update Rate'!$N$132</f>
        <v>3</v>
      </c>
      <c r="G9" s="64">
        <f t="shared" si="0"/>
        <v>165</v>
      </c>
      <c r="H9" s="65">
        <f>0*SUM(G6+G7+G8+G9)</f>
        <v>0</v>
      </c>
    </row>
    <row r="10" spans="1:8" s="43" customFormat="1" ht="20.100000000000001" customHeight="1">
      <c r="F10" s="43" t="s">
        <v>58</v>
      </c>
      <c r="G10" s="66"/>
      <c r="H10" s="53">
        <f>SUM(H5:H9)</f>
        <v>2497.5</v>
      </c>
    </row>
    <row r="11" spans="1:8" s="43" customFormat="1" ht="20.100000000000001" customHeight="1">
      <c r="B11" s="67" t="s">
        <v>59</v>
      </c>
      <c r="F11" s="43" t="s">
        <v>60</v>
      </c>
      <c r="G11" s="66"/>
      <c r="H11" s="68">
        <f>FLOOR(H10*0.15,0.01)</f>
        <v>374.62</v>
      </c>
    </row>
    <row r="12" spans="1:8" s="43" customFormat="1" ht="20.100000000000001" customHeight="1">
      <c r="A12" s="69"/>
      <c r="B12" s="70">
        <f>+H12</f>
        <v>2872.12</v>
      </c>
      <c r="C12" s="69" t="s">
        <v>61</v>
      </c>
      <c r="D12" s="71">
        <f>INT(B12/B13*100)/100</f>
        <v>287.20999999999998</v>
      </c>
      <c r="E12" s="43" t="s">
        <v>62</v>
      </c>
      <c r="F12" s="43" t="s">
        <v>63</v>
      </c>
      <c r="G12" s="66"/>
      <c r="H12" s="71">
        <f>SUM(H10:H11)</f>
        <v>2872.12</v>
      </c>
    </row>
    <row r="13" spans="1:8" s="43" customFormat="1" ht="20.100000000000001" customHeight="1">
      <c r="B13" s="72">
        <v>10</v>
      </c>
    </row>
    <row r="14" spans="1:8" s="43" customFormat="1">
      <c r="A14" s="73" t="s">
        <v>64</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 per mistry</vt:lpstr>
      <vt:lpstr>Sheet1</vt:lpstr>
      <vt:lpstr>'as per mistry'!Print_Area</vt:lpstr>
      <vt:lpstr>'as per mistry'!Print_Titles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2025-01-13T05:40:48Z</cp:lastPrinted>
  <dcterms:created xsi:type="dcterms:W3CDTF">2015-06-05T18:17:20Z</dcterms:created>
  <dcterms:modified xsi:type="dcterms:W3CDTF">2025-05-22T07:47:32Z</dcterms:modified>
</cp:coreProperties>
</file>