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Subash\"/>
    </mc:Choice>
  </mc:AlternateContent>
  <bookViews>
    <workbookView xWindow="-120" yWindow="-120" windowWidth="20730" windowHeight="11160" activeTab="1"/>
  </bookViews>
  <sheets>
    <sheet name="as per mistry" sheetId="19" r:id="rId1"/>
    <sheet name="WCR" sheetId="22" r:id="rId2"/>
    <sheet name="V" sheetId="21" r:id="rId3"/>
    <sheet name="M" sheetId="23" r:id="rId4"/>
    <sheet name="Rate analysis" sheetId="2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03">[7]Abstract!$B$16</definedName>
    <definedName name="description_124" localSheetId="1">#REF!</definedName>
    <definedName name="description_124">[4]Abstract!$B$18</definedName>
    <definedName name="description_2">[3]Abstract!$B$168</definedName>
    <definedName name="description_247">[7]Abstract!$B$22</definedName>
    <definedName name="description_248">[7]Abstract!$B$23</definedName>
    <definedName name="description_261">[5]Abstract!$B$33</definedName>
    <definedName name="description_262" localSheetId="1">[7]Abstract!$B$34</definedName>
    <definedName name="description_262">[6]Abstract!$B$34</definedName>
    <definedName name="description_3">[7]Abstract!$B$169</definedName>
    <definedName name="description_310">[9]Abstract!$B$60</definedName>
    <definedName name="description_312">[10]Abstract!$B$61</definedName>
    <definedName name="description_5">[7]Abstract!$B$171</definedName>
    <definedName name="description_6" localSheetId="1">[9]Abstract!$B$172</definedName>
    <definedName name="description_6">[3]Abstract!$B$172</definedName>
    <definedName name="description_759">[7]Abstract!$B$278</definedName>
    <definedName name="description_781">[11]Abstract!$B$299</definedName>
    <definedName name="description_783">[7]Abstract!$B$301</definedName>
    <definedName name="description_784">[3]Abstract!$B$300</definedName>
    <definedName name="excavator">[2]Equipment_Rate!$J$19</definedName>
    <definedName name="generator">[2]Equipment_Rate!$J$20</definedName>
    <definedName name="_xlnm.Print_Area" localSheetId="0">'as per mistry'!$A$1:$K$34</definedName>
    <definedName name="_xlnm.Print_Area" localSheetId="3">M!$A$1:$K$34</definedName>
    <definedName name="_xlnm.Print_Area" localSheetId="2">V!$A$1:$K$34</definedName>
    <definedName name="_xlnm.Print_Area" localSheetId="1">WCR!$A$1:$K$24</definedName>
    <definedName name="_xlnm.Print_Titles" localSheetId="0">'as per mistry'!$1:$8</definedName>
    <definedName name="_xlnm.Print_Titles" localSheetId="3">M!$1:$8</definedName>
    <definedName name="_xlnm.Print_Titles" localSheetId="2">V!$1:$8</definedName>
    <definedName name="_xlnm.Print_Titles" localSheetId="1">WCR!$1:$12</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23" l="1"/>
  <c r="C33" i="23"/>
  <c r="G24" i="23"/>
  <c r="J24" i="23" s="1"/>
  <c r="E20" i="23"/>
  <c r="D20" i="23"/>
  <c r="G20" i="23" s="1"/>
  <c r="E19" i="23"/>
  <c r="D19" i="23"/>
  <c r="G19" i="23" s="1"/>
  <c r="G21" i="23" s="1"/>
  <c r="B19" i="23"/>
  <c r="D15" i="23"/>
  <c r="G15" i="23" s="1"/>
  <c r="G16" i="23" s="1"/>
  <c r="J16" i="23" s="1"/>
  <c r="I11" i="23"/>
  <c r="E10" i="23"/>
  <c r="D10" i="23"/>
  <c r="G10" i="23" s="1"/>
  <c r="G11" i="23" s="1"/>
  <c r="A9" i="22"/>
  <c r="A8" i="22"/>
  <c r="H13" i="22"/>
  <c r="H21" i="22"/>
  <c r="G21" i="22"/>
  <c r="E21" i="22"/>
  <c r="D21" i="22"/>
  <c r="C21" i="22"/>
  <c r="B21" i="22"/>
  <c r="A21" i="22"/>
  <c r="I19" i="22"/>
  <c r="H18" i="22"/>
  <c r="G18" i="22"/>
  <c r="F19" i="22"/>
  <c r="M19" i="22" s="1"/>
  <c r="E18" i="22"/>
  <c r="D18" i="22"/>
  <c r="C18" i="22"/>
  <c r="B19" i="22"/>
  <c r="B18" i="22"/>
  <c r="A18" i="22"/>
  <c r="H16" i="22"/>
  <c r="E16" i="22"/>
  <c r="D16" i="22"/>
  <c r="C16" i="22"/>
  <c r="B16" i="22"/>
  <c r="A16" i="22"/>
  <c r="I14" i="22"/>
  <c r="F14" i="22"/>
  <c r="M14" i="22" s="1"/>
  <c r="B14" i="22"/>
  <c r="G13" i="22"/>
  <c r="E13" i="22"/>
  <c r="D13" i="22"/>
  <c r="C13" i="22"/>
  <c r="B13" i="22"/>
  <c r="A13" i="22"/>
  <c r="L28" i="22"/>
  <c r="M28" i="22" s="1"/>
  <c r="J22" i="23" l="1"/>
  <c r="J21" i="23"/>
  <c r="J12" i="23"/>
  <c r="J11" i="23"/>
  <c r="I21" i="22"/>
  <c r="F21" i="22"/>
  <c r="M21" i="22" s="1"/>
  <c r="I18" i="22"/>
  <c r="F18" i="22"/>
  <c r="M18" i="22" s="1"/>
  <c r="J19" i="22"/>
  <c r="F16" i="22"/>
  <c r="M16" i="22" s="1"/>
  <c r="J18" i="22"/>
  <c r="F13" i="22"/>
  <c r="J14" i="22"/>
  <c r="I13" i="22"/>
  <c r="J21" i="22"/>
  <c r="M13" i="22"/>
  <c r="J26" i="23" l="1"/>
  <c r="J13" i="22"/>
  <c r="F23" i="22"/>
  <c r="C6" i="22" s="1"/>
  <c r="C28" i="23" l="1"/>
  <c r="C29" i="23"/>
  <c r="C34" i="21"/>
  <c r="C33" i="21"/>
  <c r="G24" i="21"/>
  <c r="J24" i="21" s="1"/>
  <c r="E20" i="21"/>
  <c r="D20" i="21"/>
  <c r="G20" i="21" s="1"/>
  <c r="E19" i="21"/>
  <c r="D19" i="21"/>
  <c r="G19" i="21" s="1"/>
  <c r="G21" i="21" s="1"/>
  <c r="B19" i="21"/>
  <c r="D15" i="21"/>
  <c r="G15" i="21" s="1"/>
  <c r="G16" i="21" s="1"/>
  <c r="I11" i="21"/>
  <c r="E10" i="21"/>
  <c r="D10" i="21"/>
  <c r="G10" i="21" s="1"/>
  <c r="G11" i="21" s="1"/>
  <c r="H9" i="20"/>
  <c r="E19" i="19"/>
  <c r="E20" i="19"/>
  <c r="E31" i="23" l="1"/>
  <c r="E32" i="23" s="1"/>
  <c r="C32" i="23"/>
  <c r="J16" i="21"/>
  <c r="G16" i="22"/>
  <c r="I16" i="22" s="1"/>
  <c r="J12" i="21"/>
  <c r="J11" i="21"/>
  <c r="J22" i="21"/>
  <c r="J21" i="21"/>
  <c r="I23" i="22" l="1"/>
  <c r="J16" i="22"/>
  <c r="J26" i="21"/>
  <c r="J6" i="22" l="1"/>
  <c r="J23" i="22"/>
  <c r="C28" i="21"/>
  <c r="C29" i="21"/>
  <c r="E31" i="21" l="1"/>
  <c r="E32" i="21" s="1"/>
  <c r="C32" i="21"/>
  <c r="J12" i="19" l="1"/>
  <c r="D20" i="19" l="1"/>
  <c r="E10" i="19" l="1"/>
  <c r="D10" i="19"/>
  <c r="F6" i="20"/>
  <c r="G20" i="19"/>
  <c r="D19" i="19"/>
  <c r="D15" i="19" s="1"/>
  <c r="B19" i="19"/>
  <c r="G6" i="20" l="1"/>
  <c r="F9" i="20"/>
  <c r="G9" i="20" s="1"/>
  <c r="F8" i="20"/>
  <c r="G8" i="20" s="1"/>
  <c r="G7" i="20"/>
  <c r="G5" i="20"/>
  <c r="G4" i="20"/>
  <c r="A1" i="20"/>
  <c r="H5" i="20" l="1"/>
  <c r="H10" i="20" l="1"/>
  <c r="I11" i="19" s="1"/>
  <c r="H11" i="20" l="1"/>
  <c r="H12" i="20" s="1"/>
  <c r="B12" i="20" s="1"/>
  <c r="D12" i="20" s="1"/>
  <c r="C34" i="19"/>
  <c r="C33" i="19"/>
  <c r="G24" i="19"/>
  <c r="J24" i="19" s="1"/>
  <c r="G19" i="19"/>
  <c r="G21" i="19" s="1"/>
  <c r="J22" i="19" s="1"/>
  <c r="G15" i="19"/>
  <c r="G16" i="19" s="1"/>
  <c r="G10" i="19"/>
  <c r="G11" i="19" s="1"/>
  <c r="J16" i="19" l="1"/>
  <c r="J21" i="19"/>
  <c r="J11" i="19"/>
  <c r="J26" i="19" l="1"/>
  <c r="C28" i="19" s="1"/>
  <c r="C29" i="19" l="1"/>
  <c r="C32" i="19" s="1"/>
  <c r="E31" i="19" l="1"/>
  <c r="E32" i="19" s="1"/>
</calcChain>
</file>

<file path=xl/sharedStrings.xml><?xml version="1.0" encoding="utf-8"?>
<sst xmlns="http://schemas.openxmlformats.org/spreadsheetml/2006/main" count="182" uniqueCount="84">
  <si>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</si>
  <si>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</si>
  <si>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</si>
  <si>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</si>
  <si>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</si>
  <si>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</si>
  <si>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</si>
  <si>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</si>
  <si>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</si>
  <si>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</si>
  <si>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</si>
  <si>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</si>
  <si>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</si>
  <si>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</si>
  <si>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</si>
  <si>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</si>
  <si>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</si>
  <si>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</si>
  <si>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</si>
  <si>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</si>
  <si>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</si>
  <si>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</si>
  <si>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</si>
  <si>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</si>
  <si>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</si>
  <si>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</si>
  <si>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sqm</t>
  </si>
  <si>
    <t>Information board</t>
  </si>
  <si>
    <t>-VAT 13% for materials</t>
  </si>
  <si>
    <t xml:space="preserve">g/d k|sf/sf] Sn] / l;N6L df6f]df ;j} lsl;dsf] vGg] sfd </t>
  </si>
  <si>
    <t>cum</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</si>
  <si>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</si>
  <si>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</si>
  <si>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</si>
  <si>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</si>
  <si>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</si>
  <si>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</si>
  <si>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</si>
  <si>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</si>
  <si>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</si>
  <si>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</si>
  <si>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</si>
  <si>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</si>
  <si>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</si>
  <si>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</si>
  <si>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</si>
  <si>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</si>
  <si>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</si>
  <si>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</si>
  <si>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</si>
  <si>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</si>
  <si>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</si>
  <si>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</si>
  <si>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</si>
  <si>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</si>
  <si>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</si>
  <si>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</si>
  <si>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</si>
  <si>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-for passage flooring</t>
  </si>
  <si>
    <t>%) dL=dL= df]6f] x]eL 8o"6L OG6/nls+u s+lqm6Ans la5ofpg]] sfd</t>
  </si>
  <si>
    <t>dfn;fdfg pknAw u/L )=@^ dL=dL= afSnf] ;L=hL=cfO{= zL6 -h:tf kftfsf]_ 5fgf 5fpg] sfd k'/f .</t>
  </si>
  <si>
    <r>
      <t>CGI</t>
    </r>
    <r>
      <rPr>
        <sz val="13"/>
        <rFont val="Preeti"/>
      </rPr>
      <t xml:space="preserve"> </t>
    </r>
    <r>
      <rPr>
        <sz val="10"/>
        <rFont val="Preeti"/>
      </rPr>
      <t xml:space="preserve">kftf @* u]h </t>
    </r>
    <r>
      <rPr>
        <sz val="8"/>
        <rFont val="Arial"/>
        <family val="2"/>
      </rPr>
      <t>(0.26mm)</t>
    </r>
  </si>
  <si>
    <t xml:space="preserve">)=@^ dL=dL= afSnf] ;L=hL=cfO{= 5fgf 5fpg] sfd </t>
  </si>
  <si>
    <t xml:space="preserve">Date:                     </t>
  </si>
  <si>
    <t>Project:- फ्रेंस कृषि तथा पशुपालन</t>
  </si>
  <si>
    <t>Work Completion Report</t>
  </si>
  <si>
    <t>Total Estimated Amount:</t>
  </si>
  <si>
    <t>Total Valuated Amount :</t>
  </si>
  <si>
    <t xml:space="preserve">Work Started : </t>
  </si>
  <si>
    <t xml:space="preserve">Work Finished:           </t>
  </si>
  <si>
    <t xml:space="preserve">F.Y:2081/2082             </t>
  </si>
  <si>
    <t>S.No.</t>
  </si>
  <si>
    <t>Description</t>
  </si>
  <si>
    <t>Estimated</t>
  </si>
  <si>
    <t>Valuated</t>
  </si>
  <si>
    <t>Difference</t>
  </si>
  <si>
    <t xml:space="preserve">Quantity </t>
  </si>
  <si>
    <t>Total</t>
  </si>
  <si>
    <t>Total Valuated</t>
  </si>
  <si>
    <t>Detail Valuated Sheet</t>
  </si>
  <si>
    <t>Detail Quantity Measurement Sheet</t>
  </si>
  <si>
    <t>F.Y.: 2081/082</t>
  </si>
  <si>
    <t xml:space="preserve">Date: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</si>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</sst>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127">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6" fillId="0" borderId="0" xfId="0" applyFont="1" applyAlignment="1">
      <alignment horizontal="right"/>
    </xf>
    <xf numFmtId="0" fontId="0" fillId="0" borderId="5" xfId="0" applyBorder="1" applyAlignment="1">
      <alignment vertical="center"/>
    </xf>
    <xf numFmtId="2" fontId="0" fillId="0" borderId="5" xfId="0" applyNumberFormat="1" applyBorder="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3"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43" fontId="28" fillId="0" borderId="0" xfId="0" applyNumberFormat="1" applyFont="1" applyAlignment="1">
      <alignment horizontal="center"/>
    </xf>
    <xf numFmtId="0" fontId="28" fillId="0" borderId="0" xfId="0" applyFont="1" applyAlignment="1">
      <alignment horizontal="center"/>
    </xf>
    <xf numFmtId="0" fontId="29"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xf numFmtId="1" fontId="3" fillId="0" borderId="1" xfId="0" applyNumberFormat="1" applyFont="1" applyBorder="1" applyAlignment="1">
      <alignment vertical="center"/>
    </xf>
    <xf numFmtId="43" fontId="2" fillId="0" borderId="1" xfId="1" applyFont="1" applyBorder="1" applyAlignment="1">
      <alignment vertical="center"/>
    </xf>
    <xf numFmtId="0" fontId="0" fillId="0" borderId="1" xfId="0" applyBorder="1" applyAlignment="1">
      <alignment vertical="center" wrapText="1"/>
    </xf>
    <xf numFmtId="2" fontId="0" fillId="0" borderId="0" xfId="0" applyNumberFormat="1" applyAlignment="1">
      <alignment vertical="center"/>
    </xf>
    <xf numFmtId="0" fontId="3" fillId="0" borderId="1" xfId="0" applyFont="1" applyBorder="1" applyAlignment="1">
      <alignment vertical="center"/>
    </xf>
    <xf numFmtId="0" fontId="10" fillId="0" borderId="1" xfId="0" applyFont="1" applyBorder="1" applyAlignment="1">
      <alignment vertical="center"/>
    </xf>
    <xf numFmtId="1" fontId="30" fillId="0" borderId="1" xfId="0" applyNumberFormat="1" applyFont="1" applyBorder="1" applyAlignment="1">
      <alignment vertical="center" wrapText="1"/>
    </xf>
    <xf numFmtId="1" fontId="6" fillId="0" borderId="1" xfId="0" applyNumberFormat="1" applyFont="1" applyFill="1" applyBorder="1" applyAlignment="1">
      <alignment horizontal="righ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ew%20folder/081-082/ofc/ofc/estimates/kalika%20mandir/v.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WCR"/>
      <sheetName val="Valuation"/>
      <sheetName val="Measure"/>
    </sheetNames>
    <sheetDataSet>
      <sheetData sheetId="0">
        <row r="6">
          <cell r="A6" t="str">
            <v>Project:- कालिका मन्दिरमा भएको सार्वजनिक भवन मर्मत सम्भार</v>
          </cell>
        </row>
      </sheetData>
      <sheetData sheetId="1"/>
      <sheetData sheetId="2">
        <row r="14">
          <cell r="G14">
            <v>8.5378124999999994</v>
          </cell>
        </row>
      </sheetData>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zoomScale="80" zoomScaleNormal="80" zoomScaleSheetLayoutView="80" workbookViewId="0">
      <selection activeCell="J18" sqref="J18"/>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4</v>
      </c>
      <c r="B5" s="80"/>
      <c r="C5" s="80"/>
      <c r="D5" s="80"/>
      <c r="E5" s="80"/>
      <c r="F5" s="80"/>
      <c r="G5" s="80"/>
      <c r="H5" s="80"/>
      <c r="I5" s="80"/>
      <c r="J5" s="80"/>
      <c r="K5" s="80"/>
    </row>
    <row r="6" spans="1:13" ht="18.75">
      <c r="A6" s="75" t="s">
        <v>64</v>
      </c>
      <c r="B6" s="75"/>
      <c r="C6" s="75"/>
      <c r="D6" s="75"/>
      <c r="E6" s="75"/>
      <c r="F6" s="75"/>
      <c r="G6" s="75"/>
      <c r="H6" s="76" t="s">
        <v>24</v>
      </c>
      <c r="I6" s="76"/>
      <c r="J6" s="76"/>
      <c r="K6" s="76"/>
    </row>
    <row r="7" spans="1:13" ht="15.75">
      <c r="A7" s="83" t="s">
        <v>23</v>
      </c>
      <c r="B7" s="83"/>
      <c r="C7" s="83"/>
      <c r="D7" s="83"/>
      <c r="E7" s="83"/>
      <c r="F7" s="83"/>
      <c r="G7" s="2"/>
      <c r="H7" s="76" t="s">
        <v>63</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30">
      <c r="A9" s="35">
        <v>1</v>
      </c>
      <c r="B9" s="71" t="s">
        <v>62</v>
      </c>
      <c r="C9" s="37"/>
      <c r="D9" s="10"/>
      <c r="E9" s="10"/>
      <c r="F9" s="10"/>
      <c r="G9" s="33"/>
      <c r="H9" s="27"/>
      <c r="I9" s="27"/>
      <c r="J9" s="27"/>
      <c r="K9" s="11"/>
      <c r="M9" s="12"/>
    </row>
    <row r="10" spans="1:13" s="1" customFormat="1">
      <c r="A10" s="35"/>
      <c r="B10" s="36"/>
      <c r="C10" s="37">
        <v>1</v>
      </c>
      <c r="D10" s="23">
        <f>5.63+6.09</f>
        <v>11.719999999999999</v>
      </c>
      <c r="E10" s="10">
        <f>10/3.281</f>
        <v>3.047851264858275</v>
      </c>
      <c r="F10" s="10"/>
      <c r="G10" s="33">
        <f>PRODUCT(C10:F10)</f>
        <v>35.720816824138979</v>
      </c>
      <c r="H10" s="27"/>
      <c r="I10" s="27"/>
      <c r="J10" s="27"/>
      <c r="K10" s="11"/>
      <c r="M10" s="12"/>
    </row>
    <row r="11" spans="1:13" s="1" customFormat="1">
      <c r="A11" s="21"/>
      <c r="B11" s="36" t="s">
        <v>25</v>
      </c>
      <c r="C11" s="22"/>
      <c r="D11" s="23"/>
      <c r="E11" s="24"/>
      <c r="F11" s="24"/>
      <c r="G11" s="27">
        <f>SUM(G10:G10)</f>
        <v>35.720816824138979</v>
      </c>
      <c r="H11" s="25" t="s">
        <v>26</v>
      </c>
      <c r="I11" s="26">
        <f>'Rate analysis'!H10/10</f>
        <v>764.82799999999997</v>
      </c>
      <c r="J11" s="27">
        <f>G11*I11</f>
        <v>27320.280889972564</v>
      </c>
      <c r="K11" s="24"/>
    </row>
    <row r="12" spans="1:13" s="1" customFormat="1">
      <c r="A12" s="21"/>
      <c r="B12" s="36" t="s">
        <v>28</v>
      </c>
      <c r="C12" s="22"/>
      <c r="D12" s="23"/>
      <c r="E12" s="24"/>
      <c r="F12" s="24"/>
      <c r="G12" s="27"/>
      <c r="H12" s="25"/>
      <c r="I12" s="26"/>
      <c r="J12" s="27">
        <f>0.13*G11*'Rate analysis'!H9/10</f>
        <v>2391.8708954587014</v>
      </c>
      <c r="K12" s="24"/>
    </row>
    <row r="13" spans="1:13" s="1" customFormat="1">
      <c r="A13" s="21"/>
      <c r="B13" s="36"/>
      <c r="C13" s="22"/>
      <c r="D13" s="23"/>
      <c r="E13" s="24"/>
      <c r="F13" s="24"/>
      <c r="G13" s="27"/>
      <c r="H13" s="25"/>
      <c r="I13" s="26"/>
      <c r="J13" s="27"/>
      <c r="K13" s="24"/>
    </row>
    <row r="14" spans="1:13" s="1" customFormat="1" ht="30">
      <c r="A14" s="21">
        <v>2</v>
      </c>
      <c r="B14" s="34" t="s">
        <v>29</v>
      </c>
      <c r="C14" s="22"/>
      <c r="D14" s="23"/>
      <c r="E14" s="24"/>
      <c r="F14" s="24"/>
      <c r="G14" s="27"/>
      <c r="H14" s="25"/>
      <c r="I14" s="26"/>
      <c r="J14" s="27"/>
      <c r="K14" s="24"/>
    </row>
    <row r="15" spans="1:13" s="1" customFormat="1">
      <c r="A15" s="21"/>
      <c r="B15" s="36" t="s">
        <v>58</v>
      </c>
      <c r="C15" s="22">
        <v>1</v>
      </c>
      <c r="D15" s="23">
        <f>D19+D20</f>
        <v>10.667479427003961</v>
      </c>
      <c r="E15" s="24">
        <v>1.5</v>
      </c>
      <c r="F15" s="24">
        <v>5.0129E-2</v>
      </c>
      <c r="G15" s="33">
        <f>PRODUCT(C15:F15)</f>
        <v>0.80212511429442235</v>
      </c>
      <c r="H15" s="25"/>
      <c r="I15" s="26"/>
      <c r="J15" s="27"/>
      <c r="K15" s="24"/>
    </row>
    <row r="16" spans="1:13" s="1" customFormat="1">
      <c r="A16" s="21"/>
      <c r="B16" s="36" t="s">
        <v>25</v>
      </c>
      <c r="C16" s="22"/>
      <c r="D16" s="23"/>
      <c r="E16" s="24"/>
      <c r="F16" s="24"/>
      <c r="G16" s="27">
        <f>SUM(G15:G15)</f>
        <v>0.80212511429442235</v>
      </c>
      <c r="H16" s="25" t="s">
        <v>30</v>
      </c>
      <c r="I16" s="26">
        <v>663.31</v>
      </c>
      <c r="J16" s="27">
        <f>G16*I16</f>
        <v>532.05760956263327</v>
      </c>
      <c r="K16" s="24"/>
    </row>
    <row r="17" spans="1:31" s="1" customFormat="1">
      <c r="A17" s="21"/>
      <c r="B17" s="36"/>
      <c r="C17" s="22"/>
      <c r="D17" s="23"/>
      <c r="E17" s="24"/>
      <c r="F17" s="24"/>
      <c r="G17" s="27"/>
      <c r="H17" s="25"/>
      <c r="I17" s="26"/>
      <c r="J17" s="27"/>
      <c r="K17" s="24"/>
    </row>
    <row r="18" spans="1:31" s="1" customFormat="1" ht="45">
      <c r="A18" s="21">
        <v>3</v>
      </c>
      <c r="B18" s="34" t="s">
        <v>59</v>
      </c>
      <c r="C18" s="22"/>
      <c r="D18" s="23"/>
      <c r="E18" s="24"/>
      <c r="F18" s="24"/>
      <c r="G18" s="27"/>
      <c r="H18" s="25"/>
      <c r="I18" s="26"/>
      <c r="J18" s="27"/>
      <c r="K18" s="24"/>
    </row>
    <row r="19" spans="1:31" s="1" customFormat="1">
      <c r="A19" s="21"/>
      <c r="B19" s="36" t="str">
        <f>B15</f>
        <v>-for passage flooring</v>
      </c>
      <c r="C19" s="22">
        <v>1</v>
      </c>
      <c r="D19" s="23">
        <f>23/3.281</f>
        <v>7.0100579091740318</v>
      </c>
      <c r="E19" s="24">
        <f>(1.5)</f>
        <v>1.5</v>
      </c>
      <c r="F19" s="24"/>
      <c r="G19" s="33">
        <f>PRODUCT(C19:F19)</f>
        <v>10.515086863761049</v>
      </c>
      <c r="H19" s="25"/>
      <c r="I19" s="26"/>
      <c r="J19" s="27"/>
      <c r="K19" s="24"/>
    </row>
    <row r="20" spans="1:31" s="1" customFormat="1">
      <c r="A20" s="21"/>
      <c r="B20" s="36"/>
      <c r="C20" s="22">
        <v>1</v>
      </c>
      <c r="D20" s="23">
        <f>12/3.281</f>
        <v>3.6574215178299299</v>
      </c>
      <c r="E20" s="24">
        <f>(10/3.281)</f>
        <v>3.047851264858275</v>
      </c>
      <c r="F20" s="24"/>
      <c r="G20" s="33">
        <f>PRODUCT(C20:F20)</f>
        <v>11.147276799237824</v>
      </c>
      <c r="H20" s="25"/>
      <c r="I20" s="26"/>
      <c r="J20" s="27"/>
      <c r="K20" s="24"/>
    </row>
    <row r="21" spans="1:31" s="1" customFormat="1">
      <c r="A21" s="21"/>
      <c r="B21" s="36" t="s">
        <v>25</v>
      </c>
      <c r="C21" s="22"/>
      <c r="D21" s="23"/>
      <c r="E21" s="24"/>
      <c r="F21" s="24"/>
      <c r="G21" s="27">
        <f>SUM(G19:G20)</f>
        <v>21.662363662998871</v>
      </c>
      <c r="H21" s="25" t="s">
        <v>26</v>
      </c>
      <c r="I21" s="26">
        <v>1737.28</v>
      </c>
      <c r="J21" s="27">
        <f>G21*I21</f>
        <v>37633.59114445468</v>
      </c>
      <c r="K21" s="24"/>
    </row>
    <row r="22" spans="1:31" s="1" customFormat="1">
      <c r="A22" s="21"/>
      <c r="B22" s="36" t="s">
        <v>28</v>
      </c>
      <c r="C22" s="22"/>
      <c r="D22" s="23"/>
      <c r="E22" s="24"/>
      <c r="F22" s="24"/>
      <c r="G22" s="27"/>
      <c r="H22" s="25"/>
      <c r="I22" s="26"/>
      <c r="J22" s="27">
        <f>0.13*G21*6947.8/10</f>
        <v>1956.5750133511865</v>
      </c>
      <c r="K22" s="24"/>
    </row>
    <row r="23" spans="1:31" s="1" customFormat="1">
      <c r="A23" s="21"/>
      <c r="B23" s="36"/>
      <c r="C23" s="22"/>
      <c r="D23" s="23"/>
      <c r="E23" s="24"/>
      <c r="F23" s="24"/>
      <c r="G23" s="27"/>
      <c r="H23" s="25"/>
      <c r="I23" s="26"/>
      <c r="J23" s="27"/>
      <c r="K23" s="24"/>
    </row>
    <row r="24" spans="1:31" s="1" customFormat="1">
      <c r="A24" s="21">
        <v>4</v>
      </c>
      <c r="B24" s="38" t="s">
        <v>27</v>
      </c>
      <c r="C24" s="22">
        <v>1</v>
      </c>
      <c r="D24" s="23"/>
      <c r="E24" s="24"/>
      <c r="F24" s="24"/>
      <c r="G24" s="33">
        <f>PRODUCT(C24:F24)</f>
        <v>1</v>
      </c>
      <c r="H24" s="25" t="s">
        <v>31</v>
      </c>
      <c r="I24" s="26">
        <v>500</v>
      </c>
      <c r="J24" s="27">
        <f>G24*I24</f>
        <v>500</v>
      </c>
      <c r="K24" s="24"/>
    </row>
    <row r="25" spans="1:31" s="1" customFormat="1">
      <c r="A25" s="21"/>
      <c r="B25" s="36"/>
      <c r="C25" s="22"/>
      <c r="D25" s="23"/>
      <c r="E25" s="24"/>
      <c r="F25" s="24"/>
      <c r="G25" s="27"/>
      <c r="H25" s="25"/>
      <c r="I25" s="26"/>
      <c r="J25" s="27"/>
      <c r="K25" s="24"/>
    </row>
    <row r="26" spans="1:31">
      <c r="A26" s="9"/>
      <c r="B26" s="20" t="s">
        <v>16</v>
      </c>
      <c r="C26" s="8"/>
      <c r="D26" s="6"/>
      <c r="E26" s="6"/>
      <c r="F26" s="6"/>
      <c r="G26" s="32"/>
      <c r="H26" s="7"/>
      <c r="I26" s="7"/>
      <c r="J26" s="7">
        <f>SUM(J11:J24)</f>
        <v>70334.375552799771</v>
      </c>
      <c r="K26" s="4"/>
      <c r="M26" s="28"/>
      <c r="P26" s="31"/>
      <c r="Q26" s="31"/>
    </row>
    <row r="27" spans="1:31">
      <c r="M27" s="28"/>
      <c r="N27" s="29"/>
      <c r="O27" s="29"/>
      <c r="P27" s="30"/>
      <c r="R27" s="29"/>
      <c r="S27" s="29"/>
      <c r="T27" s="29"/>
      <c r="U27" s="28"/>
      <c r="V27" s="28"/>
      <c r="W27" s="28"/>
      <c r="X27" s="28"/>
      <c r="Y27" s="28"/>
      <c r="Z27" s="28"/>
      <c r="AA27" s="28"/>
      <c r="AB27" s="28"/>
      <c r="AC27" s="28"/>
      <c r="AD27" s="28"/>
      <c r="AE27" s="28"/>
    </row>
    <row r="28" spans="1:31" s="1" customFormat="1">
      <c r="B28" s="11" t="s">
        <v>22</v>
      </c>
      <c r="C28" s="88">
        <f>J26</f>
        <v>70334.375552799771</v>
      </c>
      <c r="D28" s="88"/>
      <c r="E28" s="13"/>
      <c r="F28" s="12"/>
      <c r="G28" s="13"/>
      <c r="H28" s="12"/>
      <c r="I28" s="14"/>
      <c r="J28" s="15"/>
      <c r="K28" s="16"/>
      <c r="M28" s="12"/>
      <c r="N28" s="29"/>
      <c r="O28" s="29"/>
      <c r="P28" s="29"/>
      <c r="Q28" s="29"/>
      <c r="R28" s="29"/>
      <c r="S28" s="29"/>
      <c r="T28" s="29"/>
      <c r="U28" s="12"/>
      <c r="V28" s="12"/>
      <c r="W28" s="12"/>
      <c r="X28" s="12"/>
      <c r="Y28" s="12"/>
      <c r="Z28" s="12"/>
      <c r="AA28" s="12"/>
      <c r="AB28" s="12"/>
      <c r="AC28" s="12"/>
      <c r="AD28" s="12"/>
      <c r="AE28" s="12"/>
    </row>
    <row r="29" spans="1:31" s="1" customFormat="1" hidden="1">
      <c r="B29" s="73" t="s">
        <v>22</v>
      </c>
      <c r="C29" s="84">
        <f>J26</f>
        <v>70334.375552799771</v>
      </c>
      <c r="D29" s="85"/>
      <c r="E29" s="74">
        <v>100</v>
      </c>
      <c r="F29" s="12"/>
      <c r="G29" s="13"/>
      <c r="H29" s="12"/>
      <c r="I29" s="14"/>
      <c r="J29" s="15"/>
      <c r="K29" s="16"/>
      <c r="M29" s="12"/>
      <c r="N29" s="29"/>
      <c r="O29" s="29"/>
      <c r="P29" s="29"/>
      <c r="Q29" s="29"/>
      <c r="R29" s="29"/>
      <c r="S29" s="29"/>
      <c r="T29" s="29"/>
      <c r="U29" s="12"/>
      <c r="V29" s="12"/>
      <c r="W29" s="12"/>
      <c r="X29" s="12"/>
      <c r="Y29" s="12"/>
      <c r="Z29" s="12"/>
      <c r="AA29" s="12"/>
      <c r="AB29" s="12"/>
      <c r="AC29" s="12"/>
      <c r="AD29" s="12"/>
      <c r="AE29" s="12"/>
    </row>
    <row r="30" spans="1:31" hidden="1">
      <c r="B30" s="11" t="s">
        <v>17</v>
      </c>
      <c r="C30" s="86">
        <v>70000</v>
      </c>
      <c r="D30" s="87"/>
      <c r="E30" s="10"/>
      <c r="M30" s="28"/>
      <c r="N30" s="29"/>
      <c r="O30" s="29"/>
      <c r="P30" s="29"/>
      <c r="Q30" s="29"/>
      <c r="R30" s="29"/>
      <c r="S30" s="29"/>
      <c r="T30" s="29"/>
      <c r="U30" s="28"/>
      <c r="V30" s="28"/>
      <c r="W30" s="28"/>
      <c r="X30" s="28"/>
      <c r="Y30" s="28"/>
      <c r="Z30" s="28"/>
      <c r="AA30" s="28"/>
      <c r="AB30" s="28"/>
      <c r="AC30" s="28"/>
      <c r="AD30" s="28"/>
      <c r="AE30" s="28"/>
    </row>
    <row r="31" spans="1:31" hidden="1">
      <c r="B31" s="11" t="s">
        <v>18</v>
      </c>
      <c r="C31" s="86">
        <v>35000</v>
      </c>
      <c r="D31" s="87"/>
      <c r="E31" s="10">
        <f>C31/C29*100</f>
        <v>49.762295783411943</v>
      </c>
      <c r="M31" s="28"/>
      <c r="N31" s="28"/>
      <c r="O31" s="28"/>
      <c r="P31" s="28"/>
      <c r="Q31" s="28"/>
      <c r="R31" s="28"/>
      <c r="S31" s="28"/>
      <c r="T31" s="28"/>
      <c r="U31" s="28"/>
      <c r="V31" s="28"/>
      <c r="W31" s="28"/>
      <c r="X31" s="28"/>
      <c r="Y31" s="28"/>
      <c r="Z31" s="28"/>
      <c r="AA31" s="28"/>
      <c r="AB31" s="28"/>
      <c r="AC31" s="28"/>
      <c r="AD31" s="28"/>
      <c r="AE31" s="28"/>
    </row>
    <row r="32" spans="1:31" hidden="1">
      <c r="B32" s="11" t="s">
        <v>19</v>
      </c>
      <c r="C32" s="88">
        <f>C29-C31</f>
        <v>35334.375552799771</v>
      </c>
      <c r="D32" s="88"/>
      <c r="E32" s="10">
        <f>100-E31</f>
        <v>50.237704216588057</v>
      </c>
      <c r="M32" s="28"/>
      <c r="N32" s="28"/>
      <c r="O32" s="28"/>
      <c r="P32" s="28"/>
      <c r="Q32" s="28"/>
      <c r="R32" s="28"/>
      <c r="S32" s="28"/>
      <c r="T32" s="28"/>
      <c r="U32" s="28"/>
      <c r="V32" s="28"/>
      <c r="W32" s="28"/>
      <c r="X32" s="28"/>
      <c r="Y32" s="28"/>
      <c r="Z32" s="28"/>
      <c r="AA32" s="28"/>
      <c r="AB32" s="28"/>
      <c r="AC32" s="28"/>
      <c r="AD32" s="28"/>
      <c r="AE32" s="28"/>
    </row>
    <row r="33" spans="2:31" hidden="1">
      <c r="B33" s="11" t="s">
        <v>20</v>
      </c>
      <c r="C33" s="81">
        <f>C30*0.03</f>
        <v>2100</v>
      </c>
      <c r="D33" s="82"/>
      <c r="E33" s="10">
        <v>3</v>
      </c>
      <c r="M33" s="28"/>
      <c r="N33" s="28"/>
      <c r="O33" s="28"/>
      <c r="P33" s="28"/>
      <c r="Q33" s="28"/>
      <c r="R33" s="28"/>
      <c r="S33" s="28"/>
      <c r="T33" s="28"/>
      <c r="U33" s="28"/>
      <c r="V33" s="28"/>
      <c r="W33" s="28"/>
      <c r="X33" s="28"/>
      <c r="Y33" s="28"/>
      <c r="Z33" s="28"/>
      <c r="AA33" s="28"/>
      <c r="AB33" s="28"/>
      <c r="AC33" s="28"/>
      <c r="AD33" s="28"/>
      <c r="AE33" s="28"/>
    </row>
    <row r="34" spans="2:31" hidden="1">
      <c r="B34" s="11" t="s">
        <v>21</v>
      </c>
      <c r="C34" s="81">
        <f>C30*0.02</f>
        <v>1400</v>
      </c>
      <c r="D34" s="82"/>
      <c r="E34" s="10">
        <v>2</v>
      </c>
      <c r="M34" s="28"/>
      <c r="N34" s="28"/>
      <c r="O34" s="28"/>
      <c r="P34" s="28"/>
      <c r="Q34" s="28"/>
      <c r="R34" s="28"/>
      <c r="S34" s="28"/>
      <c r="T34" s="28"/>
      <c r="U34" s="28"/>
      <c r="V34" s="28"/>
      <c r="W34" s="28"/>
      <c r="X34" s="28"/>
      <c r="Y34" s="28"/>
      <c r="Z34" s="28"/>
      <c r="AA34" s="28"/>
      <c r="AB34" s="28"/>
      <c r="AC34" s="28"/>
      <c r="AD34" s="28"/>
      <c r="AE34" s="28"/>
    </row>
  </sheetData>
  <mergeCells count="16">
    <mergeCell ref="C33:D33"/>
    <mergeCell ref="C34:D34"/>
    <mergeCell ref="A7:F7"/>
    <mergeCell ref="H7:K7"/>
    <mergeCell ref="C29:D29"/>
    <mergeCell ref="C30:D30"/>
    <mergeCell ref="C31:D31"/>
    <mergeCell ref="C32:D32"/>
    <mergeCell ref="C28:D28"/>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topLeftCell="A2" zoomScaleNormal="100" workbookViewId="0">
      <selection activeCell="I10" sqref="I10"/>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c r="A1" s="98" t="s">
        <v>0</v>
      </c>
      <c r="B1" s="98"/>
      <c r="C1" s="98"/>
      <c r="D1" s="98"/>
      <c r="E1" s="98"/>
      <c r="F1" s="98"/>
      <c r="G1" s="98"/>
      <c r="H1" s="98"/>
      <c r="I1" s="98"/>
      <c r="J1" s="98"/>
      <c r="K1" s="98"/>
    </row>
    <row r="2" spans="1:13" ht="25.5">
      <c r="A2" s="99" t="s">
        <v>1</v>
      </c>
      <c r="B2" s="99"/>
      <c r="C2" s="99"/>
      <c r="D2" s="99"/>
      <c r="E2" s="99"/>
      <c r="F2" s="99"/>
      <c r="G2" s="99"/>
      <c r="H2" s="99"/>
      <c r="I2" s="99"/>
      <c r="J2" s="99"/>
      <c r="K2" s="99"/>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100" t="s">
        <v>65</v>
      </c>
      <c r="B5" s="100"/>
      <c r="C5" s="100"/>
      <c r="D5" s="100"/>
      <c r="E5" s="100"/>
      <c r="F5" s="100"/>
      <c r="G5" s="100"/>
      <c r="H5" s="100"/>
      <c r="I5" s="100"/>
      <c r="J5" s="100"/>
      <c r="K5" s="100"/>
    </row>
    <row r="6" spans="1:13" ht="18.75">
      <c r="A6" s="101" t="s">
        <v>66</v>
      </c>
      <c r="B6" s="101"/>
      <c r="C6" s="102">
        <f>F23</f>
        <v>70334.375552799771</v>
      </c>
      <c r="D6" s="103"/>
      <c r="E6" s="104"/>
      <c r="F6" s="101"/>
      <c r="G6" s="101"/>
      <c r="H6" s="101" t="s">
        <v>67</v>
      </c>
      <c r="I6" s="101"/>
      <c r="J6" s="102">
        <f>I23</f>
        <v>70598.350593343814</v>
      </c>
      <c r="K6" s="103"/>
    </row>
    <row r="7" spans="1:13">
      <c r="A7" s="105" t="s">
        <v>68</v>
      </c>
      <c r="B7" s="105"/>
      <c r="C7" s="105"/>
      <c r="D7" s="105"/>
      <c r="F7" s="106"/>
      <c r="G7" s="106"/>
      <c r="I7" s="107" t="s">
        <v>69</v>
      </c>
      <c r="J7" s="107"/>
      <c r="K7" s="107"/>
    </row>
    <row r="8" spans="1:13" ht="15.75">
      <c r="A8" s="108" t="str">
        <f>'as per mistry'!A6:G6</f>
        <v>Project:- फ्रेंस कृषि तथा पशुपालन</v>
      </c>
      <c r="B8" s="108"/>
      <c r="C8" s="108"/>
      <c r="D8" s="108"/>
      <c r="E8" s="108"/>
      <c r="F8" s="108"/>
      <c r="I8" s="109" t="s">
        <v>70</v>
      </c>
      <c r="J8" s="109"/>
      <c r="K8" s="109"/>
    </row>
    <row r="9" spans="1:13">
      <c r="A9" s="110" t="str">
        <f>'as per mistry'!A7:F7</f>
        <v>Location:- Shankharapur Municipality 9</v>
      </c>
      <c r="B9" s="110"/>
      <c r="C9" s="110"/>
      <c r="D9" s="110"/>
      <c r="E9" s="110"/>
      <c r="F9" s="110"/>
      <c r="I9" s="109" t="s">
        <v>83</v>
      </c>
      <c r="J9" s="109"/>
      <c r="K9" s="109"/>
    </row>
    <row r="11" spans="1:13">
      <c r="A11" s="111" t="s">
        <v>71</v>
      </c>
      <c r="B11" s="111" t="s">
        <v>72</v>
      </c>
      <c r="C11" s="111" t="s">
        <v>12</v>
      </c>
      <c r="D11" s="112" t="s">
        <v>73</v>
      </c>
      <c r="E11" s="112"/>
      <c r="F11" s="112"/>
      <c r="G11" s="112" t="s">
        <v>74</v>
      </c>
      <c r="H11" s="112"/>
      <c r="I11" s="112"/>
      <c r="J11" s="111" t="s">
        <v>75</v>
      </c>
      <c r="K11" s="113" t="s">
        <v>15</v>
      </c>
    </row>
    <row r="12" spans="1:13">
      <c r="A12" s="111"/>
      <c r="B12" s="111"/>
      <c r="C12" s="111"/>
      <c r="D12" s="114" t="s">
        <v>76</v>
      </c>
      <c r="E12" s="114" t="s">
        <v>13</v>
      </c>
      <c r="F12" s="114" t="s">
        <v>14</v>
      </c>
      <c r="G12" s="114" t="s">
        <v>76</v>
      </c>
      <c r="H12" s="114" t="s">
        <v>13</v>
      </c>
      <c r="I12" s="114" t="s">
        <v>14</v>
      </c>
      <c r="J12" s="111"/>
      <c r="K12" s="113"/>
    </row>
    <row r="13" spans="1:13" s="1" customFormat="1" ht="30">
      <c r="A13" s="115">
        <f>'as per mistry'!A9</f>
        <v>1</v>
      </c>
      <c r="B13" s="71" t="str">
        <f>'as per mistry'!B9</f>
        <v xml:space="preserve">)=@^ dL=dL= afSnf] ;L=hL=cfO{= 5fgf 5fpg] sfd </v>
      </c>
      <c r="C13" s="10" t="str">
        <f>'as per mistry'!H11</f>
        <v>sqm</v>
      </c>
      <c r="D13" s="10">
        <f>'as per mistry'!G11</f>
        <v>35.720816824138979</v>
      </c>
      <c r="E13" s="10">
        <f>'as per mistry'!I11</f>
        <v>764.82799999999997</v>
      </c>
      <c r="F13" s="10">
        <f>D13*E13</f>
        <v>27320.280889972564</v>
      </c>
      <c r="G13" s="10">
        <f>V!G11</f>
        <v>35.720816824138979</v>
      </c>
      <c r="H13" s="10">
        <f>V!I11</f>
        <v>764.82799999999997</v>
      </c>
      <c r="I13" s="10">
        <f>G13*H13</f>
        <v>27320.280889972564</v>
      </c>
      <c r="J13" s="116">
        <f>I13-F13</f>
        <v>0</v>
      </c>
      <c r="K13" s="117"/>
      <c r="M13" s="118">
        <f>1.25*F13</f>
        <v>34150.351112465709</v>
      </c>
    </row>
    <row r="14" spans="1:13" s="1" customFormat="1" ht="15.75">
      <c r="A14" s="115"/>
      <c r="B14" s="122" t="str">
        <f>'as per mistry'!B12</f>
        <v>-VAT 13% for materials</v>
      </c>
      <c r="C14" s="10"/>
      <c r="D14" s="10"/>
      <c r="E14" s="10"/>
      <c r="F14" s="10">
        <f>'as per mistry'!J12</f>
        <v>2391.8708954587014</v>
      </c>
      <c r="G14" s="10"/>
      <c r="H14" s="10"/>
      <c r="I14" s="10">
        <f>V!J12</f>
        <v>2391.8708954587014</v>
      </c>
      <c r="J14" s="116">
        <f>I14-F14</f>
        <v>0</v>
      </c>
      <c r="K14" s="117"/>
      <c r="M14" s="118">
        <f t="shared" ref="M14" si="0">1.25*F14</f>
        <v>2989.8386193233769</v>
      </c>
    </row>
    <row r="15" spans="1:13" s="1" customFormat="1">
      <c r="A15" s="119"/>
      <c r="B15" s="120"/>
      <c r="C15" s="10"/>
      <c r="D15" s="10"/>
      <c r="E15" s="10"/>
      <c r="F15" s="10"/>
      <c r="G15" s="10"/>
      <c r="H15" s="10"/>
      <c r="I15" s="10"/>
      <c r="J15" s="116"/>
      <c r="K15" s="117"/>
      <c r="M15" s="118"/>
    </row>
    <row r="16" spans="1:13" s="1" customFormat="1" ht="30">
      <c r="A16" s="115">
        <f>'as per mistry'!A14</f>
        <v>2</v>
      </c>
      <c r="B16" s="121" t="str">
        <f>'as per mistry'!B14</f>
        <v xml:space="preserve">g/d k|sf/sf] Sn] / l;N6L df6f]df ;j} lsl;dsf] vGg] sfd </v>
      </c>
      <c r="C16" s="10" t="str">
        <f>'as per mistry'!H16</f>
        <v>cum</v>
      </c>
      <c r="D16" s="10">
        <f>'as per mistry'!G16</f>
        <v>0.80212511429442235</v>
      </c>
      <c r="E16" s="10">
        <f>'as per mistry'!I16</f>
        <v>663.31</v>
      </c>
      <c r="F16" s="10">
        <f>D16*E16</f>
        <v>532.05760956263327</v>
      </c>
      <c r="G16" s="10">
        <f>V!G16</f>
        <v>1.2000914355379455</v>
      </c>
      <c r="H16" s="10">
        <f>V!I16</f>
        <v>663.31</v>
      </c>
      <c r="I16" s="10">
        <f>G16*H16</f>
        <v>796.03265010667462</v>
      </c>
      <c r="J16" s="116">
        <f>I16-F16</f>
        <v>263.97504054404135</v>
      </c>
      <c r="K16" s="117"/>
      <c r="M16" s="118">
        <f t="shared" ref="M16:M21" si="1">1.25*F16</f>
        <v>665.07201195329162</v>
      </c>
    </row>
    <row r="17" spans="1:13" s="1" customFormat="1">
      <c r="A17" s="119"/>
      <c r="B17" s="120"/>
      <c r="C17" s="10"/>
      <c r="D17" s="10"/>
      <c r="E17" s="10"/>
      <c r="F17" s="10"/>
      <c r="G17" s="10"/>
      <c r="H17" s="10"/>
      <c r="I17" s="10"/>
      <c r="J17" s="116"/>
      <c r="K17" s="117"/>
      <c r="M17" s="118"/>
    </row>
    <row r="18" spans="1:13" s="1" customFormat="1" ht="30">
      <c r="A18" s="115">
        <f>'as per mistry'!A18</f>
        <v>3</v>
      </c>
      <c r="B18" s="121" t="str">
        <f>'as per mistry'!B18</f>
        <v>%) dL=dL= df]6f] x]eL 8o"6L OG6/nls+u s+lqm6Ans la5ofpg]] sfd</v>
      </c>
      <c r="C18" s="10" t="str">
        <f>'as per mistry'!H21</f>
        <v>sqm</v>
      </c>
      <c r="D18" s="10">
        <f>'as per mistry'!G21</f>
        <v>21.662363662998871</v>
      </c>
      <c r="E18" s="10">
        <f>'as per mistry'!I21</f>
        <v>1737.28</v>
      </c>
      <c r="F18" s="10">
        <f>D18*E18</f>
        <v>37633.59114445468</v>
      </c>
      <c r="G18" s="10">
        <f>V!G21</f>
        <v>21.662363662998871</v>
      </c>
      <c r="H18" s="10">
        <f>V!I21</f>
        <v>1737.28</v>
      </c>
      <c r="I18" s="10">
        <f>G18*H18</f>
        <v>37633.59114445468</v>
      </c>
      <c r="J18" s="116">
        <f>I18-F18</f>
        <v>0</v>
      </c>
      <c r="K18" s="117"/>
      <c r="M18" s="118">
        <f t="shared" si="1"/>
        <v>47041.988930568346</v>
      </c>
    </row>
    <row r="19" spans="1:13" s="1" customFormat="1" ht="15.75">
      <c r="A19" s="115"/>
      <c r="B19" s="122" t="str">
        <f>'as per mistry'!B22</f>
        <v>-VAT 13% for materials</v>
      </c>
      <c r="C19" s="10"/>
      <c r="D19" s="10"/>
      <c r="E19" s="10"/>
      <c r="F19" s="10">
        <f>'as per mistry'!J22</f>
        <v>1956.5750133511865</v>
      </c>
      <c r="G19" s="10"/>
      <c r="H19" s="10"/>
      <c r="I19" s="10">
        <f>V!J22</f>
        <v>1956.5750133511865</v>
      </c>
      <c r="J19" s="116">
        <f>I19-F19</f>
        <v>0</v>
      </c>
      <c r="K19" s="117"/>
      <c r="M19" s="118">
        <f t="shared" si="1"/>
        <v>2445.7187666889831</v>
      </c>
    </row>
    <row r="20" spans="1:13" s="1" customFormat="1">
      <c r="A20" s="119"/>
      <c r="B20" s="120"/>
      <c r="C20" s="10"/>
      <c r="D20" s="10"/>
      <c r="E20" s="10"/>
      <c r="F20" s="10"/>
      <c r="G20" s="10"/>
      <c r="H20" s="10"/>
      <c r="I20" s="10"/>
      <c r="J20" s="116"/>
      <c r="K20" s="117"/>
      <c r="M20" s="118"/>
    </row>
    <row r="21" spans="1:13" s="1" customFormat="1">
      <c r="A21" s="115">
        <f>'as per mistry'!A24</f>
        <v>4</v>
      </c>
      <c r="B21" s="123" t="str">
        <f>'as per mistry'!B24</f>
        <v>Information board</v>
      </c>
      <c r="C21" s="10" t="str">
        <f>'as per mistry'!H24</f>
        <v>no.</v>
      </c>
      <c r="D21" s="10">
        <f>'as per mistry'!G24</f>
        <v>1</v>
      </c>
      <c r="E21" s="10">
        <f>'as per mistry'!I24</f>
        <v>500</v>
      </c>
      <c r="F21" s="10">
        <f>D21*E21</f>
        <v>500</v>
      </c>
      <c r="G21" s="10">
        <f>V!G24</f>
        <v>1</v>
      </c>
      <c r="H21" s="10">
        <f>V!I24</f>
        <v>500</v>
      </c>
      <c r="I21" s="10">
        <f>G21*H21</f>
        <v>500</v>
      </c>
      <c r="J21" s="116">
        <f>I21-F21</f>
        <v>0</v>
      </c>
      <c r="K21" s="117"/>
      <c r="M21" s="118">
        <f t="shared" si="1"/>
        <v>625</v>
      </c>
    </row>
    <row r="22" spans="1:13" s="1" customFormat="1">
      <c r="A22" s="120"/>
      <c r="B22" s="120"/>
      <c r="C22" s="10"/>
      <c r="D22" s="10"/>
      <c r="E22" s="10"/>
      <c r="F22" s="10"/>
      <c r="G22" s="10"/>
      <c r="H22" s="10"/>
      <c r="I22" s="10"/>
      <c r="J22" s="116"/>
      <c r="K22" s="117"/>
    </row>
    <row r="23" spans="1:13">
      <c r="A23" s="4"/>
      <c r="B23" s="124" t="s">
        <v>77</v>
      </c>
      <c r="C23" s="124"/>
      <c r="D23" s="7"/>
      <c r="E23" s="7"/>
      <c r="F23" s="7">
        <f>SUM(F13:F21)</f>
        <v>70334.375552799771</v>
      </c>
      <c r="G23" s="7"/>
      <c r="H23" s="7"/>
      <c r="I23" s="7">
        <f>SUM(I13:I21)</f>
        <v>70598.350593343814</v>
      </c>
      <c r="J23" s="125">
        <f>I23-F23</f>
        <v>263.97504054404271</v>
      </c>
      <c r="K23" s="4"/>
    </row>
    <row r="28" spans="1:13">
      <c r="K28">
        <v>1070</v>
      </c>
      <c r="L28">
        <f>(21/3.281)*(36/3.281)</f>
        <v>70.227843835198286</v>
      </c>
      <c r="M28">
        <f>L28*K28</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A1:K1"/>
    <mergeCell ref="A2:K2"/>
    <mergeCell ref="A3:K3"/>
    <mergeCell ref="A4:K4"/>
    <mergeCell ref="A5:K5"/>
    <mergeCell ref="C6:D6"/>
    <mergeCell ref="J6:K6"/>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zoomScale="80" zoomScaleNormal="80" zoomScaleSheetLayoutView="80" workbookViewId="0">
      <selection activeCell="F16" sqref="F16"/>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79</v>
      </c>
      <c r="B5" s="80"/>
      <c r="C5" s="80"/>
      <c r="D5" s="80"/>
      <c r="E5" s="80"/>
      <c r="F5" s="80"/>
      <c r="G5" s="80"/>
      <c r="H5" s="80"/>
      <c r="I5" s="80"/>
      <c r="J5" s="80"/>
      <c r="K5" s="80"/>
    </row>
    <row r="6" spans="1:13" ht="18.75">
      <c r="A6" s="75" t="s">
        <v>64</v>
      </c>
      <c r="B6" s="75"/>
      <c r="C6" s="75"/>
      <c r="D6" s="75"/>
      <c r="E6" s="75"/>
      <c r="F6" s="75"/>
      <c r="G6" s="75"/>
      <c r="H6" s="76" t="s">
        <v>24</v>
      </c>
      <c r="I6" s="76"/>
      <c r="J6" s="76"/>
      <c r="K6" s="76"/>
    </row>
    <row r="7" spans="1:13" ht="15.75">
      <c r="A7" s="83" t="s">
        <v>23</v>
      </c>
      <c r="B7" s="83"/>
      <c r="C7" s="83"/>
      <c r="D7" s="83"/>
      <c r="E7" s="83"/>
      <c r="F7" s="83"/>
      <c r="G7" s="2"/>
      <c r="H7" s="76" t="s">
        <v>63</v>
      </c>
      <c r="I7" s="76"/>
      <c r="J7" s="76"/>
      <c r="K7" s="76"/>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30">
      <c r="A9" s="35">
        <v>1</v>
      </c>
      <c r="B9" s="71" t="s">
        <v>62</v>
      </c>
      <c r="C9" s="37"/>
      <c r="D9" s="10"/>
      <c r="E9" s="10"/>
      <c r="F9" s="10"/>
      <c r="G9" s="33"/>
      <c r="H9" s="27"/>
      <c r="I9" s="27"/>
      <c r="J9" s="27"/>
      <c r="K9" s="11"/>
      <c r="M9" s="12"/>
    </row>
    <row r="10" spans="1:13" s="1" customFormat="1">
      <c r="A10" s="35"/>
      <c r="B10" s="36"/>
      <c r="C10" s="37">
        <v>1</v>
      </c>
      <c r="D10" s="23">
        <f>5.63+6.09</f>
        <v>11.719999999999999</v>
      </c>
      <c r="E10" s="10">
        <f>10/3.281</f>
        <v>3.047851264858275</v>
      </c>
      <c r="F10" s="10"/>
      <c r="G10" s="33">
        <f>PRODUCT(C10:F10)</f>
        <v>35.720816824138979</v>
      </c>
      <c r="H10" s="27"/>
      <c r="I10" s="27"/>
      <c r="J10" s="27"/>
      <c r="K10" s="11"/>
      <c r="M10" s="12"/>
    </row>
    <row r="11" spans="1:13" s="1" customFormat="1">
      <c r="A11" s="21"/>
      <c r="B11" s="36" t="s">
        <v>25</v>
      </c>
      <c r="C11" s="22"/>
      <c r="D11" s="23"/>
      <c r="E11" s="24"/>
      <c r="F11" s="24"/>
      <c r="G11" s="27">
        <f>SUM(G10:G10)</f>
        <v>35.720816824138979</v>
      </c>
      <c r="H11" s="25" t="s">
        <v>26</v>
      </c>
      <c r="I11" s="26">
        <f>'Rate analysis'!H10/10</f>
        <v>764.82799999999997</v>
      </c>
      <c r="J11" s="27">
        <f>G11*I11</f>
        <v>27320.280889972564</v>
      </c>
      <c r="K11" s="24"/>
    </row>
    <row r="12" spans="1:13" s="1" customFormat="1">
      <c r="A12" s="21"/>
      <c r="B12" s="36" t="s">
        <v>28</v>
      </c>
      <c r="C12" s="22"/>
      <c r="D12" s="23"/>
      <c r="E12" s="24"/>
      <c r="F12" s="24"/>
      <c r="G12" s="27"/>
      <c r="H12" s="25"/>
      <c r="I12" s="26"/>
      <c r="J12" s="27">
        <f>0.13*G11*'Rate analysis'!H9/10</f>
        <v>2391.8708954587014</v>
      </c>
      <c r="K12" s="24"/>
    </row>
    <row r="13" spans="1:13" s="1" customFormat="1">
      <c r="A13" s="21"/>
      <c r="B13" s="36"/>
      <c r="C13" s="22"/>
      <c r="D13" s="23"/>
      <c r="E13" s="24"/>
      <c r="F13" s="24"/>
      <c r="G13" s="27"/>
      <c r="H13" s="25"/>
      <c r="I13" s="26"/>
      <c r="J13" s="27"/>
      <c r="K13" s="24"/>
    </row>
    <row r="14" spans="1:13" s="1" customFormat="1" ht="30">
      <c r="A14" s="21">
        <v>2</v>
      </c>
      <c r="B14" s="34" t="s">
        <v>29</v>
      </c>
      <c r="C14" s="22"/>
      <c r="D14" s="23"/>
      <c r="E14" s="24"/>
      <c r="F14" s="24"/>
      <c r="G14" s="27"/>
      <c r="H14" s="25"/>
      <c r="I14" s="26"/>
      <c r="J14" s="27"/>
      <c r="K14" s="24"/>
    </row>
    <row r="15" spans="1:13" s="1" customFormat="1">
      <c r="A15" s="21"/>
      <c r="B15" s="36" t="s">
        <v>58</v>
      </c>
      <c r="C15" s="22">
        <v>1</v>
      </c>
      <c r="D15" s="23">
        <f>D19+D20</f>
        <v>10.667479427003961</v>
      </c>
      <c r="E15" s="24">
        <v>1.5</v>
      </c>
      <c r="F15" s="24">
        <v>7.4999999999999997E-2</v>
      </c>
      <c r="G15" s="33">
        <f>PRODUCT(C15:F15)</f>
        <v>1.2000914355379455</v>
      </c>
      <c r="H15" s="25"/>
      <c r="I15" s="26"/>
      <c r="J15" s="27"/>
      <c r="K15" s="24"/>
    </row>
    <row r="16" spans="1:13" s="1" customFormat="1">
      <c r="A16" s="21"/>
      <c r="B16" s="36" t="s">
        <v>25</v>
      </c>
      <c r="C16" s="22"/>
      <c r="D16" s="23"/>
      <c r="E16" s="24"/>
      <c r="F16" s="24"/>
      <c r="G16" s="27">
        <f>SUM(G15:G15)</f>
        <v>1.2000914355379455</v>
      </c>
      <c r="H16" s="25" t="s">
        <v>30</v>
      </c>
      <c r="I16" s="26">
        <v>663.31</v>
      </c>
      <c r="J16" s="27">
        <f>G16*I16</f>
        <v>796.03265010667462</v>
      </c>
      <c r="K16" s="24"/>
    </row>
    <row r="17" spans="1:31" s="1" customFormat="1">
      <c r="A17" s="21"/>
      <c r="B17" s="36"/>
      <c r="C17" s="22"/>
      <c r="D17" s="23"/>
      <c r="E17" s="24"/>
      <c r="F17" s="24"/>
      <c r="G17" s="27"/>
      <c r="H17" s="25"/>
      <c r="I17" s="26"/>
      <c r="J17" s="27"/>
      <c r="K17" s="24"/>
    </row>
    <row r="18" spans="1:31" s="1" customFormat="1" ht="45">
      <c r="A18" s="21">
        <v>3</v>
      </c>
      <c r="B18" s="34" t="s">
        <v>59</v>
      </c>
      <c r="C18" s="22"/>
      <c r="D18" s="23"/>
      <c r="E18" s="24"/>
      <c r="F18" s="24"/>
      <c r="G18" s="27"/>
      <c r="H18" s="25"/>
      <c r="I18" s="26"/>
      <c r="J18" s="27"/>
      <c r="K18" s="24"/>
    </row>
    <row r="19" spans="1:31" s="1" customFormat="1">
      <c r="A19" s="21"/>
      <c r="B19" s="36" t="str">
        <f>B15</f>
        <v>-for passage flooring</v>
      </c>
      <c r="C19" s="22">
        <v>1</v>
      </c>
      <c r="D19" s="23">
        <f>23/3.281</f>
        <v>7.0100579091740318</v>
      </c>
      <c r="E19" s="24">
        <f>(1.5)</f>
        <v>1.5</v>
      </c>
      <c r="F19" s="24"/>
      <c r="G19" s="33">
        <f>PRODUCT(C19:F19)</f>
        <v>10.515086863761049</v>
      </c>
      <c r="H19" s="25"/>
      <c r="I19" s="26"/>
      <c r="J19" s="27"/>
      <c r="K19" s="24"/>
    </row>
    <row r="20" spans="1:31" s="1" customFormat="1">
      <c r="A20" s="21"/>
      <c r="B20" s="36"/>
      <c r="C20" s="22">
        <v>1</v>
      </c>
      <c r="D20" s="23">
        <f>12/3.281</f>
        <v>3.6574215178299299</v>
      </c>
      <c r="E20" s="24">
        <f>(10/3.281)</f>
        <v>3.047851264858275</v>
      </c>
      <c r="F20" s="24"/>
      <c r="G20" s="33">
        <f>PRODUCT(C20:F20)</f>
        <v>11.147276799237824</v>
      </c>
      <c r="H20" s="25"/>
      <c r="I20" s="26"/>
      <c r="J20" s="27"/>
      <c r="K20" s="24"/>
    </row>
    <row r="21" spans="1:31" s="1" customFormat="1">
      <c r="A21" s="21"/>
      <c r="B21" s="36" t="s">
        <v>25</v>
      </c>
      <c r="C21" s="22"/>
      <c r="D21" s="23"/>
      <c r="E21" s="24"/>
      <c r="F21" s="24"/>
      <c r="G21" s="27">
        <f>SUM(G19:G20)</f>
        <v>21.662363662998871</v>
      </c>
      <c r="H21" s="25" t="s">
        <v>26</v>
      </c>
      <c r="I21" s="26">
        <v>1737.28</v>
      </c>
      <c r="J21" s="27">
        <f>G21*I21</f>
        <v>37633.59114445468</v>
      </c>
      <c r="K21" s="24"/>
    </row>
    <row r="22" spans="1:31" s="1" customFormat="1">
      <c r="A22" s="21"/>
      <c r="B22" s="36" t="s">
        <v>28</v>
      </c>
      <c r="C22" s="22"/>
      <c r="D22" s="23"/>
      <c r="E22" s="24"/>
      <c r="F22" s="24"/>
      <c r="G22" s="27"/>
      <c r="H22" s="25"/>
      <c r="I22" s="26"/>
      <c r="J22" s="27">
        <f>0.13*G21*6947.8/10</f>
        <v>1956.5750133511865</v>
      </c>
      <c r="K22" s="24"/>
    </row>
    <row r="23" spans="1:31" s="1" customFormat="1">
      <c r="A23" s="21"/>
      <c r="B23" s="36"/>
      <c r="C23" s="22"/>
      <c r="D23" s="23"/>
      <c r="E23" s="24"/>
      <c r="F23" s="24"/>
      <c r="G23" s="27"/>
      <c r="H23" s="25"/>
      <c r="I23" s="26"/>
      <c r="J23" s="27"/>
      <c r="K23" s="24"/>
    </row>
    <row r="24" spans="1:31" s="1" customFormat="1">
      <c r="A24" s="21">
        <v>4</v>
      </c>
      <c r="B24" s="38" t="s">
        <v>27</v>
      </c>
      <c r="C24" s="22">
        <v>1</v>
      </c>
      <c r="D24" s="23"/>
      <c r="E24" s="24"/>
      <c r="F24" s="24"/>
      <c r="G24" s="33">
        <f>PRODUCT(C24:F24)</f>
        <v>1</v>
      </c>
      <c r="H24" s="25" t="s">
        <v>31</v>
      </c>
      <c r="I24" s="26">
        <v>500</v>
      </c>
      <c r="J24" s="27">
        <f>G24*I24</f>
        <v>500</v>
      </c>
      <c r="K24" s="24"/>
    </row>
    <row r="25" spans="1:31" s="1" customFormat="1">
      <c r="A25" s="21"/>
      <c r="B25" s="36"/>
      <c r="C25" s="22"/>
      <c r="D25" s="23"/>
      <c r="E25" s="24"/>
      <c r="F25" s="24"/>
      <c r="G25" s="27"/>
      <c r="H25" s="25"/>
      <c r="I25" s="26"/>
      <c r="J25" s="27"/>
      <c r="K25" s="24"/>
    </row>
    <row r="26" spans="1:31">
      <c r="A26" s="9"/>
      <c r="B26" s="20" t="s">
        <v>16</v>
      </c>
      <c r="C26" s="8"/>
      <c r="D26" s="6"/>
      <c r="E26" s="6"/>
      <c r="F26" s="6"/>
      <c r="G26" s="32"/>
      <c r="H26" s="7"/>
      <c r="I26" s="7"/>
      <c r="J26" s="7">
        <f>SUM(J11:J24)</f>
        <v>70598.350593343814</v>
      </c>
      <c r="K26" s="4"/>
      <c r="M26" s="28"/>
      <c r="P26" s="31"/>
      <c r="Q26" s="31"/>
    </row>
    <row r="27" spans="1:31">
      <c r="M27" s="28"/>
      <c r="N27" s="29"/>
      <c r="O27" s="29"/>
      <c r="P27" s="30"/>
      <c r="R27" s="29"/>
      <c r="S27" s="29"/>
      <c r="T27" s="29"/>
      <c r="U27" s="28"/>
      <c r="V27" s="28"/>
      <c r="W27" s="28"/>
      <c r="X27" s="28"/>
      <c r="Y27" s="28"/>
      <c r="Z27" s="28"/>
      <c r="AA27" s="28"/>
      <c r="AB27" s="28"/>
      <c r="AC27" s="28"/>
      <c r="AD27" s="28"/>
      <c r="AE27" s="28"/>
    </row>
    <row r="28" spans="1:31" s="1" customFormat="1">
      <c r="B28" s="11" t="s">
        <v>78</v>
      </c>
      <c r="C28" s="88">
        <f>J26</f>
        <v>70598.350593343814</v>
      </c>
      <c r="D28" s="88"/>
      <c r="E28" s="13"/>
      <c r="F28" s="12"/>
      <c r="G28" s="13"/>
      <c r="H28" s="12"/>
      <c r="I28" s="14"/>
      <c r="J28" s="15"/>
      <c r="K28" s="16"/>
      <c r="M28" s="12"/>
      <c r="N28" s="29"/>
      <c r="O28" s="29"/>
      <c r="P28" s="29"/>
      <c r="Q28" s="29"/>
      <c r="R28" s="29"/>
      <c r="S28" s="29"/>
      <c r="T28" s="29"/>
      <c r="U28" s="12"/>
      <c r="V28" s="12"/>
      <c r="W28" s="12"/>
      <c r="X28" s="12"/>
      <c r="Y28" s="12"/>
      <c r="Z28" s="12"/>
      <c r="AA28" s="12"/>
      <c r="AB28" s="12"/>
      <c r="AC28" s="12"/>
      <c r="AD28" s="12"/>
      <c r="AE28" s="12"/>
    </row>
    <row r="29" spans="1:31" s="1" customFormat="1" hidden="1">
      <c r="B29" s="73" t="s">
        <v>22</v>
      </c>
      <c r="C29" s="84">
        <f>J26</f>
        <v>70598.350593343814</v>
      </c>
      <c r="D29" s="85"/>
      <c r="E29" s="74">
        <v>100</v>
      </c>
      <c r="F29" s="12"/>
      <c r="G29" s="13"/>
      <c r="H29" s="12"/>
      <c r="I29" s="14"/>
      <c r="J29" s="15"/>
      <c r="K29" s="16"/>
      <c r="M29" s="12"/>
      <c r="N29" s="29"/>
      <c r="O29" s="29"/>
      <c r="P29" s="29"/>
      <c r="Q29" s="29"/>
      <c r="R29" s="29"/>
      <c r="S29" s="29"/>
      <c r="T29" s="29"/>
      <c r="U29" s="12"/>
      <c r="V29" s="12"/>
      <c r="W29" s="12"/>
      <c r="X29" s="12"/>
      <c r="Y29" s="12"/>
      <c r="Z29" s="12"/>
      <c r="AA29" s="12"/>
      <c r="AB29" s="12"/>
      <c r="AC29" s="12"/>
      <c r="AD29" s="12"/>
      <c r="AE29" s="12"/>
    </row>
    <row r="30" spans="1:31" hidden="1">
      <c r="B30" s="11" t="s">
        <v>17</v>
      </c>
      <c r="C30" s="86">
        <v>70000</v>
      </c>
      <c r="D30" s="87"/>
      <c r="E30" s="10"/>
      <c r="M30" s="28"/>
      <c r="N30" s="29"/>
      <c r="O30" s="29"/>
      <c r="P30" s="29"/>
      <c r="Q30" s="29"/>
      <c r="R30" s="29"/>
      <c r="S30" s="29"/>
      <c r="T30" s="29"/>
      <c r="U30" s="28"/>
      <c r="V30" s="28"/>
      <c r="W30" s="28"/>
      <c r="X30" s="28"/>
      <c r="Y30" s="28"/>
      <c r="Z30" s="28"/>
      <c r="AA30" s="28"/>
      <c r="AB30" s="28"/>
      <c r="AC30" s="28"/>
      <c r="AD30" s="28"/>
      <c r="AE30" s="28"/>
    </row>
    <row r="31" spans="1:31" hidden="1">
      <c r="B31" s="11" t="s">
        <v>18</v>
      </c>
      <c r="C31" s="86">
        <v>35000</v>
      </c>
      <c r="D31" s="87"/>
      <c r="E31" s="10">
        <f>C31/C29*100</f>
        <v>49.576229056121726</v>
      </c>
      <c r="M31" s="28"/>
      <c r="N31" s="28"/>
      <c r="O31" s="28"/>
      <c r="P31" s="28"/>
      <c r="Q31" s="28"/>
      <c r="R31" s="28"/>
      <c r="S31" s="28"/>
      <c r="T31" s="28"/>
      <c r="U31" s="28"/>
      <c r="V31" s="28"/>
      <c r="W31" s="28"/>
      <c r="X31" s="28"/>
      <c r="Y31" s="28"/>
      <c r="Z31" s="28"/>
      <c r="AA31" s="28"/>
      <c r="AB31" s="28"/>
      <c r="AC31" s="28"/>
      <c r="AD31" s="28"/>
      <c r="AE31" s="28"/>
    </row>
    <row r="32" spans="1:31" hidden="1">
      <c r="B32" s="11" t="s">
        <v>19</v>
      </c>
      <c r="C32" s="88">
        <f>C29-C31</f>
        <v>35598.350593343814</v>
      </c>
      <c r="D32" s="88"/>
      <c r="E32" s="10">
        <f>100-E31</f>
        <v>50.423770943878274</v>
      </c>
      <c r="M32" s="28"/>
      <c r="N32" s="28"/>
      <c r="O32" s="28"/>
      <c r="P32" s="28"/>
      <c r="Q32" s="28"/>
      <c r="R32" s="28"/>
      <c r="S32" s="28"/>
      <c r="T32" s="28"/>
      <c r="U32" s="28"/>
      <c r="V32" s="28"/>
      <c r="W32" s="28"/>
      <c r="X32" s="28"/>
      <c r="Y32" s="28"/>
      <c r="Z32" s="28"/>
      <c r="AA32" s="28"/>
      <c r="AB32" s="28"/>
      <c r="AC32" s="28"/>
      <c r="AD32" s="28"/>
      <c r="AE32" s="28"/>
    </row>
    <row r="33" spans="2:31" hidden="1">
      <c r="B33" s="11" t="s">
        <v>20</v>
      </c>
      <c r="C33" s="81">
        <f>C30*0.03</f>
        <v>2100</v>
      </c>
      <c r="D33" s="82"/>
      <c r="E33" s="10">
        <v>3</v>
      </c>
      <c r="M33" s="28"/>
      <c r="N33" s="28"/>
      <c r="O33" s="28"/>
      <c r="P33" s="28"/>
      <c r="Q33" s="28"/>
      <c r="R33" s="28"/>
      <c r="S33" s="28"/>
      <c r="T33" s="28"/>
      <c r="U33" s="28"/>
      <c r="V33" s="28"/>
      <c r="W33" s="28"/>
      <c r="X33" s="28"/>
      <c r="Y33" s="28"/>
      <c r="Z33" s="28"/>
      <c r="AA33" s="28"/>
      <c r="AB33" s="28"/>
      <c r="AC33" s="28"/>
      <c r="AD33" s="28"/>
      <c r="AE33" s="28"/>
    </row>
    <row r="34" spans="2:31" hidden="1">
      <c r="B34" s="11" t="s">
        <v>21</v>
      </c>
      <c r="C34" s="81">
        <f>C30*0.02</f>
        <v>1400</v>
      </c>
      <c r="D34" s="82"/>
      <c r="E34" s="10">
        <v>2</v>
      </c>
      <c r="M34" s="28"/>
      <c r="N34" s="28"/>
      <c r="O34" s="28"/>
      <c r="P34" s="28"/>
      <c r="Q34" s="28"/>
      <c r="R34" s="28"/>
      <c r="S34" s="28"/>
      <c r="T34" s="28"/>
      <c r="U34" s="28"/>
      <c r="V34" s="28"/>
      <c r="W34" s="28"/>
      <c r="X34" s="28"/>
      <c r="Y34" s="28"/>
      <c r="Z34" s="28"/>
      <c r="AA34" s="28"/>
      <c r="AB34" s="28"/>
      <c r="AC34" s="28"/>
      <c r="AD34" s="28"/>
      <c r="AE34" s="28"/>
    </row>
  </sheetData>
  <mergeCells count="16">
    <mergeCell ref="C32:D32"/>
    <mergeCell ref="C33:D33"/>
    <mergeCell ref="C34:D34"/>
    <mergeCell ref="A7:F7"/>
    <mergeCell ref="H7:K7"/>
    <mergeCell ref="C28:D28"/>
    <mergeCell ref="C29:D29"/>
    <mergeCell ref="C30:D30"/>
    <mergeCell ref="C31:D31"/>
    <mergeCell ref="A1:K1"/>
    <mergeCell ref="A2:K2"/>
    <mergeCell ref="A3:K3"/>
    <mergeCell ref="A4:K4"/>
    <mergeCell ref="A5:K5"/>
    <mergeCell ref="A6:G6"/>
    <mergeCell ref="H6:K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zoomScaleNormal="100" zoomScaleSheetLayoutView="80" workbookViewId="0">
      <selection activeCell="D25" sqref="D25"/>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hidden="1" customWidth="1"/>
    <col min="10" max="10" width="10.5703125" style="5" hidden="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77" t="s">
        <v>0</v>
      </c>
      <c r="B1" s="77"/>
      <c r="C1" s="77"/>
      <c r="D1" s="77"/>
      <c r="E1" s="77"/>
      <c r="F1" s="77"/>
      <c r="G1" s="77"/>
      <c r="H1" s="77"/>
      <c r="I1" s="77"/>
      <c r="J1" s="77"/>
      <c r="K1" s="77"/>
    </row>
    <row r="2" spans="1:13" s="1" customFormat="1" ht="22.5">
      <c r="A2" s="78" t="s">
        <v>1</v>
      </c>
      <c r="B2" s="78"/>
      <c r="C2" s="78"/>
      <c r="D2" s="78"/>
      <c r="E2" s="78"/>
      <c r="F2" s="78"/>
      <c r="G2" s="78"/>
      <c r="H2" s="78"/>
      <c r="I2" s="78"/>
      <c r="J2" s="78"/>
      <c r="K2" s="78"/>
    </row>
    <row r="3" spans="1:13" s="1" customFormat="1">
      <c r="A3" s="79" t="s">
        <v>2</v>
      </c>
      <c r="B3" s="79"/>
      <c r="C3" s="79"/>
      <c r="D3" s="79"/>
      <c r="E3" s="79"/>
      <c r="F3" s="79"/>
      <c r="G3" s="79"/>
      <c r="H3" s="79"/>
      <c r="I3" s="79"/>
      <c r="J3" s="79"/>
      <c r="K3" s="79"/>
    </row>
    <row r="4" spans="1:13" s="1" customFormat="1">
      <c r="A4" s="79" t="s">
        <v>3</v>
      </c>
      <c r="B4" s="79"/>
      <c r="C4" s="79"/>
      <c r="D4" s="79"/>
      <c r="E4" s="79"/>
      <c r="F4" s="79"/>
      <c r="G4" s="79"/>
      <c r="H4" s="79"/>
      <c r="I4" s="79"/>
      <c r="J4" s="79"/>
      <c r="K4" s="79"/>
    </row>
    <row r="5" spans="1:13" ht="18.75">
      <c r="A5" s="80" t="s">
        <v>80</v>
      </c>
      <c r="B5" s="80"/>
      <c r="C5" s="80"/>
      <c r="D5" s="80"/>
      <c r="E5" s="80"/>
      <c r="F5" s="80"/>
      <c r="G5" s="80"/>
      <c r="H5" s="80"/>
      <c r="I5" s="80"/>
      <c r="J5" s="80"/>
      <c r="K5" s="80"/>
    </row>
    <row r="6" spans="1:13" ht="18.75">
      <c r="A6" s="75" t="s">
        <v>64</v>
      </c>
      <c r="B6" s="75"/>
      <c r="C6" s="75"/>
      <c r="D6" s="75"/>
      <c r="E6" s="75"/>
      <c r="F6" s="75"/>
      <c r="G6" s="75"/>
      <c r="I6" s="126"/>
      <c r="J6" s="126"/>
      <c r="K6" s="72" t="s">
        <v>81</v>
      </c>
    </row>
    <row r="7" spans="1:13" ht="15.75">
      <c r="A7" s="83" t="s">
        <v>23</v>
      </c>
      <c r="B7" s="83"/>
      <c r="C7" s="83"/>
      <c r="D7" s="83"/>
      <c r="E7" s="83"/>
      <c r="F7" s="83"/>
      <c r="G7" s="2"/>
      <c r="I7" s="126"/>
      <c r="J7" s="126"/>
      <c r="K7" s="72" t="s">
        <v>82</v>
      </c>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30">
      <c r="A9" s="35">
        <v>1</v>
      </c>
      <c r="B9" s="71" t="s">
        <v>62</v>
      </c>
      <c r="C9" s="37"/>
      <c r="D9" s="10"/>
      <c r="E9" s="10"/>
      <c r="F9" s="10"/>
      <c r="G9" s="33"/>
      <c r="H9" s="27"/>
      <c r="I9" s="27"/>
      <c r="J9" s="27"/>
      <c r="K9" s="11"/>
      <c r="M9" s="12"/>
    </row>
    <row r="10" spans="1:13" s="1" customFormat="1">
      <c r="A10" s="35"/>
      <c r="B10" s="36"/>
      <c r="C10" s="37">
        <v>1</v>
      </c>
      <c r="D10" s="23">
        <f>5.63+6.09</f>
        <v>11.719999999999999</v>
      </c>
      <c r="E10" s="10">
        <f>10/3.281</f>
        <v>3.047851264858275</v>
      </c>
      <c r="F10" s="10"/>
      <c r="G10" s="33">
        <f>PRODUCT(C10:F10)</f>
        <v>35.720816824138979</v>
      </c>
      <c r="H10" s="27"/>
      <c r="I10" s="27"/>
      <c r="J10" s="27"/>
      <c r="K10" s="11"/>
      <c r="M10" s="12"/>
    </row>
    <row r="11" spans="1:13" s="1" customFormat="1">
      <c r="A11" s="21"/>
      <c r="B11" s="36" t="s">
        <v>25</v>
      </c>
      <c r="C11" s="22"/>
      <c r="D11" s="23"/>
      <c r="E11" s="24"/>
      <c r="F11" s="24"/>
      <c r="G11" s="27">
        <f>SUM(G10:G10)</f>
        <v>35.720816824138979</v>
      </c>
      <c r="H11" s="25" t="s">
        <v>26</v>
      </c>
      <c r="I11" s="26">
        <f>'Rate analysis'!H10/10</f>
        <v>764.82799999999997</v>
      </c>
      <c r="J11" s="27">
        <f>G11*I11</f>
        <v>27320.280889972564</v>
      </c>
      <c r="K11" s="24"/>
    </row>
    <row r="12" spans="1:13" s="1" customFormat="1" hidden="1">
      <c r="A12" s="21"/>
      <c r="B12" s="36" t="s">
        <v>28</v>
      </c>
      <c r="C12" s="22"/>
      <c r="D12" s="23"/>
      <c r="E12" s="24"/>
      <c r="F12" s="24"/>
      <c r="G12" s="27"/>
      <c r="H12" s="25"/>
      <c r="I12" s="26"/>
      <c r="J12" s="27">
        <f>0.13*G11*'Rate analysis'!H9/10</f>
        <v>2391.8708954587014</v>
      </c>
      <c r="K12" s="24"/>
    </row>
    <row r="13" spans="1:13" s="1" customFormat="1">
      <c r="A13" s="21"/>
      <c r="B13" s="36"/>
      <c r="C13" s="22"/>
      <c r="D13" s="23"/>
      <c r="E13" s="24"/>
      <c r="F13" s="24"/>
      <c r="G13" s="27"/>
      <c r="H13" s="25"/>
      <c r="I13" s="26"/>
      <c r="J13" s="27"/>
      <c r="K13" s="24"/>
    </row>
    <row r="14" spans="1:13" s="1" customFormat="1" ht="30">
      <c r="A14" s="21">
        <v>2</v>
      </c>
      <c r="B14" s="34" t="s">
        <v>29</v>
      </c>
      <c r="C14" s="22"/>
      <c r="D14" s="23"/>
      <c r="E14" s="24"/>
      <c r="F14" s="24"/>
      <c r="G14" s="27"/>
      <c r="H14" s="25"/>
      <c r="I14" s="26"/>
      <c r="J14" s="27"/>
      <c r="K14" s="24"/>
    </row>
    <row r="15" spans="1:13" s="1" customFormat="1">
      <c r="A15" s="21"/>
      <c r="B15" s="36" t="s">
        <v>58</v>
      </c>
      <c r="C15" s="22">
        <v>1</v>
      </c>
      <c r="D15" s="23">
        <f>D19+D20</f>
        <v>10.667479427003961</v>
      </c>
      <c r="E15" s="24">
        <v>1.5</v>
      </c>
      <c r="F15" s="24">
        <v>7.4999999999999997E-2</v>
      </c>
      <c r="G15" s="33">
        <f>PRODUCT(C15:F15)</f>
        <v>1.2000914355379455</v>
      </c>
      <c r="H15" s="25"/>
      <c r="I15" s="26"/>
      <c r="J15" s="27"/>
      <c r="K15" s="24"/>
    </row>
    <row r="16" spans="1:13" s="1" customFormat="1">
      <c r="A16" s="21"/>
      <c r="B16" s="36" t="s">
        <v>25</v>
      </c>
      <c r="C16" s="22"/>
      <c r="D16" s="23"/>
      <c r="E16" s="24"/>
      <c r="F16" s="24"/>
      <c r="G16" s="27">
        <f>SUM(G15:G15)</f>
        <v>1.2000914355379455</v>
      </c>
      <c r="H16" s="25" t="s">
        <v>30</v>
      </c>
      <c r="I16" s="26">
        <v>663.31</v>
      </c>
      <c r="J16" s="27">
        <f>G16*I16</f>
        <v>796.03265010667462</v>
      </c>
      <c r="K16" s="24"/>
    </row>
    <row r="17" spans="1:31" s="1" customFormat="1">
      <c r="A17" s="21"/>
      <c r="B17" s="36"/>
      <c r="C17" s="22"/>
      <c r="D17" s="23"/>
      <c r="E17" s="24"/>
      <c r="F17" s="24"/>
      <c r="G17" s="27"/>
      <c r="H17" s="25"/>
      <c r="I17" s="26"/>
      <c r="J17" s="27"/>
      <c r="K17" s="24"/>
    </row>
    <row r="18" spans="1:31" s="1" customFormat="1" ht="45">
      <c r="A18" s="21">
        <v>3</v>
      </c>
      <c r="B18" s="34" t="s">
        <v>59</v>
      </c>
      <c r="C18" s="22"/>
      <c r="D18" s="23"/>
      <c r="E18" s="24"/>
      <c r="F18" s="24"/>
      <c r="G18" s="27"/>
      <c r="H18" s="25"/>
      <c r="I18" s="26"/>
      <c r="J18" s="27"/>
      <c r="K18" s="24"/>
    </row>
    <row r="19" spans="1:31" s="1" customFormat="1">
      <c r="A19" s="21"/>
      <c r="B19" s="36" t="str">
        <f>B15</f>
        <v>-for passage flooring</v>
      </c>
      <c r="C19" s="22">
        <v>1</v>
      </c>
      <c r="D19" s="23">
        <f>23/3.281</f>
        <v>7.0100579091740318</v>
      </c>
      <c r="E19" s="24">
        <f>(1.5)</f>
        <v>1.5</v>
      </c>
      <c r="F19" s="24"/>
      <c r="G19" s="33">
        <f>PRODUCT(C19:F19)</f>
        <v>10.515086863761049</v>
      </c>
      <c r="H19" s="25"/>
      <c r="I19" s="26"/>
      <c r="J19" s="27"/>
      <c r="K19" s="24"/>
    </row>
    <row r="20" spans="1:31" s="1" customFormat="1">
      <c r="A20" s="21"/>
      <c r="B20" s="36"/>
      <c r="C20" s="22">
        <v>1</v>
      </c>
      <c r="D20" s="23">
        <f>12/3.281</f>
        <v>3.6574215178299299</v>
      </c>
      <c r="E20" s="24">
        <f>(10/3.281)</f>
        <v>3.047851264858275</v>
      </c>
      <c r="F20" s="24"/>
      <c r="G20" s="33">
        <f>PRODUCT(C20:F20)</f>
        <v>11.147276799237824</v>
      </c>
      <c r="H20" s="25"/>
      <c r="I20" s="26"/>
      <c r="J20" s="27"/>
      <c r="K20" s="24"/>
    </row>
    <row r="21" spans="1:31" s="1" customFormat="1">
      <c r="A21" s="21"/>
      <c r="B21" s="36" t="s">
        <v>25</v>
      </c>
      <c r="C21" s="22"/>
      <c r="D21" s="23"/>
      <c r="E21" s="24"/>
      <c r="F21" s="24"/>
      <c r="G21" s="27">
        <f>SUM(G19:G20)</f>
        <v>21.662363662998871</v>
      </c>
      <c r="H21" s="25" t="s">
        <v>26</v>
      </c>
      <c r="I21" s="26">
        <v>1737.28</v>
      </c>
      <c r="J21" s="27">
        <f>G21*I21</f>
        <v>37633.59114445468</v>
      </c>
      <c r="K21" s="24"/>
    </row>
    <row r="22" spans="1:31" s="1" customFormat="1" hidden="1">
      <c r="A22" s="21"/>
      <c r="B22" s="36" t="s">
        <v>28</v>
      </c>
      <c r="C22" s="22"/>
      <c r="D22" s="23"/>
      <c r="E22" s="24"/>
      <c r="F22" s="24"/>
      <c r="G22" s="27"/>
      <c r="H22" s="25"/>
      <c r="I22" s="26"/>
      <c r="J22" s="27">
        <f>0.13*G21*6947.8/10</f>
        <v>1956.5750133511865</v>
      </c>
      <c r="K22" s="24"/>
    </row>
    <row r="23" spans="1:31" s="1" customFormat="1">
      <c r="A23" s="21"/>
      <c r="B23" s="36"/>
      <c r="C23" s="22"/>
      <c r="D23" s="23"/>
      <c r="E23" s="24"/>
      <c r="F23" s="24"/>
      <c r="G23" s="27"/>
      <c r="H23" s="25"/>
      <c r="I23" s="26"/>
      <c r="J23" s="27"/>
      <c r="K23" s="24"/>
    </row>
    <row r="24" spans="1:31" s="1" customFormat="1">
      <c r="A24" s="21">
        <v>4</v>
      </c>
      <c r="B24" s="38" t="s">
        <v>27</v>
      </c>
      <c r="C24" s="22">
        <v>1</v>
      </c>
      <c r="D24" s="23"/>
      <c r="E24" s="24"/>
      <c r="F24" s="24"/>
      <c r="G24" s="33">
        <f>PRODUCT(C24:F24)</f>
        <v>1</v>
      </c>
      <c r="H24" s="25" t="s">
        <v>31</v>
      </c>
      <c r="I24" s="26">
        <v>500</v>
      </c>
      <c r="J24" s="27">
        <f>G24*I24</f>
        <v>500</v>
      </c>
      <c r="K24" s="24"/>
    </row>
    <row r="25" spans="1:31" s="1" customFormat="1">
      <c r="A25" s="21"/>
      <c r="B25" s="36"/>
      <c r="C25" s="22"/>
      <c r="D25" s="23"/>
      <c r="E25" s="24"/>
      <c r="F25" s="24"/>
      <c r="G25" s="27"/>
      <c r="H25" s="25"/>
      <c r="I25" s="26"/>
      <c r="J25" s="27"/>
      <c r="K25" s="24"/>
    </row>
    <row r="26" spans="1:31">
      <c r="A26" s="9"/>
      <c r="B26" s="20" t="s">
        <v>16</v>
      </c>
      <c r="C26" s="8"/>
      <c r="D26" s="6"/>
      <c r="E26" s="6"/>
      <c r="F26" s="6"/>
      <c r="G26" s="32"/>
      <c r="H26" s="7"/>
      <c r="I26" s="7"/>
      <c r="J26" s="7">
        <f>SUM(J11:J24)</f>
        <v>70598.350593343814</v>
      </c>
      <c r="K26" s="4"/>
      <c r="M26" s="28"/>
      <c r="P26" s="31"/>
      <c r="Q26" s="31"/>
    </row>
    <row r="27" spans="1:31">
      <c r="M27" s="28"/>
      <c r="N27" s="29"/>
      <c r="O27" s="29"/>
      <c r="P27" s="30"/>
      <c r="R27" s="29"/>
      <c r="S27" s="29"/>
      <c r="T27" s="29"/>
      <c r="U27" s="28"/>
      <c r="V27" s="28"/>
      <c r="W27" s="28"/>
      <c r="X27" s="28"/>
      <c r="Y27" s="28"/>
      <c r="Z27" s="28"/>
      <c r="AA27" s="28"/>
      <c r="AB27" s="28"/>
      <c r="AC27" s="28"/>
      <c r="AD27" s="28"/>
      <c r="AE27" s="28"/>
    </row>
    <row r="28" spans="1:31" s="1" customFormat="1" hidden="1">
      <c r="B28" s="11" t="s">
        <v>78</v>
      </c>
      <c r="C28" s="88">
        <f>J26</f>
        <v>70598.350593343814</v>
      </c>
      <c r="D28" s="88"/>
      <c r="E28" s="13"/>
      <c r="F28" s="12"/>
      <c r="G28" s="13"/>
      <c r="H28" s="12"/>
      <c r="I28" s="14"/>
      <c r="J28" s="15"/>
      <c r="K28" s="16"/>
      <c r="M28" s="12"/>
      <c r="N28" s="29"/>
      <c r="O28" s="29"/>
      <c r="P28" s="29"/>
      <c r="Q28" s="29"/>
      <c r="R28" s="29"/>
      <c r="S28" s="29"/>
      <c r="T28" s="29"/>
      <c r="U28" s="12"/>
      <c r="V28" s="12"/>
      <c r="W28" s="12"/>
      <c r="X28" s="12"/>
      <c r="Y28" s="12"/>
      <c r="Z28" s="12"/>
      <c r="AA28" s="12"/>
      <c r="AB28" s="12"/>
      <c r="AC28" s="12"/>
      <c r="AD28" s="12"/>
      <c r="AE28" s="12"/>
    </row>
    <row r="29" spans="1:31" s="1" customFormat="1" hidden="1">
      <c r="B29" s="73" t="s">
        <v>22</v>
      </c>
      <c r="C29" s="84">
        <f>J26</f>
        <v>70598.350593343814</v>
      </c>
      <c r="D29" s="85"/>
      <c r="E29" s="74">
        <v>100</v>
      </c>
      <c r="F29" s="12"/>
      <c r="G29" s="13"/>
      <c r="H29" s="12"/>
      <c r="I29" s="14"/>
      <c r="J29" s="15"/>
      <c r="K29" s="16"/>
      <c r="M29" s="12"/>
      <c r="N29" s="29"/>
      <c r="O29" s="29"/>
      <c r="P29" s="29"/>
      <c r="Q29" s="29"/>
      <c r="R29" s="29"/>
      <c r="S29" s="29"/>
      <c r="T29" s="29"/>
      <c r="U29" s="12"/>
      <c r="V29" s="12"/>
      <c r="W29" s="12"/>
      <c r="X29" s="12"/>
      <c r="Y29" s="12"/>
      <c r="Z29" s="12"/>
      <c r="AA29" s="12"/>
      <c r="AB29" s="12"/>
      <c r="AC29" s="12"/>
      <c r="AD29" s="12"/>
      <c r="AE29" s="12"/>
    </row>
    <row r="30" spans="1:31" hidden="1">
      <c r="B30" s="11" t="s">
        <v>17</v>
      </c>
      <c r="C30" s="86">
        <v>70000</v>
      </c>
      <c r="D30" s="87"/>
      <c r="E30" s="10"/>
      <c r="M30" s="28"/>
      <c r="N30" s="29"/>
      <c r="O30" s="29"/>
      <c r="P30" s="29"/>
      <c r="Q30" s="29"/>
      <c r="R30" s="29"/>
      <c r="S30" s="29"/>
      <c r="T30" s="29"/>
      <c r="U30" s="28"/>
      <c r="V30" s="28"/>
      <c r="W30" s="28"/>
      <c r="X30" s="28"/>
      <c r="Y30" s="28"/>
      <c r="Z30" s="28"/>
      <c r="AA30" s="28"/>
      <c r="AB30" s="28"/>
      <c r="AC30" s="28"/>
      <c r="AD30" s="28"/>
      <c r="AE30" s="28"/>
    </row>
    <row r="31" spans="1:31" hidden="1">
      <c r="B31" s="11" t="s">
        <v>18</v>
      </c>
      <c r="C31" s="86">
        <v>35000</v>
      </c>
      <c r="D31" s="87"/>
      <c r="E31" s="10">
        <f>C31/C29*100</f>
        <v>49.576229056121726</v>
      </c>
      <c r="M31" s="28"/>
      <c r="N31" s="28"/>
      <c r="O31" s="28"/>
      <c r="P31" s="28"/>
      <c r="Q31" s="28"/>
      <c r="R31" s="28"/>
      <c r="S31" s="28"/>
      <c r="T31" s="28"/>
      <c r="U31" s="28"/>
      <c r="V31" s="28"/>
      <c r="W31" s="28"/>
      <c r="X31" s="28"/>
      <c r="Y31" s="28"/>
      <c r="Z31" s="28"/>
      <c r="AA31" s="28"/>
      <c r="AB31" s="28"/>
      <c r="AC31" s="28"/>
      <c r="AD31" s="28"/>
      <c r="AE31" s="28"/>
    </row>
    <row r="32" spans="1:31" hidden="1">
      <c r="B32" s="11" t="s">
        <v>19</v>
      </c>
      <c r="C32" s="88">
        <f>C29-C31</f>
        <v>35598.350593343814</v>
      </c>
      <c r="D32" s="88"/>
      <c r="E32" s="10">
        <f>100-E31</f>
        <v>50.423770943878274</v>
      </c>
      <c r="M32" s="28"/>
      <c r="N32" s="28"/>
      <c r="O32" s="28"/>
      <c r="P32" s="28"/>
      <c r="Q32" s="28"/>
      <c r="R32" s="28"/>
      <c r="S32" s="28"/>
      <c r="T32" s="28"/>
      <c r="U32" s="28"/>
      <c r="V32" s="28"/>
      <c r="W32" s="28"/>
      <c r="X32" s="28"/>
      <c r="Y32" s="28"/>
      <c r="Z32" s="28"/>
      <c r="AA32" s="28"/>
      <c r="AB32" s="28"/>
      <c r="AC32" s="28"/>
      <c r="AD32" s="28"/>
      <c r="AE32" s="28"/>
    </row>
    <row r="33" spans="2:31" hidden="1">
      <c r="B33" s="11" t="s">
        <v>20</v>
      </c>
      <c r="C33" s="81">
        <f>C30*0.03</f>
        <v>2100</v>
      </c>
      <c r="D33" s="82"/>
      <c r="E33" s="10">
        <v>3</v>
      </c>
      <c r="M33" s="28"/>
      <c r="N33" s="28"/>
      <c r="O33" s="28"/>
      <c r="P33" s="28"/>
      <c r="Q33" s="28"/>
      <c r="R33" s="28"/>
      <c r="S33" s="28"/>
      <c r="T33" s="28"/>
      <c r="U33" s="28"/>
      <c r="V33" s="28"/>
      <c r="W33" s="28"/>
      <c r="X33" s="28"/>
      <c r="Y33" s="28"/>
      <c r="Z33" s="28"/>
      <c r="AA33" s="28"/>
      <c r="AB33" s="28"/>
      <c r="AC33" s="28"/>
      <c r="AD33" s="28"/>
      <c r="AE33" s="28"/>
    </row>
    <row r="34" spans="2:31" hidden="1">
      <c r="B34" s="11" t="s">
        <v>21</v>
      </c>
      <c r="C34" s="81">
        <f>C30*0.02</f>
        <v>1400</v>
      </c>
      <c r="D34" s="82"/>
      <c r="E34" s="10">
        <v>2</v>
      </c>
      <c r="M34" s="28"/>
      <c r="N34" s="28"/>
      <c r="O34" s="28"/>
      <c r="P34" s="28"/>
      <c r="Q34" s="28"/>
      <c r="R34" s="28"/>
      <c r="S34" s="28"/>
      <c r="T34" s="28"/>
      <c r="U34" s="28"/>
      <c r="V34" s="28"/>
      <c r="W34" s="28"/>
      <c r="X34" s="28"/>
      <c r="Y34" s="28"/>
      <c r="Z34" s="28"/>
      <c r="AA34" s="28"/>
      <c r="AB34" s="28"/>
      <c r="AC34" s="28"/>
      <c r="AD34" s="28"/>
      <c r="AE34" s="28"/>
    </row>
  </sheetData>
  <mergeCells count="14">
    <mergeCell ref="C32:D32"/>
    <mergeCell ref="C33:D33"/>
    <mergeCell ref="C34:D34"/>
    <mergeCell ref="A7:F7"/>
    <mergeCell ref="C28:D28"/>
    <mergeCell ref="C29:D29"/>
    <mergeCell ref="C30:D30"/>
    <mergeCell ref="C31:D31"/>
    <mergeCell ref="A1:K1"/>
    <mergeCell ref="A2:K2"/>
    <mergeCell ref="A3:K3"/>
    <mergeCell ref="A4:K4"/>
    <mergeCell ref="A5:K5"/>
    <mergeCell ref="A6:G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workbookViewId="0">
      <selection activeCell="H9" sqref="H9"/>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0" customFormat="1" ht="20.100000000000001" customHeight="1">
      <c r="A1" s="39" t="e">
        <f>#REF!+1</f>
        <v>#REF!</v>
      </c>
      <c r="B1" s="89" t="s">
        <v>60</v>
      </c>
      <c r="C1" s="90"/>
      <c r="D1" s="90"/>
      <c r="E1" s="90"/>
      <c r="F1" s="90"/>
      <c r="G1" s="90"/>
      <c r="H1" s="90"/>
    </row>
    <row r="2" spans="1:8" s="40" customFormat="1" ht="20.100000000000001" customHeight="1">
      <c r="A2" s="41" t="s">
        <v>32</v>
      </c>
      <c r="B2" s="91" t="s">
        <v>33</v>
      </c>
      <c r="C2" s="92"/>
      <c r="D2" s="92"/>
      <c r="E2" s="92"/>
      <c r="F2" s="92"/>
      <c r="G2" s="92"/>
      <c r="H2" s="92"/>
    </row>
    <row r="3" spans="1:8" s="40" customFormat="1" ht="33" customHeight="1">
      <c r="B3" s="42" t="s">
        <v>34</v>
      </c>
      <c r="C3" s="42" t="s">
        <v>35</v>
      </c>
      <c r="D3" s="42" t="s">
        <v>36</v>
      </c>
      <c r="E3" s="42" t="s">
        <v>37</v>
      </c>
      <c r="F3" s="42" t="s">
        <v>38</v>
      </c>
      <c r="G3" s="42" t="s">
        <v>39</v>
      </c>
      <c r="H3" s="42" t="s">
        <v>40</v>
      </c>
    </row>
    <row r="4" spans="1:8" s="40" customFormat="1" ht="20.100000000000001" customHeight="1">
      <c r="B4" s="93" t="s">
        <v>41</v>
      </c>
      <c r="C4" s="43" t="s">
        <v>42</v>
      </c>
      <c r="D4" s="44">
        <v>1.1000000000000001</v>
      </c>
      <c r="E4" s="45" t="s">
        <v>43</v>
      </c>
      <c r="F4" s="46">
        <v>1225</v>
      </c>
      <c r="G4" s="46">
        <f t="shared" ref="G4:G9" si="0">FLOOR(D4*F4,0.01)</f>
        <v>1347.5</v>
      </c>
      <c r="H4" s="47"/>
    </row>
    <row r="5" spans="1:8" s="40" customFormat="1" ht="20.100000000000001" customHeight="1">
      <c r="B5" s="94"/>
      <c r="C5" s="48" t="s">
        <v>44</v>
      </c>
      <c r="D5" s="49">
        <v>1.25</v>
      </c>
      <c r="E5" s="48" t="s">
        <v>43</v>
      </c>
      <c r="F5" s="50">
        <v>920</v>
      </c>
      <c r="G5" s="50">
        <f t="shared" si="0"/>
        <v>1150</v>
      </c>
      <c r="H5" s="51">
        <f>SUM(G4+G5)</f>
        <v>2497.5</v>
      </c>
    </row>
    <row r="6" spans="1:8" s="40" customFormat="1" ht="16.5">
      <c r="B6" s="95" t="s">
        <v>45</v>
      </c>
      <c r="C6" s="52" t="s">
        <v>61</v>
      </c>
      <c r="D6" s="53">
        <v>12</v>
      </c>
      <c r="E6" s="54" t="s">
        <v>46</v>
      </c>
      <c r="F6" s="55">
        <f>330.1569507</f>
        <v>330.15695069999998</v>
      </c>
      <c r="G6" s="55">
        <f t="shared" si="0"/>
        <v>3961.88</v>
      </c>
      <c r="H6" s="56"/>
    </row>
    <row r="7" spans="1:8" s="40" customFormat="1" ht="16.5">
      <c r="B7" s="96"/>
      <c r="C7" s="54" t="s">
        <v>47</v>
      </c>
      <c r="D7" s="53">
        <v>30</v>
      </c>
      <c r="E7" s="54" t="s">
        <v>48</v>
      </c>
      <c r="F7" s="55">
        <v>34.130000000000003</v>
      </c>
      <c r="G7" s="55">
        <f t="shared" si="0"/>
        <v>1023.9</v>
      </c>
      <c r="H7" s="57"/>
    </row>
    <row r="8" spans="1:8" s="40" customFormat="1" ht="20.100000000000001" customHeight="1">
      <c r="B8" s="96"/>
      <c r="C8" s="54" t="s">
        <v>49</v>
      </c>
      <c r="D8" s="53">
        <v>25</v>
      </c>
      <c r="E8" s="54" t="s">
        <v>48</v>
      </c>
      <c r="F8" s="55">
        <f>'[1]update Rate'!$N$131</f>
        <v>13.928571428571429</v>
      </c>
      <c r="G8" s="55">
        <f t="shared" si="0"/>
        <v>348.21</v>
      </c>
      <c r="H8" s="57"/>
    </row>
    <row r="9" spans="1:8" s="58" customFormat="1" ht="20.100000000000001" customHeight="1">
      <c r="B9" s="97"/>
      <c r="C9" s="59" t="s">
        <v>50</v>
      </c>
      <c r="D9" s="60">
        <v>55</v>
      </c>
      <c r="E9" s="59" t="s">
        <v>48</v>
      </c>
      <c r="F9" s="61">
        <f>'[1]update Rate'!$N$132</f>
        <v>3</v>
      </c>
      <c r="G9" s="61">
        <f t="shared" si="0"/>
        <v>165</v>
      </c>
      <c r="H9" s="62">
        <f>SUM(G6+G7+0*G8+G9)</f>
        <v>5150.78</v>
      </c>
    </row>
    <row r="10" spans="1:8" s="40" customFormat="1" ht="20.100000000000001" customHeight="1">
      <c r="F10" s="40" t="s">
        <v>51</v>
      </c>
      <c r="G10" s="63"/>
      <c r="H10" s="50">
        <f>SUM(H5:H9)</f>
        <v>7648.28</v>
      </c>
    </row>
    <row r="11" spans="1:8" s="40" customFormat="1" ht="20.100000000000001" customHeight="1">
      <c r="B11" s="64" t="s">
        <v>52</v>
      </c>
      <c r="F11" s="40" t="s">
        <v>53</v>
      </c>
      <c r="G11" s="63"/>
      <c r="H11" s="65">
        <f>FLOOR(H10*0.15,0.01)</f>
        <v>1147.24</v>
      </c>
    </row>
    <row r="12" spans="1:8" s="40" customFormat="1" ht="20.100000000000001" customHeight="1">
      <c r="A12" s="66"/>
      <c r="B12" s="67">
        <f>+H12</f>
        <v>8795.52</v>
      </c>
      <c r="C12" s="66" t="s">
        <v>54</v>
      </c>
      <c r="D12" s="68">
        <f>INT(B12/B13*100)/100</f>
        <v>879.55</v>
      </c>
      <c r="E12" s="40" t="s">
        <v>55</v>
      </c>
      <c r="F12" s="40" t="s">
        <v>56</v>
      </c>
      <c r="G12" s="63"/>
      <c r="H12" s="68">
        <f>SUM(H10:H11)</f>
        <v>8795.52</v>
      </c>
    </row>
    <row r="13" spans="1:8" s="40" customFormat="1" ht="20.100000000000001" customHeight="1">
      <c r="B13" s="69">
        <v>10</v>
      </c>
    </row>
    <row r="14" spans="1:8" s="40" customFormat="1">
      <c r="A14" s="70" t="s">
        <v>57</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as per mistry</vt:lpstr>
      <vt:lpstr>WCR</vt:lpstr>
      <vt:lpstr>V</vt:lpstr>
      <vt:lpstr>M</vt:lpstr>
      <vt:lpstr>Rate analysis</vt:lpstr>
      <vt:lpstr>'as per mistry'!Print_Area</vt:lpstr>
      <vt:lpstr>M!Print_Area</vt:lpstr>
      <vt:lpstr>V!Print_Area</vt:lpstr>
      <vt:lpstr>WCR!Print_Area</vt:lpstr>
      <vt:lpstr>'as per mistry'!Print_Titles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2025-07-02T08:58:02Z</cp:lastPrinted>
  <dcterms:created xsi:type="dcterms:W3CDTF">2015-06-05T18:17:20Z</dcterms:created>
  <dcterms:modified xsi:type="dcterms:W3CDTF">2025-07-02T08:58:24Z</dcterms:modified>
</cp:coreProperties>
</file>