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sana gaun dhal byabasthapan\"/>
    </mc:Choice>
  </mc:AlternateContent>
  <bookViews>
    <workbookView xWindow="-120" yWindow="-120" windowWidth="20730" windowHeight="11160" activeTab="3"/>
  </bookViews>
  <sheets>
    <sheet name="Estimate (3)" sheetId="19" r:id="rId1"/>
    <sheet name="WCR" sheetId="6" r:id="rId2"/>
    <sheet name="Valuated" sheetId="21" r:id="rId3"/>
    <sheet name="M" sheetId="22" r:id="rId4"/>
    <sheet name="V" sheetId="20" state="hidden"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0">#REF!</definedName>
    <definedName name="description_124" localSheetId="3">#REF!</definedName>
    <definedName name="description_124" localSheetId="4">#REF!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 (3)'!$A$1:$K$49</definedName>
    <definedName name="_xlnm.Print_Area" localSheetId="3">M!$A$1:$K$49</definedName>
    <definedName name="_xlnm.Print_Area" localSheetId="4">V!$A$1:$K$43</definedName>
    <definedName name="_xlnm.Print_Area" localSheetId="2">Valuated!$A$1:$K$49</definedName>
    <definedName name="_xlnm.Print_Area" localSheetId="1">WCR!$A$1:$K$32</definedName>
    <definedName name="_xlnm.Print_Titles" localSheetId="0">'Estimate (3)'!$1:$8</definedName>
    <definedName name="_xlnm.Print_Titles" localSheetId="3">M!$1:$8</definedName>
    <definedName name="_xlnm.Print_Titles" localSheetId="4">V!$1:$8</definedName>
    <definedName name="_xlnm.Print_Titles" localSheetId="2">Valuated!$1:$8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49" i="22" l="1"/>
  <c r="C46" i="22" s="1"/>
  <c r="C48" i="22"/>
  <c r="J40" i="22"/>
  <c r="G40" i="22"/>
  <c r="D36" i="22"/>
  <c r="G36" i="22" s="1"/>
  <c r="G37" i="22" s="1"/>
  <c r="G31" i="22"/>
  <c r="G32" i="22" s="1"/>
  <c r="E31" i="22"/>
  <c r="D26" i="22"/>
  <c r="G26" i="22" s="1"/>
  <c r="G25" i="22"/>
  <c r="E25" i="22"/>
  <c r="D25" i="22"/>
  <c r="D20" i="22" s="1"/>
  <c r="G20" i="22" s="1"/>
  <c r="G21" i="22" s="1"/>
  <c r="E20" i="22"/>
  <c r="F16" i="22"/>
  <c r="G16" i="22" s="1"/>
  <c r="G17" i="22" s="1"/>
  <c r="J17" i="22" s="1"/>
  <c r="G12" i="22"/>
  <c r="O20" i="22" s="1"/>
  <c r="G11" i="22"/>
  <c r="G10" i="22"/>
  <c r="D10" i="22"/>
  <c r="P20" i="21"/>
  <c r="R20" i="21" s="1"/>
  <c r="O20" i="21"/>
  <c r="O26" i="21"/>
  <c r="P26" i="21" s="1"/>
  <c r="O23" i="21"/>
  <c r="O22" i="21"/>
  <c r="P22" i="21" s="1"/>
  <c r="R21" i="21"/>
  <c r="R25" i="21"/>
  <c r="P27" i="21"/>
  <c r="R27" i="21" s="1"/>
  <c r="O27" i="21"/>
  <c r="P25" i="21"/>
  <c r="P21" i="21"/>
  <c r="O21" i="21"/>
  <c r="O25" i="21"/>
  <c r="P24" i="21"/>
  <c r="R24" i="21" s="1"/>
  <c r="O24" i="21"/>
  <c r="P20" i="22" l="1"/>
  <c r="R20" i="22"/>
  <c r="J33" i="22"/>
  <c r="J32" i="22"/>
  <c r="J38" i="22"/>
  <c r="J37" i="22"/>
  <c r="O27" i="22"/>
  <c r="G27" i="22"/>
  <c r="O26" i="22" s="1"/>
  <c r="O21" i="22"/>
  <c r="J21" i="22"/>
  <c r="J22" i="22"/>
  <c r="J12" i="22"/>
  <c r="J13" i="22"/>
  <c r="R26" i="21"/>
  <c r="P23" i="21"/>
  <c r="R23" i="21" s="1"/>
  <c r="R22" i="21"/>
  <c r="R26" i="22" l="1"/>
  <c r="P26" i="22"/>
  <c r="J42" i="22"/>
  <c r="C44" i="22" s="1"/>
  <c r="P27" i="22"/>
  <c r="R27" i="22" s="1"/>
  <c r="P21" i="22"/>
  <c r="R21" i="22"/>
  <c r="O25" i="22"/>
  <c r="O23" i="22"/>
  <c r="J28" i="22"/>
  <c r="O22" i="22"/>
  <c r="O24" i="22"/>
  <c r="J27" i="22"/>
  <c r="P23" i="22" l="1"/>
  <c r="R23" i="22"/>
  <c r="P25" i="22"/>
  <c r="R25" i="22"/>
  <c r="P24" i="22"/>
  <c r="R24" i="22" s="1"/>
  <c r="P22" i="22"/>
  <c r="R22" i="22" s="1"/>
  <c r="C47" i="22"/>
  <c r="E46" i="22"/>
  <c r="E47" i="22" s="1"/>
  <c r="E31" i="21" l="1"/>
  <c r="G31" i="21" s="1"/>
  <c r="G32" i="21" s="1"/>
  <c r="G24" i="6" s="1"/>
  <c r="E25" i="21"/>
  <c r="E20" i="21" s="1"/>
  <c r="E31" i="19"/>
  <c r="G11" i="21"/>
  <c r="G11" i="19"/>
  <c r="H30" i="6"/>
  <c r="H24" i="6"/>
  <c r="H21" i="6"/>
  <c r="H27" i="6"/>
  <c r="E27" i="6"/>
  <c r="C27" i="6"/>
  <c r="B28" i="6"/>
  <c r="B27" i="6"/>
  <c r="A27" i="6"/>
  <c r="H18" i="6"/>
  <c r="H16" i="6"/>
  <c r="E16" i="6"/>
  <c r="C16" i="6"/>
  <c r="B16" i="6"/>
  <c r="A16" i="6"/>
  <c r="H13" i="6"/>
  <c r="C49" i="21"/>
  <c r="C46" i="21" s="1"/>
  <c r="C48" i="21"/>
  <c r="G40" i="21"/>
  <c r="J40" i="21" s="1"/>
  <c r="D36" i="21"/>
  <c r="G36" i="21" s="1"/>
  <c r="G37" i="21" s="1"/>
  <c r="G27" i="6" s="1"/>
  <c r="D25" i="21"/>
  <c r="D26" i="21" s="1"/>
  <c r="G26" i="21" s="1"/>
  <c r="F16" i="21"/>
  <c r="G16" i="21" s="1"/>
  <c r="G17" i="21" s="1"/>
  <c r="G16" i="6" s="1"/>
  <c r="D10" i="21"/>
  <c r="G10" i="21" s="1"/>
  <c r="G12" i="21" s="1"/>
  <c r="D20" i="21" l="1"/>
  <c r="G20" i="21" s="1"/>
  <c r="G21" i="21" s="1"/>
  <c r="I27" i="6"/>
  <c r="J17" i="21"/>
  <c r="G30" i="6"/>
  <c r="G13" i="6"/>
  <c r="I16" i="6"/>
  <c r="J33" i="21"/>
  <c r="I25" i="6" s="1"/>
  <c r="J32" i="21"/>
  <c r="J12" i="21"/>
  <c r="J13" i="21"/>
  <c r="I14" i="6" s="1"/>
  <c r="J37" i="21"/>
  <c r="J38" i="21"/>
  <c r="I28" i="6" s="1"/>
  <c r="G25" i="21"/>
  <c r="G27" i="21" s="1"/>
  <c r="G21" i="6" s="1"/>
  <c r="F16" i="19"/>
  <c r="G16" i="19" s="1"/>
  <c r="G17" i="19" s="1"/>
  <c r="F15" i="20"/>
  <c r="G15" i="20" s="1"/>
  <c r="G16" i="20" s="1"/>
  <c r="J16" i="20" s="1"/>
  <c r="G18" i="6" l="1"/>
  <c r="J21" i="21"/>
  <c r="J22" i="21"/>
  <c r="I19" i="6" s="1"/>
  <c r="J17" i="19"/>
  <c r="D16" i="6"/>
  <c r="F16" i="6" s="1"/>
  <c r="J28" i="21"/>
  <c r="I22" i="6" s="1"/>
  <c r="J27" i="21"/>
  <c r="J42" i="21" s="1"/>
  <c r="C44" i="21" s="1"/>
  <c r="N25" i="20"/>
  <c r="D30" i="20"/>
  <c r="G30" i="20" s="1"/>
  <c r="G31" i="20" s="1"/>
  <c r="M16" i="6" l="1"/>
  <c r="J16" i="6"/>
  <c r="C47" i="21"/>
  <c r="E46" i="21"/>
  <c r="E47" i="21" s="1"/>
  <c r="J32" i="20"/>
  <c r="J31" i="20"/>
  <c r="D36" i="19"/>
  <c r="G36" i="19" l="1"/>
  <c r="G37" i="19" s="1"/>
  <c r="J38" i="19" l="1"/>
  <c r="F28" i="6" s="1"/>
  <c r="J28" i="6" s="1"/>
  <c r="D27" i="6"/>
  <c r="F27" i="6" s="1"/>
  <c r="J27" i="6" s="1"/>
  <c r="J37" i="19"/>
  <c r="E19" i="20" l="1"/>
  <c r="P27" i="20"/>
  <c r="E30" i="6" l="1"/>
  <c r="C30" i="6"/>
  <c r="B30" i="6"/>
  <c r="A30" i="6"/>
  <c r="E24" i="6"/>
  <c r="C24" i="6"/>
  <c r="B25" i="6"/>
  <c r="B24" i="6"/>
  <c r="A24" i="6"/>
  <c r="E21" i="6"/>
  <c r="C21" i="6"/>
  <c r="B22" i="6"/>
  <c r="B21" i="6"/>
  <c r="A21" i="6"/>
  <c r="E18" i="6"/>
  <c r="C18" i="6"/>
  <c r="B19" i="6"/>
  <c r="B18" i="6"/>
  <c r="A18" i="6"/>
  <c r="E13" i="6"/>
  <c r="C13" i="6"/>
  <c r="B14" i="6"/>
  <c r="B13" i="6"/>
  <c r="A13" i="6"/>
  <c r="A9" i="6"/>
  <c r="A8" i="6"/>
  <c r="O27" i="20"/>
  <c r="N27" i="20"/>
  <c r="E25" i="20"/>
  <c r="G25" i="20" s="1"/>
  <c r="G26" i="20" s="1"/>
  <c r="M27" i="20"/>
  <c r="C43" i="20"/>
  <c r="C42" i="20"/>
  <c r="G34" i="20"/>
  <c r="J34" i="20" s="1"/>
  <c r="D19" i="20"/>
  <c r="E10" i="20"/>
  <c r="D10" i="20"/>
  <c r="C40" i="20" l="1"/>
  <c r="I24" i="6"/>
  <c r="G10" i="20"/>
  <c r="G11" i="20" s="1"/>
  <c r="J27" i="20"/>
  <c r="J26" i="20"/>
  <c r="D20" i="20"/>
  <c r="G20" i="20" s="1"/>
  <c r="G19" i="20"/>
  <c r="N41" i="19"/>
  <c r="J11" i="20" l="1"/>
  <c r="I18" i="6"/>
  <c r="J12" i="20"/>
  <c r="G21" i="20"/>
  <c r="E25" i="19"/>
  <c r="E20" i="19" s="1"/>
  <c r="C48" i="19"/>
  <c r="G40" i="19"/>
  <c r="D25" i="19"/>
  <c r="D10" i="19"/>
  <c r="J40" i="19" l="1"/>
  <c r="D30" i="6"/>
  <c r="J22" i="20"/>
  <c r="I21" i="6"/>
  <c r="J21" i="20"/>
  <c r="C49" i="19"/>
  <c r="C46" i="19" s="1"/>
  <c r="E10" i="19"/>
  <c r="D26" i="19"/>
  <c r="G26" i="19" s="1"/>
  <c r="D20" i="19"/>
  <c r="G25" i="19"/>
  <c r="F10" i="19"/>
  <c r="G31" i="19"/>
  <c r="G32" i="19" s="1"/>
  <c r="D24" i="6" s="1"/>
  <c r="F24" i="6" s="1"/>
  <c r="J24" i="6" l="1"/>
  <c r="M24" i="6"/>
  <c r="G27" i="19"/>
  <c r="D21" i="6" s="1"/>
  <c r="F21" i="6" s="1"/>
  <c r="J36" i="20"/>
  <c r="C38" i="20" s="1"/>
  <c r="C41" i="20" s="1"/>
  <c r="G10" i="19"/>
  <c r="G12" i="19" s="1"/>
  <c r="J32" i="19"/>
  <c r="J33" i="19"/>
  <c r="F25" i="6" s="1"/>
  <c r="G20" i="19"/>
  <c r="G21" i="19" s="1"/>
  <c r="D18" i="6" s="1"/>
  <c r="F18" i="6" s="1"/>
  <c r="J18" i="6" l="1"/>
  <c r="M18" i="6"/>
  <c r="J21" i="6"/>
  <c r="M21" i="6"/>
  <c r="J25" i="6"/>
  <c r="M25" i="6"/>
  <c r="J13" i="19"/>
  <c r="F14" i="6" s="1"/>
  <c r="D13" i="6"/>
  <c r="E40" i="20"/>
  <c r="E41" i="20" s="1"/>
  <c r="J12" i="19"/>
  <c r="J21" i="19"/>
  <c r="J22" i="19"/>
  <c r="F19" i="6" s="1"/>
  <c r="J27" i="19"/>
  <c r="J28" i="19"/>
  <c r="F22" i="6" s="1"/>
  <c r="J42" i="19" l="1"/>
  <c r="J19" i="6"/>
  <c r="M19" i="6"/>
  <c r="J14" i="6"/>
  <c r="M14" i="6"/>
  <c r="J22" i="6"/>
  <c r="M22" i="6"/>
  <c r="C44" i="19"/>
  <c r="C47" i="19" s="1"/>
  <c r="E46" i="19" l="1"/>
  <c r="E47" i="19" s="1"/>
  <c r="I30" i="6" l="1"/>
  <c r="F30" i="6"/>
  <c r="M30" i="6" s="1"/>
  <c r="J30" i="6" l="1"/>
  <c r="I13" i="6"/>
  <c r="I32" i="6" s="1"/>
  <c r="F13" i="6" l="1"/>
  <c r="J13" i="6" l="1"/>
  <c r="M13" i="6"/>
  <c r="F32" i="6"/>
  <c r="J6" i="6" l="1"/>
  <c r="J32" i="6" l="1"/>
  <c r="C6" i="6" l="1"/>
</calcChain>
</file>

<file path=xl/sharedStrings.xml><?xml version="1.0" encoding="utf-8"?>
<sst xmlns="http://schemas.openxmlformats.org/spreadsheetml/2006/main" count="287" uniqueCount="77">
  <si>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</si>
  <si>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</si>
  <si>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</si>
  <si>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</si>
  <si>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</si>
  <si>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</si>
  <si>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</si>
  <si>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</si>
  <si>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</si>
  <si>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</si>
  <si>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</si>
  <si>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</si>
  <si>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</si>
  <si>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</si>
  <si>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</si>
  <si>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</si>
  <si>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</si>
  <si>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</si>
  <si>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</si>
  <si>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</si>
  <si>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</si>
  <si>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</si>
  <si>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</si>
  <si>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</si>
  <si>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</si>
  <si>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</si>
  <si>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</si>
  <si>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</si>
  <si>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</si>
  <si>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</si>
  <si>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</si>
  <si>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</si>
  <si>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</si>
  <si>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</si>
  <si>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</si>
  <si>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</si>
  <si>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</si>
  <si>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</si>
  <si>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</si>
  <si>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</si>
  <si>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</si>
  <si>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</si>
  <si>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</si>
  <si>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</si>
  <si>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</si>
  <si>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</si>
  <si>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</si>
  <si>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-For wall</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</si>
  <si>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</si>
  <si>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</si>
  <si>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</si>
  <si>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 xml:space="preserve">Project:- सानागाउँ ढल व्यबस्थापन </t>
  </si>
  <si>
    <t xml:space="preserve">Date:                  </t>
  </si>
  <si>
    <t>Detail Valuated Sheet</t>
  </si>
  <si>
    <t>Total Valuated</t>
  </si>
  <si>
    <t>Providing and Laying Reinforced cement concrete NP3 Flush jointed pipe for culverts including fixing with cement mortar 1:2 as per Drawing and Technical Specifications., 450 mm  internal dia.</t>
  </si>
  <si>
    <t>-450mm hume pipe</t>
  </si>
  <si>
    <t>Filling empty bags with local sand, sewing them closes and pacing them including haulage upto 100 m distance</t>
  </si>
  <si>
    <t>-for empty bag filling</t>
  </si>
  <si>
    <t>labour cost only</t>
  </si>
  <si>
    <t>sack</t>
  </si>
  <si>
    <t>-For drain clearance</t>
  </si>
  <si>
    <t>stone</t>
  </si>
  <si>
    <t>VAT 13%</t>
  </si>
  <si>
    <t>cement</t>
  </si>
  <si>
    <t>sand</t>
  </si>
  <si>
    <t>aggregate</t>
  </si>
  <si>
    <t>formwork</t>
  </si>
  <si>
    <t>water</t>
  </si>
  <si>
    <t>hume pipe</t>
  </si>
  <si>
    <t>jcb</t>
  </si>
  <si>
    <t>Detail Quantity Measurement Sheet</t>
  </si>
  <si>
    <t>rm</t>
  </si>
  <si>
    <t>Providing and   Laying Reinforced cement concrete NP3 Flush jointed pipe for culverts including fixing with cement mortar 1:2 as per Drawing and   Technical Specifications., 450 mm  internal dia.</t>
  </si>
  <si>
    <t>-for wall</t>
  </si>
  <si>
    <t xml:space="preserve">F.Y: 2081/2082            </t>
  </si>
  <si>
    <t xml:space="preserve">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</si>
</sst>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95">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1" fontId="6" fillId="0" borderId="1" xfId="0" applyNumberFormat="1" applyFont="1" applyFill="1" applyBorder="1" applyAlignment="1">
      <alignment horizontal="right" vertical="center" wrapText="1"/>
    </xf>
    <xf numFmtId="0" fontId="6" fillId="0" borderId="2" xfId="0" applyFont="1" applyBorder="1" applyAlignment="1">
      <alignment horizontal="right"/>
    </xf>
    <xf numFmtId="0" fontId="6" fillId="0" borderId="0" xfId="0" applyFont="1" applyAlignment="1">
      <alignment horizontal="right"/>
    </xf>
    <xf numFmtId="0" fontId="2" fillId="0" borderId="1" xfId="0" applyFont="1" applyBorder="1"/>
    <xf numFmtId="2" fontId="0" fillId="0" borderId="1" xfId="0" applyNumberFormat="1" applyBorder="1"/>
    <xf numFmtId="0" fontId="6" fillId="0" borderId="0" xfId="0" applyFont="1" applyAlignment="1"/>
    <xf numFmtId="0" fontId="6" fillId="0" borderId="2" xfId="0" applyFont="1" applyBorder="1" applyAlignment="1"/>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2" fontId="13" fillId="0" borderId="3" xfId="0" applyNumberFormat="1" applyFont="1" applyFill="1" applyBorder="1" applyAlignment="1">
      <alignment horizontal="center" vertical="center" wrapText="1"/>
    </xf>
    <xf numFmtId="2" fontId="13" fillId="0" borderId="4" xfId="0" applyNumberFormat="1" applyFont="1" applyFill="1" applyBorder="1" applyAlignment="1">
      <alignment horizontal="center" vertical="center"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A34" zoomScaleNormal="100" workbookViewId="0">
      <selection activeCell="G35" sqref="G35"/>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80" t="s">
        <v>0</v>
      </c>
      <c r="B1" s="80"/>
      <c r="C1" s="80"/>
      <c r="D1" s="80"/>
      <c r="E1" s="80"/>
      <c r="F1" s="80"/>
      <c r="G1" s="80"/>
      <c r="H1" s="80"/>
      <c r="I1" s="80"/>
      <c r="J1" s="80"/>
      <c r="K1" s="80"/>
    </row>
    <row r="2" spans="1:19" s="1" customFormat="1" ht="22.5" x14ac:dyDescent="0.25">
      <c r="A2" s="81" t="s">
        <v>1</v>
      </c>
      <c r="B2" s="81"/>
      <c r="C2" s="81"/>
      <c r="D2" s="81"/>
      <c r="E2" s="81"/>
      <c r="F2" s="81"/>
      <c r="G2" s="81"/>
      <c r="H2" s="81"/>
      <c r="I2" s="81"/>
      <c r="J2" s="81"/>
      <c r="K2" s="81"/>
    </row>
    <row r="3" spans="1:19" s="1" customFormat="1" x14ac:dyDescent="0.25">
      <c r="A3" s="82" t="s">
        <v>2</v>
      </c>
      <c r="B3" s="82"/>
      <c r="C3" s="82"/>
      <c r="D3" s="82"/>
      <c r="E3" s="82"/>
      <c r="F3" s="82"/>
      <c r="G3" s="82"/>
      <c r="H3" s="82"/>
      <c r="I3" s="82"/>
      <c r="J3" s="82"/>
      <c r="K3" s="82"/>
    </row>
    <row r="4" spans="1:19" s="1" customFormat="1" x14ac:dyDescent="0.25">
      <c r="A4" s="82" t="s">
        <v>3</v>
      </c>
      <c r="B4" s="82"/>
      <c r="C4" s="82"/>
      <c r="D4" s="82"/>
      <c r="E4" s="82"/>
      <c r="F4" s="82"/>
      <c r="G4" s="82"/>
      <c r="H4" s="82"/>
      <c r="I4" s="82"/>
      <c r="J4" s="82"/>
      <c r="K4" s="82"/>
    </row>
    <row r="5" spans="1:19" ht="18.75" x14ac:dyDescent="0.3">
      <c r="A5" s="83" t="s">
        <v>4</v>
      </c>
      <c r="B5" s="83"/>
      <c r="C5" s="83"/>
      <c r="D5" s="83"/>
      <c r="E5" s="83"/>
      <c r="F5" s="83"/>
      <c r="G5" s="83"/>
      <c r="H5" s="83"/>
      <c r="I5" s="83"/>
      <c r="J5" s="83"/>
      <c r="K5" s="83"/>
    </row>
    <row r="6" spans="1:19" ht="15.75" x14ac:dyDescent="0.25">
      <c r="A6" s="78" t="s">
        <v>51</v>
      </c>
      <c r="B6" s="78"/>
      <c r="C6" s="78"/>
      <c r="D6" s="78"/>
      <c r="E6" s="78"/>
      <c r="F6" s="78"/>
      <c r="G6" s="2"/>
      <c r="H6" s="79" t="s">
        <v>43</v>
      </c>
      <c r="I6" s="79"/>
      <c r="J6" s="79"/>
      <c r="K6" s="79"/>
      <c r="O6" t="s">
        <v>49</v>
      </c>
    </row>
    <row r="7" spans="1:19" ht="15.75" x14ac:dyDescent="0.25">
      <c r="A7" s="73" t="s">
        <v>28</v>
      </c>
      <c r="B7" s="73"/>
      <c r="C7" s="73"/>
      <c r="D7" s="73"/>
      <c r="E7" s="73"/>
      <c r="F7" s="73"/>
      <c r="G7" s="3"/>
      <c r="H7" s="74" t="s">
        <v>52</v>
      </c>
      <c r="I7" s="74"/>
      <c r="J7" s="74"/>
      <c r="K7" s="74"/>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44</v>
      </c>
    </row>
    <row r="9" spans="1:19" ht="150" x14ac:dyDescent="0.25">
      <c r="A9" s="63">
        <v>1</v>
      </c>
      <c r="B9" s="30" t="s">
        <v>50</v>
      </c>
      <c r="C9" s="36"/>
      <c r="D9" s="36"/>
      <c r="E9" s="36"/>
      <c r="F9" s="36"/>
      <c r="G9" s="36"/>
      <c r="H9" s="36"/>
      <c r="I9" s="36"/>
      <c r="J9" s="36"/>
      <c r="K9" s="36"/>
      <c r="N9" t="s">
        <v>45</v>
      </c>
      <c r="O9" t="s">
        <v>46</v>
      </c>
    </row>
    <row r="10" spans="1:19" ht="15" customHeight="1" x14ac:dyDescent="0.25">
      <c r="A10" s="18"/>
      <c r="B10" s="37" t="s">
        <v>47</v>
      </c>
      <c r="C10" s="36">
        <v>0.5</v>
      </c>
      <c r="D10" s="38">
        <f>D31</f>
        <v>13</v>
      </c>
      <c r="E10" s="38">
        <f>F31/2</f>
        <v>1.375</v>
      </c>
      <c r="F10" s="38">
        <f>F31</f>
        <v>2.75</v>
      </c>
      <c r="G10" s="39">
        <f>PRODUCT(C10:F10)</f>
        <v>24.578125</v>
      </c>
      <c r="H10" s="40"/>
      <c r="I10" s="40"/>
      <c r="J10" s="40"/>
      <c r="K10" s="21"/>
      <c r="M10" s="25"/>
      <c r="N10" s="1"/>
      <c r="O10" s="1"/>
      <c r="P10" s="1"/>
      <c r="Q10" s="1"/>
      <c r="R10" s="25"/>
      <c r="S10" s="25"/>
    </row>
    <row r="11" spans="1:19" ht="15" customHeight="1" x14ac:dyDescent="0.25">
      <c r="A11" s="18"/>
      <c r="B11" s="37" t="s">
        <v>61</v>
      </c>
      <c r="C11" s="36">
        <v>1</v>
      </c>
      <c r="D11" s="38">
        <v>50</v>
      </c>
      <c r="E11" s="38">
        <v>1.5</v>
      </c>
      <c r="F11" s="38">
        <v>0.5</v>
      </c>
      <c r="G11" s="39">
        <f>PRODUCT(C11:F11)</f>
        <v>37.5</v>
      </c>
      <c r="H11" s="40"/>
      <c r="I11" s="40"/>
      <c r="J11" s="40"/>
      <c r="K11" s="21"/>
      <c r="M11" s="25"/>
      <c r="N11" s="1"/>
      <c r="O11" s="1"/>
      <c r="P11" s="1"/>
      <c r="Q11" s="1"/>
      <c r="R11" s="25"/>
      <c r="S11" s="25"/>
    </row>
    <row r="12" spans="1:19" ht="15" customHeight="1" x14ac:dyDescent="0.25">
      <c r="A12" s="18"/>
      <c r="B12" s="37" t="s">
        <v>40</v>
      </c>
      <c r="C12" s="19"/>
      <c r="D12" s="20"/>
      <c r="E12" s="21"/>
      <c r="F12" s="21"/>
      <c r="G12" s="23">
        <f>SUM(G10:G11)</f>
        <v>62.078125</v>
      </c>
      <c r="H12" s="22" t="s">
        <v>39</v>
      </c>
      <c r="I12" s="23">
        <v>64.63</v>
      </c>
      <c r="J12" s="41">
        <f>G12*I12</f>
        <v>4012.1092187499999</v>
      </c>
      <c r="K12" s="21"/>
      <c r="M12" s="25"/>
      <c r="N12" s="1"/>
      <c r="O12" s="1"/>
      <c r="P12" s="1"/>
      <c r="Q12" s="1"/>
      <c r="R12" s="25"/>
      <c r="S12" s="25"/>
    </row>
    <row r="13" spans="1:19" ht="15" customHeight="1" x14ac:dyDescent="0.25">
      <c r="A13" s="18"/>
      <c r="B13" s="37" t="s">
        <v>38</v>
      </c>
      <c r="C13" s="19"/>
      <c r="D13" s="20"/>
      <c r="E13" s="21"/>
      <c r="F13" s="21"/>
      <c r="G13" s="23"/>
      <c r="H13" s="22"/>
      <c r="I13" s="23"/>
      <c r="J13" s="41">
        <f>0.13*G12*19284/360</f>
        <v>432.29136979166668</v>
      </c>
      <c r="K13" s="21"/>
      <c r="M13" s="25"/>
      <c r="N13" s="1"/>
      <c r="O13" s="1"/>
      <c r="P13" s="1"/>
      <c r="Q13" s="1"/>
      <c r="R13" s="25"/>
      <c r="S13" s="25"/>
    </row>
    <row r="14" spans="1:19" ht="15" customHeight="1" x14ac:dyDescent="0.25">
      <c r="A14" s="18"/>
      <c r="B14" s="37"/>
      <c r="C14" s="19"/>
      <c r="D14" s="20"/>
      <c r="E14" s="21"/>
      <c r="F14" s="21"/>
      <c r="G14" s="23"/>
      <c r="H14" s="22"/>
      <c r="I14" s="23"/>
      <c r="J14" s="41"/>
      <c r="K14" s="21"/>
      <c r="M14" s="25"/>
      <c r="N14" s="1"/>
      <c r="O14" s="1"/>
      <c r="P14" s="1"/>
      <c r="Q14" s="1"/>
      <c r="R14" s="25"/>
      <c r="S14" s="25"/>
    </row>
    <row r="15" spans="1:19" ht="60" x14ac:dyDescent="0.25">
      <c r="A15" s="18">
        <v>2</v>
      </c>
      <c r="B15" s="30" t="s">
        <v>57</v>
      </c>
      <c r="C15" s="19"/>
      <c r="D15" s="20"/>
      <c r="E15" s="21"/>
      <c r="F15" s="21"/>
      <c r="G15" s="23"/>
      <c r="H15" s="22"/>
      <c r="I15" s="23"/>
      <c r="J15" s="41"/>
      <c r="K15" s="21"/>
    </row>
    <row r="16" spans="1:19" x14ac:dyDescent="0.25">
      <c r="A16" s="18"/>
      <c r="B16" s="37" t="s">
        <v>58</v>
      </c>
      <c r="C16" s="19">
        <v>2</v>
      </c>
      <c r="D16" s="20">
        <v>30</v>
      </c>
      <c r="E16" s="21">
        <v>0.38</v>
      </c>
      <c r="F16" s="38">
        <f>ROUNDUP(D16/E16,0)</f>
        <v>79</v>
      </c>
      <c r="G16" s="39">
        <f>F16*C16</f>
        <v>158</v>
      </c>
      <c r="H16" s="22"/>
      <c r="I16" s="23"/>
      <c r="J16" s="41"/>
      <c r="K16" s="76" t="s">
        <v>59</v>
      </c>
    </row>
    <row r="17" spans="1:19" x14ac:dyDescent="0.25">
      <c r="A17" s="18"/>
      <c r="B17" s="37" t="s">
        <v>40</v>
      </c>
      <c r="C17" s="19"/>
      <c r="D17" s="20"/>
      <c r="E17" s="21"/>
      <c r="F17" s="21"/>
      <c r="G17" s="23">
        <f>SUM(G16:G16)</f>
        <v>158</v>
      </c>
      <c r="H17" s="22" t="s">
        <v>60</v>
      </c>
      <c r="I17" s="23">
        <v>92</v>
      </c>
      <c r="J17" s="41">
        <f>G17*I17</f>
        <v>14536</v>
      </c>
      <c r="K17" s="77"/>
    </row>
    <row r="18" spans="1:19" ht="15" customHeight="1" x14ac:dyDescent="0.25">
      <c r="A18" s="18"/>
      <c r="B18" s="37"/>
      <c r="C18" s="19"/>
      <c r="D18" s="20"/>
      <c r="E18" s="21"/>
      <c r="F18" s="21"/>
      <c r="G18" s="23"/>
      <c r="H18" s="22"/>
      <c r="I18" s="23"/>
      <c r="J18" s="41"/>
      <c r="K18" s="21"/>
      <c r="M18" s="25"/>
      <c r="N18" s="25"/>
    </row>
    <row r="19" spans="1:19" ht="90" x14ac:dyDescent="0.25">
      <c r="A19" s="18">
        <v>3</v>
      </c>
      <c r="B19" s="30" t="s">
        <v>42</v>
      </c>
      <c r="C19" s="19"/>
      <c r="D19" s="20"/>
      <c r="E19" s="21"/>
      <c r="F19" s="21"/>
      <c r="G19" s="23"/>
      <c r="H19" s="22"/>
      <c r="I19" s="23"/>
      <c r="J19" s="41"/>
      <c r="K19" s="21"/>
      <c r="M19" s="25"/>
      <c r="N19" s="1"/>
      <c r="O19" s="1"/>
      <c r="P19" s="1"/>
      <c r="Q19" s="1"/>
      <c r="R19" s="25"/>
      <c r="S19" s="25"/>
    </row>
    <row r="20" spans="1:19" ht="15" customHeight="1" x14ac:dyDescent="0.25">
      <c r="A20" s="18"/>
      <c r="B20" s="37" t="s">
        <v>47</v>
      </c>
      <c r="C20" s="36">
        <v>1</v>
      </c>
      <c r="D20" s="38">
        <f>D25</f>
        <v>13</v>
      </c>
      <c r="E20" s="38">
        <f>E25</f>
        <v>1.375</v>
      </c>
      <c r="F20" s="38">
        <v>0.15</v>
      </c>
      <c r="G20" s="39">
        <f>PRODUCT(C20:F20)</f>
        <v>2.6812499999999999</v>
      </c>
      <c r="H20" s="40"/>
      <c r="I20" s="40"/>
      <c r="J20" s="40"/>
      <c r="K20" s="21"/>
      <c r="M20" s="25"/>
      <c r="N20" s="1"/>
      <c r="O20" s="1"/>
      <c r="P20" s="1"/>
      <c r="Q20" s="1"/>
      <c r="R20" s="25"/>
      <c r="S20" s="25"/>
    </row>
    <row r="21" spans="1:19" ht="15" customHeight="1" x14ac:dyDescent="0.25">
      <c r="A21" s="40"/>
      <c r="B21" s="37" t="s">
        <v>40</v>
      </c>
      <c r="C21" s="42"/>
      <c r="D21" s="43"/>
      <c r="E21" s="43"/>
      <c r="F21" s="43"/>
      <c r="G21" s="33">
        <f>SUM(G20:G20)</f>
        <v>2.6812499999999999</v>
      </c>
      <c r="H21" s="33" t="s">
        <v>39</v>
      </c>
      <c r="I21" s="33">
        <v>4561.53</v>
      </c>
      <c r="J21" s="44">
        <f>G21*I21</f>
        <v>12230.602312499999</v>
      </c>
      <c r="K21" s="36"/>
    </row>
    <row r="22" spans="1:19" x14ac:dyDescent="0.25">
      <c r="A22" s="40"/>
      <c r="B22" s="37" t="s">
        <v>38</v>
      </c>
      <c r="C22" s="42"/>
      <c r="D22" s="43"/>
      <c r="E22" s="43"/>
      <c r="F22" s="43"/>
      <c r="G22" s="43"/>
      <c r="H22" s="43"/>
      <c r="I22" s="43"/>
      <c r="J22" s="45">
        <f>0.13*G21*(15452.6/5)</f>
        <v>1077.2393775</v>
      </c>
      <c r="K22" s="36"/>
    </row>
    <row r="23" spans="1:19" x14ac:dyDescent="0.25">
      <c r="A23" s="40"/>
      <c r="B23" s="37"/>
      <c r="C23" s="42"/>
      <c r="D23" s="43"/>
      <c r="E23" s="43"/>
      <c r="F23" s="43"/>
      <c r="G23" s="43"/>
      <c r="H23" s="43"/>
      <c r="I23" s="43"/>
      <c r="J23" s="45"/>
      <c r="K23" s="36"/>
    </row>
    <row r="24" spans="1:19" ht="75" x14ac:dyDescent="0.25">
      <c r="A24" s="18">
        <v>4</v>
      </c>
      <c r="B24" s="30" t="s">
        <v>41</v>
      </c>
      <c r="C24" s="19"/>
      <c r="D24" s="20"/>
      <c r="E24" s="21"/>
      <c r="F24" s="21"/>
      <c r="G24" s="23"/>
      <c r="H24" s="22"/>
      <c r="I24" s="23"/>
      <c r="J24" s="41"/>
      <c r="K24" s="21"/>
      <c r="M24" s="25"/>
      <c r="N24" s="1"/>
      <c r="O24" s="1"/>
      <c r="P24" s="1"/>
      <c r="Q24" s="1"/>
      <c r="R24" s="25"/>
      <c r="S24" s="25"/>
    </row>
    <row r="25" spans="1:19" ht="15" customHeight="1" x14ac:dyDescent="0.25">
      <c r="A25" s="18"/>
      <c r="B25" s="37" t="s">
        <v>47</v>
      </c>
      <c r="C25" s="36">
        <v>1</v>
      </c>
      <c r="D25" s="38">
        <f>D31</f>
        <v>13</v>
      </c>
      <c r="E25" s="38">
        <f>F31/2</f>
        <v>1.375</v>
      </c>
      <c r="F25" s="38">
        <v>7.4999999999999997E-2</v>
      </c>
      <c r="G25" s="39">
        <f>PRODUCT(C25:F25)</f>
        <v>1.340625</v>
      </c>
      <c r="H25" s="40"/>
      <c r="I25" s="40"/>
      <c r="J25" s="40"/>
      <c r="K25" s="21"/>
      <c r="M25" s="25"/>
      <c r="N25" s="1"/>
      <c r="O25" s="1"/>
      <c r="P25" s="1"/>
      <c r="Q25" s="1"/>
      <c r="R25" s="25"/>
      <c r="S25" s="25"/>
    </row>
    <row r="26" spans="1:19" ht="15" customHeight="1" x14ac:dyDescent="0.25">
      <c r="A26" s="18"/>
      <c r="B26" s="37"/>
      <c r="C26" s="36">
        <v>1</v>
      </c>
      <c r="D26" s="38">
        <f>D25</f>
        <v>13</v>
      </c>
      <c r="E26" s="38">
        <v>0.5</v>
      </c>
      <c r="F26" s="38">
        <v>0.05</v>
      </c>
      <c r="G26" s="39">
        <f>PRODUCT(C26:F26)</f>
        <v>0.32500000000000001</v>
      </c>
      <c r="H26" s="40"/>
      <c r="I26" s="40"/>
      <c r="J26" s="40"/>
      <c r="K26" s="21"/>
      <c r="M26" s="25"/>
      <c r="N26" s="1"/>
      <c r="O26" s="1"/>
      <c r="P26" s="1"/>
      <c r="Q26" s="1"/>
      <c r="R26" s="25"/>
      <c r="S26" s="25"/>
    </row>
    <row r="27" spans="1:19" ht="15" customHeight="1" x14ac:dyDescent="0.25">
      <c r="A27" s="40"/>
      <c r="B27" s="37" t="s">
        <v>40</v>
      </c>
      <c r="C27" s="42"/>
      <c r="D27" s="43"/>
      <c r="E27" s="43"/>
      <c r="F27" s="43"/>
      <c r="G27" s="33">
        <f>SUM(G25:G26)</f>
        <v>1.6656249999999999</v>
      </c>
      <c r="H27" s="33" t="s">
        <v>39</v>
      </c>
      <c r="I27" s="33">
        <v>10634.5</v>
      </c>
      <c r="J27" s="44">
        <f>G27*I27</f>
        <v>17713.089062499999</v>
      </c>
      <c r="K27" s="36"/>
    </row>
    <row r="28" spans="1:19" ht="15" customHeight="1" x14ac:dyDescent="0.25">
      <c r="A28" s="40"/>
      <c r="B28" s="37" t="s">
        <v>38</v>
      </c>
      <c r="C28" s="42"/>
      <c r="D28" s="43"/>
      <c r="E28" s="43"/>
      <c r="F28" s="43"/>
      <c r="G28" s="43"/>
      <c r="H28" s="43"/>
      <c r="I28" s="43"/>
      <c r="J28" s="45">
        <f>0.13*G27*((114907.3+6135.3)/15)</f>
        <v>1747.3003654166669</v>
      </c>
      <c r="K28" s="36"/>
    </row>
    <row r="29" spans="1:19" ht="15" customHeight="1" x14ac:dyDescent="0.25">
      <c r="A29" s="40"/>
      <c r="B29" s="37"/>
      <c r="C29" s="42"/>
      <c r="D29" s="43"/>
      <c r="E29" s="43"/>
      <c r="F29" s="43"/>
      <c r="G29" s="43"/>
      <c r="H29" s="43"/>
      <c r="I29" s="43"/>
      <c r="J29" s="45"/>
      <c r="K29" s="36"/>
    </row>
    <row r="30" spans="1:19" s="1" customFormat="1" ht="90" x14ac:dyDescent="0.25">
      <c r="A30" s="63">
        <v>5</v>
      </c>
      <c r="B30" s="30" t="s">
        <v>48</v>
      </c>
      <c r="C30" s="64"/>
      <c r="D30" s="39"/>
      <c r="E30" s="39"/>
      <c r="F30" s="39"/>
      <c r="G30" s="39"/>
      <c r="H30" s="39"/>
      <c r="I30" s="39"/>
      <c r="J30" s="45"/>
      <c r="K30" s="29"/>
    </row>
    <row r="31" spans="1:19" ht="15" customHeight="1" x14ac:dyDescent="0.25">
      <c r="A31" s="18"/>
      <c r="B31" s="37" t="s">
        <v>47</v>
      </c>
      <c r="C31" s="36">
        <v>1</v>
      </c>
      <c r="D31" s="38">
        <v>13</v>
      </c>
      <c r="E31" s="38">
        <f>((F31/2+0.5)/2)*0.96825488</f>
        <v>0.90773895000000004</v>
      </c>
      <c r="F31" s="38">
        <v>2.75</v>
      </c>
      <c r="G31" s="39">
        <f>PRODUCT(C31:F31)</f>
        <v>32.451667462500005</v>
      </c>
      <c r="H31" s="40"/>
      <c r="I31" s="40"/>
      <c r="J31" s="40"/>
      <c r="K31" s="21"/>
      <c r="M31" s="25"/>
      <c r="N31" s="1"/>
      <c r="O31" s="1"/>
      <c r="P31" s="1"/>
      <c r="Q31" s="1"/>
      <c r="R31" s="25"/>
      <c r="S31" s="25"/>
    </row>
    <row r="32" spans="1:19" ht="15" customHeight="1" x14ac:dyDescent="0.25">
      <c r="A32" s="40"/>
      <c r="B32" s="37" t="s">
        <v>40</v>
      </c>
      <c r="C32" s="42"/>
      <c r="D32" s="43"/>
      <c r="E32" s="43"/>
      <c r="F32" s="43"/>
      <c r="G32" s="33">
        <f>SUM(G31:G31)</f>
        <v>32.451667462500005</v>
      </c>
      <c r="H32" s="33" t="s">
        <v>39</v>
      </c>
      <c r="I32" s="33">
        <v>9709.43</v>
      </c>
      <c r="J32" s="44">
        <f>G32*I32</f>
        <v>315087.19361042144</v>
      </c>
      <c r="K32" s="36"/>
    </row>
    <row r="33" spans="1:19" ht="15" customHeight="1" x14ac:dyDescent="0.25">
      <c r="A33" s="40"/>
      <c r="B33" s="37" t="s">
        <v>38</v>
      </c>
      <c r="C33" s="42"/>
      <c r="D33" s="43"/>
      <c r="E33" s="43"/>
      <c r="F33" s="43"/>
      <c r="G33" s="43"/>
      <c r="H33" s="43"/>
      <c r="I33" s="43"/>
      <c r="J33" s="45">
        <f>0.13*G32*((27092.1)/5)</f>
        <v>22858.779321580707</v>
      </c>
      <c r="K33" s="36"/>
    </row>
    <row r="34" spans="1:19" ht="15" customHeight="1" x14ac:dyDescent="0.25">
      <c r="A34" s="40"/>
      <c r="B34" s="37"/>
      <c r="C34" s="42"/>
      <c r="D34" s="43"/>
      <c r="E34" s="43"/>
      <c r="F34" s="43"/>
      <c r="G34" s="33"/>
      <c r="H34" s="33"/>
      <c r="I34" s="33"/>
      <c r="J34" s="44"/>
      <c r="K34" s="36"/>
    </row>
    <row r="35" spans="1:19" s="1" customFormat="1" ht="105" x14ac:dyDescent="0.25">
      <c r="A35" s="63">
        <v>6</v>
      </c>
      <c r="B35" s="30" t="s">
        <v>73</v>
      </c>
      <c r="C35" s="64"/>
      <c r="D35" s="39"/>
      <c r="E35" s="39"/>
      <c r="F35" s="39"/>
      <c r="G35" s="39"/>
      <c r="H35" s="39"/>
      <c r="I35" s="39"/>
      <c r="J35" s="45"/>
      <c r="K35" s="29"/>
    </row>
    <row r="36" spans="1:19" ht="15" customHeight="1" x14ac:dyDescent="0.25">
      <c r="A36" s="18"/>
      <c r="B36" s="37" t="s">
        <v>56</v>
      </c>
      <c r="C36" s="36">
        <v>4</v>
      </c>
      <c r="D36" s="38">
        <f>2.5</f>
        <v>2.5</v>
      </c>
      <c r="E36" s="38"/>
      <c r="F36" s="38"/>
      <c r="G36" s="39">
        <f>PRODUCT(C36:F36)</f>
        <v>10</v>
      </c>
      <c r="H36" s="40"/>
      <c r="I36" s="40"/>
      <c r="J36" s="40"/>
      <c r="K36" s="21"/>
      <c r="M36" s="25"/>
      <c r="N36" s="1"/>
      <c r="O36" s="1"/>
      <c r="P36" s="1"/>
      <c r="Q36" s="1"/>
      <c r="R36" s="25"/>
      <c r="S36" s="25"/>
    </row>
    <row r="37" spans="1:19" ht="15" customHeight="1" x14ac:dyDescent="0.25">
      <c r="A37" s="40"/>
      <c r="B37" s="37" t="s">
        <v>40</v>
      </c>
      <c r="C37" s="42"/>
      <c r="D37" s="43"/>
      <c r="E37" s="43"/>
      <c r="F37" s="43"/>
      <c r="G37" s="33">
        <f>SUM(G36:G36)</f>
        <v>10</v>
      </c>
      <c r="H37" s="33" t="s">
        <v>72</v>
      </c>
      <c r="I37" s="33">
        <v>5144.96</v>
      </c>
      <c r="J37" s="44">
        <f>G37*I37</f>
        <v>51449.599999999999</v>
      </c>
      <c r="K37" s="36"/>
    </row>
    <row r="38" spans="1:19" ht="15" customHeight="1" x14ac:dyDescent="0.25">
      <c r="A38" s="40"/>
      <c r="B38" s="37" t="s">
        <v>38</v>
      </c>
      <c r="C38" s="42"/>
      <c r="D38" s="43"/>
      <c r="E38" s="43"/>
      <c r="F38" s="43"/>
      <c r="G38" s="43"/>
      <c r="H38" s="43"/>
      <c r="I38" s="43"/>
      <c r="J38" s="45">
        <f>0.13*G37*((57364.6)/12.5)</f>
        <v>5965.9183999999996</v>
      </c>
      <c r="K38" s="36"/>
    </row>
    <row r="39" spans="1:19" ht="15" customHeight="1" x14ac:dyDescent="0.25">
      <c r="A39" s="40"/>
      <c r="B39" s="37"/>
      <c r="C39" s="42"/>
      <c r="D39" s="43"/>
      <c r="E39" s="43"/>
      <c r="F39" s="43"/>
      <c r="G39" s="33"/>
      <c r="H39" s="33"/>
      <c r="I39" s="33"/>
      <c r="J39" s="44"/>
      <c r="K39" s="36"/>
    </row>
    <row r="40" spans="1:19" ht="15" customHeight="1" x14ac:dyDescent="0.25">
      <c r="A40" s="18">
        <v>7</v>
      </c>
      <c r="B40" s="30" t="s">
        <v>30</v>
      </c>
      <c r="C40" s="19">
        <v>1</v>
      </c>
      <c r="D40" s="20"/>
      <c r="E40" s="21"/>
      <c r="F40" s="21"/>
      <c r="G40" s="34">
        <f t="shared" ref="G40" si="0">PRODUCT(C40:F40)</f>
        <v>1</v>
      </c>
      <c r="H40" s="22" t="s">
        <v>31</v>
      </c>
      <c r="I40" s="23">
        <v>500</v>
      </c>
      <c r="J40" s="34">
        <f>G40*I40</f>
        <v>500</v>
      </c>
      <c r="K40" s="21"/>
      <c r="M40" s="25"/>
      <c r="N40" s="1"/>
      <c r="O40" s="1"/>
      <c r="P40" s="1"/>
      <c r="Q40" s="1"/>
      <c r="R40" s="25"/>
      <c r="S40" s="25"/>
    </row>
    <row r="41" spans="1:19" ht="15" customHeight="1" x14ac:dyDescent="0.25">
      <c r="A41" s="18"/>
      <c r="B41" s="24"/>
      <c r="C41" s="19"/>
      <c r="D41" s="20"/>
      <c r="E41" s="21"/>
      <c r="F41" s="21"/>
      <c r="G41" s="23"/>
      <c r="H41" s="22"/>
      <c r="I41" s="23"/>
      <c r="J41" s="41"/>
      <c r="K41" s="21"/>
      <c r="M41" s="25"/>
      <c r="N41" s="1">
        <f>2.4*3.281</f>
        <v>7.8743999999999996</v>
      </c>
      <c r="O41" s="1"/>
      <c r="P41" s="1"/>
      <c r="Q41" s="1"/>
      <c r="R41" s="25"/>
      <c r="S41" s="25"/>
    </row>
    <row r="42" spans="1:19" x14ac:dyDescent="0.25">
      <c r="A42" s="40"/>
      <c r="B42" s="46" t="s">
        <v>17</v>
      </c>
      <c r="C42" s="47"/>
      <c r="D42" s="38"/>
      <c r="E42" s="38"/>
      <c r="F42" s="38"/>
      <c r="G42" s="41"/>
      <c r="H42" s="41"/>
      <c r="I42" s="41"/>
      <c r="J42" s="41">
        <f>SUM(J10:J40)</f>
        <v>447610.1230384605</v>
      </c>
      <c r="K42" s="36"/>
    </row>
    <row r="43" spans="1:19" x14ac:dyDescent="0.25">
      <c r="A43" s="58"/>
      <c r="B43" s="61"/>
      <c r="C43" s="62"/>
      <c r="D43" s="59"/>
      <c r="E43" s="59"/>
      <c r="F43" s="59"/>
      <c r="G43" s="60"/>
      <c r="H43" s="60"/>
      <c r="I43" s="60"/>
      <c r="J43" s="60"/>
      <c r="K43" s="57"/>
    </row>
    <row r="44" spans="1:19" s="1" customFormat="1" x14ac:dyDescent="0.25">
      <c r="A44" s="50"/>
      <c r="B44" s="29" t="s">
        <v>27</v>
      </c>
      <c r="C44" s="72">
        <f>J42</f>
        <v>447610.1230384605</v>
      </c>
      <c r="D44" s="72"/>
      <c r="E44" s="39">
        <v>100</v>
      </c>
      <c r="F44" s="51"/>
      <c r="G44" s="52"/>
      <c r="H44" s="51"/>
      <c r="I44" s="53"/>
      <c r="J44" s="54"/>
      <c r="K44" s="55"/>
    </row>
    <row r="45" spans="1:19" x14ac:dyDescent="0.25">
      <c r="A45" s="56"/>
      <c r="B45" s="29" t="s">
        <v>32</v>
      </c>
      <c r="C45" s="75">
        <v>400000</v>
      </c>
      <c r="D45" s="75"/>
      <c r="E45" s="39"/>
      <c r="F45" s="49"/>
      <c r="G45" s="48"/>
      <c r="H45" s="48"/>
      <c r="I45" s="48"/>
      <c r="J45" s="48"/>
      <c r="K45" s="49"/>
    </row>
    <row r="46" spans="1:19" x14ac:dyDescent="0.25">
      <c r="A46" s="56"/>
      <c r="B46" s="29" t="s">
        <v>33</v>
      </c>
      <c r="C46" s="75">
        <f>C45-C48-C49</f>
        <v>380000</v>
      </c>
      <c r="D46" s="75"/>
      <c r="E46" s="39">
        <f>C46/C44*100</f>
        <v>84.895309654859801</v>
      </c>
      <c r="F46" s="49"/>
      <c r="G46" s="48"/>
      <c r="H46" s="48"/>
      <c r="I46" s="48"/>
      <c r="J46" s="48"/>
      <c r="K46" s="49"/>
    </row>
    <row r="47" spans="1:19" x14ac:dyDescent="0.25">
      <c r="A47" s="56"/>
      <c r="B47" s="29" t="s">
        <v>34</v>
      </c>
      <c r="C47" s="72">
        <f>C44-C46</f>
        <v>67610.123038460501</v>
      </c>
      <c r="D47" s="72"/>
      <c r="E47" s="39">
        <f>100-E46</f>
        <v>15.104690345140199</v>
      </c>
      <c r="F47" s="49"/>
      <c r="G47" s="48"/>
      <c r="H47" s="48"/>
      <c r="I47" s="48"/>
      <c r="J47" s="48"/>
      <c r="K47" s="49"/>
    </row>
    <row r="48" spans="1:19" x14ac:dyDescent="0.25">
      <c r="A48" s="56"/>
      <c r="B48" s="29" t="s">
        <v>35</v>
      </c>
      <c r="C48" s="72">
        <f>C45*0.03</f>
        <v>12000</v>
      </c>
      <c r="D48" s="72"/>
      <c r="E48" s="39">
        <v>3</v>
      </c>
      <c r="F48" s="49"/>
      <c r="G48" s="48"/>
      <c r="H48" s="48"/>
      <c r="I48" s="48"/>
      <c r="J48" s="48"/>
      <c r="K48" s="49"/>
    </row>
    <row r="49" spans="1:11" x14ac:dyDescent="0.25">
      <c r="A49" s="56"/>
      <c r="B49" s="29" t="s">
        <v>36</v>
      </c>
      <c r="C49" s="72">
        <f>C45*0.02</f>
        <v>8000</v>
      </c>
      <c r="D49" s="72"/>
      <c r="E49" s="39">
        <v>2</v>
      </c>
      <c r="F49" s="49"/>
      <c r="G49" s="48"/>
      <c r="H49" s="48"/>
      <c r="I49" s="48"/>
      <c r="J49" s="48"/>
      <c r="K49" s="49"/>
    </row>
    <row r="50" spans="1:11" s="35" customFormat="1" x14ac:dyDescent="0.25">
      <c r="A50" s="57"/>
      <c r="B50" s="57"/>
      <c r="C50" s="57"/>
      <c r="D50" s="57"/>
      <c r="E50" s="57"/>
      <c r="F50" s="57"/>
      <c r="G50" s="57"/>
      <c r="H50" s="57"/>
      <c r="I50" s="57"/>
      <c r="J50" s="57"/>
      <c r="K50" s="57"/>
    </row>
    <row r="51" spans="1:11" s="35" customFormat="1" x14ac:dyDescent="0.25"/>
    <row r="52" spans="1:11" s="35" customFormat="1" x14ac:dyDescent="0.25"/>
    <row r="53" spans="1:11" s="35" customFormat="1" x14ac:dyDescent="0.25"/>
    <row r="54" spans="1:11" s="35" customFormat="1" x14ac:dyDescent="0.25"/>
    <row r="55" spans="1:11" s="35" customFormat="1" x14ac:dyDescent="0.25"/>
    <row r="56" spans="1:11" s="35" customFormat="1" x14ac:dyDescent="0.25"/>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sheetData>
  <mergeCells count="16">
    <mergeCell ref="A6:F6"/>
    <mergeCell ref="H6:K6"/>
    <mergeCell ref="A1:K1"/>
    <mergeCell ref="A2:K2"/>
    <mergeCell ref="A3:K3"/>
    <mergeCell ref="A4:K4"/>
    <mergeCell ref="A5:K5"/>
    <mergeCell ref="C48:D48"/>
    <mergeCell ref="C49:D49"/>
    <mergeCell ref="A7:F7"/>
    <mergeCell ref="H7:K7"/>
    <mergeCell ref="C44:D44"/>
    <mergeCell ref="C45:D45"/>
    <mergeCell ref="C46:D46"/>
    <mergeCell ref="C47:D47"/>
    <mergeCell ref="K16:K17"/>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view="pageBreakPreview" zoomScale="60"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92" t="s">
        <v>0</v>
      </c>
      <c r="B1" s="92"/>
      <c r="C1" s="92"/>
      <c r="D1" s="92"/>
      <c r="E1" s="92"/>
      <c r="F1" s="92"/>
      <c r="G1" s="92"/>
      <c r="H1" s="92"/>
      <c r="I1" s="92"/>
      <c r="J1" s="92"/>
      <c r="K1" s="92"/>
    </row>
    <row r="2" spans="1:13" ht="25.5" x14ac:dyDescent="0.35">
      <c r="A2" s="93" t="s">
        <v>1</v>
      </c>
      <c r="B2" s="93"/>
      <c r="C2" s="93"/>
      <c r="D2" s="93"/>
      <c r="E2" s="93"/>
      <c r="F2" s="93"/>
      <c r="G2" s="93"/>
      <c r="H2" s="93"/>
      <c r="I2" s="93"/>
      <c r="J2" s="93"/>
      <c r="K2" s="93"/>
    </row>
    <row r="3" spans="1:13" s="1" customFormat="1" x14ac:dyDescent="0.25">
      <c r="A3" s="82" t="s">
        <v>2</v>
      </c>
      <c r="B3" s="82"/>
      <c r="C3" s="82"/>
      <c r="D3" s="82"/>
      <c r="E3" s="82"/>
      <c r="F3" s="82"/>
      <c r="G3" s="82"/>
      <c r="H3" s="82"/>
      <c r="I3" s="82"/>
      <c r="J3" s="82"/>
      <c r="K3" s="82"/>
    </row>
    <row r="4" spans="1:13" s="1" customFormat="1" x14ac:dyDescent="0.25">
      <c r="A4" s="82" t="s">
        <v>3</v>
      </c>
      <c r="B4" s="82"/>
      <c r="C4" s="82"/>
      <c r="D4" s="82"/>
      <c r="E4" s="82"/>
      <c r="F4" s="82"/>
      <c r="G4" s="82"/>
      <c r="H4" s="82"/>
      <c r="I4" s="82"/>
      <c r="J4" s="82"/>
      <c r="K4" s="82"/>
    </row>
    <row r="5" spans="1:13" ht="18.75" x14ac:dyDescent="0.3">
      <c r="A5" s="94" t="s">
        <v>18</v>
      </c>
      <c r="B5" s="94"/>
      <c r="C5" s="94"/>
      <c r="D5" s="94"/>
      <c r="E5" s="94"/>
      <c r="F5" s="94"/>
      <c r="G5" s="94"/>
      <c r="H5" s="94"/>
      <c r="I5" s="94"/>
      <c r="J5" s="94"/>
      <c r="K5" s="94"/>
    </row>
    <row r="6" spans="1:13" ht="18.75" x14ac:dyDescent="0.3">
      <c r="A6" s="8" t="s">
        <v>19</v>
      </c>
      <c r="B6" s="8"/>
      <c r="C6" s="90">
        <f>F32</f>
        <v>447610.1230384605</v>
      </c>
      <c r="D6" s="91"/>
      <c r="E6" s="9"/>
      <c r="F6" s="8"/>
      <c r="G6" s="8"/>
      <c r="H6" s="8" t="s">
        <v>20</v>
      </c>
      <c r="I6" s="8"/>
      <c r="J6" s="90">
        <f>I32</f>
        <v>448359.42496248247</v>
      </c>
      <c r="K6" s="91"/>
    </row>
    <row r="7" spans="1:13" x14ac:dyDescent="0.25">
      <c r="A7" s="26" t="s">
        <v>29</v>
      </c>
      <c r="B7" s="10"/>
      <c r="C7" s="10"/>
      <c r="D7" s="10"/>
      <c r="F7" s="86"/>
      <c r="G7" s="86"/>
      <c r="I7" s="87" t="s">
        <v>37</v>
      </c>
      <c r="J7" s="87"/>
      <c r="K7" s="87"/>
    </row>
    <row r="8" spans="1:13" ht="15.75" x14ac:dyDescent="0.25">
      <c r="A8" s="78" t="str">
        <f>'Estimate (3)'!A6:F6</f>
        <v xml:space="preserve">Project:- सानागाउँ ढल व्यबस्थापन </v>
      </c>
      <c r="B8" s="78"/>
      <c r="C8" s="78"/>
      <c r="D8" s="78"/>
      <c r="E8" s="78"/>
      <c r="F8" s="78"/>
      <c r="I8" s="88" t="s">
        <v>75</v>
      </c>
      <c r="J8" s="88"/>
      <c r="K8" s="88"/>
    </row>
    <row r="9" spans="1:13" ht="15.75" x14ac:dyDescent="0.25">
      <c r="A9" s="78" t="str">
        <f>'Estimate (3)'!A7:F7</f>
        <v>Location:- Shankharapur Municipality 9</v>
      </c>
      <c r="B9" s="78"/>
      <c r="C9" s="78"/>
      <c r="D9" s="78"/>
      <c r="E9" s="78"/>
      <c r="F9" s="78"/>
      <c r="I9" s="88" t="s">
        <v>76</v>
      </c>
      <c r="J9" s="88"/>
      <c r="K9" s="88"/>
    </row>
    <row r="11" spans="1:13" x14ac:dyDescent="0.25">
      <c r="A11" s="84" t="s">
        <v>21</v>
      </c>
      <c r="B11" s="84" t="s">
        <v>22</v>
      </c>
      <c r="C11" s="84" t="s">
        <v>12</v>
      </c>
      <c r="D11" s="89" t="s">
        <v>23</v>
      </c>
      <c r="E11" s="89"/>
      <c r="F11" s="89"/>
      <c r="G11" s="89" t="s">
        <v>24</v>
      </c>
      <c r="H11" s="89"/>
      <c r="I11" s="89"/>
      <c r="J11" s="84" t="s">
        <v>25</v>
      </c>
      <c r="K11" s="85" t="s">
        <v>15</v>
      </c>
    </row>
    <row r="12" spans="1:13" x14ac:dyDescent="0.25">
      <c r="A12" s="84"/>
      <c r="B12" s="84"/>
      <c r="C12" s="84"/>
      <c r="D12" s="11" t="s">
        <v>26</v>
      </c>
      <c r="E12" s="11" t="s">
        <v>13</v>
      </c>
      <c r="F12" s="11" t="s">
        <v>14</v>
      </c>
      <c r="G12" s="11" t="s">
        <v>26</v>
      </c>
      <c r="H12" s="11" t="s">
        <v>13</v>
      </c>
      <c r="I12" s="11" t="s">
        <v>14</v>
      </c>
      <c r="J12" s="84"/>
      <c r="K12" s="85"/>
    </row>
    <row r="13" spans="1:13" s="1" customFormat="1" ht="144" customHeight="1" x14ac:dyDescent="0.25">
      <c r="A13" s="27">
        <f>'Estimate (3)'!A9</f>
        <v>1</v>
      </c>
      <c r="B13" s="32" t="str">
        <f>'Estimate (3)'!B9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'Estimate (3)'!H12</f>
        <v>m3</v>
      </c>
      <c r="D13" s="12">
        <f>'Estimate (3)'!G12</f>
        <v>62.078125</v>
      </c>
      <c r="E13" s="12">
        <f>'Estimate (3)'!I12</f>
        <v>64.63</v>
      </c>
      <c r="F13" s="12">
        <f>D13*E13</f>
        <v>4012.1092187499999</v>
      </c>
      <c r="G13" s="12">
        <f>Valuated!G12</f>
        <v>70.3125</v>
      </c>
      <c r="H13" s="12">
        <f>Valuated!I12</f>
        <v>64.63</v>
      </c>
      <c r="I13" s="12">
        <f>G13*H13</f>
        <v>4544.296875</v>
      </c>
      <c r="J13" s="28">
        <f>I13-F13</f>
        <v>532.18765625000015</v>
      </c>
      <c r="K13" s="14"/>
      <c r="M13" s="1">
        <f>1.25*F13</f>
        <v>5015.1365234374998</v>
      </c>
    </row>
    <row r="14" spans="1:13" s="1" customFormat="1" ht="15.75" x14ac:dyDescent="0.25">
      <c r="A14" s="27"/>
      <c r="B14" s="65" t="str">
        <f>'Estimate (3)'!B13</f>
        <v>VAT calculation</v>
      </c>
      <c r="C14" s="12"/>
      <c r="D14" s="12"/>
      <c r="E14" s="12"/>
      <c r="F14" s="12">
        <f>'Estimate (3)'!J13</f>
        <v>432.29136979166668</v>
      </c>
      <c r="G14" s="12"/>
      <c r="H14" s="12"/>
      <c r="I14" s="12">
        <f>Valuated!J13</f>
        <v>489.6328125</v>
      </c>
      <c r="J14" s="28">
        <f>I14-F14</f>
        <v>57.341442708333318</v>
      </c>
      <c r="K14" s="14"/>
      <c r="M14" s="1">
        <f t="shared" ref="M14:M30" si="0">1.25*F14</f>
        <v>540.36421223958337</v>
      </c>
    </row>
    <row r="15" spans="1:13" s="1" customFormat="1" ht="15.75" x14ac:dyDescent="0.25">
      <c r="A15" s="27"/>
      <c r="B15" s="32"/>
      <c r="C15" s="12"/>
      <c r="D15" s="12"/>
      <c r="E15" s="12"/>
      <c r="F15" s="12"/>
      <c r="G15" s="12"/>
      <c r="H15" s="12"/>
      <c r="I15" s="12"/>
      <c r="J15" s="28"/>
      <c r="K15" s="14"/>
    </row>
    <row r="16" spans="1:13" s="1" customFormat="1" ht="47.25" x14ac:dyDescent="0.25">
      <c r="A16" s="27">
        <f>'Estimate (3)'!A15</f>
        <v>2</v>
      </c>
      <c r="B16" s="32" t="str">
        <f>'Estimate (3)'!B15</f>
        <v>Filling empty bags with local sand, sewing them closes and pacing them including haulage upto 100 m distance</v>
      </c>
      <c r="C16" s="12" t="str">
        <f>'Estimate (3)'!H17</f>
        <v>sack</v>
      </c>
      <c r="D16" s="12">
        <f>'Estimate (3)'!G17</f>
        <v>158</v>
      </c>
      <c r="E16" s="12">
        <f>'Estimate (3)'!I17</f>
        <v>92</v>
      </c>
      <c r="F16" s="12">
        <f>D16*E16</f>
        <v>14536</v>
      </c>
      <c r="G16" s="12">
        <f>Valuated!G17</f>
        <v>158</v>
      </c>
      <c r="H16" s="12">
        <f>Valuated!I17</f>
        <v>92</v>
      </c>
      <c r="I16" s="12">
        <f>G16*H16</f>
        <v>14536</v>
      </c>
      <c r="J16" s="28">
        <f>I16-F16</f>
        <v>0</v>
      </c>
      <c r="K16" s="14"/>
      <c r="M16" s="1">
        <f t="shared" si="0"/>
        <v>18170</v>
      </c>
    </row>
    <row r="17" spans="1:13" s="1" customFormat="1" ht="15.75" x14ac:dyDescent="0.25">
      <c r="A17" s="27"/>
      <c r="B17" s="32"/>
      <c r="C17" s="12"/>
      <c r="D17" s="12"/>
      <c r="E17" s="12"/>
      <c r="F17" s="12"/>
      <c r="G17" s="12"/>
      <c r="H17" s="12"/>
      <c r="I17" s="12"/>
      <c r="J17" s="28"/>
      <c r="K17" s="14"/>
    </row>
    <row r="18" spans="1:13" s="1" customFormat="1" ht="78.75" x14ac:dyDescent="0.25">
      <c r="A18" s="27">
        <f>'Estimate (3)'!A19</f>
        <v>3</v>
      </c>
      <c r="B18" s="32" t="str">
        <f>'Estimate (3)'!B19</f>
        <v>Providing and laying of hand pack Stone soling with 150 to 200 mm thick stones and packing with smaller stone on prepared surface as per Drawing and Technical Specifications.</v>
      </c>
      <c r="C18" s="12" t="str">
        <f>'Estimate (3)'!H21</f>
        <v>m3</v>
      </c>
      <c r="D18" s="12">
        <f>'Estimate (3)'!G21</f>
        <v>2.6812499999999999</v>
      </c>
      <c r="E18" s="12">
        <f>'Estimate (3)'!I21</f>
        <v>4561.53</v>
      </c>
      <c r="F18" s="12">
        <f>D18*E18</f>
        <v>12230.602312499999</v>
      </c>
      <c r="G18" s="12">
        <f>Valuated!G21</f>
        <v>2.8596464492532765</v>
      </c>
      <c r="H18" s="12">
        <f>Valuated!I21</f>
        <v>4561.53</v>
      </c>
      <c r="I18" s="12">
        <f>G18*H18</f>
        <v>13044.363067662298</v>
      </c>
      <c r="J18" s="28">
        <f>I18-F18</f>
        <v>813.76075516229866</v>
      </c>
      <c r="K18" s="14"/>
      <c r="M18" s="1">
        <f t="shared" si="0"/>
        <v>15288.252890624999</v>
      </c>
    </row>
    <row r="19" spans="1:13" s="1" customFormat="1" ht="15.75" x14ac:dyDescent="0.25">
      <c r="A19" s="27"/>
      <c r="B19" s="65" t="str">
        <f>'Estimate (3)'!B22</f>
        <v>VAT calculation</v>
      </c>
      <c r="C19" s="12"/>
      <c r="D19" s="12"/>
      <c r="E19" s="12"/>
      <c r="F19" s="12">
        <f>'Estimate (3)'!J22</f>
        <v>1077.2393775</v>
      </c>
      <c r="G19" s="12"/>
      <c r="H19" s="12"/>
      <c r="I19" s="12">
        <f>Valuated!J22</f>
        <v>1148.9132907650107</v>
      </c>
      <c r="J19" s="28">
        <f>I19-F19</f>
        <v>71.673913265010697</v>
      </c>
      <c r="K19" s="14"/>
      <c r="M19" s="1">
        <f t="shared" si="0"/>
        <v>1346.5492218750001</v>
      </c>
    </row>
    <row r="20" spans="1:13" s="1" customFormat="1" ht="15.75" x14ac:dyDescent="0.25">
      <c r="A20" s="27"/>
      <c r="B20" s="32"/>
      <c r="C20" s="12"/>
      <c r="D20" s="12"/>
      <c r="E20" s="12"/>
      <c r="F20" s="12"/>
      <c r="G20" s="12"/>
      <c r="H20" s="12"/>
      <c r="I20" s="12"/>
      <c r="J20" s="28"/>
      <c r="K20" s="14"/>
    </row>
    <row r="21" spans="1:13" s="1" customFormat="1" ht="63" x14ac:dyDescent="0.25">
      <c r="A21" s="27">
        <f>'Estimate (3)'!A24</f>
        <v>4</v>
      </c>
      <c r="B21" s="32" t="str">
        <f>'Estimate (3)'!B24</f>
        <v>Providing and laying of Plain/Reinforced Cement Concrete in Foundation complete as per Drawing and Technical Specifications, PCC Grade M 15</v>
      </c>
      <c r="C21" s="12" t="str">
        <f>'Estimate (3)'!H27</f>
        <v>m3</v>
      </c>
      <c r="D21" s="12">
        <f>'Estimate (3)'!G27</f>
        <v>1.6656249999999999</v>
      </c>
      <c r="E21" s="12">
        <f>'Estimate (3)'!I27</f>
        <v>10634.5</v>
      </c>
      <c r="F21" s="12">
        <f>D21*E21</f>
        <v>17713.089062499999</v>
      </c>
      <c r="G21" s="12">
        <f>Valuated!G27</f>
        <v>1.7673232246266384</v>
      </c>
      <c r="H21" s="12">
        <f>Valuated!I27</f>
        <v>10634.5</v>
      </c>
      <c r="I21" s="12">
        <f>G21*H21</f>
        <v>18794.598832291987</v>
      </c>
      <c r="J21" s="28">
        <f>I21-F21</f>
        <v>1081.5097697919882</v>
      </c>
      <c r="K21" s="14"/>
      <c r="M21" s="1">
        <f t="shared" si="0"/>
        <v>22141.361328125</v>
      </c>
    </row>
    <row r="22" spans="1:13" s="1" customFormat="1" ht="15.75" x14ac:dyDescent="0.25">
      <c r="A22" s="27"/>
      <c r="B22" s="65" t="str">
        <f>'Estimate (3)'!B28</f>
        <v>VAT calculation</v>
      </c>
      <c r="C22" s="12"/>
      <c r="D22" s="12"/>
      <c r="E22" s="12"/>
      <c r="F22" s="12">
        <f>'Estimate (3)'!J28</f>
        <v>1747.3003654166669</v>
      </c>
      <c r="G22" s="12"/>
      <c r="H22" s="12"/>
      <c r="I22" s="12">
        <f>Valuated!J28</f>
        <v>1853.9854506263337</v>
      </c>
      <c r="J22" s="28">
        <f>I22-F22</f>
        <v>106.68508520966679</v>
      </c>
      <c r="K22" s="14"/>
      <c r="M22" s="1">
        <f t="shared" si="0"/>
        <v>2184.1254567708338</v>
      </c>
    </row>
    <row r="23" spans="1:13" s="1" customFormat="1" ht="15.75" x14ac:dyDescent="0.25">
      <c r="A23" s="27"/>
      <c r="B23" s="32"/>
      <c r="C23" s="12"/>
      <c r="D23" s="12"/>
      <c r="E23" s="12"/>
      <c r="F23" s="12"/>
      <c r="G23" s="12"/>
      <c r="H23" s="12"/>
      <c r="I23" s="12"/>
      <c r="J23" s="28"/>
      <c r="K23" s="14"/>
    </row>
    <row r="24" spans="1:13" s="1" customFormat="1" ht="78.75" x14ac:dyDescent="0.25">
      <c r="A24" s="27">
        <f>'Estimate (3)'!A30</f>
        <v>5</v>
      </c>
      <c r="B24" s="32" t="str">
        <f>'Estimate (3)'!B30</f>
        <v>Random Rubble Masonry, Providing and laying of Stone Masonry Work in Cement Mortar 1:6 in Foundation complete as per Drawing and Technical Specifications.</v>
      </c>
      <c r="C24" s="12" t="str">
        <f>'Estimate (3)'!H32</f>
        <v>m3</v>
      </c>
      <c r="D24" s="12">
        <f>'Estimate (3)'!G32</f>
        <v>32.451667462500005</v>
      </c>
      <c r="E24" s="12">
        <f>'Estimate (3)'!I32</f>
        <v>9709.43</v>
      </c>
      <c r="F24" s="12">
        <f>D24*E24</f>
        <v>315087.19361042144</v>
      </c>
      <c r="G24" s="12">
        <f>Valuated!G32</f>
        <v>32.267887077110636</v>
      </c>
      <c r="H24" s="12">
        <f>Valuated!I32</f>
        <v>9709.43</v>
      </c>
      <c r="I24" s="12">
        <f>G24*H24</f>
        <v>313302.79082311032</v>
      </c>
      <c r="J24" s="28">
        <f>I24-F24</f>
        <v>-1784.402787311119</v>
      </c>
      <c r="K24" s="14"/>
      <c r="M24" s="1">
        <f t="shared" si="0"/>
        <v>393858.99201302679</v>
      </c>
    </row>
    <row r="25" spans="1:13" s="1" customFormat="1" ht="15.75" x14ac:dyDescent="0.25">
      <c r="A25" s="27"/>
      <c r="B25" s="65" t="str">
        <f>'Estimate (3)'!B33</f>
        <v>VAT calculation</v>
      </c>
      <c r="C25" s="12"/>
      <c r="D25" s="12"/>
      <c r="E25" s="12"/>
      <c r="F25" s="12">
        <f>'Estimate (3)'!J33</f>
        <v>22858.779321580707</v>
      </c>
      <c r="G25" s="12"/>
      <c r="H25" s="12"/>
      <c r="I25" s="12">
        <f>Valuated!J33</f>
        <v>22729.325410526515</v>
      </c>
      <c r="J25" s="28">
        <f>I25-F25</f>
        <v>-129.45391105419185</v>
      </c>
      <c r="K25" s="14"/>
      <c r="M25" s="1">
        <f t="shared" si="0"/>
        <v>28573.474151975883</v>
      </c>
    </row>
    <row r="26" spans="1:13" s="1" customFormat="1" ht="15.75" x14ac:dyDescent="0.25">
      <c r="A26" s="27"/>
      <c r="B26" s="32"/>
      <c r="C26" s="12"/>
      <c r="D26" s="12"/>
      <c r="E26" s="12"/>
      <c r="F26" s="12"/>
      <c r="G26" s="12"/>
      <c r="H26" s="12"/>
      <c r="I26" s="12"/>
      <c r="J26" s="28"/>
      <c r="K26" s="14"/>
    </row>
    <row r="27" spans="1:13" s="1" customFormat="1" ht="94.5" x14ac:dyDescent="0.25">
      <c r="A27" s="27">
        <f>'Estimate (3)'!A35</f>
        <v>6</v>
      </c>
      <c r="B27" s="32" t="str">
        <f>'Estimate (3)'!B35</f>
        <v>Providing and   Laying Reinforced cement concrete NP3 Flush jointed pipe for culverts including fixing with cement mortar 1:2 as per Drawing and   Technical Specifications., 450 mm  internal dia.</v>
      </c>
      <c r="C27" s="12" t="str">
        <f>'Estimate (3)'!H37</f>
        <v>rm</v>
      </c>
      <c r="D27" s="12">
        <f>'Estimate (3)'!G37</f>
        <v>10</v>
      </c>
      <c r="E27" s="12">
        <f>'Estimate (3)'!I37</f>
        <v>5144.96</v>
      </c>
      <c r="F27" s="12">
        <f>D27*E27</f>
        <v>51449.599999999999</v>
      </c>
      <c r="G27" s="12">
        <f>Valuated!G37</f>
        <v>10</v>
      </c>
      <c r="H27" s="12">
        <f>Valuated!I37</f>
        <v>5144.96</v>
      </c>
      <c r="I27" s="12">
        <f>G27*H27</f>
        <v>51449.599999999999</v>
      </c>
      <c r="J27" s="28">
        <f>I27-F27</f>
        <v>0</v>
      </c>
      <c r="K27" s="14"/>
    </row>
    <row r="28" spans="1:13" s="1" customFormat="1" ht="15.75" x14ac:dyDescent="0.25">
      <c r="A28" s="27"/>
      <c r="B28" s="65" t="str">
        <f>'Estimate (3)'!B38</f>
        <v>VAT calculation</v>
      </c>
      <c r="C28" s="12"/>
      <c r="D28" s="12"/>
      <c r="E28" s="12"/>
      <c r="F28" s="12">
        <f>'Estimate (3)'!J38</f>
        <v>5965.9183999999996</v>
      </c>
      <c r="G28" s="12"/>
      <c r="H28" s="12"/>
      <c r="I28" s="12">
        <f>Valuated!J38</f>
        <v>5965.9183999999996</v>
      </c>
      <c r="J28" s="28">
        <f>I28-F28</f>
        <v>0</v>
      </c>
      <c r="K28" s="14"/>
    </row>
    <row r="29" spans="1:13" s="1" customFormat="1" ht="15.75" x14ac:dyDescent="0.25">
      <c r="A29" s="27"/>
      <c r="B29" s="32"/>
      <c r="C29" s="12"/>
      <c r="D29" s="12"/>
      <c r="E29" s="12"/>
      <c r="F29" s="12"/>
      <c r="G29" s="12"/>
      <c r="H29" s="12"/>
      <c r="I29" s="12"/>
      <c r="J29" s="28"/>
      <c r="K29" s="14"/>
    </row>
    <row r="30" spans="1:13" s="1" customFormat="1" x14ac:dyDescent="0.25">
      <c r="A30" s="27">
        <f>'Estimate (3)'!A40</f>
        <v>7</v>
      </c>
      <c r="B30" s="31" t="str">
        <f>'Estimate (3)'!B40</f>
        <v>Information board (सुचना पाटि)</v>
      </c>
      <c r="C30" s="12" t="str">
        <f>'Estimate (3)'!H40</f>
        <v>no.</v>
      </c>
      <c r="D30" s="12">
        <f>'Estimate (3)'!G40</f>
        <v>1</v>
      </c>
      <c r="E30" s="12">
        <f>'Estimate (3)'!I40</f>
        <v>500</v>
      </c>
      <c r="F30" s="12">
        <f>D30*E30</f>
        <v>500</v>
      </c>
      <c r="G30" s="12">
        <f>Valuated!G40</f>
        <v>1</v>
      </c>
      <c r="H30" s="12">
        <f>Valuated!I40</f>
        <v>500</v>
      </c>
      <c r="I30" s="12">
        <f>G30*H30</f>
        <v>500</v>
      </c>
      <c r="J30" s="28">
        <f>I30-F30</f>
        <v>0</v>
      </c>
      <c r="K30" s="14"/>
      <c r="M30" s="1">
        <f t="shared" si="0"/>
        <v>625</v>
      </c>
    </row>
    <row r="31" spans="1:13" s="1" customFormat="1" x14ac:dyDescent="0.25">
      <c r="A31" s="29"/>
      <c r="B31" s="29"/>
      <c r="C31" s="12"/>
      <c r="D31" s="12"/>
      <c r="E31" s="12"/>
      <c r="F31" s="12"/>
      <c r="G31" s="12"/>
      <c r="H31" s="12"/>
      <c r="I31" s="12"/>
      <c r="J31" s="28"/>
      <c r="K31" s="14"/>
    </row>
    <row r="32" spans="1:13" x14ac:dyDescent="0.25">
      <c r="A32" s="5"/>
      <c r="B32" s="6" t="s">
        <v>16</v>
      </c>
      <c r="C32" s="6"/>
      <c r="D32" s="7"/>
      <c r="E32" s="7"/>
      <c r="F32" s="7">
        <f>SUM(F13:F30)</f>
        <v>447610.1230384605</v>
      </c>
      <c r="G32" s="7"/>
      <c r="H32" s="7"/>
      <c r="I32" s="7">
        <f>SUM(I13:I30)</f>
        <v>448359.42496248247</v>
      </c>
      <c r="J32" s="13">
        <f>I32-F32</f>
        <v>749.30192402197281</v>
      </c>
      <c r="K32"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rowBreaks count="1" manualBreakCount="1">
    <brk id="20"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6"/>
  <sheetViews>
    <sheetView topLeftCell="A28" zoomScaleNormal="100" workbookViewId="0">
      <selection activeCell="C20" sqref="C20"/>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 min="14" max="14" width="10.42578125" bestFit="1" customWidth="1"/>
    <col min="15" max="15" width="9.5703125" bestFit="1" customWidth="1"/>
    <col min="16" max="16" width="8.5703125" bestFit="1" customWidth="1"/>
    <col min="18" max="18" width="9.5703125" bestFit="1" customWidth="1"/>
  </cols>
  <sheetData>
    <row r="1" spans="1:11" s="1" customFormat="1" x14ac:dyDescent="0.25">
      <c r="A1" s="80" t="s">
        <v>0</v>
      </c>
      <c r="B1" s="80"/>
      <c r="C1" s="80"/>
      <c r="D1" s="80"/>
      <c r="E1" s="80"/>
      <c r="F1" s="80"/>
      <c r="G1" s="80"/>
      <c r="H1" s="80"/>
      <c r="I1" s="80"/>
      <c r="J1" s="80"/>
      <c r="K1" s="80"/>
    </row>
    <row r="2" spans="1:11" s="1" customFormat="1" ht="22.5" x14ac:dyDescent="0.25">
      <c r="A2" s="81" t="s">
        <v>1</v>
      </c>
      <c r="B2" s="81"/>
      <c r="C2" s="81"/>
      <c r="D2" s="81"/>
      <c r="E2" s="81"/>
      <c r="F2" s="81"/>
      <c r="G2" s="81"/>
      <c r="H2" s="81"/>
      <c r="I2" s="81"/>
      <c r="J2" s="81"/>
      <c r="K2" s="81"/>
    </row>
    <row r="3" spans="1:11" s="1" customFormat="1" x14ac:dyDescent="0.25">
      <c r="A3" s="82" t="s">
        <v>2</v>
      </c>
      <c r="B3" s="82"/>
      <c r="C3" s="82"/>
      <c r="D3" s="82"/>
      <c r="E3" s="82"/>
      <c r="F3" s="82"/>
      <c r="G3" s="82"/>
      <c r="H3" s="82"/>
      <c r="I3" s="82"/>
      <c r="J3" s="82"/>
      <c r="K3" s="82"/>
    </row>
    <row r="4" spans="1:11" s="1" customFormat="1" x14ac:dyDescent="0.25">
      <c r="A4" s="82" t="s">
        <v>3</v>
      </c>
      <c r="B4" s="82"/>
      <c r="C4" s="82"/>
      <c r="D4" s="82"/>
      <c r="E4" s="82"/>
      <c r="F4" s="82"/>
      <c r="G4" s="82"/>
      <c r="H4" s="82"/>
      <c r="I4" s="82"/>
      <c r="J4" s="82"/>
      <c r="K4" s="82"/>
    </row>
    <row r="5" spans="1:11" ht="18.75" x14ac:dyDescent="0.3">
      <c r="A5" s="83" t="s">
        <v>53</v>
      </c>
      <c r="B5" s="83"/>
      <c r="C5" s="83"/>
      <c r="D5" s="83"/>
      <c r="E5" s="83"/>
      <c r="F5" s="83"/>
      <c r="G5" s="83"/>
      <c r="H5" s="83"/>
      <c r="I5" s="83"/>
      <c r="J5" s="83"/>
      <c r="K5" s="83"/>
    </row>
    <row r="6" spans="1:11" ht="15.75" x14ac:dyDescent="0.25">
      <c r="A6" s="78" t="s">
        <v>51</v>
      </c>
      <c r="B6" s="78"/>
      <c r="C6" s="78"/>
      <c r="D6" s="78"/>
      <c r="E6" s="78"/>
      <c r="F6" s="78"/>
      <c r="G6" s="2"/>
      <c r="H6" s="79" t="s">
        <v>43</v>
      </c>
      <c r="I6" s="79"/>
      <c r="J6" s="79"/>
      <c r="K6" s="79"/>
    </row>
    <row r="7" spans="1:11" ht="15.75" x14ac:dyDescent="0.25">
      <c r="A7" s="73" t="s">
        <v>28</v>
      </c>
      <c r="B7" s="73"/>
      <c r="C7" s="73"/>
      <c r="D7" s="73"/>
      <c r="E7" s="73"/>
      <c r="F7" s="73"/>
      <c r="G7" s="3"/>
      <c r="H7" s="74" t="s">
        <v>52</v>
      </c>
      <c r="I7" s="74"/>
      <c r="J7" s="74"/>
      <c r="K7" s="74"/>
    </row>
    <row r="8" spans="1:11" ht="15" customHeight="1" x14ac:dyDescent="0.25">
      <c r="A8" s="4" t="s">
        <v>5</v>
      </c>
      <c r="B8" s="15" t="s">
        <v>6</v>
      </c>
      <c r="C8" s="4" t="s">
        <v>7</v>
      </c>
      <c r="D8" s="16" t="s">
        <v>8</v>
      </c>
      <c r="E8" s="16" t="s">
        <v>9</v>
      </c>
      <c r="F8" s="16" t="s">
        <v>10</v>
      </c>
      <c r="G8" s="16" t="s">
        <v>11</v>
      </c>
      <c r="H8" s="4" t="s">
        <v>12</v>
      </c>
      <c r="I8" s="16" t="s">
        <v>13</v>
      </c>
      <c r="J8" s="16" t="s">
        <v>14</v>
      </c>
      <c r="K8" s="17" t="s">
        <v>15</v>
      </c>
    </row>
    <row r="9" spans="1:11" ht="150" x14ac:dyDescent="0.25">
      <c r="A9" s="63">
        <v>1</v>
      </c>
      <c r="B9" s="30" t="s">
        <v>50</v>
      </c>
      <c r="C9" s="36"/>
      <c r="D9" s="36"/>
      <c r="E9" s="36"/>
      <c r="F9" s="36"/>
      <c r="G9" s="36"/>
      <c r="H9" s="36"/>
      <c r="I9" s="36"/>
      <c r="J9" s="36"/>
      <c r="K9" s="36"/>
    </row>
    <row r="10" spans="1:11" ht="15" customHeight="1" x14ac:dyDescent="0.25">
      <c r="A10" s="18"/>
      <c r="B10" s="37" t="s">
        <v>47</v>
      </c>
      <c r="C10" s="36">
        <v>0.5</v>
      </c>
      <c r="D10" s="38">
        <f>D31</f>
        <v>15</v>
      </c>
      <c r="E10" s="38">
        <v>1.25</v>
      </c>
      <c r="F10" s="38">
        <v>1.5</v>
      </c>
      <c r="G10" s="39">
        <f>PRODUCT(C10:F10)</f>
        <v>14.0625</v>
      </c>
      <c r="H10" s="40"/>
      <c r="I10" s="40"/>
      <c r="J10" s="40"/>
      <c r="K10" s="21"/>
    </row>
    <row r="11" spans="1:11" ht="15" customHeight="1" x14ac:dyDescent="0.25">
      <c r="A11" s="18"/>
      <c r="B11" s="37" t="s">
        <v>61</v>
      </c>
      <c r="C11" s="36">
        <v>1</v>
      </c>
      <c r="D11" s="38">
        <v>50</v>
      </c>
      <c r="E11" s="38">
        <v>1.5</v>
      </c>
      <c r="F11" s="38">
        <v>0.75</v>
      </c>
      <c r="G11" s="39">
        <f>PRODUCT(C11:F11)</f>
        <v>56.25</v>
      </c>
      <c r="H11" s="40"/>
      <c r="I11" s="40"/>
      <c r="J11" s="40"/>
      <c r="K11" s="21"/>
    </row>
    <row r="12" spans="1:11" ht="15" customHeight="1" x14ac:dyDescent="0.25">
      <c r="A12" s="18"/>
      <c r="B12" s="37" t="s">
        <v>40</v>
      </c>
      <c r="C12" s="19"/>
      <c r="D12" s="20"/>
      <c r="E12" s="21"/>
      <c r="F12" s="21"/>
      <c r="G12" s="23">
        <f>SUM(G10:G11)</f>
        <v>70.3125</v>
      </c>
      <c r="H12" s="22" t="s">
        <v>39</v>
      </c>
      <c r="I12" s="23">
        <v>64.63</v>
      </c>
      <c r="J12" s="41">
        <f>G12*I12</f>
        <v>4544.296875</v>
      </c>
      <c r="K12" s="21"/>
    </row>
    <row r="13" spans="1:11" ht="15" customHeight="1" x14ac:dyDescent="0.25">
      <c r="A13" s="18"/>
      <c r="B13" s="37" t="s">
        <v>38</v>
      </c>
      <c r="C13" s="19"/>
      <c r="D13" s="20"/>
      <c r="E13" s="21"/>
      <c r="F13" s="21"/>
      <c r="G13" s="23"/>
      <c r="H13" s="22"/>
      <c r="I13" s="23"/>
      <c r="J13" s="41">
        <f>0.13*G12*19284/360</f>
        <v>489.6328125</v>
      </c>
      <c r="K13" s="21"/>
    </row>
    <row r="14" spans="1:11" ht="15" customHeight="1" x14ac:dyDescent="0.25">
      <c r="A14" s="18"/>
      <c r="B14" s="37"/>
      <c r="C14" s="19"/>
      <c r="D14" s="20"/>
      <c r="E14" s="21"/>
      <c r="F14" s="21"/>
      <c r="G14" s="23"/>
      <c r="H14" s="22"/>
      <c r="I14" s="23"/>
      <c r="J14" s="41"/>
      <c r="K14" s="21"/>
    </row>
    <row r="15" spans="1:11" ht="60" x14ac:dyDescent="0.25">
      <c r="A15" s="18">
        <v>2</v>
      </c>
      <c r="B15" s="30" t="s">
        <v>57</v>
      </c>
      <c r="C15" s="19"/>
      <c r="D15" s="20"/>
      <c r="E15" s="21"/>
      <c r="F15" s="21"/>
      <c r="G15" s="23"/>
      <c r="H15" s="22"/>
      <c r="I15" s="23"/>
      <c r="J15" s="41"/>
      <c r="K15" s="21"/>
    </row>
    <row r="16" spans="1:11" x14ac:dyDescent="0.25">
      <c r="A16" s="18"/>
      <c r="B16" s="37" t="s">
        <v>58</v>
      </c>
      <c r="C16" s="19">
        <v>2</v>
      </c>
      <c r="D16" s="20">
        <v>30</v>
      </c>
      <c r="E16" s="21">
        <v>0.38</v>
      </c>
      <c r="F16" s="38">
        <f>ROUNDUP(D16/E16,0)</f>
        <v>79</v>
      </c>
      <c r="G16" s="39">
        <f>F16*C16</f>
        <v>158</v>
      </c>
      <c r="H16" s="22"/>
      <c r="I16" s="23"/>
      <c r="J16" s="41"/>
      <c r="K16" s="76" t="s">
        <v>59</v>
      </c>
    </row>
    <row r="17" spans="1:18" x14ac:dyDescent="0.25">
      <c r="A17" s="18"/>
      <c r="B17" s="37" t="s">
        <v>40</v>
      </c>
      <c r="C17" s="19"/>
      <c r="D17" s="20"/>
      <c r="E17" s="21"/>
      <c r="F17" s="21"/>
      <c r="G17" s="23">
        <f>SUM(G16:G16)</f>
        <v>158</v>
      </c>
      <c r="H17" s="22" t="s">
        <v>60</v>
      </c>
      <c r="I17" s="23">
        <v>92</v>
      </c>
      <c r="J17" s="41">
        <f>G17*I17</f>
        <v>14536</v>
      </c>
      <c r="K17" s="77"/>
    </row>
    <row r="18" spans="1:18" ht="15" customHeight="1" x14ac:dyDescent="0.25">
      <c r="A18" s="18"/>
      <c r="B18" s="37"/>
      <c r="C18" s="19"/>
      <c r="D18" s="20"/>
      <c r="E18" s="21"/>
      <c r="F18" s="21"/>
      <c r="G18" s="23"/>
      <c r="H18" s="22"/>
      <c r="I18" s="23"/>
      <c r="J18" s="41"/>
      <c r="K18" s="21"/>
    </row>
    <row r="19" spans="1:18" ht="90" x14ac:dyDescent="0.25">
      <c r="A19" s="18">
        <v>3</v>
      </c>
      <c r="B19" s="30" t="s">
        <v>42</v>
      </c>
      <c r="C19" s="19"/>
      <c r="D19" s="20"/>
      <c r="E19" s="21"/>
      <c r="F19" s="21"/>
      <c r="G19" s="23"/>
      <c r="H19" s="22"/>
      <c r="I19" s="23"/>
      <c r="J19" s="41"/>
      <c r="K19" s="21"/>
      <c r="N19" s="68" t="s">
        <v>22</v>
      </c>
      <c r="O19" s="68" t="s">
        <v>14</v>
      </c>
      <c r="P19" s="68" t="s">
        <v>63</v>
      </c>
      <c r="Q19" s="68"/>
      <c r="R19" s="68" t="s">
        <v>16</v>
      </c>
    </row>
    <row r="20" spans="1:18" ht="15" customHeight="1" x14ac:dyDescent="0.25">
      <c r="A20" s="18"/>
      <c r="B20" s="37" t="s">
        <v>47</v>
      </c>
      <c r="C20" s="36">
        <v>1</v>
      </c>
      <c r="D20" s="38">
        <f>D25</f>
        <v>15</v>
      </c>
      <c r="E20" s="38">
        <f>E25</f>
        <v>1.2709539774459007</v>
      </c>
      <c r="F20" s="38">
        <v>0.15</v>
      </c>
      <c r="G20" s="39">
        <f>PRODUCT(C20:F20)</f>
        <v>2.8596464492532765</v>
      </c>
      <c r="H20" s="40"/>
      <c r="I20" s="40"/>
      <c r="J20" s="40"/>
      <c r="K20" s="21"/>
      <c r="N20" s="68" t="s">
        <v>70</v>
      </c>
      <c r="O20" s="69">
        <f>19284/360*G12</f>
        <v>3766.4062500000005</v>
      </c>
      <c r="P20" s="69">
        <f>O20*0.13</f>
        <v>489.63281250000006</v>
      </c>
      <c r="Q20" s="69"/>
      <c r="R20" s="69">
        <f t="shared" ref="R20" si="0">SUM(O20:P20)</f>
        <v>4256.0390625000009</v>
      </c>
    </row>
    <row r="21" spans="1:18" ht="15" customHeight="1" x14ac:dyDescent="0.25">
      <c r="A21" s="40"/>
      <c r="B21" s="37" t="s">
        <v>40</v>
      </c>
      <c r="C21" s="42"/>
      <c r="D21" s="43"/>
      <c r="E21" s="43"/>
      <c r="F21" s="43"/>
      <c r="G21" s="33">
        <f>SUM(G20:G20)</f>
        <v>2.8596464492532765</v>
      </c>
      <c r="H21" s="33" t="s">
        <v>39</v>
      </c>
      <c r="I21" s="33">
        <v>4561.53</v>
      </c>
      <c r="J21" s="44">
        <f>G21*I21</f>
        <v>13044.363067662298</v>
      </c>
      <c r="K21" s="36"/>
      <c r="N21" s="68" t="s">
        <v>62</v>
      </c>
      <c r="O21" s="69">
        <f>15452.6/5*G21+14808.78/5*G32</f>
        <v>104407.40270230114</v>
      </c>
      <c r="P21" s="69">
        <f>O21*0.13</f>
        <v>13572.962351299149</v>
      </c>
      <c r="Q21" s="69"/>
      <c r="R21" s="69">
        <f t="shared" ref="R21:R26" si="1">SUM(O21:P21)</f>
        <v>117980.3650536003</v>
      </c>
    </row>
    <row r="22" spans="1:18" x14ac:dyDescent="0.25">
      <c r="A22" s="40"/>
      <c r="B22" s="37" t="s">
        <v>38</v>
      </c>
      <c r="C22" s="42"/>
      <c r="D22" s="43"/>
      <c r="E22" s="43"/>
      <c r="F22" s="43"/>
      <c r="G22" s="43"/>
      <c r="H22" s="43"/>
      <c r="I22" s="43"/>
      <c r="J22" s="45">
        <f>0.13*G21*(15452.6/5)</f>
        <v>1148.9132907650107</v>
      </c>
      <c r="K22" s="36"/>
      <c r="N22" s="68" t="s">
        <v>64</v>
      </c>
      <c r="O22" s="69">
        <f>49275.03/15*G27+5368.95/5*G32+835.17/12.5*G37</f>
        <v>41122.730792075585</v>
      </c>
      <c r="P22" s="69">
        <f>O22*0.13</f>
        <v>5345.9550029698266</v>
      </c>
      <c r="Q22" s="69"/>
      <c r="R22" s="69">
        <f t="shared" si="1"/>
        <v>46468.685795045414</v>
      </c>
    </row>
    <row r="23" spans="1:18" x14ac:dyDescent="0.25">
      <c r="A23" s="40"/>
      <c r="B23" s="37"/>
      <c r="C23" s="42"/>
      <c r="D23" s="43"/>
      <c r="E23" s="43"/>
      <c r="F23" s="43"/>
      <c r="G23" s="43"/>
      <c r="H23" s="43"/>
      <c r="I23" s="43"/>
      <c r="J23" s="45"/>
      <c r="K23" s="36"/>
      <c r="N23" s="68" t="s">
        <v>65</v>
      </c>
      <c r="O23" s="69">
        <f>21432.6/15*G27+6604.42/5*G32+279.42/12.5*G37</f>
        <v>45370.893870237727</v>
      </c>
      <c r="P23" s="69">
        <f t="shared" ref="P23:P27" si="2">O23*0.13</f>
        <v>5898.2162031309044</v>
      </c>
      <c r="Q23" s="69"/>
      <c r="R23" s="69">
        <f t="shared" si="1"/>
        <v>51269.110073368633</v>
      </c>
    </row>
    <row r="24" spans="1:18" ht="75" x14ac:dyDescent="0.25">
      <c r="A24" s="18">
        <v>4</v>
      </c>
      <c r="B24" s="30" t="s">
        <v>41</v>
      </c>
      <c r="C24" s="19"/>
      <c r="D24" s="20"/>
      <c r="E24" s="21"/>
      <c r="F24" s="21"/>
      <c r="G24" s="23"/>
      <c r="H24" s="22"/>
      <c r="I24" s="23"/>
      <c r="J24" s="41"/>
      <c r="K24" s="21"/>
      <c r="N24" s="68" t="s">
        <v>66</v>
      </c>
      <c r="O24" s="69">
        <f>(25719.12+13573.98+4286.52)/15*G27</f>
        <v>5134.618303093569</v>
      </c>
      <c r="P24" s="69">
        <f t="shared" si="2"/>
        <v>667.50037940216396</v>
      </c>
      <c r="Q24" s="69"/>
      <c r="R24" s="69">
        <f t="shared" si="1"/>
        <v>5802.1186824957331</v>
      </c>
    </row>
    <row r="25" spans="1:18" ht="15" customHeight="1" x14ac:dyDescent="0.25">
      <c r="A25" s="18"/>
      <c r="B25" s="37" t="s">
        <v>47</v>
      </c>
      <c r="C25" s="36">
        <v>1</v>
      </c>
      <c r="D25" s="38">
        <f>D31</f>
        <v>15</v>
      </c>
      <c r="E25" s="38">
        <f>4.17/3.281</f>
        <v>1.2709539774459007</v>
      </c>
      <c r="F25" s="38">
        <v>7.4999999999999997E-2</v>
      </c>
      <c r="G25" s="39">
        <f>PRODUCT(C25:F25)</f>
        <v>1.4298232246266382</v>
      </c>
      <c r="H25" s="40"/>
      <c r="I25" s="40"/>
      <c r="J25" s="40"/>
      <c r="K25" s="21"/>
      <c r="N25" s="68" t="s">
        <v>67</v>
      </c>
      <c r="O25" s="69">
        <f>6135.3/15*G27</f>
        <v>722.8705453367877</v>
      </c>
      <c r="P25" s="69">
        <f t="shared" si="2"/>
        <v>93.97317089378241</v>
      </c>
      <c r="Q25" s="69"/>
      <c r="R25" s="69">
        <f t="shared" si="1"/>
        <v>816.84371623057007</v>
      </c>
    </row>
    <row r="26" spans="1:18" ht="15" customHeight="1" x14ac:dyDescent="0.25">
      <c r="A26" s="18"/>
      <c r="B26" s="37"/>
      <c r="C26" s="36">
        <v>1</v>
      </c>
      <c r="D26" s="38">
        <f>D25</f>
        <v>15</v>
      </c>
      <c r="E26" s="38">
        <v>0.45</v>
      </c>
      <c r="F26" s="38">
        <v>0.05</v>
      </c>
      <c r="G26" s="39">
        <f>PRODUCT(C26:F26)</f>
        <v>0.33750000000000002</v>
      </c>
      <c r="H26" s="40"/>
      <c r="I26" s="40"/>
      <c r="J26" s="40"/>
      <c r="K26" s="21"/>
      <c r="N26" s="68" t="s">
        <v>68</v>
      </c>
      <c r="O26" s="69">
        <f>310/5*G32+620/15*G27</f>
        <v>2073.6583587320938</v>
      </c>
      <c r="P26" s="69">
        <f t="shared" si="2"/>
        <v>269.57558663517221</v>
      </c>
      <c r="Q26" s="69"/>
      <c r="R26" s="69">
        <f t="shared" si="1"/>
        <v>2343.2339453672662</v>
      </c>
    </row>
    <row r="27" spans="1:18" ht="15" customHeight="1" x14ac:dyDescent="0.25">
      <c r="A27" s="40"/>
      <c r="B27" s="37" t="s">
        <v>40</v>
      </c>
      <c r="C27" s="42"/>
      <c r="D27" s="43"/>
      <c r="E27" s="43"/>
      <c r="F27" s="43"/>
      <c r="G27" s="33">
        <f>SUM(G25:G26)</f>
        <v>1.7673232246266384</v>
      </c>
      <c r="H27" s="33" t="s">
        <v>39</v>
      </c>
      <c r="I27" s="33">
        <v>10634.5</v>
      </c>
      <c r="J27" s="44">
        <f>G27*I27</f>
        <v>18794.598832291987</v>
      </c>
      <c r="K27" s="36"/>
      <c r="N27" s="68" t="s">
        <v>69</v>
      </c>
      <c r="O27" s="69">
        <f>56250/12.5*G37</f>
        <v>45000</v>
      </c>
      <c r="P27" s="69">
        <f t="shared" si="2"/>
        <v>5850</v>
      </c>
      <c r="Q27" s="69"/>
      <c r="R27" s="69">
        <f>SUM(O27:P27)</f>
        <v>50850</v>
      </c>
    </row>
    <row r="28" spans="1:18" ht="15" customHeight="1" x14ac:dyDescent="0.25">
      <c r="A28" s="40"/>
      <c r="B28" s="37" t="s">
        <v>38</v>
      </c>
      <c r="C28" s="42"/>
      <c r="D28" s="43"/>
      <c r="E28" s="43"/>
      <c r="F28" s="43"/>
      <c r="G28" s="43"/>
      <c r="H28" s="43"/>
      <c r="I28" s="43"/>
      <c r="J28" s="45">
        <f>0.13*G27*((114907.3+6135.3)/15)</f>
        <v>1853.9854506263337</v>
      </c>
      <c r="K28" s="36"/>
    </row>
    <row r="29" spans="1:18" ht="15" customHeight="1" x14ac:dyDescent="0.25">
      <c r="A29" s="40"/>
      <c r="B29" s="37"/>
      <c r="C29" s="42"/>
      <c r="D29" s="43"/>
      <c r="E29" s="43"/>
      <c r="F29" s="43"/>
      <c r="G29" s="43"/>
      <c r="H29" s="43"/>
      <c r="I29" s="43"/>
      <c r="J29" s="45"/>
      <c r="K29" s="36"/>
    </row>
    <row r="30" spans="1:18" s="1" customFormat="1" ht="90" x14ac:dyDescent="0.25">
      <c r="A30" s="63">
        <v>5</v>
      </c>
      <c r="B30" s="30" t="s">
        <v>48</v>
      </c>
      <c r="C30" s="64"/>
      <c r="D30" s="39"/>
      <c r="E30" s="39"/>
      <c r="F30" s="39"/>
      <c r="G30" s="39"/>
      <c r="H30" s="39"/>
      <c r="I30" s="39"/>
      <c r="J30" s="45"/>
      <c r="K30" s="29"/>
    </row>
    <row r="31" spans="1:18" ht="15" customHeight="1" x14ac:dyDescent="0.25">
      <c r="A31" s="18"/>
      <c r="B31" s="37" t="s">
        <v>47</v>
      </c>
      <c r="C31" s="36">
        <v>1</v>
      </c>
      <c r="D31" s="38">
        <v>15</v>
      </c>
      <c r="E31" s="38">
        <f>((4.17/3.281+0.45)/2)</f>
        <v>0.86047698872295031</v>
      </c>
      <c r="F31" s="38">
        <v>2.5</v>
      </c>
      <c r="G31" s="39">
        <f>PRODUCT(C31:F31)</f>
        <v>32.267887077110636</v>
      </c>
      <c r="H31" s="40"/>
      <c r="I31" s="40"/>
      <c r="J31" s="40"/>
      <c r="K31" s="21"/>
    </row>
    <row r="32" spans="1:18" ht="15" customHeight="1" x14ac:dyDescent="0.25">
      <c r="A32" s="40"/>
      <c r="B32" s="37" t="s">
        <v>40</v>
      </c>
      <c r="C32" s="42"/>
      <c r="D32" s="43"/>
      <c r="E32" s="43"/>
      <c r="F32" s="43"/>
      <c r="G32" s="33">
        <f>SUM(G31:G31)</f>
        <v>32.267887077110636</v>
      </c>
      <c r="H32" s="33" t="s">
        <v>39</v>
      </c>
      <c r="I32" s="33">
        <v>9709.43</v>
      </c>
      <c r="J32" s="44">
        <f>G32*I32</f>
        <v>313302.79082311032</v>
      </c>
      <c r="K32" s="36"/>
    </row>
    <row r="33" spans="1:11" ht="15" customHeight="1" x14ac:dyDescent="0.25">
      <c r="A33" s="40"/>
      <c r="B33" s="37" t="s">
        <v>38</v>
      </c>
      <c r="C33" s="42"/>
      <c r="D33" s="43"/>
      <c r="E33" s="43"/>
      <c r="F33" s="43"/>
      <c r="G33" s="43"/>
      <c r="H33" s="43"/>
      <c r="I33" s="43"/>
      <c r="J33" s="45">
        <f>0.13*G32*((27092.1)/5)</f>
        <v>22729.325410526515</v>
      </c>
      <c r="K33" s="36"/>
    </row>
    <row r="34" spans="1:11" ht="15" customHeight="1" x14ac:dyDescent="0.25">
      <c r="A34" s="40"/>
      <c r="B34" s="37"/>
      <c r="C34" s="42"/>
      <c r="D34" s="43"/>
      <c r="E34" s="43"/>
      <c r="F34" s="43"/>
      <c r="G34" s="33"/>
      <c r="H34" s="33"/>
      <c r="I34" s="33"/>
      <c r="J34" s="44"/>
      <c r="K34" s="36"/>
    </row>
    <row r="35" spans="1:11" s="1" customFormat="1" ht="105" x14ac:dyDescent="0.25">
      <c r="A35" s="63">
        <v>6</v>
      </c>
      <c r="B35" s="30" t="s">
        <v>55</v>
      </c>
      <c r="C35" s="64"/>
      <c r="D35" s="39"/>
      <c r="E35" s="39"/>
      <c r="F35" s="39"/>
      <c r="G35" s="39"/>
      <c r="H35" s="39"/>
      <c r="I35" s="39"/>
      <c r="J35" s="45"/>
      <c r="K35" s="29"/>
    </row>
    <row r="36" spans="1:11" ht="15" customHeight="1" x14ac:dyDescent="0.25">
      <c r="A36" s="18"/>
      <c r="B36" s="37" t="s">
        <v>56</v>
      </c>
      <c r="C36" s="36">
        <v>4</v>
      </c>
      <c r="D36" s="38">
        <f>2.5</f>
        <v>2.5</v>
      </c>
      <c r="E36" s="38"/>
      <c r="F36" s="38"/>
      <c r="G36" s="39">
        <f>PRODUCT(C36:F36)</f>
        <v>10</v>
      </c>
      <c r="H36" s="40"/>
      <c r="I36" s="40"/>
      <c r="J36" s="40"/>
      <c r="K36" s="21"/>
    </row>
    <row r="37" spans="1:11" ht="15" customHeight="1" x14ac:dyDescent="0.25">
      <c r="A37" s="40"/>
      <c r="B37" s="37" t="s">
        <v>40</v>
      </c>
      <c r="C37" s="42"/>
      <c r="D37" s="43"/>
      <c r="E37" s="43"/>
      <c r="F37" s="43"/>
      <c r="G37" s="33">
        <f>SUM(G36:G36)</f>
        <v>10</v>
      </c>
      <c r="H37" s="33" t="s">
        <v>72</v>
      </c>
      <c r="I37" s="33">
        <v>5144.96</v>
      </c>
      <c r="J37" s="44">
        <f>G37*I37</f>
        <v>51449.599999999999</v>
      </c>
      <c r="K37" s="36"/>
    </row>
    <row r="38" spans="1:11" ht="15" customHeight="1" x14ac:dyDescent="0.25">
      <c r="A38" s="40"/>
      <c r="B38" s="37" t="s">
        <v>38</v>
      </c>
      <c r="C38" s="42"/>
      <c r="D38" s="43"/>
      <c r="E38" s="43"/>
      <c r="F38" s="43"/>
      <c r="G38" s="43"/>
      <c r="H38" s="43"/>
      <c r="I38" s="43"/>
      <c r="J38" s="45">
        <f>0.13*G37*((57364.6)/12.5)</f>
        <v>5965.9183999999996</v>
      </c>
      <c r="K38" s="36"/>
    </row>
    <row r="39" spans="1:11" ht="15" customHeight="1" x14ac:dyDescent="0.25">
      <c r="A39" s="40"/>
      <c r="B39" s="37"/>
      <c r="C39" s="42"/>
      <c r="D39" s="43"/>
      <c r="E39" s="43"/>
      <c r="F39" s="43"/>
      <c r="G39" s="33"/>
      <c r="H39" s="33"/>
      <c r="I39" s="33"/>
      <c r="J39" s="44"/>
      <c r="K39" s="36"/>
    </row>
    <row r="40" spans="1:11" ht="15" customHeight="1" x14ac:dyDescent="0.25">
      <c r="A40" s="18">
        <v>7</v>
      </c>
      <c r="B40" s="30" t="s">
        <v>30</v>
      </c>
      <c r="C40" s="19">
        <v>1</v>
      </c>
      <c r="D40" s="20"/>
      <c r="E40" s="21"/>
      <c r="F40" s="21"/>
      <c r="G40" s="34">
        <f t="shared" ref="G40" si="3">PRODUCT(C40:F40)</f>
        <v>1</v>
      </c>
      <c r="H40" s="22" t="s">
        <v>31</v>
      </c>
      <c r="I40" s="23">
        <v>500</v>
      </c>
      <c r="J40" s="34">
        <f>G40*I40</f>
        <v>500</v>
      </c>
      <c r="K40" s="21"/>
    </row>
    <row r="41" spans="1:11" ht="15" customHeight="1" x14ac:dyDescent="0.25">
      <c r="A41" s="18"/>
      <c r="B41" s="24"/>
      <c r="C41" s="19"/>
      <c r="D41" s="20"/>
      <c r="E41" s="21"/>
      <c r="F41" s="21"/>
      <c r="G41" s="23"/>
      <c r="H41" s="22"/>
      <c r="I41" s="23"/>
      <c r="J41" s="41"/>
      <c r="K41" s="21"/>
    </row>
    <row r="42" spans="1:11" x14ac:dyDescent="0.25">
      <c r="A42" s="40"/>
      <c r="B42" s="46" t="s">
        <v>17</v>
      </c>
      <c r="C42" s="47"/>
      <c r="D42" s="38"/>
      <c r="E42" s="38"/>
      <c r="F42" s="38"/>
      <c r="G42" s="41"/>
      <c r="H42" s="41"/>
      <c r="I42" s="41"/>
      <c r="J42" s="41">
        <f>SUM(J10:J40)</f>
        <v>448359.42496248247</v>
      </c>
      <c r="K42" s="36"/>
    </row>
    <row r="43" spans="1:11" x14ac:dyDescent="0.25">
      <c r="A43" s="58"/>
      <c r="B43" s="61"/>
      <c r="C43" s="62"/>
      <c r="D43" s="59"/>
      <c r="E43" s="59"/>
      <c r="F43" s="59"/>
      <c r="G43" s="60"/>
      <c r="H43" s="60"/>
      <c r="I43" s="60"/>
      <c r="J43" s="60"/>
      <c r="K43" s="57"/>
    </row>
    <row r="44" spans="1:11" s="1" customFormat="1" x14ac:dyDescent="0.25">
      <c r="A44" s="50"/>
      <c r="B44" s="29" t="s">
        <v>54</v>
      </c>
      <c r="C44" s="72">
        <f>J42</f>
        <v>448359.42496248247</v>
      </c>
      <c r="D44" s="72"/>
      <c r="E44" s="39">
        <v>100</v>
      </c>
      <c r="F44" s="51"/>
      <c r="G44" s="52"/>
      <c r="H44" s="51"/>
      <c r="I44" s="53"/>
      <c r="J44" s="54"/>
      <c r="K44" s="55"/>
    </row>
    <row r="45" spans="1:11" x14ac:dyDescent="0.25">
      <c r="A45" s="56"/>
      <c r="B45" s="29" t="s">
        <v>32</v>
      </c>
      <c r="C45" s="75">
        <v>400000</v>
      </c>
      <c r="D45" s="75"/>
      <c r="E45" s="39"/>
      <c r="F45" s="49"/>
      <c r="G45" s="48"/>
      <c r="H45" s="48"/>
      <c r="I45" s="48"/>
      <c r="J45" s="48"/>
      <c r="K45" s="49"/>
    </row>
    <row r="46" spans="1:11" x14ac:dyDescent="0.25">
      <c r="A46" s="56"/>
      <c r="B46" s="29" t="s">
        <v>33</v>
      </c>
      <c r="C46" s="75">
        <f>C45-C48-C49</f>
        <v>380000</v>
      </c>
      <c r="D46" s="75"/>
      <c r="E46" s="39">
        <f>C46/C44*100</f>
        <v>84.753431921676992</v>
      </c>
      <c r="F46" s="49"/>
      <c r="G46" s="48"/>
      <c r="H46" s="48"/>
      <c r="I46" s="48"/>
      <c r="J46" s="48"/>
      <c r="K46" s="49"/>
    </row>
    <row r="47" spans="1:11" x14ac:dyDescent="0.25">
      <c r="A47" s="56"/>
      <c r="B47" s="29" t="s">
        <v>34</v>
      </c>
      <c r="C47" s="72">
        <f>C44-C46</f>
        <v>68359.424962482473</v>
      </c>
      <c r="D47" s="72"/>
      <c r="E47" s="39">
        <f>100-E46</f>
        <v>15.246568078323008</v>
      </c>
      <c r="F47" s="49"/>
      <c r="G47" s="48"/>
      <c r="H47" s="48"/>
      <c r="I47" s="48"/>
      <c r="J47" s="48"/>
      <c r="K47" s="49"/>
    </row>
    <row r="48" spans="1:11" x14ac:dyDescent="0.25">
      <c r="A48" s="56"/>
      <c r="B48" s="29" t="s">
        <v>35</v>
      </c>
      <c r="C48" s="72">
        <f>C45*0.03</f>
        <v>12000</v>
      </c>
      <c r="D48" s="72"/>
      <c r="E48" s="39">
        <v>3</v>
      </c>
      <c r="F48" s="49"/>
      <c r="G48" s="48"/>
      <c r="H48" s="48"/>
      <c r="I48" s="48"/>
      <c r="J48" s="48"/>
      <c r="K48" s="49"/>
    </row>
    <row r="49" spans="1:11" x14ac:dyDescent="0.25">
      <c r="A49" s="56"/>
      <c r="B49" s="29" t="s">
        <v>36</v>
      </c>
      <c r="C49" s="72">
        <f>C45*0.02</f>
        <v>8000</v>
      </c>
      <c r="D49" s="72"/>
      <c r="E49" s="39">
        <v>2</v>
      </c>
      <c r="F49" s="49"/>
      <c r="G49" s="48"/>
      <c r="H49" s="48"/>
      <c r="I49" s="48"/>
      <c r="J49" s="48"/>
      <c r="K49" s="49"/>
    </row>
    <row r="50" spans="1:11" s="35" customFormat="1" x14ac:dyDescent="0.25">
      <c r="A50" s="57"/>
      <c r="B50" s="57"/>
      <c r="C50" s="57"/>
      <c r="D50" s="57"/>
      <c r="E50" s="57"/>
      <c r="F50" s="57"/>
      <c r="G50" s="57"/>
      <c r="H50" s="57"/>
      <c r="I50" s="57"/>
      <c r="J50" s="57"/>
      <c r="K50" s="57"/>
    </row>
    <row r="51" spans="1:11" s="35" customFormat="1" x14ac:dyDescent="0.25"/>
    <row r="52" spans="1:11" s="35" customFormat="1" x14ac:dyDescent="0.25"/>
    <row r="53" spans="1:11" s="35" customFormat="1" x14ac:dyDescent="0.25"/>
    <row r="54" spans="1:11" s="35" customFormat="1" x14ac:dyDescent="0.25"/>
    <row r="55" spans="1:11" s="35" customFormat="1" x14ac:dyDescent="0.25"/>
    <row r="56" spans="1:11" s="35" customFormat="1" x14ac:dyDescent="0.25"/>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sheetData>
  <mergeCells count="16">
    <mergeCell ref="C47:D47"/>
    <mergeCell ref="C48:D48"/>
    <mergeCell ref="C49:D49"/>
    <mergeCell ref="A7:F7"/>
    <mergeCell ref="H7:K7"/>
    <mergeCell ref="K16:K17"/>
    <mergeCell ref="C44:D44"/>
    <mergeCell ref="C45:D45"/>
    <mergeCell ref="C46:D46"/>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6"/>
  <sheetViews>
    <sheetView tabSelected="1" view="pageBreakPreview" topLeftCell="A20" zoomScale="60" zoomScaleNormal="100" workbookViewId="0">
      <selection activeCell="G35" sqref="G35"/>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hidden="1" customWidth="1"/>
    <col min="10" max="10" width="10.7109375" hidden="1" customWidth="1"/>
    <col min="14" max="14" width="10.42578125" hidden="1" customWidth="1"/>
    <col min="15" max="15" width="9.5703125" hidden="1" customWidth="1"/>
    <col min="16" max="16" width="8.5703125" hidden="1" customWidth="1"/>
    <col min="17" max="17" width="0" hidden="1" customWidth="1"/>
    <col min="18" max="18" width="9.5703125" hidden="1" customWidth="1"/>
    <col min="19" max="19" width="0" hidden="1" customWidth="1"/>
  </cols>
  <sheetData>
    <row r="1" spans="1:11" s="1" customFormat="1" x14ac:dyDescent="0.25">
      <c r="A1" s="80" t="s">
        <v>0</v>
      </c>
      <c r="B1" s="80"/>
      <c r="C1" s="80"/>
      <c r="D1" s="80"/>
      <c r="E1" s="80"/>
      <c r="F1" s="80"/>
      <c r="G1" s="80"/>
      <c r="H1" s="80"/>
      <c r="I1" s="80"/>
      <c r="J1" s="80"/>
      <c r="K1" s="80"/>
    </row>
    <row r="2" spans="1:11" s="1" customFormat="1" ht="22.5" x14ac:dyDescent="0.25">
      <c r="A2" s="81" t="s">
        <v>1</v>
      </c>
      <c r="B2" s="81"/>
      <c r="C2" s="81"/>
      <c r="D2" s="81"/>
      <c r="E2" s="81"/>
      <c r="F2" s="81"/>
      <c r="G2" s="81"/>
      <c r="H2" s="81"/>
      <c r="I2" s="81"/>
      <c r="J2" s="81"/>
      <c r="K2" s="81"/>
    </row>
    <row r="3" spans="1:11" s="1" customFormat="1" x14ac:dyDescent="0.25">
      <c r="A3" s="82" t="s">
        <v>2</v>
      </c>
      <c r="B3" s="82"/>
      <c r="C3" s="82"/>
      <c r="D3" s="82"/>
      <c r="E3" s="82"/>
      <c r="F3" s="82"/>
      <c r="G3" s="82"/>
      <c r="H3" s="82"/>
      <c r="I3" s="82"/>
      <c r="J3" s="82"/>
      <c r="K3" s="82"/>
    </row>
    <row r="4" spans="1:11" s="1" customFormat="1" x14ac:dyDescent="0.25">
      <c r="A4" s="82" t="s">
        <v>3</v>
      </c>
      <c r="B4" s="82"/>
      <c r="C4" s="82"/>
      <c r="D4" s="82"/>
      <c r="E4" s="82"/>
      <c r="F4" s="82"/>
      <c r="G4" s="82"/>
      <c r="H4" s="82"/>
      <c r="I4" s="82"/>
      <c r="J4" s="82"/>
      <c r="K4" s="82"/>
    </row>
    <row r="5" spans="1:11" ht="18.75" x14ac:dyDescent="0.3">
      <c r="A5" s="83" t="s">
        <v>71</v>
      </c>
      <c r="B5" s="83"/>
      <c r="C5" s="83"/>
      <c r="D5" s="83"/>
      <c r="E5" s="83"/>
      <c r="F5" s="83"/>
      <c r="G5" s="83"/>
      <c r="H5" s="83"/>
      <c r="I5" s="83"/>
      <c r="J5" s="83"/>
      <c r="K5" s="83"/>
    </row>
    <row r="6" spans="1:11" ht="15.75" x14ac:dyDescent="0.25">
      <c r="A6" s="78" t="s">
        <v>51</v>
      </c>
      <c r="B6" s="78"/>
      <c r="C6" s="78"/>
      <c r="D6" s="78"/>
      <c r="E6" s="78"/>
      <c r="F6" s="78"/>
      <c r="G6" s="2"/>
      <c r="I6" s="70"/>
      <c r="J6" s="70"/>
      <c r="K6" s="67" t="s">
        <v>43</v>
      </c>
    </row>
    <row r="7" spans="1:11" ht="15.75" x14ac:dyDescent="0.25">
      <c r="A7" s="73" t="s">
        <v>28</v>
      </c>
      <c r="B7" s="73"/>
      <c r="C7" s="73"/>
      <c r="D7" s="73"/>
      <c r="E7" s="73"/>
      <c r="F7" s="73"/>
      <c r="G7" s="3"/>
      <c r="I7" s="71"/>
      <c r="J7" s="71"/>
      <c r="K7" s="66" t="s">
        <v>52</v>
      </c>
    </row>
    <row r="8" spans="1:11" ht="15" customHeight="1" x14ac:dyDescent="0.25">
      <c r="A8" s="4" t="s">
        <v>5</v>
      </c>
      <c r="B8" s="15" t="s">
        <v>6</v>
      </c>
      <c r="C8" s="4" t="s">
        <v>7</v>
      </c>
      <c r="D8" s="16" t="s">
        <v>8</v>
      </c>
      <c r="E8" s="16" t="s">
        <v>9</v>
      </c>
      <c r="F8" s="16" t="s">
        <v>10</v>
      </c>
      <c r="G8" s="16" t="s">
        <v>11</v>
      </c>
      <c r="H8" s="4" t="s">
        <v>12</v>
      </c>
      <c r="I8" s="16" t="s">
        <v>13</v>
      </c>
      <c r="J8" s="16" t="s">
        <v>14</v>
      </c>
      <c r="K8" s="17" t="s">
        <v>15</v>
      </c>
    </row>
    <row r="9" spans="1:11" ht="150" x14ac:dyDescent="0.25">
      <c r="A9" s="63">
        <v>1</v>
      </c>
      <c r="B9" s="30" t="s">
        <v>50</v>
      </c>
      <c r="C9" s="36"/>
      <c r="D9" s="36"/>
      <c r="E9" s="36"/>
      <c r="F9" s="36"/>
      <c r="G9" s="36"/>
      <c r="H9" s="36"/>
      <c r="I9" s="36"/>
      <c r="J9" s="36"/>
      <c r="K9" s="36"/>
    </row>
    <row r="10" spans="1:11" ht="15" customHeight="1" x14ac:dyDescent="0.25">
      <c r="A10" s="18"/>
      <c r="B10" s="37" t="s">
        <v>47</v>
      </c>
      <c r="C10" s="36">
        <v>0.5</v>
      </c>
      <c r="D10" s="38">
        <f>D31</f>
        <v>15</v>
      </c>
      <c r="E10" s="38">
        <v>1.25</v>
      </c>
      <c r="F10" s="38">
        <v>1.5</v>
      </c>
      <c r="G10" s="39">
        <f>PRODUCT(C10:F10)</f>
        <v>14.0625</v>
      </c>
      <c r="H10" s="40"/>
      <c r="I10" s="40"/>
      <c r="J10" s="40"/>
      <c r="K10" s="21"/>
    </row>
    <row r="11" spans="1:11" ht="15" customHeight="1" x14ac:dyDescent="0.25">
      <c r="A11" s="18"/>
      <c r="B11" s="37" t="s">
        <v>61</v>
      </c>
      <c r="C11" s="36">
        <v>1</v>
      </c>
      <c r="D11" s="38">
        <v>50</v>
      </c>
      <c r="E11" s="38">
        <v>1.5</v>
      </c>
      <c r="F11" s="38">
        <v>0.75</v>
      </c>
      <c r="G11" s="39">
        <f>PRODUCT(C11:F11)</f>
        <v>56.25</v>
      </c>
      <c r="H11" s="40"/>
      <c r="I11" s="40"/>
      <c r="J11" s="40"/>
      <c r="K11" s="21"/>
    </row>
    <row r="12" spans="1:11" ht="15" customHeight="1" x14ac:dyDescent="0.25">
      <c r="A12" s="18"/>
      <c r="B12" s="37" t="s">
        <v>40</v>
      </c>
      <c r="C12" s="19"/>
      <c r="D12" s="20"/>
      <c r="E12" s="21"/>
      <c r="F12" s="21"/>
      <c r="G12" s="23">
        <f>SUM(G10:G11)</f>
        <v>70.3125</v>
      </c>
      <c r="H12" s="22" t="s">
        <v>39</v>
      </c>
      <c r="I12" s="23">
        <v>64.63</v>
      </c>
      <c r="J12" s="41">
        <f>G12*I12</f>
        <v>4544.296875</v>
      </c>
      <c r="K12" s="21"/>
    </row>
    <row r="13" spans="1:11" ht="15" hidden="1" customHeight="1" x14ac:dyDescent="0.25">
      <c r="A13" s="18"/>
      <c r="B13" s="37" t="s">
        <v>38</v>
      </c>
      <c r="C13" s="19"/>
      <c r="D13" s="20"/>
      <c r="E13" s="21"/>
      <c r="F13" s="21"/>
      <c r="G13" s="23"/>
      <c r="H13" s="22"/>
      <c r="I13" s="23"/>
      <c r="J13" s="41">
        <f>0.13*G12*19284/360</f>
        <v>489.6328125</v>
      </c>
      <c r="K13" s="21"/>
    </row>
    <row r="14" spans="1:11" ht="15" customHeight="1" x14ac:dyDescent="0.25">
      <c r="A14" s="18"/>
      <c r="B14" s="37"/>
      <c r="C14" s="19"/>
      <c r="D14" s="20"/>
      <c r="E14" s="21"/>
      <c r="F14" s="21"/>
      <c r="G14" s="23"/>
      <c r="H14" s="22"/>
      <c r="I14" s="23"/>
      <c r="J14" s="41"/>
      <c r="K14" s="21"/>
    </row>
    <row r="15" spans="1:11" ht="60" x14ac:dyDescent="0.25">
      <c r="A15" s="18">
        <v>2</v>
      </c>
      <c r="B15" s="30" t="s">
        <v>57</v>
      </c>
      <c r="C15" s="19"/>
      <c r="D15" s="20"/>
      <c r="E15" s="21"/>
      <c r="F15" s="21"/>
      <c r="G15" s="23"/>
      <c r="H15" s="22"/>
      <c r="I15" s="23"/>
      <c r="J15" s="41"/>
      <c r="K15" s="21"/>
    </row>
    <row r="16" spans="1:11" x14ac:dyDescent="0.25">
      <c r="A16" s="18"/>
      <c r="B16" s="37" t="s">
        <v>58</v>
      </c>
      <c r="C16" s="19">
        <v>2</v>
      </c>
      <c r="D16" s="20">
        <v>30</v>
      </c>
      <c r="E16" s="21">
        <v>0.38</v>
      </c>
      <c r="F16" s="38">
        <f>ROUNDUP(D16/E16,0)</f>
        <v>79</v>
      </c>
      <c r="G16" s="39">
        <f>F16*C16</f>
        <v>158</v>
      </c>
      <c r="H16" s="22"/>
      <c r="I16" s="23"/>
      <c r="J16" s="41"/>
      <c r="K16" s="76" t="s">
        <v>59</v>
      </c>
    </row>
    <row r="17" spans="1:18" x14ac:dyDescent="0.25">
      <c r="A17" s="18"/>
      <c r="B17" s="37" t="s">
        <v>40</v>
      </c>
      <c r="C17" s="19"/>
      <c r="D17" s="20"/>
      <c r="E17" s="21"/>
      <c r="F17" s="21"/>
      <c r="G17" s="23">
        <f>SUM(G16:G16)</f>
        <v>158</v>
      </c>
      <c r="H17" s="22" t="s">
        <v>60</v>
      </c>
      <c r="I17" s="23">
        <v>92</v>
      </c>
      <c r="J17" s="41">
        <f>G17*I17</f>
        <v>14536</v>
      </c>
      <c r="K17" s="77"/>
    </row>
    <row r="18" spans="1:18" ht="15" customHeight="1" x14ac:dyDescent="0.25">
      <c r="A18" s="18"/>
      <c r="B18" s="37"/>
      <c r="C18" s="19"/>
      <c r="D18" s="20"/>
      <c r="E18" s="21"/>
      <c r="F18" s="21"/>
      <c r="G18" s="23"/>
      <c r="H18" s="22"/>
      <c r="I18" s="23"/>
      <c r="J18" s="41"/>
      <c r="K18" s="21"/>
    </row>
    <row r="19" spans="1:18" ht="90" x14ac:dyDescent="0.25">
      <c r="A19" s="18">
        <v>3</v>
      </c>
      <c r="B19" s="30" t="s">
        <v>42</v>
      </c>
      <c r="C19" s="19"/>
      <c r="D19" s="20"/>
      <c r="E19" s="21"/>
      <c r="F19" s="21"/>
      <c r="G19" s="23"/>
      <c r="H19" s="22"/>
      <c r="I19" s="23"/>
      <c r="J19" s="41"/>
      <c r="K19" s="21"/>
      <c r="N19" s="68" t="s">
        <v>22</v>
      </c>
      <c r="O19" s="68" t="s">
        <v>14</v>
      </c>
      <c r="P19" s="68" t="s">
        <v>63</v>
      </c>
      <c r="Q19" s="68"/>
      <c r="R19" s="68" t="s">
        <v>16</v>
      </c>
    </row>
    <row r="20" spans="1:18" ht="15" customHeight="1" x14ac:dyDescent="0.25">
      <c r="A20" s="18"/>
      <c r="B20" s="37" t="s">
        <v>74</v>
      </c>
      <c r="C20" s="36">
        <v>1</v>
      </c>
      <c r="D20" s="38">
        <f>D25</f>
        <v>15</v>
      </c>
      <c r="E20" s="38">
        <f>E25</f>
        <v>1.2709539774459007</v>
      </c>
      <c r="F20" s="38">
        <v>0.15</v>
      </c>
      <c r="G20" s="39">
        <f>PRODUCT(C20:F20)</f>
        <v>2.8596464492532765</v>
      </c>
      <c r="H20" s="40"/>
      <c r="I20" s="40"/>
      <c r="J20" s="40"/>
      <c r="K20" s="21"/>
      <c r="N20" s="68" t="s">
        <v>70</v>
      </c>
      <c r="O20" s="69">
        <f>19284/360*G12</f>
        <v>3766.4062500000005</v>
      </c>
      <c r="P20" s="69">
        <f>O20*0.13</f>
        <v>489.63281250000006</v>
      </c>
      <c r="Q20" s="69"/>
      <c r="R20" s="69">
        <f t="shared" ref="R20:R26" si="0">SUM(O20:P20)</f>
        <v>4256.0390625000009</v>
      </c>
    </row>
    <row r="21" spans="1:18" ht="15" customHeight="1" x14ac:dyDescent="0.25">
      <c r="A21" s="40"/>
      <c r="B21" s="37" t="s">
        <v>40</v>
      </c>
      <c r="C21" s="42"/>
      <c r="D21" s="43"/>
      <c r="E21" s="43"/>
      <c r="F21" s="43"/>
      <c r="G21" s="33">
        <f>SUM(G20:G20)</f>
        <v>2.8596464492532765</v>
      </c>
      <c r="H21" s="33" t="s">
        <v>39</v>
      </c>
      <c r="I21" s="33">
        <v>4561.53</v>
      </c>
      <c r="J21" s="44">
        <f>G21*I21</f>
        <v>13044.363067662298</v>
      </c>
      <c r="K21" s="36"/>
      <c r="N21" s="68" t="s">
        <v>62</v>
      </c>
      <c r="O21" s="69">
        <f>15452.6/5*G21+14808.78/5*G32</f>
        <v>104407.40270230114</v>
      </c>
      <c r="P21" s="69">
        <f>O21*0.13</f>
        <v>13572.962351299149</v>
      </c>
      <c r="Q21" s="69"/>
      <c r="R21" s="69">
        <f t="shared" si="0"/>
        <v>117980.3650536003</v>
      </c>
    </row>
    <row r="22" spans="1:18" hidden="1" x14ac:dyDescent="0.25">
      <c r="A22" s="40"/>
      <c r="B22" s="37" t="s">
        <v>38</v>
      </c>
      <c r="C22" s="42"/>
      <c r="D22" s="43"/>
      <c r="E22" s="43"/>
      <c r="F22" s="43"/>
      <c r="G22" s="43"/>
      <c r="H22" s="43"/>
      <c r="I22" s="43"/>
      <c r="J22" s="45">
        <f>0.13*G21*(15452.6/5)</f>
        <v>1148.9132907650107</v>
      </c>
      <c r="K22" s="36"/>
      <c r="N22" s="68" t="s">
        <v>64</v>
      </c>
      <c r="O22" s="69">
        <f>49275.03/15*G27+5368.95/5*G32+835.17/12.5*G37</f>
        <v>41122.730792075585</v>
      </c>
      <c r="P22" s="69">
        <f>O22*0.13</f>
        <v>5345.9550029698266</v>
      </c>
      <c r="Q22" s="69"/>
      <c r="R22" s="69">
        <f t="shared" si="0"/>
        <v>46468.685795045414</v>
      </c>
    </row>
    <row r="23" spans="1:18" x14ac:dyDescent="0.25">
      <c r="A23" s="40"/>
      <c r="B23" s="37"/>
      <c r="C23" s="42"/>
      <c r="D23" s="43"/>
      <c r="E23" s="43"/>
      <c r="F23" s="43"/>
      <c r="G23" s="43"/>
      <c r="H23" s="43"/>
      <c r="I23" s="43"/>
      <c r="J23" s="45"/>
      <c r="K23" s="36"/>
      <c r="N23" s="68" t="s">
        <v>65</v>
      </c>
      <c r="O23" s="69">
        <f>21432.6/15*G27+6604.42/5*G32+279.42/12.5*G37</f>
        <v>45370.893870237727</v>
      </c>
      <c r="P23" s="69">
        <f t="shared" ref="P23:P27" si="1">O23*0.13</f>
        <v>5898.2162031309044</v>
      </c>
      <c r="Q23" s="69"/>
      <c r="R23" s="69">
        <f t="shared" si="0"/>
        <v>51269.110073368633</v>
      </c>
    </row>
    <row r="24" spans="1:18" ht="75" x14ac:dyDescent="0.25">
      <c r="A24" s="18">
        <v>4</v>
      </c>
      <c r="B24" s="30" t="s">
        <v>41</v>
      </c>
      <c r="C24" s="19"/>
      <c r="D24" s="20"/>
      <c r="E24" s="21"/>
      <c r="F24" s="21"/>
      <c r="G24" s="23"/>
      <c r="H24" s="22"/>
      <c r="I24" s="23"/>
      <c r="J24" s="41"/>
      <c r="K24" s="21"/>
      <c r="N24" s="68" t="s">
        <v>66</v>
      </c>
      <c r="O24" s="69">
        <f>(25719.12+13573.98+4286.52)/15*G27</f>
        <v>5134.618303093569</v>
      </c>
      <c r="P24" s="69">
        <f t="shared" si="1"/>
        <v>667.50037940216396</v>
      </c>
      <c r="Q24" s="69"/>
      <c r="R24" s="69">
        <f t="shared" si="0"/>
        <v>5802.1186824957331</v>
      </c>
    </row>
    <row r="25" spans="1:18" ht="15" customHeight="1" x14ac:dyDescent="0.25">
      <c r="A25" s="18"/>
      <c r="B25" s="37" t="s">
        <v>47</v>
      </c>
      <c r="C25" s="36">
        <v>1</v>
      </c>
      <c r="D25" s="38">
        <f>D31</f>
        <v>15</v>
      </c>
      <c r="E25" s="38">
        <f>4.17/3.281</f>
        <v>1.2709539774459007</v>
      </c>
      <c r="F25" s="38">
        <v>7.4999999999999997E-2</v>
      </c>
      <c r="G25" s="39">
        <f>PRODUCT(C25:F25)</f>
        <v>1.4298232246266382</v>
      </c>
      <c r="H25" s="40"/>
      <c r="I25" s="40"/>
      <c r="J25" s="40"/>
      <c r="K25" s="21"/>
      <c r="N25" s="68" t="s">
        <v>67</v>
      </c>
      <c r="O25" s="69">
        <f>6135.3/15*G27</f>
        <v>722.8705453367877</v>
      </c>
      <c r="P25" s="69">
        <f t="shared" si="1"/>
        <v>93.97317089378241</v>
      </c>
      <c r="Q25" s="69"/>
      <c r="R25" s="69">
        <f t="shared" si="0"/>
        <v>816.84371623057007</v>
      </c>
    </row>
    <row r="26" spans="1:18" ht="15" customHeight="1" x14ac:dyDescent="0.25">
      <c r="A26" s="18"/>
      <c r="B26" s="37"/>
      <c r="C26" s="36">
        <v>1</v>
      </c>
      <c r="D26" s="38">
        <f>D25</f>
        <v>15</v>
      </c>
      <c r="E26" s="38">
        <v>0.45</v>
      </c>
      <c r="F26" s="38">
        <v>0.05</v>
      </c>
      <c r="G26" s="39">
        <f>PRODUCT(C26:F26)</f>
        <v>0.33750000000000002</v>
      </c>
      <c r="H26" s="40"/>
      <c r="I26" s="40"/>
      <c r="J26" s="40"/>
      <c r="K26" s="21"/>
      <c r="N26" s="68" t="s">
        <v>68</v>
      </c>
      <c r="O26" s="69">
        <f>310/5*G32+620/15*G27</f>
        <v>2073.6583587320938</v>
      </c>
      <c r="P26" s="69">
        <f t="shared" si="1"/>
        <v>269.57558663517221</v>
      </c>
      <c r="Q26" s="69"/>
      <c r="R26" s="69">
        <f t="shared" si="0"/>
        <v>2343.2339453672662</v>
      </c>
    </row>
    <row r="27" spans="1:18" ht="15" customHeight="1" x14ac:dyDescent="0.25">
      <c r="A27" s="40"/>
      <c r="B27" s="37" t="s">
        <v>40</v>
      </c>
      <c r="C27" s="42"/>
      <c r="D27" s="43"/>
      <c r="E27" s="43"/>
      <c r="F27" s="43"/>
      <c r="G27" s="33">
        <f>SUM(G25:G26)</f>
        <v>1.7673232246266384</v>
      </c>
      <c r="H27" s="33" t="s">
        <v>39</v>
      </c>
      <c r="I27" s="33">
        <v>10634.5</v>
      </c>
      <c r="J27" s="44">
        <f>G27*I27</f>
        <v>18794.598832291987</v>
      </c>
      <c r="K27" s="36"/>
      <c r="N27" s="68" t="s">
        <v>69</v>
      </c>
      <c r="O27" s="69">
        <f>56250/12.5*G37</f>
        <v>45000</v>
      </c>
      <c r="P27" s="69">
        <f t="shared" si="1"/>
        <v>5850</v>
      </c>
      <c r="Q27" s="69"/>
      <c r="R27" s="69">
        <f>SUM(O27:P27)</f>
        <v>50850</v>
      </c>
    </row>
    <row r="28" spans="1:18" ht="15" hidden="1" customHeight="1" x14ac:dyDescent="0.25">
      <c r="A28" s="40"/>
      <c r="B28" s="37" t="s">
        <v>38</v>
      </c>
      <c r="C28" s="42"/>
      <c r="D28" s="43"/>
      <c r="E28" s="43"/>
      <c r="F28" s="43"/>
      <c r="G28" s="43"/>
      <c r="H28" s="43"/>
      <c r="I28" s="43"/>
      <c r="J28" s="45">
        <f>0.13*G27*((114907.3+6135.3)/15)</f>
        <v>1853.9854506263337</v>
      </c>
      <c r="K28" s="36"/>
    </row>
    <row r="29" spans="1:18" ht="15" customHeight="1" x14ac:dyDescent="0.25">
      <c r="A29" s="40"/>
      <c r="B29" s="37"/>
      <c r="C29" s="42"/>
      <c r="D29" s="43"/>
      <c r="E29" s="43"/>
      <c r="F29" s="43"/>
      <c r="G29" s="43"/>
      <c r="H29" s="43"/>
      <c r="I29" s="43"/>
      <c r="J29" s="45"/>
      <c r="K29" s="36"/>
    </row>
    <row r="30" spans="1:18" s="1" customFormat="1" ht="90" x14ac:dyDescent="0.25">
      <c r="A30" s="63">
        <v>5</v>
      </c>
      <c r="B30" s="30" t="s">
        <v>48</v>
      </c>
      <c r="C30" s="64"/>
      <c r="D30" s="39"/>
      <c r="E30" s="39"/>
      <c r="F30" s="39"/>
      <c r="G30" s="39"/>
      <c r="H30" s="39"/>
      <c r="I30" s="39"/>
      <c r="J30" s="45"/>
      <c r="K30" s="29"/>
    </row>
    <row r="31" spans="1:18" ht="15" customHeight="1" x14ac:dyDescent="0.25">
      <c r="A31" s="18"/>
      <c r="B31" s="37" t="s">
        <v>47</v>
      </c>
      <c r="C31" s="36">
        <v>1</v>
      </c>
      <c r="D31" s="38">
        <v>15</v>
      </c>
      <c r="E31" s="38">
        <f>((4.17/3.281+0.45)/2)</f>
        <v>0.86047698872295031</v>
      </c>
      <c r="F31" s="38">
        <v>2.5</v>
      </c>
      <c r="G31" s="39">
        <f>PRODUCT(C31:F31)</f>
        <v>32.267887077110636</v>
      </c>
      <c r="H31" s="40"/>
      <c r="I31" s="40"/>
      <c r="J31" s="40"/>
      <c r="K31" s="21"/>
    </row>
    <row r="32" spans="1:18" ht="15" customHeight="1" x14ac:dyDescent="0.25">
      <c r="A32" s="40"/>
      <c r="B32" s="37" t="s">
        <v>40</v>
      </c>
      <c r="C32" s="42"/>
      <c r="D32" s="43"/>
      <c r="E32" s="43"/>
      <c r="F32" s="43"/>
      <c r="G32" s="33">
        <f>SUM(G31:G31)</f>
        <v>32.267887077110636</v>
      </c>
      <c r="H32" s="33" t="s">
        <v>39</v>
      </c>
      <c r="I32" s="33">
        <v>9709.43</v>
      </c>
      <c r="J32" s="44">
        <f>G32*I32</f>
        <v>313302.79082311032</v>
      </c>
      <c r="K32" s="36"/>
    </row>
    <row r="33" spans="1:11" ht="15" hidden="1" customHeight="1" x14ac:dyDescent="0.25">
      <c r="A33" s="40"/>
      <c r="B33" s="37" t="s">
        <v>38</v>
      </c>
      <c r="C33" s="42"/>
      <c r="D33" s="43"/>
      <c r="E33" s="43"/>
      <c r="F33" s="43"/>
      <c r="G33" s="43"/>
      <c r="H33" s="43"/>
      <c r="I33" s="43"/>
      <c r="J33" s="45">
        <f>0.13*G32*((27092.1)/5)</f>
        <v>22729.325410526515</v>
      </c>
      <c r="K33" s="36"/>
    </row>
    <row r="34" spans="1:11" ht="15" customHeight="1" x14ac:dyDescent="0.25">
      <c r="A34" s="40"/>
      <c r="B34" s="37"/>
      <c r="C34" s="42"/>
      <c r="D34" s="43"/>
      <c r="E34" s="43"/>
      <c r="F34" s="43"/>
      <c r="G34" s="33"/>
      <c r="H34" s="33"/>
      <c r="I34" s="33"/>
      <c r="J34" s="44"/>
      <c r="K34" s="36"/>
    </row>
    <row r="35" spans="1:11" s="1" customFormat="1" ht="105" x14ac:dyDescent="0.25">
      <c r="A35" s="63">
        <v>6</v>
      </c>
      <c r="B35" s="30" t="s">
        <v>55</v>
      </c>
      <c r="C35" s="64"/>
      <c r="D35" s="39"/>
      <c r="E35" s="39"/>
      <c r="F35" s="39"/>
      <c r="G35" s="39"/>
      <c r="H35" s="39"/>
      <c r="I35" s="39"/>
      <c r="J35" s="45"/>
      <c r="K35" s="29"/>
    </row>
    <row r="36" spans="1:11" ht="15" customHeight="1" x14ac:dyDescent="0.25">
      <c r="A36" s="18"/>
      <c r="B36" s="37" t="s">
        <v>56</v>
      </c>
      <c r="C36" s="36">
        <v>4</v>
      </c>
      <c r="D36" s="38">
        <f>2.5</f>
        <v>2.5</v>
      </c>
      <c r="E36" s="38"/>
      <c r="F36" s="38"/>
      <c r="G36" s="39">
        <f>PRODUCT(C36:F36)</f>
        <v>10</v>
      </c>
      <c r="H36" s="40"/>
      <c r="I36" s="40"/>
      <c r="J36" s="40"/>
      <c r="K36" s="21"/>
    </row>
    <row r="37" spans="1:11" ht="15" customHeight="1" x14ac:dyDescent="0.25">
      <c r="A37" s="40"/>
      <c r="B37" s="37" t="s">
        <v>40</v>
      </c>
      <c r="C37" s="42"/>
      <c r="D37" s="43"/>
      <c r="E37" s="43"/>
      <c r="F37" s="43"/>
      <c r="G37" s="33">
        <f>SUM(G36:G36)</f>
        <v>10</v>
      </c>
      <c r="H37" s="33" t="s">
        <v>72</v>
      </c>
      <c r="I37" s="33">
        <v>5144.96</v>
      </c>
      <c r="J37" s="44">
        <f>G37*I37</f>
        <v>51449.599999999999</v>
      </c>
      <c r="K37" s="36"/>
    </row>
    <row r="38" spans="1:11" ht="15" hidden="1" customHeight="1" x14ac:dyDescent="0.25">
      <c r="A38" s="40"/>
      <c r="B38" s="37" t="s">
        <v>38</v>
      </c>
      <c r="C38" s="42"/>
      <c r="D38" s="43"/>
      <c r="E38" s="43"/>
      <c r="F38" s="43"/>
      <c r="G38" s="43"/>
      <c r="H38" s="43"/>
      <c r="I38" s="43"/>
      <c r="J38" s="45">
        <f>0.13*G37*((57364.6)/12.5)</f>
        <v>5965.9183999999996</v>
      </c>
      <c r="K38" s="36"/>
    </row>
    <row r="39" spans="1:11" ht="15" customHeight="1" x14ac:dyDescent="0.25">
      <c r="A39" s="40"/>
      <c r="B39" s="37"/>
      <c r="C39" s="42"/>
      <c r="D39" s="43"/>
      <c r="E39" s="43"/>
      <c r="F39" s="43"/>
      <c r="G39" s="33"/>
      <c r="H39" s="33"/>
      <c r="I39" s="33"/>
      <c r="J39" s="44"/>
      <c r="K39" s="36"/>
    </row>
    <row r="40" spans="1:11" ht="15" customHeight="1" x14ac:dyDescent="0.25">
      <c r="A40" s="18">
        <v>7</v>
      </c>
      <c r="B40" s="30" t="s">
        <v>30</v>
      </c>
      <c r="C40" s="19">
        <v>1</v>
      </c>
      <c r="D40" s="20"/>
      <c r="E40" s="21"/>
      <c r="F40" s="21"/>
      <c r="G40" s="34">
        <f t="shared" ref="G40" si="2">PRODUCT(C40:F40)</f>
        <v>1</v>
      </c>
      <c r="H40" s="22" t="s">
        <v>31</v>
      </c>
      <c r="I40" s="23">
        <v>500</v>
      </c>
      <c r="J40" s="34">
        <f>G40*I40</f>
        <v>500</v>
      </c>
      <c r="K40" s="21"/>
    </row>
    <row r="41" spans="1:11" ht="15" customHeight="1" x14ac:dyDescent="0.25">
      <c r="A41" s="18"/>
      <c r="B41" s="24"/>
      <c r="C41" s="19"/>
      <c r="D41" s="20"/>
      <c r="E41" s="21"/>
      <c r="F41" s="21"/>
      <c r="G41" s="23"/>
      <c r="H41" s="22"/>
      <c r="I41" s="23"/>
      <c r="J41" s="41"/>
      <c r="K41" s="21"/>
    </row>
    <row r="42" spans="1:11" x14ac:dyDescent="0.25">
      <c r="A42" s="40"/>
      <c r="B42" s="46" t="s">
        <v>17</v>
      </c>
      <c r="C42" s="47"/>
      <c r="D42" s="38"/>
      <c r="E42" s="38"/>
      <c r="F42" s="38"/>
      <c r="G42" s="41"/>
      <c r="H42" s="41"/>
      <c r="I42" s="41"/>
      <c r="J42" s="41">
        <f>SUM(J10:J40)</f>
        <v>448359.42496248247</v>
      </c>
      <c r="K42" s="36"/>
    </row>
    <row r="43" spans="1:11" x14ac:dyDescent="0.25">
      <c r="A43" s="58"/>
      <c r="B43" s="61"/>
      <c r="C43" s="62"/>
      <c r="D43" s="59"/>
      <c r="E43" s="59"/>
      <c r="F43" s="59"/>
      <c r="G43" s="60"/>
      <c r="H43" s="60"/>
      <c r="I43" s="60"/>
      <c r="J43" s="60"/>
      <c r="K43" s="57"/>
    </row>
    <row r="44" spans="1:11" s="1" customFormat="1" hidden="1" x14ac:dyDescent="0.25">
      <c r="A44" s="50"/>
      <c r="B44" s="29" t="s">
        <v>54</v>
      </c>
      <c r="C44" s="72">
        <f>J42</f>
        <v>448359.42496248247</v>
      </c>
      <c r="D44" s="72"/>
      <c r="E44" s="39">
        <v>100</v>
      </c>
      <c r="F44" s="51"/>
      <c r="G44" s="52"/>
      <c r="H44" s="51"/>
      <c r="I44" s="53"/>
      <c r="J44" s="54"/>
      <c r="K44" s="55"/>
    </row>
    <row r="45" spans="1:11" hidden="1" x14ac:dyDescent="0.25">
      <c r="A45" s="56"/>
      <c r="B45" s="29" t="s">
        <v>32</v>
      </c>
      <c r="C45" s="75">
        <v>400000</v>
      </c>
      <c r="D45" s="75"/>
      <c r="E45" s="39"/>
      <c r="F45" s="49"/>
      <c r="G45" s="48"/>
      <c r="H45" s="48"/>
      <c r="I45" s="48"/>
      <c r="J45" s="48"/>
      <c r="K45" s="49"/>
    </row>
    <row r="46" spans="1:11" hidden="1" x14ac:dyDescent="0.25">
      <c r="A46" s="56"/>
      <c r="B46" s="29" t="s">
        <v>33</v>
      </c>
      <c r="C46" s="75">
        <f>C45-C48-C49</f>
        <v>380000</v>
      </c>
      <c r="D46" s="75"/>
      <c r="E46" s="39">
        <f>C46/C44*100</f>
        <v>84.753431921676992</v>
      </c>
      <c r="F46" s="49"/>
      <c r="G46" s="48"/>
      <c r="H46" s="48"/>
      <c r="I46" s="48"/>
      <c r="J46" s="48"/>
      <c r="K46" s="49"/>
    </row>
    <row r="47" spans="1:11" hidden="1" x14ac:dyDescent="0.25">
      <c r="A47" s="56"/>
      <c r="B47" s="29" t="s">
        <v>34</v>
      </c>
      <c r="C47" s="72">
        <f>C44-C46</f>
        <v>68359.424962482473</v>
      </c>
      <c r="D47" s="72"/>
      <c r="E47" s="39">
        <f>100-E46</f>
        <v>15.246568078323008</v>
      </c>
      <c r="F47" s="49"/>
      <c r="G47" s="48"/>
      <c r="H47" s="48"/>
      <c r="I47" s="48"/>
      <c r="J47" s="48"/>
      <c r="K47" s="49"/>
    </row>
    <row r="48" spans="1:11" hidden="1" x14ac:dyDescent="0.25">
      <c r="A48" s="56"/>
      <c r="B48" s="29" t="s">
        <v>35</v>
      </c>
      <c r="C48" s="72">
        <f>C45*0.03</f>
        <v>12000</v>
      </c>
      <c r="D48" s="72"/>
      <c r="E48" s="39">
        <v>3</v>
      </c>
      <c r="F48" s="49"/>
      <c r="G48" s="48"/>
      <c r="H48" s="48"/>
      <c r="I48" s="48"/>
      <c r="J48" s="48"/>
      <c r="K48" s="49"/>
    </row>
    <row r="49" spans="1:11" hidden="1" x14ac:dyDescent="0.25">
      <c r="A49" s="56"/>
      <c r="B49" s="29" t="s">
        <v>36</v>
      </c>
      <c r="C49" s="72">
        <f>C45*0.02</f>
        <v>8000</v>
      </c>
      <c r="D49" s="72"/>
      <c r="E49" s="39">
        <v>2</v>
      </c>
      <c r="F49" s="49"/>
      <c r="G49" s="48"/>
      <c r="H49" s="48"/>
      <c r="I49" s="48"/>
      <c r="J49" s="48"/>
      <c r="K49" s="49"/>
    </row>
    <row r="50" spans="1:11" s="35" customFormat="1" x14ac:dyDescent="0.25">
      <c r="A50" s="57"/>
      <c r="B50" s="57"/>
      <c r="C50" s="57"/>
      <c r="D50" s="57"/>
      <c r="E50" s="57"/>
      <c r="F50" s="57"/>
      <c r="G50" s="57"/>
      <c r="H50" s="57"/>
      <c r="I50" s="57"/>
      <c r="J50" s="57"/>
      <c r="K50" s="57"/>
    </row>
    <row r="51" spans="1:11" s="35" customFormat="1" x14ac:dyDescent="0.25"/>
    <row r="52" spans="1:11" s="35" customFormat="1" x14ac:dyDescent="0.25"/>
    <row r="53" spans="1:11" s="35" customFormat="1" x14ac:dyDescent="0.25"/>
    <row r="54" spans="1:11" s="35" customFormat="1" x14ac:dyDescent="0.25"/>
    <row r="55" spans="1:11" s="35" customFormat="1" x14ac:dyDescent="0.25"/>
    <row r="56" spans="1:11" s="35" customFormat="1" x14ac:dyDescent="0.25"/>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sheetData>
  <mergeCells count="14">
    <mergeCell ref="A6:F6"/>
    <mergeCell ref="A1:K1"/>
    <mergeCell ref="A2:K2"/>
    <mergeCell ref="A3:K3"/>
    <mergeCell ref="A4:K4"/>
    <mergeCell ref="A5:K5"/>
    <mergeCell ref="C47:D47"/>
    <mergeCell ref="C48:D48"/>
    <mergeCell ref="C49:D49"/>
    <mergeCell ref="A7:F7"/>
    <mergeCell ref="K16:K17"/>
    <mergeCell ref="C44:D44"/>
    <mergeCell ref="C45:D45"/>
    <mergeCell ref="C46:D46"/>
  </mergeCells>
  <pageMargins left="0.70866141732283472" right="0.70866141732283472" top="0.74803149606299213" bottom="0.74803149606299213" header="0.31496062992125984" footer="0.31496062992125984"/>
  <pageSetup paperSize="9" scale="95" orientation="portrait" r:id="rId1"/>
  <headerFooter>
    <oddFooter>&amp;LPrepared By:&amp;CChecked By:&amp;RApproved By: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A6" zoomScaleNormal="100" workbookViewId="0">
      <selection activeCell="E10" sqref="E10"/>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4" s="1" customFormat="1" x14ac:dyDescent="0.25">
      <c r="A1" s="80" t="s">
        <v>0</v>
      </c>
      <c r="B1" s="80"/>
      <c r="C1" s="80"/>
      <c r="D1" s="80"/>
      <c r="E1" s="80"/>
      <c r="F1" s="80"/>
      <c r="G1" s="80"/>
      <c r="H1" s="80"/>
      <c r="I1" s="80"/>
      <c r="J1" s="80"/>
      <c r="K1" s="80"/>
    </row>
    <row r="2" spans="1:14" s="1" customFormat="1" ht="22.5" x14ac:dyDescent="0.25">
      <c r="A2" s="81" t="s">
        <v>1</v>
      </c>
      <c r="B2" s="81"/>
      <c r="C2" s="81"/>
      <c r="D2" s="81"/>
      <c r="E2" s="81"/>
      <c r="F2" s="81"/>
      <c r="G2" s="81"/>
      <c r="H2" s="81"/>
      <c r="I2" s="81"/>
      <c r="J2" s="81"/>
      <c r="K2" s="81"/>
    </row>
    <row r="3" spans="1:14" s="1" customFormat="1" x14ac:dyDescent="0.25">
      <c r="A3" s="82" t="s">
        <v>2</v>
      </c>
      <c r="B3" s="82"/>
      <c r="C3" s="82"/>
      <c r="D3" s="82"/>
      <c r="E3" s="82"/>
      <c r="F3" s="82"/>
      <c r="G3" s="82"/>
      <c r="H3" s="82"/>
      <c r="I3" s="82"/>
      <c r="J3" s="82"/>
      <c r="K3" s="82"/>
    </row>
    <row r="4" spans="1:14" s="1" customFormat="1" x14ac:dyDescent="0.25">
      <c r="A4" s="82" t="s">
        <v>3</v>
      </c>
      <c r="B4" s="82"/>
      <c r="C4" s="82"/>
      <c r="D4" s="82"/>
      <c r="E4" s="82"/>
      <c r="F4" s="82"/>
      <c r="G4" s="82"/>
      <c r="H4" s="82"/>
      <c r="I4" s="82"/>
      <c r="J4" s="82"/>
      <c r="K4" s="82"/>
    </row>
    <row r="5" spans="1:14" ht="18.75" x14ac:dyDescent="0.3">
      <c r="A5" s="83" t="s">
        <v>53</v>
      </c>
      <c r="B5" s="83"/>
      <c r="C5" s="83"/>
      <c r="D5" s="83"/>
      <c r="E5" s="83"/>
      <c r="F5" s="83"/>
      <c r="G5" s="83"/>
      <c r="H5" s="83"/>
      <c r="I5" s="83"/>
      <c r="J5" s="83"/>
      <c r="K5" s="83"/>
    </row>
    <row r="6" spans="1:14" ht="15.75" x14ac:dyDescent="0.25">
      <c r="A6" s="78" t="s">
        <v>51</v>
      </c>
      <c r="B6" s="78"/>
      <c r="C6" s="78"/>
      <c r="D6" s="78"/>
      <c r="E6" s="78"/>
      <c r="F6" s="78"/>
      <c r="G6" s="2"/>
      <c r="H6" s="79" t="s">
        <v>43</v>
      </c>
      <c r="I6" s="79"/>
      <c r="J6" s="79"/>
      <c r="K6" s="79"/>
    </row>
    <row r="7" spans="1:14" ht="15.75" x14ac:dyDescent="0.25">
      <c r="A7" s="73" t="s">
        <v>28</v>
      </c>
      <c r="B7" s="73"/>
      <c r="C7" s="73"/>
      <c r="D7" s="73"/>
      <c r="E7" s="73"/>
      <c r="F7" s="73"/>
      <c r="G7" s="3"/>
      <c r="H7" s="74" t="s">
        <v>52</v>
      </c>
      <c r="I7" s="74"/>
      <c r="J7" s="74"/>
      <c r="K7" s="74"/>
    </row>
    <row r="8" spans="1:14" ht="15" customHeight="1" x14ac:dyDescent="0.25">
      <c r="A8" s="4" t="s">
        <v>5</v>
      </c>
      <c r="B8" s="15" t="s">
        <v>6</v>
      </c>
      <c r="C8" s="4" t="s">
        <v>7</v>
      </c>
      <c r="D8" s="16" t="s">
        <v>8</v>
      </c>
      <c r="E8" s="16" t="s">
        <v>9</v>
      </c>
      <c r="F8" s="16" t="s">
        <v>10</v>
      </c>
      <c r="G8" s="16" t="s">
        <v>11</v>
      </c>
      <c r="H8" s="4" t="s">
        <v>12</v>
      </c>
      <c r="I8" s="16" t="s">
        <v>13</v>
      </c>
      <c r="J8" s="16" t="s">
        <v>14</v>
      </c>
      <c r="K8" s="17" t="s">
        <v>15</v>
      </c>
    </row>
    <row r="9" spans="1:14" ht="150" x14ac:dyDescent="0.25">
      <c r="A9" s="63">
        <v>1</v>
      </c>
      <c r="B9" s="30" t="s">
        <v>50</v>
      </c>
      <c r="C9" s="36"/>
      <c r="D9" s="36"/>
      <c r="E9" s="36"/>
      <c r="F9" s="36"/>
      <c r="G9" s="36"/>
      <c r="H9" s="36"/>
      <c r="I9" s="36"/>
      <c r="J9" s="36"/>
      <c r="K9" s="36"/>
    </row>
    <row r="10" spans="1:14" ht="15" customHeight="1" x14ac:dyDescent="0.25">
      <c r="A10" s="18"/>
      <c r="B10" s="37" t="s">
        <v>47</v>
      </c>
      <c r="C10" s="36">
        <v>0.5</v>
      </c>
      <c r="D10" s="38">
        <f>D25</f>
        <v>15</v>
      </c>
      <c r="E10" s="38">
        <f>F25/2</f>
        <v>1.25</v>
      </c>
      <c r="F10" s="38">
        <v>1</v>
      </c>
      <c r="G10" s="39">
        <f>PRODUCT(C10:F10)</f>
        <v>9.375</v>
      </c>
      <c r="H10" s="40"/>
      <c r="I10" s="40"/>
      <c r="J10" s="40"/>
      <c r="K10" s="21"/>
      <c r="M10" s="25"/>
      <c r="N10" s="25"/>
    </row>
    <row r="11" spans="1:14" ht="15" customHeight="1" x14ac:dyDescent="0.25">
      <c r="A11" s="18"/>
      <c r="B11" s="37" t="s">
        <v>40</v>
      </c>
      <c r="C11" s="19"/>
      <c r="D11" s="20"/>
      <c r="E11" s="21"/>
      <c r="F11" s="21"/>
      <c r="G11" s="23">
        <f>SUM(G10:G10)</f>
        <v>9.375</v>
      </c>
      <c r="H11" s="22" t="s">
        <v>39</v>
      </c>
      <c r="I11" s="23">
        <v>64.63</v>
      </c>
      <c r="J11" s="41">
        <f>G11*I11</f>
        <v>605.90625</v>
      </c>
      <c r="K11" s="21"/>
      <c r="M11" s="25"/>
      <c r="N11" s="25"/>
    </row>
    <row r="12" spans="1:14" ht="15" customHeight="1" x14ac:dyDescent="0.25">
      <c r="A12" s="18"/>
      <c r="B12" s="37" t="s">
        <v>38</v>
      </c>
      <c r="C12" s="19"/>
      <c r="D12" s="20"/>
      <c r="E12" s="21"/>
      <c r="F12" s="21"/>
      <c r="G12" s="23"/>
      <c r="H12" s="22"/>
      <c r="I12" s="23"/>
      <c r="J12" s="41">
        <f>0.13*G11*19284/360</f>
        <v>65.284374999999997</v>
      </c>
      <c r="K12" s="21"/>
      <c r="M12" s="25"/>
      <c r="N12" s="25"/>
    </row>
    <row r="13" spans="1:14" ht="15" customHeight="1" x14ac:dyDescent="0.25">
      <c r="A13" s="18"/>
      <c r="B13" s="37"/>
      <c r="C13" s="19"/>
      <c r="D13" s="20"/>
      <c r="E13" s="21"/>
      <c r="F13" s="21"/>
      <c r="G13" s="23"/>
      <c r="H13" s="22"/>
      <c r="I13" s="23"/>
      <c r="J13" s="41"/>
      <c r="K13" s="21"/>
      <c r="M13" s="25"/>
      <c r="N13" s="25"/>
    </row>
    <row r="14" spans="1:14" ht="60" x14ac:dyDescent="0.25">
      <c r="A14" s="18">
        <v>2</v>
      </c>
      <c r="B14" s="30" t="s">
        <v>57</v>
      </c>
      <c r="C14" s="19"/>
      <c r="D14" s="20"/>
      <c r="E14" s="21"/>
      <c r="F14" s="21"/>
      <c r="G14" s="23"/>
      <c r="H14" s="22"/>
      <c r="I14" s="23"/>
      <c r="J14" s="41"/>
      <c r="K14" s="21"/>
    </row>
    <row r="15" spans="1:14" x14ac:dyDescent="0.25">
      <c r="A15" s="18"/>
      <c r="B15" s="37" t="s">
        <v>58</v>
      </c>
      <c r="C15" s="19">
        <v>1</v>
      </c>
      <c r="D15" s="20">
        <v>60</v>
      </c>
      <c r="E15" s="21">
        <v>0.38</v>
      </c>
      <c r="F15" s="38">
        <f>ROUNDUP(D15/E15,0)</f>
        <v>158</v>
      </c>
      <c r="G15" s="39">
        <f>F15*C15</f>
        <v>158</v>
      </c>
      <c r="H15" s="22"/>
      <c r="I15" s="23"/>
      <c r="J15" s="41"/>
      <c r="K15" s="76" t="s">
        <v>59</v>
      </c>
    </row>
    <row r="16" spans="1:14" x14ac:dyDescent="0.25">
      <c r="A16" s="18"/>
      <c r="B16" s="37" t="s">
        <v>40</v>
      </c>
      <c r="C16" s="19"/>
      <c r="D16" s="20"/>
      <c r="E16" s="21"/>
      <c r="F16" s="21"/>
      <c r="G16" s="23">
        <f>SUM(G15:G15)</f>
        <v>158</v>
      </c>
      <c r="H16" s="22" t="s">
        <v>60</v>
      </c>
      <c r="I16" s="23">
        <v>92</v>
      </c>
      <c r="J16" s="41">
        <f>G16*I16</f>
        <v>14536</v>
      </c>
      <c r="K16" s="77"/>
    </row>
    <row r="17" spans="1:19" ht="15" customHeight="1" x14ac:dyDescent="0.25">
      <c r="A17" s="18"/>
      <c r="B17" s="37"/>
      <c r="C17" s="19"/>
      <c r="D17" s="20"/>
      <c r="E17" s="21"/>
      <c r="F17" s="21"/>
      <c r="G17" s="23"/>
      <c r="H17" s="22"/>
      <c r="I17" s="23"/>
      <c r="J17" s="41"/>
      <c r="K17" s="21"/>
      <c r="M17" s="25"/>
      <c r="N17" s="25"/>
    </row>
    <row r="18" spans="1:19" ht="75" x14ac:dyDescent="0.25">
      <c r="A18" s="18">
        <v>4</v>
      </c>
      <c r="B18" s="30" t="s">
        <v>41</v>
      </c>
      <c r="C18" s="19"/>
      <c r="D18" s="20"/>
      <c r="E18" s="21"/>
      <c r="F18" s="21"/>
      <c r="G18" s="23"/>
      <c r="H18" s="22"/>
      <c r="I18" s="23"/>
      <c r="J18" s="41"/>
      <c r="K18" s="21"/>
      <c r="M18" s="25"/>
      <c r="N18" s="25"/>
    </row>
    <row r="19" spans="1:19" ht="15" customHeight="1" x14ac:dyDescent="0.25">
      <c r="A19" s="18"/>
      <c r="B19" s="37" t="s">
        <v>47</v>
      </c>
      <c r="C19" s="36">
        <v>1</v>
      </c>
      <c r="D19" s="38">
        <f>D25</f>
        <v>15</v>
      </c>
      <c r="E19" s="38">
        <f>4.333/3.281</f>
        <v>1.3206339530630906</v>
      </c>
      <c r="F19" s="38">
        <v>7.4999999999999997E-2</v>
      </c>
      <c r="G19" s="39">
        <f>PRODUCT(C19:F19)</f>
        <v>1.4857131971959769</v>
      </c>
      <c r="H19" s="40"/>
      <c r="I19" s="40"/>
      <c r="J19" s="40"/>
      <c r="K19" s="21"/>
      <c r="M19" s="25"/>
      <c r="N19" s="25"/>
    </row>
    <row r="20" spans="1:19" ht="15" customHeight="1" x14ac:dyDescent="0.25">
      <c r="A20" s="18"/>
      <c r="B20" s="37"/>
      <c r="C20" s="36">
        <v>1</v>
      </c>
      <c r="D20" s="38">
        <f>D19</f>
        <v>15</v>
      </c>
      <c r="E20" s="38">
        <v>0.45</v>
      </c>
      <c r="F20" s="38">
        <v>0.05</v>
      </c>
      <c r="G20" s="39">
        <f>PRODUCT(C20:F20)</f>
        <v>0.33750000000000002</v>
      </c>
      <c r="H20" s="40"/>
      <c r="I20" s="40"/>
      <c r="J20" s="40"/>
      <c r="K20" s="21"/>
      <c r="M20" s="25"/>
      <c r="N20" s="25"/>
    </row>
    <row r="21" spans="1:19" ht="15" customHeight="1" x14ac:dyDescent="0.25">
      <c r="A21" s="40"/>
      <c r="B21" s="37" t="s">
        <v>40</v>
      </c>
      <c r="C21" s="42"/>
      <c r="D21" s="43"/>
      <c r="E21" s="43"/>
      <c r="F21" s="43"/>
      <c r="G21" s="33">
        <f>SUM(G19:G20)</f>
        <v>1.8232131971959769</v>
      </c>
      <c r="H21" s="33" t="s">
        <v>39</v>
      </c>
      <c r="I21" s="33">
        <v>10634.5</v>
      </c>
      <c r="J21" s="44">
        <f>G21*I21</f>
        <v>19388.960745580614</v>
      </c>
      <c r="K21" s="36"/>
    </row>
    <row r="22" spans="1:19" ht="15" customHeight="1" x14ac:dyDescent="0.25">
      <c r="A22" s="40"/>
      <c r="B22" s="37" t="s">
        <v>38</v>
      </c>
      <c r="C22" s="42"/>
      <c r="D22" s="43"/>
      <c r="E22" s="43"/>
      <c r="F22" s="43"/>
      <c r="G22" s="43"/>
      <c r="H22" s="43"/>
      <c r="I22" s="43"/>
      <c r="J22" s="45">
        <f>0.13*G21*((114907.3+6135.3)/15)</f>
        <v>1912.616036438586</v>
      </c>
      <c r="K22" s="36"/>
    </row>
    <row r="23" spans="1:19" ht="15" customHeight="1" x14ac:dyDescent="0.25">
      <c r="A23" s="40"/>
      <c r="B23" s="37"/>
      <c r="C23" s="42"/>
      <c r="D23" s="43"/>
      <c r="E23" s="43"/>
      <c r="F23" s="43"/>
      <c r="G23" s="43"/>
      <c r="H23" s="43"/>
      <c r="I23" s="43"/>
      <c r="J23" s="45"/>
      <c r="K23" s="36"/>
    </row>
    <row r="24" spans="1:19" s="1" customFormat="1" ht="90" x14ac:dyDescent="0.25">
      <c r="A24" s="63">
        <v>5</v>
      </c>
      <c r="B24" s="30" t="s">
        <v>48</v>
      </c>
      <c r="C24" s="64"/>
      <c r="D24" s="39"/>
      <c r="E24" s="39"/>
      <c r="F24" s="39"/>
      <c r="G24" s="39"/>
      <c r="H24" s="39"/>
      <c r="I24" s="39"/>
      <c r="J24" s="45"/>
      <c r="K24" s="29"/>
    </row>
    <row r="25" spans="1:19" ht="15" customHeight="1" x14ac:dyDescent="0.25">
      <c r="A25" s="18"/>
      <c r="B25" s="37" t="s">
        <v>47</v>
      </c>
      <c r="C25" s="36">
        <v>1</v>
      </c>
      <c r="D25" s="38">
        <v>15</v>
      </c>
      <c r="E25" s="38">
        <f>((F25/2+0.45)/2)</f>
        <v>0.85</v>
      </c>
      <c r="F25" s="38">
        <v>2.5</v>
      </c>
      <c r="G25" s="39">
        <f>PRODUCT(C25:F25)</f>
        <v>31.875</v>
      </c>
      <c r="H25" s="40"/>
      <c r="I25" s="40"/>
      <c r="J25" s="40"/>
      <c r="K25" s="21"/>
      <c r="M25" s="25"/>
      <c r="N25">
        <f>2.5/2</f>
        <v>1.25</v>
      </c>
    </row>
    <row r="26" spans="1:19" ht="15" customHeight="1" x14ac:dyDescent="0.25">
      <c r="A26" s="40"/>
      <c r="B26" s="37" t="s">
        <v>40</v>
      </c>
      <c r="C26" s="42"/>
      <c r="D26" s="43"/>
      <c r="E26" s="43"/>
      <c r="F26" s="43"/>
      <c r="G26" s="33">
        <f>SUM(G25:G25)</f>
        <v>31.875</v>
      </c>
      <c r="H26" s="33" t="s">
        <v>39</v>
      </c>
      <c r="I26" s="33">
        <v>9709.43</v>
      </c>
      <c r="J26" s="44">
        <f>G26*I26</f>
        <v>309488.08124999999</v>
      </c>
      <c r="K26" s="36"/>
    </row>
    <row r="27" spans="1:19" ht="15" customHeight="1" x14ac:dyDescent="0.25">
      <c r="A27" s="40"/>
      <c r="B27" s="37" t="s">
        <v>38</v>
      </c>
      <c r="C27" s="42"/>
      <c r="D27" s="43"/>
      <c r="E27" s="43"/>
      <c r="F27" s="43"/>
      <c r="G27" s="43"/>
      <c r="H27" s="43"/>
      <c r="I27" s="43"/>
      <c r="J27" s="45">
        <f>0.13*G26*((27092.1)/5)</f>
        <v>22452.577874999999</v>
      </c>
      <c r="K27" s="36"/>
      <c r="M27">
        <f>8.5/3.281</f>
        <v>2.5906735751295336</v>
      </c>
      <c r="N27">
        <f>8.5-0.17</f>
        <v>8.33</v>
      </c>
      <c r="O27">
        <f>8.33/3.281</f>
        <v>2.5388601036269427</v>
      </c>
      <c r="P27">
        <f>8.333/3.281</f>
        <v>2.5397744590064004</v>
      </c>
    </row>
    <row r="28" spans="1:19" ht="15" customHeight="1" x14ac:dyDescent="0.25">
      <c r="A28" s="40"/>
      <c r="B28" s="37"/>
      <c r="C28" s="42"/>
      <c r="D28" s="43"/>
      <c r="E28" s="43"/>
      <c r="F28" s="43"/>
      <c r="G28" s="33"/>
      <c r="H28" s="33"/>
      <c r="I28" s="33"/>
      <c r="J28" s="44"/>
      <c r="K28" s="36"/>
    </row>
    <row r="29" spans="1:19" s="1" customFormat="1" ht="105" x14ac:dyDescent="0.25">
      <c r="A29" s="63">
        <v>6</v>
      </c>
      <c r="B29" s="30" t="s">
        <v>55</v>
      </c>
      <c r="C29" s="64"/>
      <c r="D29" s="39"/>
      <c r="E29" s="39"/>
      <c r="F29" s="39"/>
      <c r="G29" s="39"/>
      <c r="H29" s="39"/>
      <c r="I29" s="39"/>
      <c r="J29" s="45"/>
      <c r="K29" s="29"/>
    </row>
    <row r="30" spans="1:19" ht="15" customHeight="1" x14ac:dyDescent="0.25">
      <c r="A30" s="18"/>
      <c r="B30" s="37" t="s">
        <v>56</v>
      </c>
      <c r="C30" s="36">
        <v>4</v>
      </c>
      <c r="D30" s="38">
        <f>2.5</f>
        <v>2.5</v>
      </c>
      <c r="E30" s="38"/>
      <c r="F30" s="38"/>
      <c r="G30" s="39">
        <f>PRODUCT(C30:F30)</f>
        <v>10</v>
      </c>
      <c r="H30" s="40"/>
      <c r="I30" s="40"/>
      <c r="J30" s="40"/>
      <c r="K30" s="21"/>
      <c r="M30" s="25"/>
      <c r="N30" s="1"/>
      <c r="O30" s="1"/>
      <c r="P30" s="1"/>
      <c r="Q30" s="1"/>
      <c r="R30" s="25"/>
      <c r="S30" s="25"/>
    </row>
    <row r="31" spans="1:19" ht="15" customHeight="1" x14ac:dyDescent="0.25">
      <c r="A31" s="40"/>
      <c r="B31" s="37" t="s">
        <v>40</v>
      </c>
      <c r="C31" s="42"/>
      <c r="D31" s="43"/>
      <c r="E31" s="43"/>
      <c r="F31" s="43"/>
      <c r="G31" s="33">
        <f>SUM(G30:G30)</f>
        <v>10</v>
      </c>
      <c r="H31" s="33" t="s">
        <v>39</v>
      </c>
      <c r="I31" s="33">
        <v>5144.96</v>
      </c>
      <c r="J31" s="44">
        <f>G31*I31</f>
        <v>51449.599999999999</v>
      </c>
      <c r="K31" s="36"/>
    </row>
    <row r="32" spans="1:19" ht="15" customHeight="1" x14ac:dyDescent="0.25">
      <c r="A32" s="40"/>
      <c r="B32" s="37" t="s">
        <v>38</v>
      </c>
      <c r="C32" s="42"/>
      <c r="D32" s="43"/>
      <c r="E32" s="43"/>
      <c r="F32" s="43"/>
      <c r="G32" s="43"/>
      <c r="H32" s="43"/>
      <c r="I32" s="43"/>
      <c r="J32" s="45">
        <f>0.13*G31*((57364.6)/12.5)</f>
        <v>5965.9183999999996</v>
      </c>
      <c r="K32" s="36"/>
    </row>
    <row r="33" spans="1:14" ht="15" customHeight="1" x14ac:dyDescent="0.25">
      <c r="A33" s="40"/>
      <c r="B33" s="37"/>
      <c r="C33" s="42"/>
      <c r="D33" s="43"/>
      <c r="E33" s="43"/>
      <c r="F33" s="43"/>
      <c r="G33" s="33"/>
      <c r="H33" s="33"/>
      <c r="I33" s="33"/>
      <c r="J33" s="44"/>
      <c r="K33" s="36"/>
    </row>
    <row r="34" spans="1:14" ht="15" customHeight="1" x14ac:dyDescent="0.25">
      <c r="A34" s="18">
        <v>6</v>
      </c>
      <c r="B34" s="30" t="s">
        <v>30</v>
      </c>
      <c r="C34" s="19">
        <v>1</v>
      </c>
      <c r="D34" s="20"/>
      <c r="E34" s="21"/>
      <c r="F34" s="21"/>
      <c r="G34" s="34">
        <f t="shared" ref="G34" si="0">PRODUCT(C34:F34)</f>
        <v>1</v>
      </c>
      <c r="H34" s="22" t="s">
        <v>31</v>
      </c>
      <c r="I34" s="23">
        <v>500</v>
      </c>
      <c r="J34" s="34">
        <f>G34*I34</f>
        <v>500</v>
      </c>
      <c r="K34" s="21"/>
      <c r="M34" s="25"/>
      <c r="N34" s="25"/>
    </row>
    <row r="35" spans="1:14" ht="15" customHeight="1" x14ac:dyDescent="0.25">
      <c r="A35" s="18"/>
      <c r="B35" s="24"/>
      <c r="C35" s="19"/>
      <c r="D35" s="20"/>
      <c r="E35" s="21"/>
      <c r="F35" s="21"/>
      <c r="G35" s="23"/>
      <c r="H35" s="22"/>
      <c r="I35" s="23"/>
      <c r="J35" s="41"/>
      <c r="K35" s="21"/>
      <c r="M35" s="25"/>
      <c r="N35" s="25"/>
    </row>
    <row r="36" spans="1:14" x14ac:dyDescent="0.25">
      <c r="A36" s="40"/>
      <c r="B36" s="46" t="s">
        <v>17</v>
      </c>
      <c r="C36" s="47"/>
      <c r="D36" s="38"/>
      <c r="E36" s="38"/>
      <c r="F36" s="38"/>
      <c r="G36" s="41"/>
      <c r="H36" s="41"/>
      <c r="I36" s="41"/>
      <c r="J36" s="41">
        <f>SUM(J10:J34)</f>
        <v>426364.94493201922</v>
      </c>
      <c r="K36" s="36"/>
    </row>
    <row r="37" spans="1:14" x14ac:dyDescent="0.25">
      <c r="A37" s="58"/>
      <c r="B37" s="61"/>
      <c r="C37" s="62"/>
      <c r="D37" s="59"/>
      <c r="E37" s="59"/>
      <c r="F37" s="59"/>
      <c r="G37" s="60"/>
      <c r="H37" s="60"/>
      <c r="I37" s="60"/>
      <c r="J37" s="60"/>
      <c r="K37" s="57"/>
    </row>
    <row r="38" spans="1:14" s="1" customFormat="1" x14ac:dyDescent="0.25">
      <c r="A38" s="50"/>
      <c r="B38" s="29" t="s">
        <v>54</v>
      </c>
      <c r="C38" s="72">
        <f>J36</f>
        <v>426364.94493201922</v>
      </c>
      <c r="D38" s="72"/>
      <c r="E38" s="39">
        <v>100</v>
      </c>
      <c r="F38" s="51"/>
      <c r="G38" s="52"/>
      <c r="H38" s="51"/>
      <c r="I38" s="53"/>
      <c r="J38" s="54"/>
      <c r="K38" s="55"/>
    </row>
    <row r="39" spans="1:14" x14ac:dyDescent="0.25">
      <c r="A39" s="56"/>
      <c r="B39" s="29" t="s">
        <v>32</v>
      </c>
      <c r="C39" s="75">
        <v>400000</v>
      </c>
      <c r="D39" s="75"/>
      <c r="E39" s="39"/>
      <c r="F39" s="49"/>
      <c r="G39" s="48"/>
      <c r="H39" s="48"/>
      <c r="I39" s="48"/>
      <c r="J39" s="48"/>
      <c r="K39" s="49"/>
    </row>
    <row r="40" spans="1:14" x14ac:dyDescent="0.25">
      <c r="A40" s="56"/>
      <c r="B40" s="29" t="s">
        <v>33</v>
      </c>
      <c r="C40" s="75">
        <f>C39-C42-C43</f>
        <v>380000</v>
      </c>
      <c r="D40" s="75"/>
      <c r="E40" s="39">
        <f>C40/C38*100</f>
        <v>89.125526035117218</v>
      </c>
      <c r="F40" s="49"/>
      <c r="G40" s="48"/>
      <c r="H40" s="48"/>
      <c r="I40" s="48"/>
      <c r="J40" s="48"/>
      <c r="K40" s="49"/>
    </row>
    <row r="41" spans="1:14" x14ac:dyDescent="0.25">
      <c r="A41" s="56"/>
      <c r="B41" s="29" t="s">
        <v>34</v>
      </c>
      <c r="C41" s="72">
        <f>C38-C40</f>
        <v>46364.944932019222</v>
      </c>
      <c r="D41" s="72"/>
      <c r="E41" s="39">
        <f>100-E40</f>
        <v>10.874473964882782</v>
      </c>
      <c r="F41" s="49"/>
      <c r="G41" s="48"/>
      <c r="H41" s="48"/>
      <c r="I41" s="48"/>
      <c r="J41" s="48"/>
      <c r="K41" s="49"/>
    </row>
    <row r="42" spans="1:14" x14ac:dyDescent="0.25">
      <c r="A42" s="56"/>
      <c r="B42" s="29" t="s">
        <v>35</v>
      </c>
      <c r="C42" s="72">
        <f>C39*0.03</f>
        <v>12000</v>
      </c>
      <c r="D42" s="72"/>
      <c r="E42" s="39">
        <v>3</v>
      </c>
      <c r="F42" s="49"/>
      <c r="G42" s="48"/>
      <c r="H42" s="48"/>
      <c r="I42" s="48"/>
      <c r="J42" s="48"/>
      <c r="K42" s="49"/>
    </row>
    <row r="43" spans="1:14" x14ac:dyDescent="0.25">
      <c r="A43" s="56"/>
      <c r="B43" s="29" t="s">
        <v>36</v>
      </c>
      <c r="C43" s="72">
        <f>C39*0.02</f>
        <v>8000</v>
      </c>
      <c r="D43" s="72"/>
      <c r="E43" s="39">
        <v>2</v>
      </c>
      <c r="F43" s="49"/>
      <c r="G43" s="48"/>
      <c r="H43" s="48"/>
      <c r="I43" s="48"/>
      <c r="J43" s="48"/>
      <c r="K43" s="49"/>
    </row>
    <row r="44" spans="1:14" s="35" customFormat="1" x14ac:dyDescent="0.25">
      <c r="A44" s="57"/>
      <c r="B44" s="57"/>
      <c r="C44" s="57"/>
      <c r="D44" s="57"/>
      <c r="E44" s="57"/>
      <c r="F44" s="57"/>
      <c r="G44" s="57"/>
      <c r="H44" s="57"/>
      <c r="I44" s="57"/>
      <c r="J44" s="57"/>
      <c r="K44" s="57"/>
    </row>
    <row r="45" spans="1:14" s="35" customFormat="1" x14ac:dyDescent="0.25"/>
    <row r="46" spans="1:14" s="35" customFormat="1" x14ac:dyDescent="0.25"/>
    <row r="47" spans="1:14" s="35" customFormat="1" x14ac:dyDescent="0.25"/>
    <row r="48" spans="1:14"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sheetData>
  <mergeCells count="16">
    <mergeCell ref="C42:D42"/>
    <mergeCell ref="C43:D43"/>
    <mergeCell ref="A7:F7"/>
    <mergeCell ref="H7:K7"/>
    <mergeCell ref="C38:D38"/>
    <mergeCell ref="C39:D39"/>
    <mergeCell ref="C40:D40"/>
    <mergeCell ref="C41:D41"/>
    <mergeCell ref="K15:K16"/>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Estimate (3)</vt:lpstr>
      <vt:lpstr>WCR</vt:lpstr>
      <vt:lpstr>Valuated</vt:lpstr>
      <vt:lpstr>M</vt:lpstr>
      <vt:lpstr>V</vt:lpstr>
      <vt:lpstr>'Estimate (3)'!Print_Area</vt:lpstr>
      <vt:lpstr>M!Print_Area</vt:lpstr>
      <vt:lpstr>V!Print_Area</vt:lpstr>
      <vt:lpstr>Valuated!Print_Area</vt:lpstr>
      <vt:lpstr>WCR!Print_Area</vt:lpstr>
      <vt:lpstr>'Estimate (3)'!Print_Titles</vt:lpstr>
      <vt:lpstr>M!Print_Titles</vt:lpstr>
      <vt:lpstr>V!Print_Titles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2025-07-02T06:17:30Z</cp:lastPrinted>
  <dcterms:created xsi:type="dcterms:W3CDTF">2015-06-05T18:17:20Z</dcterms:created>
  <dcterms:modified xsi:type="dcterms:W3CDTF">2025-07-02T06:17:42Z</dcterms:modified>
</cp:coreProperties>
</file>