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Estimate" sheetId="1" r:id="rId1"/>
    <sheet name="Valuation" sheetId="6" r:id="rId2"/>
    <sheet name="Field measurement" sheetId="5" r:id="rId3"/>
    <sheet name="WCR" sheetId="7" r:id="rId4"/>
    <sheet name="measure" sheetId="9"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4">measure!$A$1:$K$62</definedName>
    <definedName name="_xlnm.Print_Area" localSheetId="1">Valuation!$A$1:$K$62</definedName>
    <definedName name="_xlnm.Print_Area" localSheetId="3">WCR!$A$1:$K$29</definedName>
    <definedName name="_xlnm.Print_Titles" localSheetId="3">WCR!$1:$12</definedName>
  </definedNames>
  <calcPr calcId="152511"/>
</workbook>
</file>

<file path=xl/calcChain.xml><?xml version="1.0" encoding="utf-8"?>
<calcChain xmlns="http://schemas.openxmlformats.org/spreadsheetml/2006/main">
  <c r="B23" i="9" l="1"/>
  <c r="B24" i="9"/>
  <c r="B25" i="9"/>
  <c r="B26" i="9"/>
  <c r="B27" i="9"/>
  <c r="B28" i="9"/>
  <c r="B29" i="9"/>
  <c r="B22" i="9"/>
  <c r="B11" i="9"/>
  <c r="B12" i="9"/>
  <c r="B13" i="9"/>
  <c r="B14" i="9"/>
  <c r="B44" i="9" s="1"/>
  <c r="B15" i="9"/>
  <c r="B16" i="9"/>
  <c r="B17" i="9"/>
  <c r="B10" i="9"/>
  <c r="B11" i="6"/>
  <c r="B12" i="6"/>
  <c r="B13" i="6"/>
  <c r="B14" i="6"/>
  <c r="B15" i="6"/>
  <c r="B16" i="6"/>
  <c r="B17" i="6"/>
  <c r="B10" i="6"/>
  <c r="C62" i="9"/>
  <c r="C61" i="9"/>
  <c r="G53" i="9"/>
  <c r="J53" i="9" s="1"/>
  <c r="G51" i="9"/>
  <c r="J51" i="9" s="1"/>
  <c r="E47" i="9"/>
  <c r="D47" i="9"/>
  <c r="G47" i="9" s="1"/>
  <c r="B47" i="9"/>
  <c r="G46" i="9"/>
  <c r="E46" i="9"/>
  <c r="D46" i="9"/>
  <c r="B46" i="9"/>
  <c r="D45" i="9"/>
  <c r="B45" i="9"/>
  <c r="D44" i="9"/>
  <c r="D43" i="9"/>
  <c r="B43" i="9"/>
  <c r="D42" i="9"/>
  <c r="B42" i="9"/>
  <c r="D41" i="9"/>
  <c r="B41" i="9"/>
  <c r="B40" i="9"/>
  <c r="E35" i="9"/>
  <c r="E34" i="9"/>
  <c r="O32" i="9"/>
  <c r="E29" i="9"/>
  <c r="D29" i="9"/>
  <c r="G29" i="9" s="1"/>
  <c r="E28" i="9"/>
  <c r="D28" i="9"/>
  <c r="G28" i="9" s="1"/>
  <c r="D27" i="9"/>
  <c r="D26" i="9"/>
  <c r="D25" i="9"/>
  <c r="D24" i="9"/>
  <c r="D23" i="9"/>
  <c r="E17" i="9"/>
  <c r="D17" i="9"/>
  <c r="G17" i="9" s="1"/>
  <c r="G16" i="9"/>
  <c r="E16" i="9"/>
  <c r="D16" i="9"/>
  <c r="D15" i="9"/>
  <c r="D14" i="9"/>
  <c r="D13" i="9"/>
  <c r="D12" i="9"/>
  <c r="D11" i="9"/>
  <c r="B41" i="6"/>
  <c r="B42" i="6"/>
  <c r="B43" i="6"/>
  <c r="B44" i="6"/>
  <c r="B45" i="6"/>
  <c r="B46" i="6"/>
  <c r="B47" i="6"/>
  <c r="B40" i="6"/>
  <c r="D42" i="6"/>
  <c r="D43" i="6"/>
  <c r="D44" i="6"/>
  <c r="D45" i="6"/>
  <c r="D46" i="6"/>
  <c r="D47" i="6"/>
  <c r="D41" i="6"/>
  <c r="B23" i="6"/>
  <c r="B24" i="6"/>
  <c r="B25" i="6"/>
  <c r="B26" i="6"/>
  <c r="B27" i="6"/>
  <c r="B28" i="6"/>
  <c r="B29" i="6"/>
  <c r="B22" i="6"/>
  <c r="D24" i="6"/>
  <c r="D25" i="6"/>
  <c r="D26" i="6"/>
  <c r="D27" i="6"/>
  <c r="D28" i="6"/>
  <c r="D29" i="6"/>
  <c r="D23" i="6"/>
  <c r="D12" i="6"/>
  <c r="D13" i="6"/>
  <c r="D14" i="6"/>
  <c r="D15" i="6"/>
  <c r="D16" i="6"/>
  <c r="D17" i="6"/>
  <c r="D11" i="6"/>
  <c r="C59" i="9" l="1"/>
  <c r="D35" i="9"/>
  <c r="C34" i="9" s="1"/>
  <c r="E35" i="6"/>
  <c r="E34" i="6"/>
  <c r="H27" i="7"/>
  <c r="G27" i="7"/>
  <c r="E27" i="7"/>
  <c r="D27" i="7"/>
  <c r="C27" i="7"/>
  <c r="H25" i="7"/>
  <c r="G25" i="7"/>
  <c r="E25" i="7"/>
  <c r="D25" i="7"/>
  <c r="F25" i="7" s="1"/>
  <c r="C25" i="7"/>
  <c r="H22" i="7"/>
  <c r="F23" i="7"/>
  <c r="E22" i="7"/>
  <c r="D22" i="7"/>
  <c r="C22" i="7"/>
  <c r="H19" i="7"/>
  <c r="F20" i="7"/>
  <c r="E19" i="7"/>
  <c r="D19" i="7"/>
  <c r="C19" i="7"/>
  <c r="H16" i="7"/>
  <c r="F17" i="7"/>
  <c r="E16" i="7"/>
  <c r="D16" i="7"/>
  <c r="C16" i="7"/>
  <c r="H13" i="7"/>
  <c r="F14" i="7"/>
  <c r="E13" i="7"/>
  <c r="D13" i="7"/>
  <c r="C13" i="7"/>
  <c r="B27" i="7"/>
  <c r="A27" i="7"/>
  <c r="B25" i="7"/>
  <c r="A25" i="7"/>
  <c r="B23" i="7"/>
  <c r="B22" i="7"/>
  <c r="A22" i="7"/>
  <c r="B20" i="7"/>
  <c r="B19" i="7"/>
  <c r="A19" i="7"/>
  <c r="B17" i="7"/>
  <c r="B16" i="7"/>
  <c r="A16" i="7"/>
  <c r="F22" i="7"/>
  <c r="B14" i="7"/>
  <c r="B13" i="7"/>
  <c r="A13" i="7"/>
  <c r="A9" i="7"/>
  <c r="A8" i="7"/>
  <c r="F27" i="7"/>
  <c r="F13" i="7"/>
  <c r="I27" i="7" l="1"/>
  <c r="J27" i="7"/>
  <c r="F19" i="7"/>
  <c r="F16" i="7"/>
  <c r="F29" i="7"/>
  <c r="C6" i="7" s="1"/>
  <c r="I25" i="7"/>
  <c r="J25" i="7" s="1"/>
  <c r="O32" i="6" l="1"/>
  <c r="D35" i="6" l="1"/>
  <c r="C34" i="6" s="1"/>
  <c r="C62" i="6"/>
  <c r="C61" i="6"/>
  <c r="G53" i="6"/>
  <c r="J53" i="6" s="1"/>
  <c r="G51" i="6"/>
  <c r="J51" i="6" s="1"/>
  <c r="E4" i="5"/>
  <c r="E5" i="5"/>
  <c r="E6" i="5"/>
  <c r="E7" i="5"/>
  <c r="E8" i="5"/>
  <c r="E9" i="5"/>
  <c r="E3" i="5"/>
  <c r="E11" i="9" l="1"/>
  <c r="G11" i="9" s="1"/>
  <c r="E23" i="6"/>
  <c r="G23" i="6" s="1"/>
  <c r="E11" i="6"/>
  <c r="G11" i="6" s="1"/>
  <c r="E41" i="9"/>
  <c r="G41" i="9" s="1"/>
  <c r="E41" i="6"/>
  <c r="G41" i="6" s="1"/>
  <c r="E23" i="9"/>
  <c r="G23" i="9" s="1"/>
  <c r="E45" i="9"/>
  <c r="G45" i="9" s="1"/>
  <c r="E27" i="9"/>
  <c r="G27" i="9" s="1"/>
  <c r="E15" i="9"/>
  <c r="G15" i="9" s="1"/>
  <c r="E14" i="9"/>
  <c r="G14" i="9" s="1"/>
  <c r="E44" i="9"/>
  <c r="G44" i="9" s="1"/>
  <c r="E26" i="9"/>
  <c r="G26" i="9" s="1"/>
  <c r="E43" i="9"/>
  <c r="G43" i="9" s="1"/>
  <c r="E25" i="9"/>
  <c r="G25" i="9" s="1"/>
  <c r="E13" i="9"/>
  <c r="G13" i="9" s="1"/>
  <c r="E24" i="9"/>
  <c r="E42" i="9"/>
  <c r="G42" i="9" s="1"/>
  <c r="E12" i="9"/>
  <c r="G12" i="9" s="1"/>
  <c r="E24" i="6"/>
  <c r="E12" i="6"/>
  <c r="E42" i="6"/>
  <c r="E17" i="6"/>
  <c r="E29" i="6"/>
  <c r="E47" i="6"/>
  <c r="E44" i="6"/>
  <c r="E14" i="6"/>
  <c r="E26" i="6"/>
  <c r="E25" i="6"/>
  <c r="E13" i="6"/>
  <c r="E43" i="6"/>
  <c r="E28" i="6"/>
  <c r="E16" i="6"/>
  <c r="E46" i="6"/>
  <c r="E45" i="6"/>
  <c r="E15" i="6"/>
  <c r="E27" i="6"/>
  <c r="C59" i="6"/>
  <c r="D26" i="1"/>
  <c r="C41" i="1"/>
  <c r="C40" i="1"/>
  <c r="C38" i="1" s="1"/>
  <c r="G32" i="1"/>
  <c r="J32" i="1" s="1"/>
  <c r="G30" i="1"/>
  <c r="J30" i="1" s="1"/>
  <c r="B26" i="1"/>
  <c r="G48" i="9" l="1"/>
  <c r="D34" i="9"/>
  <c r="G24" i="9"/>
  <c r="G30" i="9" s="1"/>
  <c r="G18" i="9"/>
  <c r="J49" i="9"/>
  <c r="J48" i="9"/>
  <c r="G42" i="6"/>
  <c r="G12" i="6"/>
  <c r="G24" i="6"/>
  <c r="G47" i="6"/>
  <c r="G29" i="6"/>
  <c r="G17" i="6"/>
  <c r="G25" i="6"/>
  <c r="G26" i="6"/>
  <c r="G43" i="6"/>
  <c r="G14" i="6"/>
  <c r="G13" i="6"/>
  <c r="G44" i="6"/>
  <c r="D34" i="6"/>
  <c r="C35" i="6" s="1"/>
  <c r="F35" i="6" s="1"/>
  <c r="G35" i="6" s="1"/>
  <c r="G27" i="6"/>
  <c r="G16" i="6"/>
  <c r="G15" i="6"/>
  <c r="G28" i="6"/>
  <c r="G45" i="6"/>
  <c r="G46" i="6"/>
  <c r="E21" i="1"/>
  <c r="D21" i="1"/>
  <c r="C20" i="1" s="1"/>
  <c r="E20" i="1"/>
  <c r="J19" i="9" l="1"/>
  <c r="J18" i="9"/>
  <c r="J31" i="9"/>
  <c r="J30" i="9"/>
  <c r="C35" i="9"/>
  <c r="F35" i="9" s="1"/>
  <c r="G35" i="9" s="1"/>
  <c r="F34" i="9"/>
  <c r="G34" i="9" s="1"/>
  <c r="F34" i="6"/>
  <c r="G34" i="6" s="1"/>
  <c r="G36" i="6" s="1"/>
  <c r="G19" i="7" s="1"/>
  <c r="I19" i="7" s="1"/>
  <c r="J19" i="7" s="1"/>
  <c r="G48" i="6"/>
  <c r="G22" i="7" s="1"/>
  <c r="I22" i="7" s="1"/>
  <c r="J22" i="7" s="1"/>
  <c r="G18" i="6"/>
  <c r="G30" i="6"/>
  <c r="G36" i="9" l="1"/>
  <c r="J37" i="6"/>
  <c r="I20" i="7" s="1"/>
  <c r="J48" i="6"/>
  <c r="G16" i="7"/>
  <c r="I16" i="7" s="1"/>
  <c r="J16" i="7" s="1"/>
  <c r="J30" i="6"/>
  <c r="J31" i="6"/>
  <c r="I17" i="7" s="1"/>
  <c r="J17" i="7" s="1"/>
  <c r="J49" i="6"/>
  <c r="I23" i="7" s="1"/>
  <c r="J23" i="7" s="1"/>
  <c r="G13" i="7"/>
  <c r="I13" i="7" s="1"/>
  <c r="J13" i="7" s="1"/>
  <c r="J19" i="6"/>
  <c r="I14" i="7" s="1"/>
  <c r="J14" i="7" s="1"/>
  <c r="J18" i="6"/>
  <c r="J36" i="6"/>
  <c r="J20" i="7"/>
  <c r="J37" i="9" l="1"/>
  <c r="J36" i="9"/>
  <c r="J55" i="9" s="1"/>
  <c r="C57" i="9" s="1"/>
  <c r="J55" i="6"/>
  <c r="C57" i="6" s="1"/>
  <c r="E59" i="6" s="1"/>
  <c r="E60" i="6" s="1"/>
  <c r="I29" i="7"/>
  <c r="J6" i="7" s="1"/>
  <c r="C60" i="9" l="1"/>
  <c r="E59" i="9"/>
  <c r="E60" i="9" s="1"/>
  <c r="C60" i="6"/>
  <c r="J29" i="7"/>
  <c r="C15" i="1"/>
  <c r="C26" i="1" s="1"/>
  <c r="B15" i="1"/>
  <c r="B20" i="1" s="1"/>
  <c r="E10" i="1"/>
  <c r="E15" i="1" s="1"/>
  <c r="D20" i="1" l="1"/>
  <c r="E26" i="1"/>
  <c r="G26" i="1"/>
  <c r="G27" i="1" s="1"/>
  <c r="G10" i="1"/>
  <c r="G11" i="1" s="1"/>
  <c r="J12" i="1" s="1"/>
  <c r="G15" i="1"/>
  <c r="G16" i="1" s="1"/>
  <c r="C21" i="1"/>
  <c r="F21" i="1" s="1"/>
  <c r="G21" i="1" s="1"/>
  <c r="F20" i="1"/>
  <c r="G20" i="1" s="1"/>
  <c r="J17" i="1"/>
  <c r="J16" i="1"/>
  <c r="J28" i="1" l="1"/>
  <c r="J27" i="1"/>
  <c r="J11" i="1"/>
  <c r="G22" i="1"/>
  <c r="J23" i="1" l="1"/>
  <c r="J22" i="1"/>
  <c r="J34" i="1" s="1"/>
  <c r="C36" i="1" s="1"/>
  <c r="C39" i="1" l="1"/>
  <c r="E38" i="1"/>
  <c r="E39" i="1" s="1"/>
</calcChain>
</file>

<file path=xl/sharedStrings.xml><?xml version="1.0" encoding="utf-8"?>
<sst xmlns="http://schemas.openxmlformats.org/spreadsheetml/2006/main" count="200" uniqueCount="75">
  <si>
    <t>Government of Nepal</t>
  </si>
  <si>
    <t>Shankharapur Municipality Office</t>
  </si>
  <si>
    <t>Bagmati Province</t>
  </si>
  <si>
    <t>Sankhu, Kathmandu</t>
  </si>
  <si>
    <t>Detail Estimated Sheet</t>
  </si>
  <si>
    <t>Project:- बिन्ध्यबासिनी मन्दिर जाने सडक ढलान</t>
  </si>
  <si>
    <t>F.Y.: 2081/2082</t>
  </si>
  <si>
    <t>Location:- Shankharapur Municipality 9</t>
  </si>
  <si>
    <t>Date:2081/08/02</t>
  </si>
  <si>
    <t>S.N.</t>
  </si>
  <si>
    <t>Description of work</t>
  </si>
  <si>
    <t>No.</t>
  </si>
  <si>
    <t>Length</t>
  </si>
  <si>
    <t>Breadth</t>
  </si>
  <si>
    <t>Height</t>
  </si>
  <si>
    <t>Quantity</t>
  </si>
  <si>
    <t>Unit</t>
  </si>
  <si>
    <t>Rate</t>
  </si>
  <si>
    <t>Amount</t>
  </si>
  <si>
    <t>Remark</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</si>
  <si>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</si>
  <si>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-Road</t>
  </si>
  <si>
    <t>Sub-total</t>
  </si>
  <si>
    <t>m3</t>
  </si>
  <si>
    <t>VAT calculation</t>
  </si>
  <si>
    <t>Providing and laying of hand pack Stone soling with 150 to 200 mm thick stones and packing with smaller stone on prepared surface as per Drawing and Technical Specifications.</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</si>
  <si>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</si>
  <si>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</si>
  <si>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</si>
  <si>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</si>
  <si>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</si>
  <si>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</si>
  <si>
    <t>Provisional sum for lab test</t>
  </si>
  <si>
    <t>PS</t>
  </si>
  <si>
    <t>Information board (सुचना पाटि)</t>
  </si>
  <si>
    <t>no.</t>
  </si>
  <si>
    <t>Total Estimated</t>
  </si>
  <si>
    <t>Budget allocated</t>
  </si>
  <si>
    <t>Municipal payment</t>
  </si>
  <si>
    <t>User Contribution</t>
  </si>
  <si>
    <t xml:space="preserve">Contingencies </t>
  </si>
  <si>
    <t>Grand Total</t>
  </si>
  <si>
    <t>SN</t>
  </si>
  <si>
    <t>Chainage</t>
  </si>
  <si>
    <t>Width</t>
  </si>
  <si>
    <t>0+002 to 0+004</t>
  </si>
  <si>
    <t>0+000 to 0+002</t>
  </si>
  <si>
    <t>0+004 to 0+006</t>
  </si>
  <si>
    <t>0+006 to 0+008</t>
  </si>
  <si>
    <t>0+008 to 0+010</t>
  </si>
  <si>
    <t>0+010 to 0+012</t>
  </si>
  <si>
    <t>Avg. width</t>
  </si>
  <si>
    <t>Avg. Width</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</si>
  <si>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</si>
  <si>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</si>
  <si>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</si>
  <si>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</si>
  <si>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</si>
  <si>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</si>
  <si>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</si>
  <si>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</si>
  <si>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</si>
  <si>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</si>
  <si>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</si>
  <si>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</si>
  <si>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</si>
  <si>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</si>
  <si>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</si>
  <si>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Detail Valuated Sheet</t>
  </si>
  <si>
    <t>Total Valuated</t>
  </si>
  <si>
    <t>Detail Quantity Measurement Sheet</t>
  </si>
  <si>
    <t>Date:2081/10/20</t>
  </si>
  <si>
    <t xml:space="preserve">Maintenance </t>
  </si>
  <si>
    <t>Chainage 0+000</t>
  </si>
  <si>
    <t>0+012 to 0+013.8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</si>
</sst>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sz val="16"/>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0">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11" fillId="0" borderId="0" xfId="0" applyFont="1" applyBorder="1" applyAlignment="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0" applyNumberFormat="1" applyFont="1" applyBorder="1" applyAlignment="1"/>
    <xf numFmtId="2" fontId="3" fillId="0" borderId="2" xfId="1"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4"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65" fontId="0" fillId="0" borderId="0" xfId="0" applyNumberFormat="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0" fillId="0" borderId="2" xfId="0" applyBorder="1" applyAlignment="1">
      <alignment horizontal="right"/>
    </xf>
    <xf numFmtId="2" fontId="0" fillId="0" borderId="2" xfId="0" applyNumberFormat="1" applyBorder="1" applyAlignment="1">
      <alignment wrapText="1"/>
    </xf>
    <xf numFmtId="0" fontId="14" fillId="0" borderId="0" xfId="0" applyFont="1"/>
    <xf numFmtId="0" fontId="15"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3"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43" fontId="14" fillId="0" borderId="0" xfId="0" applyNumberFormat="1" applyFont="1" applyAlignment="1">
      <alignment horizontal="center"/>
    </xf>
    <xf numFmtId="0" fontId="14" fillId="0" borderId="0" xfId="0" applyFont="1" applyAlignment="1">
      <alignment horizontal="center"/>
    </xf>
    <xf numFmtId="43" fontId="0" fillId="0" borderId="0" xfId="0" applyNumberFormat="1" applyAlignment="1">
      <alignmen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topLeftCell="A25" zoomScale="90" zoomScaleNormal="90" workbookViewId="0">
      <selection activeCell="B42" sqref="B42"/>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customWidth="1"/>
    <col min="10" max="10" width="10.42578125" customWidth="1"/>
  </cols>
  <sheetData>
    <row r="1" spans="1:19" x14ac:dyDescent="0.25">
      <c r="A1" s="69" t="s">
        <v>0</v>
      </c>
      <c r="B1" s="69"/>
      <c r="C1" s="69"/>
      <c r="D1" s="69"/>
      <c r="E1" s="69"/>
      <c r="F1" s="69"/>
      <c r="G1" s="69"/>
      <c r="H1" s="69"/>
      <c r="I1" s="69"/>
      <c r="J1" s="69"/>
      <c r="K1" s="69"/>
    </row>
    <row r="2" spans="1:19" ht="22.5" x14ac:dyDescent="0.25">
      <c r="A2" s="70" t="s">
        <v>1</v>
      </c>
      <c r="B2" s="70"/>
      <c r="C2" s="70"/>
      <c r="D2" s="70"/>
      <c r="E2" s="70"/>
      <c r="F2" s="70"/>
      <c r="G2" s="70"/>
      <c r="H2" s="70"/>
      <c r="I2" s="70"/>
      <c r="J2" s="70"/>
      <c r="K2" s="70"/>
    </row>
    <row r="3" spans="1:19" x14ac:dyDescent="0.25">
      <c r="A3" s="71" t="s">
        <v>2</v>
      </c>
      <c r="B3" s="71"/>
      <c r="C3" s="71"/>
      <c r="D3" s="71"/>
      <c r="E3" s="71"/>
      <c r="F3" s="71"/>
      <c r="G3" s="71"/>
      <c r="H3" s="71"/>
      <c r="I3" s="71"/>
      <c r="J3" s="71"/>
      <c r="K3" s="71"/>
    </row>
    <row r="4" spans="1:19" x14ac:dyDescent="0.25">
      <c r="A4" s="71" t="s">
        <v>3</v>
      </c>
      <c r="B4" s="71"/>
      <c r="C4" s="71"/>
      <c r="D4" s="71"/>
      <c r="E4" s="71"/>
      <c r="F4" s="71"/>
      <c r="G4" s="71"/>
      <c r="H4" s="71"/>
      <c r="I4" s="71"/>
      <c r="J4" s="71"/>
      <c r="K4" s="71"/>
    </row>
    <row r="5" spans="1:19" ht="18.75" x14ac:dyDescent="0.3">
      <c r="A5" s="72" t="s">
        <v>4</v>
      </c>
      <c r="B5" s="72"/>
      <c r="C5" s="72"/>
      <c r="D5" s="72"/>
      <c r="E5" s="72"/>
      <c r="F5" s="72"/>
      <c r="G5" s="72"/>
      <c r="H5" s="72"/>
      <c r="I5" s="72"/>
      <c r="J5" s="72"/>
      <c r="K5" s="72"/>
    </row>
    <row r="6" spans="1:19" ht="15.75" x14ac:dyDescent="0.25">
      <c r="A6" s="67" t="s">
        <v>5</v>
      </c>
      <c r="B6" s="67"/>
      <c r="C6" s="67"/>
      <c r="D6" s="67"/>
      <c r="E6" s="67"/>
      <c r="F6" s="67"/>
      <c r="G6" s="1"/>
      <c r="H6" s="68" t="s">
        <v>6</v>
      </c>
      <c r="I6" s="68"/>
      <c r="J6" s="68"/>
      <c r="K6" s="68"/>
    </row>
    <row r="7" spans="1:19" ht="15.75" x14ac:dyDescent="0.25">
      <c r="A7" s="74" t="s">
        <v>7</v>
      </c>
      <c r="B7" s="74"/>
      <c r="C7" s="74"/>
      <c r="D7" s="74"/>
      <c r="E7" s="74"/>
      <c r="F7" s="74"/>
      <c r="G7" s="2"/>
      <c r="H7" s="75" t="s">
        <v>8</v>
      </c>
      <c r="I7" s="75"/>
      <c r="J7" s="75"/>
      <c r="K7" s="75"/>
    </row>
    <row r="8" spans="1:19" ht="15.75" x14ac:dyDescent="0.25">
      <c r="A8" s="3" t="s">
        <v>9</v>
      </c>
      <c r="B8" s="4" t="s">
        <v>10</v>
      </c>
      <c r="C8" s="3" t="s">
        <v>11</v>
      </c>
      <c r="D8" s="5" t="s">
        <v>12</v>
      </c>
      <c r="E8" s="5" t="s">
        <v>13</v>
      </c>
      <c r="F8" s="5" t="s">
        <v>14</v>
      </c>
      <c r="G8" s="5" t="s">
        <v>15</v>
      </c>
      <c r="H8" s="3" t="s">
        <v>16</v>
      </c>
      <c r="I8" s="5" t="s">
        <v>17</v>
      </c>
      <c r="J8" s="5" t="s">
        <v>18</v>
      </c>
      <c r="K8" s="6" t="s">
        <v>19</v>
      </c>
    </row>
    <row r="9" spans="1:19" s="8" customFormat="1" ht="150" x14ac:dyDescent="0.25">
      <c r="A9" s="65">
        <v>1</v>
      </c>
      <c r="B9" s="7" t="s">
        <v>20</v>
      </c>
      <c r="C9" s="48"/>
      <c r="D9" s="48"/>
      <c r="E9" s="48"/>
      <c r="F9" s="48"/>
      <c r="G9" s="48"/>
      <c r="H9" s="48"/>
      <c r="I9" s="48"/>
      <c r="J9" s="48"/>
      <c r="K9" s="48"/>
    </row>
    <row r="10" spans="1:19" x14ac:dyDescent="0.25">
      <c r="A10" s="65"/>
      <c r="B10" s="49" t="s">
        <v>21</v>
      </c>
      <c r="C10" s="32">
        <v>1</v>
      </c>
      <c r="D10" s="33">
        <v>14.7</v>
      </c>
      <c r="E10" s="33">
        <f>14/3.281</f>
        <v>4.2669917708015843</v>
      </c>
      <c r="F10" s="33">
        <v>0.15</v>
      </c>
      <c r="G10" s="33">
        <f>PRODUCT(C10:F10)</f>
        <v>9.4087168546174933</v>
      </c>
      <c r="H10" s="32"/>
      <c r="I10" s="32"/>
      <c r="J10" s="32"/>
      <c r="K10" s="32"/>
    </row>
    <row r="11" spans="1:19" ht="15" customHeight="1" x14ac:dyDescent="0.25">
      <c r="A11" s="9"/>
      <c r="B11" s="10" t="s">
        <v>22</v>
      </c>
      <c r="C11" s="11"/>
      <c r="D11" s="12"/>
      <c r="E11" s="13"/>
      <c r="F11" s="13"/>
      <c r="G11" s="14">
        <f>SUM(G10:G10)</f>
        <v>9.4087168546174933</v>
      </c>
      <c r="H11" s="15" t="s">
        <v>23</v>
      </c>
      <c r="I11" s="14">
        <v>64.63</v>
      </c>
      <c r="J11" s="16">
        <f>G11*I11</f>
        <v>608.08537031392859</v>
      </c>
      <c r="K11" s="13"/>
      <c r="M11" s="17"/>
      <c r="N11" s="18"/>
      <c r="O11" s="18"/>
      <c r="P11" s="18"/>
      <c r="Q11" s="18"/>
      <c r="R11" s="17"/>
      <c r="S11" s="17"/>
    </row>
    <row r="12" spans="1:19" ht="15" customHeight="1" x14ac:dyDescent="0.25">
      <c r="A12" s="9"/>
      <c r="B12" s="10" t="s">
        <v>24</v>
      </c>
      <c r="C12" s="11"/>
      <c r="D12" s="12"/>
      <c r="E12" s="13"/>
      <c r="F12" s="13"/>
      <c r="G12" s="14"/>
      <c r="H12" s="15"/>
      <c r="I12" s="14"/>
      <c r="J12" s="16">
        <f>0.13*G11*19284/360</f>
        <v>65.519167936604688</v>
      </c>
      <c r="K12" s="13"/>
      <c r="M12" s="17"/>
      <c r="N12" s="18"/>
      <c r="O12" s="18"/>
      <c r="P12" s="18"/>
      <c r="Q12" s="18"/>
      <c r="R12" s="17"/>
      <c r="S12" s="17"/>
    </row>
    <row r="13" spans="1:19" x14ac:dyDescent="0.25">
      <c r="A13" s="65"/>
      <c r="B13" s="32"/>
      <c r="C13" s="32"/>
      <c r="D13" s="32"/>
      <c r="E13" s="32"/>
      <c r="F13" s="32"/>
      <c r="G13" s="32"/>
      <c r="H13" s="32"/>
      <c r="I13" s="32"/>
      <c r="J13" s="32"/>
      <c r="K13" s="32"/>
    </row>
    <row r="14" spans="1:19" ht="90" x14ac:dyDescent="0.25">
      <c r="A14" s="65">
        <v>2</v>
      </c>
      <c r="B14" s="7" t="s">
        <v>25</v>
      </c>
      <c r="C14" s="32"/>
      <c r="D14" s="32"/>
      <c r="E14" s="32"/>
      <c r="F14" s="32"/>
      <c r="G14" s="32"/>
      <c r="H14" s="32"/>
      <c r="I14" s="32"/>
      <c r="J14" s="32"/>
      <c r="K14" s="32"/>
    </row>
    <row r="15" spans="1:19" ht="15" customHeight="1" x14ac:dyDescent="0.25">
      <c r="A15" s="9"/>
      <c r="B15" s="10" t="str">
        <f>B10</f>
        <v>-Road</v>
      </c>
      <c r="C15" s="19">
        <f>C10</f>
        <v>1</v>
      </c>
      <c r="D15" s="20">
        <v>14.7</v>
      </c>
      <c r="E15" s="20">
        <f>E10</f>
        <v>4.2669917708015843</v>
      </c>
      <c r="F15" s="20">
        <v>0.15</v>
      </c>
      <c r="G15" s="21">
        <f>PRODUCT(C15:F15)</f>
        <v>9.4087168546174933</v>
      </c>
      <c r="H15" s="22"/>
      <c r="I15" s="22"/>
      <c r="J15" s="22"/>
      <c r="K15" s="13"/>
      <c r="M15" s="17"/>
      <c r="N15" s="18"/>
      <c r="O15" s="18"/>
      <c r="P15" s="18"/>
      <c r="Q15" s="18"/>
      <c r="R15" s="17"/>
      <c r="S15" s="17"/>
    </row>
    <row r="16" spans="1:19" ht="15" customHeight="1" x14ac:dyDescent="0.25">
      <c r="A16" s="28"/>
      <c r="B16" s="10" t="s">
        <v>22</v>
      </c>
      <c r="C16" s="23"/>
      <c r="D16" s="24"/>
      <c r="E16" s="24"/>
      <c r="F16" s="24"/>
      <c r="G16" s="25">
        <f>SUM(G15:G15)</f>
        <v>9.4087168546174933</v>
      </c>
      <c r="H16" s="25" t="s">
        <v>23</v>
      </c>
      <c r="I16" s="25">
        <v>4561.53</v>
      </c>
      <c r="J16" s="26">
        <f>G16*I16</f>
        <v>42918.144193843335</v>
      </c>
      <c r="K16" s="19"/>
    </row>
    <row r="17" spans="1:19" x14ac:dyDescent="0.25">
      <c r="A17" s="28"/>
      <c r="B17" s="10" t="s">
        <v>24</v>
      </c>
      <c r="C17" s="23"/>
      <c r="D17" s="24"/>
      <c r="E17" s="24"/>
      <c r="F17" s="24"/>
      <c r="G17" s="24"/>
      <c r="H17" s="24"/>
      <c r="I17" s="24"/>
      <c r="J17" s="27">
        <f>0.13*G16*(15452.6/5)</f>
        <v>3780.1175897592188</v>
      </c>
      <c r="K17" s="19"/>
    </row>
    <row r="18" spans="1:19" x14ac:dyDescent="0.25">
      <c r="A18" s="65"/>
      <c r="B18" s="32"/>
      <c r="C18" s="32"/>
      <c r="D18" s="32"/>
      <c r="E18" s="32"/>
      <c r="F18" s="32"/>
      <c r="G18" s="32"/>
      <c r="H18" s="32"/>
      <c r="I18" s="32"/>
      <c r="J18" s="32"/>
      <c r="K18" s="32"/>
    </row>
    <row r="19" spans="1:19" s="18" customFormat="1" ht="75" x14ac:dyDescent="0.25">
      <c r="A19" s="28">
        <v>3</v>
      </c>
      <c r="B19" s="7" t="s">
        <v>26</v>
      </c>
      <c r="C19" s="29" t="s">
        <v>11</v>
      </c>
      <c r="D19" s="30" t="s">
        <v>27</v>
      </c>
      <c r="E19" s="30" t="s">
        <v>28</v>
      </c>
      <c r="F19" s="30" t="s">
        <v>29</v>
      </c>
      <c r="G19" s="21"/>
      <c r="H19" s="21"/>
      <c r="I19" s="21"/>
      <c r="J19" s="27"/>
      <c r="K19" s="31"/>
    </row>
    <row r="20" spans="1:19" ht="15" customHeight="1" x14ac:dyDescent="0.25">
      <c r="A20" s="28"/>
      <c r="B20" s="10" t="str">
        <f>B15</f>
        <v>-Road</v>
      </c>
      <c r="C20" s="23">
        <f>TRUNC(D21/0.15,0)</f>
        <v>96</v>
      </c>
      <c r="D20" s="24">
        <f>E15-0.1</f>
        <v>4.1669917708015847</v>
      </c>
      <c r="E20" s="24">
        <f>8*8/162</f>
        <v>0.39506172839506171</v>
      </c>
      <c r="F20" s="24">
        <f>PRODUCT(C20:E20)</f>
        <v>158.03702123336382</v>
      </c>
      <c r="G20" s="24">
        <f>F20/1000</f>
        <v>0.15803702123336383</v>
      </c>
      <c r="H20" s="24"/>
      <c r="I20" s="24"/>
      <c r="J20" s="27"/>
      <c r="K20" s="19"/>
    </row>
    <row r="21" spans="1:19" x14ac:dyDescent="0.25">
      <c r="A21" s="65"/>
      <c r="B21" s="32"/>
      <c r="C21" s="23">
        <f>TRUNC(D20/0.15,0)</f>
        <v>27</v>
      </c>
      <c r="D21" s="33">
        <f>D15-0.1*3</f>
        <v>14.399999999999999</v>
      </c>
      <c r="E21" s="24">
        <f>8*8/162</f>
        <v>0.39506172839506171</v>
      </c>
      <c r="F21" s="24">
        <f>PRODUCT(C21:E21)</f>
        <v>153.59999999999997</v>
      </c>
      <c r="G21" s="24">
        <f>F21/1000</f>
        <v>0.15359999999999996</v>
      </c>
      <c r="H21" s="32"/>
      <c r="I21" s="32"/>
      <c r="J21" s="32"/>
      <c r="K21" s="32"/>
      <c r="M21" s="34"/>
      <c r="N21" s="34"/>
    </row>
    <row r="22" spans="1:19" ht="15" customHeight="1" x14ac:dyDescent="0.25">
      <c r="A22" s="28"/>
      <c r="B22" s="10" t="s">
        <v>22</v>
      </c>
      <c r="C22" s="23"/>
      <c r="D22" s="24"/>
      <c r="E22" s="24"/>
      <c r="F22" s="24"/>
      <c r="G22" s="25">
        <f>SUM(G20:G21)</f>
        <v>0.31163702123336379</v>
      </c>
      <c r="H22" s="25" t="s">
        <v>30</v>
      </c>
      <c r="I22" s="25">
        <v>124140</v>
      </c>
      <c r="J22" s="26">
        <f>G22*I22</f>
        <v>38686.619815909784</v>
      </c>
      <c r="K22" s="19"/>
    </row>
    <row r="23" spans="1:19" ht="15" customHeight="1" x14ac:dyDescent="0.25">
      <c r="A23" s="28"/>
      <c r="B23" s="10" t="s">
        <v>24</v>
      </c>
      <c r="C23" s="23"/>
      <c r="D23" s="24"/>
      <c r="E23" s="24"/>
      <c r="F23" s="24"/>
      <c r="G23" s="24"/>
      <c r="H23" s="24"/>
      <c r="I23" s="24"/>
      <c r="J23" s="27">
        <f>0.13*G22*110960</f>
        <v>4495.3017038870266</v>
      </c>
      <c r="K23" s="19"/>
    </row>
    <row r="24" spans="1:19" ht="11.25" customHeight="1" x14ac:dyDescent="0.25">
      <c r="A24" s="65"/>
      <c r="B24" s="32"/>
      <c r="C24" s="32"/>
      <c r="D24" s="32"/>
      <c r="E24" s="32"/>
      <c r="F24" s="32"/>
      <c r="G24" s="32"/>
      <c r="H24" s="32"/>
      <c r="I24" s="32"/>
      <c r="J24" s="32"/>
      <c r="K24" s="32"/>
    </row>
    <row r="25" spans="1:19" s="18" customFormat="1" ht="75" x14ac:dyDescent="0.25">
      <c r="A25" s="28">
        <v>4</v>
      </c>
      <c r="B25" s="7" t="s">
        <v>31</v>
      </c>
      <c r="C25" s="29"/>
      <c r="D25" s="21"/>
      <c r="E25" s="21"/>
      <c r="F25" s="21"/>
      <c r="G25" s="21"/>
      <c r="H25" s="21"/>
      <c r="I25" s="21"/>
      <c r="J25" s="27"/>
      <c r="K25" s="31"/>
    </row>
    <row r="26" spans="1:19" x14ac:dyDescent="0.25">
      <c r="A26" s="28"/>
      <c r="B26" s="35" t="str">
        <f>B16</f>
        <v>Sub-total</v>
      </c>
      <c r="C26" s="23">
        <f>C15</f>
        <v>1</v>
      </c>
      <c r="D26" s="24">
        <f>D15</f>
        <v>14.7</v>
      </c>
      <c r="E26" s="24">
        <f>E15</f>
        <v>4.2669917708015843</v>
      </c>
      <c r="F26" s="24">
        <v>0.15</v>
      </c>
      <c r="G26" s="21">
        <f>PRODUCT(C26:F26)</f>
        <v>9.4087168546174933</v>
      </c>
      <c r="H26" s="24"/>
      <c r="I26" s="24"/>
      <c r="J26" s="27"/>
      <c r="K26" s="19"/>
    </row>
    <row r="27" spans="1:19" ht="15" customHeight="1" x14ac:dyDescent="0.25">
      <c r="A27" s="28"/>
      <c r="B27" s="10" t="s">
        <v>22</v>
      </c>
      <c r="C27" s="23"/>
      <c r="D27" s="24"/>
      <c r="E27" s="24"/>
      <c r="F27" s="24"/>
      <c r="G27" s="25">
        <f>SUM(G26:G26)</f>
        <v>9.4087168546174933</v>
      </c>
      <c r="H27" s="25" t="s">
        <v>23</v>
      </c>
      <c r="I27" s="25">
        <v>11588.17</v>
      </c>
      <c r="J27" s="26">
        <f>G27*I27</f>
        <v>109029.8103931728</v>
      </c>
      <c r="K27" s="19"/>
    </row>
    <row r="28" spans="1:19" ht="15" customHeight="1" x14ac:dyDescent="0.25">
      <c r="A28" s="28"/>
      <c r="B28" s="10" t="s">
        <v>24</v>
      </c>
      <c r="C28" s="23"/>
      <c r="D28" s="24"/>
      <c r="E28" s="24"/>
      <c r="F28" s="24"/>
      <c r="G28" s="24"/>
      <c r="H28" s="24"/>
      <c r="I28" s="24"/>
      <c r="J28" s="27">
        <f>0.13*G27*((128662.2+6685.5)/15)</f>
        <v>11036.550947272171</v>
      </c>
      <c r="K28" s="19"/>
    </row>
    <row r="29" spans="1:19" ht="15" customHeight="1" x14ac:dyDescent="0.25">
      <c r="A29" s="28"/>
      <c r="B29" s="10"/>
      <c r="C29" s="23"/>
      <c r="D29" s="24"/>
      <c r="E29" s="24"/>
      <c r="F29" s="24"/>
      <c r="G29" s="24"/>
      <c r="H29" s="24"/>
      <c r="I29" s="24"/>
      <c r="J29" s="27"/>
      <c r="K29" s="19"/>
    </row>
    <row r="30" spans="1:19" ht="15" customHeight="1" x14ac:dyDescent="0.25">
      <c r="A30" s="9">
        <v>5</v>
      </c>
      <c r="B30" s="7" t="s">
        <v>32</v>
      </c>
      <c r="C30" s="11">
        <v>1</v>
      </c>
      <c r="D30" s="12"/>
      <c r="E30" s="13"/>
      <c r="F30" s="13"/>
      <c r="G30" s="36">
        <f t="shared" ref="G30" si="0">PRODUCT(C30:F30)</f>
        <v>1</v>
      </c>
      <c r="H30" s="15" t="s">
        <v>33</v>
      </c>
      <c r="I30" s="14">
        <v>15000</v>
      </c>
      <c r="J30" s="36">
        <f>G30*I30</f>
        <v>15000</v>
      </c>
      <c r="K30" s="13"/>
      <c r="M30" s="17"/>
      <c r="N30" s="18"/>
      <c r="O30" s="18"/>
      <c r="P30" s="18"/>
      <c r="Q30" s="18"/>
      <c r="R30" s="17"/>
      <c r="S30" s="17"/>
    </row>
    <row r="31" spans="1:19" ht="15" customHeight="1" x14ac:dyDescent="0.25">
      <c r="A31" s="9"/>
      <c r="B31" s="7"/>
      <c r="C31" s="11"/>
      <c r="D31" s="12"/>
      <c r="E31" s="13"/>
      <c r="F31" s="13"/>
      <c r="G31" s="36"/>
      <c r="H31" s="15"/>
      <c r="I31" s="14"/>
      <c r="J31" s="36"/>
      <c r="K31" s="13"/>
      <c r="M31" s="17"/>
      <c r="N31" s="18"/>
      <c r="O31" s="18"/>
      <c r="P31" s="18"/>
      <c r="Q31" s="18"/>
      <c r="R31" s="17"/>
      <c r="S31" s="17"/>
    </row>
    <row r="32" spans="1:19" ht="15" customHeight="1" x14ac:dyDescent="0.25">
      <c r="A32" s="9">
        <v>6</v>
      </c>
      <c r="B32" s="7" t="s">
        <v>34</v>
      </c>
      <c r="C32" s="11">
        <v>1</v>
      </c>
      <c r="D32" s="12"/>
      <c r="E32" s="13"/>
      <c r="F32" s="13"/>
      <c r="G32" s="36">
        <f t="shared" ref="G32" si="1">PRODUCT(C32:F32)</f>
        <v>1</v>
      </c>
      <c r="H32" s="15" t="s">
        <v>35</v>
      </c>
      <c r="I32" s="14">
        <v>500</v>
      </c>
      <c r="J32" s="36">
        <f>G32*I32</f>
        <v>500</v>
      </c>
      <c r="K32" s="13"/>
      <c r="M32" s="17"/>
      <c r="N32" s="18"/>
      <c r="O32" s="18"/>
      <c r="P32" s="18"/>
      <c r="Q32" s="18"/>
      <c r="R32" s="17"/>
      <c r="S32" s="17"/>
    </row>
    <row r="33" spans="1:19" ht="11.25" customHeight="1" x14ac:dyDescent="0.25">
      <c r="A33" s="9"/>
      <c r="B33" s="35"/>
      <c r="C33" s="11"/>
      <c r="D33" s="12"/>
      <c r="E33" s="13"/>
      <c r="F33" s="13"/>
      <c r="G33" s="14"/>
      <c r="H33" s="15"/>
      <c r="I33" s="14"/>
      <c r="J33" s="16"/>
      <c r="K33" s="13"/>
      <c r="M33" s="17"/>
      <c r="N33" s="18"/>
      <c r="O33" s="18"/>
      <c r="P33" s="18"/>
      <c r="Q33" s="18"/>
      <c r="R33" s="17"/>
      <c r="S33" s="17"/>
    </row>
    <row r="34" spans="1:19" x14ac:dyDescent="0.25">
      <c r="A34" s="22"/>
      <c r="B34" s="46" t="s">
        <v>41</v>
      </c>
      <c r="C34" s="47"/>
      <c r="D34" s="20"/>
      <c r="E34" s="20"/>
      <c r="F34" s="20"/>
      <c r="G34" s="16"/>
      <c r="H34" s="16"/>
      <c r="I34" s="16"/>
      <c r="J34" s="16">
        <f>SUM(J11:J32)</f>
        <v>226120.14918209484</v>
      </c>
      <c r="K34" s="19"/>
    </row>
    <row r="36" spans="1:19" s="18" customFormat="1" x14ac:dyDescent="0.25">
      <c r="A36" s="37"/>
      <c r="B36" s="31" t="s">
        <v>36</v>
      </c>
      <c r="C36" s="73">
        <f>J34</f>
        <v>226120.14918209484</v>
      </c>
      <c r="D36" s="73"/>
      <c r="E36" s="21">
        <v>100</v>
      </c>
      <c r="F36" s="38"/>
      <c r="G36" s="39"/>
      <c r="H36" s="38"/>
      <c r="I36" s="40"/>
      <c r="J36" s="41"/>
      <c r="K36" s="42"/>
    </row>
    <row r="37" spans="1:19" x14ac:dyDescent="0.25">
      <c r="A37" s="43"/>
      <c r="B37" s="31" t="s">
        <v>37</v>
      </c>
      <c r="C37" s="76">
        <v>200000</v>
      </c>
      <c r="D37" s="76"/>
      <c r="E37" s="21"/>
      <c r="F37" s="44"/>
      <c r="G37" s="45"/>
      <c r="H37" s="45"/>
      <c r="I37" s="45"/>
      <c r="J37" s="45"/>
      <c r="K37" s="44"/>
    </row>
    <row r="38" spans="1:19" x14ac:dyDescent="0.25">
      <c r="A38" s="43"/>
      <c r="B38" s="31" t="s">
        <v>38</v>
      </c>
      <c r="C38" s="76">
        <f>C37-C40-C41</f>
        <v>190000</v>
      </c>
      <c r="D38" s="76"/>
      <c r="E38" s="21">
        <f>C38/C36*100</f>
        <v>84.026125352939147</v>
      </c>
      <c r="F38" s="44"/>
      <c r="G38" s="45"/>
      <c r="H38" s="45"/>
      <c r="I38" s="45"/>
      <c r="J38" s="45"/>
      <c r="K38" s="44"/>
    </row>
    <row r="39" spans="1:19" x14ac:dyDescent="0.25">
      <c r="A39" s="43"/>
      <c r="B39" s="31" t="s">
        <v>39</v>
      </c>
      <c r="C39" s="73">
        <f>C36-C38</f>
        <v>36120.149182094843</v>
      </c>
      <c r="D39" s="73"/>
      <c r="E39" s="21">
        <f>100-E38</f>
        <v>15.973874647060853</v>
      </c>
      <c r="F39" s="44"/>
      <c r="G39" s="45"/>
      <c r="H39" s="45"/>
      <c r="I39" s="45"/>
      <c r="J39" s="45"/>
      <c r="K39" s="44"/>
    </row>
    <row r="40" spans="1:19" x14ac:dyDescent="0.25">
      <c r="A40" s="43"/>
      <c r="B40" s="31" t="s">
        <v>40</v>
      </c>
      <c r="C40" s="73">
        <f>C37*0.03</f>
        <v>6000</v>
      </c>
      <c r="D40" s="73"/>
      <c r="E40" s="21">
        <v>3</v>
      </c>
      <c r="F40" s="44"/>
      <c r="G40" s="45"/>
      <c r="H40" s="45"/>
      <c r="I40" s="45"/>
      <c r="J40" s="45"/>
      <c r="K40" s="44"/>
    </row>
    <row r="41" spans="1:19" x14ac:dyDescent="0.25">
      <c r="A41" s="43"/>
      <c r="B41" s="31" t="s">
        <v>72</v>
      </c>
      <c r="C41" s="73">
        <f>C37*0.02</f>
        <v>4000</v>
      </c>
      <c r="D41" s="73"/>
      <c r="E41" s="21">
        <v>2</v>
      </c>
      <c r="F41" s="44"/>
      <c r="G41" s="45"/>
      <c r="H41" s="45"/>
      <c r="I41" s="45"/>
      <c r="J41" s="45"/>
      <c r="K41" s="44"/>
    </row>
  </sheetData>
  <mergeCells count="15">
    <mergeCell ref="C40:D40"/>
    <mergeCell ref="C41:D41"/>
    <mergeCell ref="A7:F7"/>
    <mergeCell ref="H7:K7"/>
    <mergeCell ref="C36:D36"/>
    <mergeCell ref="C37:D37"/>
    <mergeCell ref="C38:D38"/>
    <mergeCell ref="C39:D39"/>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tabSelected="1" topLeftCell="A37" zoomScale="90" zoomScaleNormal="90" workbookViewId="0">
      <selection activeCell="B10" sqref="B10:B17"/>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customWidth="1"/>
    <col min="10" max="10" width="10.42578125" customWidth="1"/>
  </cols>
  <sheetData>
    <row r="1" spans="1:11" x14ac:dyDescent="0.25">
      <c r="A1" s="69" t="s">
        <v>0</v>
      </c>
      <c r="B1" s="69"/>
      <c r="C1" s="69"/>
      <c r="D1" s="69"/>
      <c r="E1" s="69"/>
      <c r="F1" s="69"/>
      <c r="G1" s="69"/>
      <c r="H1" s="69"/>
      <c r="I1" s="69"/>
      <c r="J1" s="69"/>
      <c r="K1" s="69"/>
    </row>
    <row r="2" spans="1:11" ht="22.5" x14ac:dyDescent="0.25">
      <c r="A2" s="70" t="s">
        <v>1</v>
      </c>
      <c r="B2" s="70"/>
      <c r="C2" s="70"/>
      <c r="D2" s="70"/>
      <c r="E2" s="70"/>
      <c r="F2" s="70"/>
      <c r="G2" s="70"/>
      <c r="H2" s="70"/>
      <c r="I2" s="70"/>
      <c r="J2" s="70"/>
      <c r="K2" s="70"/>
    </row>
    <row r="3" spans="1:11" x14ac:dyDescent="0.25">
      <c r="A3" s="71" t="s">
        <v>2</v>
      </c>
      <c r="B3" s="71"/>
      <c r="C3" s="71"/>
      <c r="D3" s="71"/>
      <c r="E3" s="71"/>
      <c r="F3" s="71"/>
      <c r="G3" s="71"/>
      <c r="H3" s="71"/>
      <c r="I3" s="71"/>
      <c r="J3" s="71"/>
      <c r="K3" s="71"/>
    </row>
    <row r="4" spans="1:11" x14ac:dyDescent="0.25">
      <c r="A4" s="71" t="s">
        <v>3</v>
      </c>
      <c r="B4" s="71"/>
      <c r="C4" s="71"/>
      <c r="D4" s="71"/>
      <c r="E4" s="71"/>
      <c r="F4" s="71"/>
      <c r="G4" s="71"/>
      <c r="H4" s="71"/>
      <c r="I4" s="71"/>
      <c r="J4" s="71"/>
      <c r="K4" s="71"/>
    </row>
    <row r="5" spans="1:11" ht="18.75" x14ac:dyDescent="0.3">
      <c r="A5" s="72" t="s">
        <v>68</v>
      </c>
      <c r="B5" s="72"/>
      <c r="C5" s="72"/>
      <c r="D5" s="72"/>
      <c r="E5" s="72"/>
      <c r="F5" s="72"/>
      <c r="G5" s="72"/>
      <c r="H5" s="72"/>
      <c r="I5" s="72"/>
      <c r="J5" s="72"/>
      <c r="K5" s="72"/>
    </row>
    <row r="6" spans="1:11" ht="15.75" x14ac:dyDescent="0.25">
      <c r="A6" s="67" t="s">
        <v>5</v>
      </c>
      <c r="B6" s="67"/>
      <c r="C6" s="67"/>
      <c r="D6" s="67"/>
      <c r="E6" s="67"/>
      <c r="F6" s="67"/>
      <c r="G6" s="1"/>
      <c r="H6" s="68" t="s">
        <v>6</v>
      </c>
      <c r="I6" s="68"/>
      <c r="J6" s="68"/>
      <c r="K6" s="68"/>
    </row>
    <row r="7" spans="1:11" ht="15.75" x14ac:dyDescent="0.25">
      <c r="A7" s="74" t="s">
        <v>7</v>
      </c>
      <c r="B7" s="74"/>
      <c r="C7" s="74"/>
      <c r="D7" s="74"/>
      <c r="E7" s="74"/>
      <c r="F7" s="74"/>
      <c r="G7" s="2"/>
      <c r="H7" s="75" t="s">
        <v>71</v>
      </c>
      <c r="I7" s="75"/>
      <c r="J7" s="75"/>
      <c r="K7" s="75"/>
    </row>
    <row r="8" spans="1:11" ht="15.75" x14ac:dyDescent="0.25">
      <c r="A8" s="3" t="s">
        <v>9</v>
      </c>
      <c r="B8" s="4" t="s">
        <v>10</v>
      </c>
      <c r="C8" s="3" t="s">
        <v>11</v>
      </c>
      <c r="D8" s="5" t="s">
        <v>12</v>
      </c>
      <c r="E8" s="5" t="s">
        <v>13</v>
      </c>
      <c r="F8" s="5" t="s">
        <v>14</v>
      </c>
      <c r="G8" s="5" t="s">
        <v>15</v>
      </c>
      <c r="H8" s="3" t="s">
        <v>16</v>
      </c>
      <c r="I8" s="5" t="s">
        <v>17</v>
      </c>
      <c r="J8" s="5" t="s">
        <v>18</v>
      </c>
      <c r="K8" s="6" t="s">
        <v>19</v>
      </c>
    </row>
    <row r="9" spans="1:11" s="8" customFormat="1" ht="150" x14ac:dyDescent="0.25">
      <c r="A9" s="65">
        <v>1</v>
      </c>
      <c r="B9" s="7" t="s">
        <v>20</v>
      </c>
      <c r="C9" s="48"/>
      <c r="D9" s="48"/>
      <c r="E9" s="48"/>
      <c r="F9" s="48"/>
      <c r="G9" s="48"/>
      <c r="H9" s="48"/>
      <c r="I9" s="48"/>
      <c r="J9" s="48"/>
      <c r="K9" s="48"/>
    </row>
    <row r="10" spans="1:11" ht="30" x14ac:dyDescent="0.25">
      <c r="A10" s="65"/>
      <c r="B10" s="50" t="str">
        <f>'Field measurement'!B2</f>
        <v>Chainage 0+000</v>
      </c>
      <c r="C10" s="32"/>
      <c r="D10" s="33"/>
      <c r="E10" s="51" t="s">
        <v>52</v>
      </c>
      <c r="F10" s="33"/>
      <c r="G10" s="33"/>
      <c r="H10" s="32"/>
      <c r="I10" s="32"/>
      <c r="J10" s="32"/>
      <c r="K10" s="32"/>
    </row>
    <row r="11" spans="1:11" x14ac:dyDescent="0.25">
      <c r="A11" s="65"/>
      <c r="B11" s="50" t="str">
        <f>'Field measurement'!B3</f>
        <v>0+000 to 0+002</v>
      </c>
      <c r="C11" s="32">
        <v>1</v>
      </c>
      <c r="D11" s="33">
        <f>'Field measurement'!C3</f>
        <v>2</v>
      </c>
      <c r="E11" s="33">
        <f>'Field measurement'!E3</f>
        <v>4.7</v>
      </c>
      <c r="F11" s="33">
        <v>0.15</v>
      </c>
      <c r="G11" s="33">
        <f>PRODUCT(C11:F11)</f>
        <v>1.41</v>
      </c>
      <c r="H11" s="32"/>
      <c r="I11" s="32"/>
      <c r="J11" s="32"/>
      <c r="K11" s="32"/>
    </row>
    <row r="12" spans="1:11" x14ac:dyDescent="0.25">
      <c r="A12" s="65"/>
      <c r="B12" s="50" t="str">
        <f>'Field measurement'!B4</f>
        <v>0+002 to 0+004</v>
      </c>
      <c r="C12" s="32">
        <v>1</v>
      </c>
      <c r="D12" s="33">
        <f>'Field measurement'!C4</f>
        <v>2</v>
      </c>
      <c r="E12" s="33">
        <f>'Field measurement'!E4</f>
        <v>4.7</v>
      </c>
      <c r="F12" s="33">
        <v>0.15</v>
      </c>
      <c r="G12" s="33">
        <f t="shared" ref="G12:G17" si="0">PRODUCT(C12:F12)</f>
        <v>1.41</v>
      </c>
      <c r="H12" s="32"/>
      <c r="I12" s="32"/>
      <c r="J12" s="32"/>
      <c r="K12" s="32"/>
    </row>
    <row r="13" spans="1:11" x14ac:dyDescent="0.25">
      <c r="A13" s="65"/>
      <c r="B13" s="50" t="str">
        <f>'Field measurement'!B5</f>
        <v>0+004 to 0+006</v>
      </c>
      <c r="C13" s="32">
        <v>1</v>
      </c>
      <c r="D13" s="33">
        <f>'Field measurement'!C5</f>
        <v>2</v>
      </c>
      <c r="E13" s="33">
        <f>'Field measurement'!E5</f>
        <v>4.5999999999999996</v>
      </c>
      <c r="F13" s="33">
        <v>0.15</v>
      </c>
      <c r="G13" s="33">
        <f t="shared" si="0"/>
        <v>1.38</v>
      </c>
      <c r="H13" s="32"/>
      <c r="I13" s="32"/>
      <c r="J13" s="32"/>
      <c r="K13" s="32"/>
    </row>
    <row r="14" spans="1:11" x14ac:dyDescent="0.25">
      <c r="A14" s="65"/>
      <c r="B14" s="50" t="str">
        <f>'Field measurement'!B6</f>
        <v>0+006 to 0+008</v>
      </c>
      <c r="C14" s="32">
        <v>1</v>
      </c>
      <c r="D14" s="33">
        <f>'Field measurement'!C6</f>
        <v>2</v>
      </c>
      <c r="E14" s="33">
        <f>'Field measurement'!E6</f>
        <v>4.5</v>
      </c>
      <c r="F14" s="33">
        <v>0.15</v>
      </c>
      <c r="G14" s="33">
        <f t="shared" si="0"/>
        <v>1.3499999999999999</v>
      </c>
      <c r="H14" s="32"/>
      <c r="I14" s="32"/>
      <c r="J14" s="32"/>
      <c r="K14" s="32"/>
    </row>
    <row r="15" spans="1:11" x14ac:dyDescent="0.25">
      <c r="A15" s="65"/>
      <c r="B15" s="50" t="str">
        <f>'Field measurement'!B7</f>
        <v>0+008 to 0+010</v>
      </c>
      <c r="C15" s="32">
        <v>1</v>
      </c>
      <c r="D15" s="33">
        <f>'Field measurement'!C7</f>
        <v>2</v>
      </c>
      <c r="E15" s="33">
        <f>'Field measurement'!E7</f>
        <v>4.5</v>
      </c>
      <c r="F15" s="33">
        <v>0.15</v>
      </c>
      <c r="G15" s="33">
        <f t="shared" si="0"/>
        <v>1.3499999999999999</v>
      </c>
      <c r="H15" s="32"/>
      <c r="I15" s="32"/>
      <c r="J15" s="32"/>
      <c r="K15" s="32"/>
    </row>
    <row r="16" spans="1:11" x14ac:dyDescent="0.25">
      <c r="A16" s="65"/>
      <c r="B16" s="50" t="str">
        <f>'Field measurement'!B8</f>
        <v>0+010 to 0+012</v>
      </c>
      <c r="C16" s="32">
        <v>1</v>
      </c>
      <c r="D16" s="33">
        <f>'Field measurement'!C8</f>
        <v>2</v>
      </c>
      <c r="E16" s="33">
        <f>'Field measurement'!E8</f>
        <v>4.45</v>
      </c>
      <c r="F16" s="33">
        <v>0.15</v>
      </c>
      <c r="G16" s="33">
        <f t="shared" si="0"/>
        <v>1.335</v>
      </c>
      <c r="H16" s="32"/>
      <c r="I16" s="32"/>
      <c r="J16" s="32"/>
      <c r="K16" s="32"/>
    </row>
    <row r="17" spans="1:19" x14ac:dyDescent="0.25">
      <c r="A17" s="65"/>
      <c r="B17" s="50" t="str">
        <f>'Field measurement'!B9</f>
        <v>0+012 to 0+013.8</v>
      </c>
      <c r="C17" s="32">
        <v>1</v>
      </c>
      <c r="D17" s="33">
        <f>'Field measurement'!C9</f>
        <v>1.8</v>
      </c>
      <c r="E17" s="33">
        <f>'Field measurement'!E9</f>
        <v>4.3499999999999996</v>
      </c>
      <c r="F17" s="33">
        <v>0.15</v>
      </c>
      <c r="G17" s="33">
        <f t="shared" si="0"/>
        <v>1.1744999999999999</v>
      </c>
      <c r="H17" s="32"/>
      <c r="I17" s="32"/>
      <c r="J17" s="32"/>
      <c r="K17" s="32"/>
    </row>
    <row r="18" spans="1:19" ht="15" customHeight="1" x14ac:dyDescent="0.25">
      <c r="A18" s="9"/>
      <c r="B18" s="10" t="s">
        <v>22</v>
      </c>
      <c r="C18" s="11"/>
      <c r="D18" s="12"/>
      <c r="E18" s="13"/>
      <c r="F18" s="13"/>
      <c r="G18" s="14">
        <f>SUM(G11:G17)</f>
        <v>9.4094999999999995</v>
      </c>
      <c r="H18" s="15" t="s">
        <v>23</v>
      </c>
      <c r="I18" s="14">
        <v>64.63</v>
      </c>
      <c r="J18" s="16">
        <f>G18*I18</f>
        <v>608.13598499999989</v>
      </c>
      <c r="K18" s="13"/>
      <c r="M18" s="17"/>
      <c r="N18" s="18"/>
      <c r="O18" s="18"/>
      <c r="P18" s="18"/>
      <c r="Q18" s="18"/>
      <c r="R18" s="17"/>
      <c r="S18" s="17"/>
    </row>
    <row r="19" spans="1:19" ht="15" customHeight="1" x14ac:dyDescent="0.25">
      <c r="A19" s="9"/>
      <c r="B19" s="10" t="s">
        <v>24</v>
      </c>
      <c r="C19" s="11"/>
      <c r="D19" s="12"/>
      <c r="E19" s="13"/>
      <c r="F19" s="13"/>
      <c r="G19" s="14"/>
      <c r="H19" s="15"/>
      <c r="I19" s="14"/>
      <c r="J19" s="16">
        <f>0.13*G18*19284/360</f>
        <v>65.524621499999995</v>
      </c>
      <c r="K19" s="13"/>
      <c r="M19" s="17"/>
      <c r="N19" s="18"/>
      <c r="O19" s="18"/>
      <c r="P19" s="18"/>
      <c r="Q19" s="18"/>
      <c r="R19" s="17"/>
      <c r="S19" s="17"/>
    </row>
    <row r="20" spans="1:19" x14ac:dyDescent="0.25">
      <c r="A20" s="65"/>
      <c r="B20" s="32"/>
      <c r="C20" s="32"/>
      <c r="D20" s="32"/>
      <c r="E20" s="32"/>
      <c r="F20" s="32"/>
      <c r="G20" s="32"/>
      <c r="H20" s="32"/>
      <c r="I20" s="32"/>
      <c r="J20" s="32"/>
      <c r="K20" s="32"/>
    </row>
    <row r="21" spans="1:19" ht="90" x14ac:dyDescent="0.25">
      <c r="A21" s="65">
        <v>2</v>
      </c>
      <c r="B21" s="7" t="s">
        <v>25</v>
      </c>
      <c r="C21" s="32"/>
      <c r="D21" s="32"/>
      <c r="E21" s="32"/>
      <c r="F21" s="32"/>
      <c r="G21" s="32"/>
      <c r="H21" s="32"/>
      <c r="I21" s="32"/>
      <c r="J21" s="32"/>
      <c r="K21" s="32"/>
    </row>
    <row r="22" spans="1:19" ht="30" x14ac:dyDescent="0.25">
      <c r="A22" s="65"/>
      <c r="B22" s="50" t="str">
        <f>B10</f>
        <v>Chainage 0+000</v>
      </c>
      <c r="C22" s="32"/>
      <c r="D22" s="33"/>
      <c r="E22" s="51" t="s">
        <v>52</v>
      </c>
      <c r="F22" s="33"/>
      <c r="G22" s="33"/>
      <c r="H22" s="32"/>
      <c r="I22" s="32"/>
      <c r="J22" s="32"/>
      <c r="K22" s="32"/>
    </row>
    <row r="23" spans="1:19" x14ac:dyDescent="0.25">
      <c r="A23" s="65"/>
      <c r="B23" s="50" t="str">
        <f t="shared" ref="B23:B29" si="1">B11</f>
        <v>0+000 to 0+002</v>
      </c>
      <c r="C23" s="32">
        <v>1</v>
      </c>
      <c r="D23" s="33">
        <f>'Field measurement'!C3</f>
        <v>2</v>
      </c>
      <c r="E23" s="33">
        <f>'Field measurement'!E3</f>
        <v>4.7</v>
      </c>
      <c r="F23" s="33">
        <v>0.15</v>
      </c>
      <c r="G23" s="33">
        <f>PRODUCT(C23:F23)</f>
        <v>1.41</v>
      </c>
      <c r="H23" s="32"/>
      <c r="I23" s="32"/>
      <c r="J23" s="32"/>
      <c r="K23" s="32"/>
    </row>
    <row r="24" spans="1:19" x14ac:dyDescent="0.25">
      <c r="A24" s="65"/>
      <c r="B24" s="50" t="str">
        <f t="shared" si="1"/>
        <v>0+002 to 0+004</v>
      </c>
      <c r="C24" s="32">
        <v>1</v>
      </c>
      <c r="D24" s="33">
        <f>'Field measurement'!C4</f>
        <v>2</v>
      </c>
      <c r="E24" s="33">
        <f>'Field measurement'!E4</f>
        <v>4.7</v>
      </c>
      <c r="F24" s="33">
        <v>0.15</v>
      </c>
      <c r="G24" s="33">
        <f t="shared" ref="G24:G29" si="2">PRODUCT(C24:F24)</f>
        <v>1.41</v>
      </c>
      <c r="H24" s="32"/>
      <c r="I24" s="32"/>
      <c r="J24" s="32"/>
      <c r="K24" s="32"/>
    </row>
    <row r="25" spans="1:19" x14ac:dyDescent="0.25">
      <c r="A25" s="65"/>
      <c r="B25" s="50" t="str">
        <f t="shared" si="1"/>
        <v>0+004 to 0+006</v>
      </c>
      <c r="C25" s="32">
        <v>1</v>
      </c>
      <c r="D25" s="33">
        <f>'Field measurement'!C5</f>
        <v>2</v>
      </c>
      <c r="E25" s="33">
        <f>'Field measurement'!E5</f>
        <v>4.5999999999999996</v>
      </c>
      <c r="F25" s="33">
        <v>0.15</v>
      </c>
      <c r="G25" s="33">
        <f t="shared" si="2"/>
        <v>1.38</v>
      </c>
      <c r="H25" s="32"/>
      <c r="I25" s="32"/>
      <c r="J25" s="32"/>
      <c r="K25" s="32"/>
    </row>
    <row r="26" spans="1:19" x14ac:dyDescent="0.25">
      <c r="A26" s="65"/>
      <c r="B26" s="50" t="str">
        <f t="shared" si="1"/>
        <v>0+006 to 0+008</v>
      </c>
      <c r="C26" s="32">
        <v>1</v>
      </c>
      <c r="D26" s="33">
        <f>'Field measurement'!C6</f>
        <v>2</v>
      </c>
      <c r="E26" s="33">
        <f>'Field measurement'!E6</f>
        <v>4.5</v>
      </c>
      <c r="F26" s="33">
        <v>0.15</v>
      </c>
      <c r="G26" s="33">
        <f t="shared" si="2"/>
        <v>1.3499999999999999</v>
      </c>
      <c r="H26" s="32"/>
      <c r="I26" s="32"/>
      <c r="J26" s="32"/>
      <c r="K26" s="32"/>
    </row>
    <row r="27" spans="1:19" x14ac:dyDescent="0.25">
      <c r="A27" s="65"/>
      <c r="B27" s="50" t="str">
        <f t="shared" si="1"/>
        <v>0+008 to 0+010</v>
      </c>
      <c r="C27" s="32">
        <v>1</v>
      </c>
      <c r="D27" s="33">
        <f>'Field measurement'!C7</f>
        <v>2</v>
      </c>
      <c r="E27" s="33">
        <f>'Field measurement'!E7</f>
        <v>4.5</v>
      </c>
      <c r="F27" s="33">
        <v>0.15</v>
      </c>
      <c r="G27" s="33">
        <f t="shared" si="2"/>
        <v>1.3499999999999999</v>
      </c>
      <c r="H27" s="32"/>
      <c r="I27" s="32"/>
      <c r="J27" s="32"/>
      <c r="K27" s="32"/>
    </row>
    <row r="28" spans="1:19" x14ac:dyDescent="0.25">
      <c r="A28" s="65"/>
      <c r="B28" s="50" t="str">
        <f t="shared" si="1"/>
        <v>0+010 to 0+012</v>
      </c>
      <c r="C28" s="32">
        <v>1</v>
      </c>
      <c r="D28" s="33">
        <f>'Field measurement'!C8</f>
        <v>2</v>
      </c>
      <c r="E28" s="33">
        <f>'Field measurement'!E8</f>
        <v>4.45</v>
      </c>
      <c r="F28" s="33">
        <v>0.15</v>
      </c>
      <c r="G28" s="33">
        <f t="shared" si="2"/>
        <v>1.335</v>
      </c>
      <c r="H28" s="32"/>
      <c r="I28" s="32"/>
      <c r="J28" s="32"/>
      <c r="K28" s="32"/>
    </row>
    <row r="29" spans="1:19" x14ac:dyDescent="0.25">
      <c r="A29" s="65"/>
      <c r="B29" s="50" t="str">
        <f t="shared" si="1"/>
        <v>0+012 to 0+013.8</v>
      </c>
      <c r="C29" s="32">
        <v>1</v>
      </c>
      <c r="D29" s="33">
        <f>'Field measurement'!C9</f>
        <v>1.8</v>
      </c>
      <c r="E29" s="33">
        <f>'Field measurement'!E9</f>
        <v>4.3499999999999996</v>
      </c>
      <c r="F29" s="33">
        <v>0.15</v>
      </c>
      <c r="G29" s="33">
        <f t="shared" si="2"/>
        <v>1.1744999999999999</v>
      </c>
      <c r="H29" s="32"/>
      <c r="I29" s="32"/>
      <c r="J29" s="32"/>
      <c r="K29" s="32"/>
    </row>
    <row r="30" spans="1:19" ht="15" customHeight="1" x14ac:dyDescent="0.25">
      <c r="A30" s="28"/>
      <c r="B30" s="10" t="s">
        <v>22</v>
      </c>
      <c r="C30" s="23"/>
      <c r="D30" s="24"/>
      <c r="E30" s="24"/>
      <c r="F30" s="24"/>
      <c r="G30" s="25">
        <f>SUM(G22:G29)</f>
        <v>9.4094999999999995</v>
      </c>
      <c r="H30" s="25" t="s">
        <v>23</v>
      </c>
      <c r="I30" s="25">
        <v>4561.53</v>
      </c>
      <c r="J30" s="26">
        <f>G30*I30</f>
        <v>42921.716534999992</v>
      </c>
      <c r="K30" s="19"/>
    </row>
    <row r="31" spans="1:19" x14ac:dyDescent="0.25">
      <c r="A31" s="28"/>
      <c r="B31" s="10" t="s">
        <v>24</v>
      </c>
      <c r="C31" s="23"/>
      <c r="D31" s="24"/>
      <c r="E31" s="24"/>
      <c r="F31" s="24"/>
      <c r="G31" s="24"/>
      <c r="H31" s="24"/>
      <c r="I31" s="24"/>
      <c r="J31" s="27">
        <f>0.13*G30*(15452.6/5)</f>
        <v>3780.4322322000003</v>
      </c>
      <c r="K31" s="19"/>
    </row>
    <row r="32" spans="1:19" x14ac:dyDescent="0.25">
      <c r="A32" s="65"/>
      <c r="B32" s="32"/>
      <c r="C32" s="32"/>
      <c r="D32" s="32"/>
      <c r="E32" s="32"/>
      <c r="F32" s="32"/>
      <c r="G32" s="32"/>
      <c r="H32" s="32"/>
      <c r="I32" s="32"/>
      <c r="J32" s="32"/>
      <c r="K32" s="32"/>
      <c r="O32">
        <f>8.5/12/3.281</f>
        <v>0.21588946459412781</v>
      </c>
    </row>
    <row r="33" spans="1:14" s="18" customFormat="1" ht="75" x14ac:dyDescent="0.25">
      <c r="A33" s="28">
        <v>3</v>
      </c>
      <c r="B33" s="7" t="s">
        <v>26</v>
      </c>
      <c r="C33" s="29" t="s">
        <v>11</v>
      </c>
      <c r="D33" s="30" t="s">
        <v>27</v>
      </c>
      <c r="E33" s="30" t="s">
        <v>28</v>
      </c>
      <c r="F33" s="30" t="s">
        <v>29</v>
      </c>
      <c r="G33" s="21"/>
      <c r="H33" s="21"/>
      <c r="I33" s="21"/>
      <c r="J33" s="27"/>
      <c r="K33" s="31"/>
    </row>
    <row r="34" spans="1:14" ht="15" customHeight="1" x14ac:dyDescent="0.25">
      <c r="A34" s="28"/>
      <c r="B34" s="10" t="s">
        <v>21</v>
      </c>
      <c r="C34" s="23">
        <f>TRUNC(D35/(0.15),0)</f>
        <v>91</v>
      </c>
      <c r="D34" s="24">
        <f>AVERAGE(E23:E29)</f>
        <v>4.5428571428571427</v>
      </c>
      <c r="E34" s="24">
        <f>8*8/162</f>
        <v>0.39506172839506171</v>
      </c>
      <c r="F34" s="24">
        <f>PRODUCT(C34:E34)</f>
        <v>163.31851851851849</v>
      </c>
      <c r="G34" s="24">
        <f>F34/1000</f>
        <v>0.16331851851851847</v>
      </c>
      <c r="H34" s="24"/>
      <c r="I34" s="24"/>
      <c r="J34" s="27"/>
      <c r="K34" s="19"/>
    </row>
    <row r="35" spans="1:14" x14ac:dyDescent="0.25">
      <c r="A35" s="65"/>
      <c r="B35" s="32"/>
      <c r="C35" s="23">
        <f>TRUNC(D34/(0.15),0)</f>
        <v>30</v>
      </c>
      <c r="D35" s="33">
        <f>SUM(D23:D29)-0.1</f>
        <v>13.700000000000001</v>
      </c>
      <c r="E35" s="24">
        <f>8*8/162</f>
        <v>0.39506172839506171</v>
      </c>
      <c r="F35" s="24">
        <f>PRODUCT(C35:E35)</f>
        <v>162.37037037037038</v>
      </c>
      <c r="G35" s="24">
        <f>F35/1000</f>
        <v>0.16237037037037039</v>
      </c>
      <c r="H35" s="32"/>
      <c r="I35" s="32"/>
      <c r="J35" s="32"/>
      <c r="K35" s="32"/>
      <c r="M35" s="34"/>
      <c r="N35" s="34"/>
    </row>
    <row r="36" spans="1:14" ht="15" customHeight="1" x14ac:dyDescent="0.25">
      <c r="A36" s="28"/>
      <c r="B36" s="10" t="s">
        <v>22</v>
      </c>
      <c r="C36" s="23"/>
      <c r="D36" s="24"/>
      <c r="E36" s="24"/>
      <c r="F36" s="24"/>
      <c r="G36" s="25">
        <f>SUM(G34:G35)</f>
        <v>0.32568888888888886</v>
      </c>
      <c r="H36" s="25" t="s">
        <v>30</v>
      </c>
      <c r="I36" s="25">
        <v>124140</v>
      </c>
      <c r="J36" s="26">
        <f>G36*I36</f>
        <v>40431.018666666663</v>
      </c>
      <c r="K36" s="19"/>
    </row>
    <row r="37" spans="1:14" ht="15" customHeight="1" x14ac:dyDescent="0.25">
      <c r="A37" s="28"/>
      <c r="B37" s="10" t="s">
        <v>24</v>
      </c>
      <c r="C37" s="23"/>
      <c r="D37" s="24"/>
      <c r="E37" s="24"/>
      <c r="F37" s="24"/>
      <c r="G37" s="24"/>
      <c r="H37" s="24"/>
      <c r="I37" s="24"/>
      <c r="J37" s="27">
        <f>0.13*G36*110960</f>
        <v>4697.9970844444442</v>
      </c>
      <c r="K37" s="19"/>
    </row>
    <row r="38" spans="1:14" ht="15" customHeight="1" x14ac:dyDescent="0.25">
      <c r="A38" s="28"/>
      <c r="B38" s="10"/>
      <c r="C38" s="23"/>
      <c r="D38" s="24"/>
      <c r="E38" s="24"/>
      <c r="F38" s="24"/>
      <c r="G38" s="24"/>
      <c r="H38" s="24"/>
      <c r="I38" s="24"/>
      <c r="J38" s="27"/>
      <c r="K38" s="19"/>
    </row>
    <row r="39" spans="1:14" s="18" customFormat="1" ht="75" x14ac:dyDescent="0.25">
      <c r="A39" s="28">
        <v>4</v>
      </c>
      <c r="B39" s="7" t="s">
        <v>31</v>
      </c>
      <c r="C39" s="29"/>
      <c r="D39" s="21"/>
      <c r="E39" s="21"/>
      <c r="F39" s="21"/>
      <c r="G39" s="21"/>
      <c r="H39" s="21"/>
      <c r="I39" s="21"/>
      <c r="J39" s="27"/>
      <c r="K39" s="31"/>
    </row>
    <row r="40" spans="1:14" ht="30" x14ac:dyDescent="0.25">
      <c r="A40" s="65"/>
      <c r="B40" s="50" t="str">
        <f>B10</f>
        <v>Chainage 0+000</v>
      </c>
      <c r="C40" s="32"/>
      <c r="D40" s="33"/>
      <c r="E40" s="51" t="s">
        <v>52</v>
      </c>
      <c r="F40" s="33"/>
      <c r="G40" s="33"/>
      <c r="H40" s="32"/>
      <c r="I40" s="32"/>
      <c r="J40" s="32"/>
      <c r="K40" s="32"/>
    </row>
    <row r="41" spans="1:14" x14ac:dyDescent="0.25">
      <c r="A41" s="65"/>
      <c r="B41" s="50" t="str">
        <f t="shared" ref="B41:B47" si="3">B11</f>
        <v>0+000 to 0+002</v>
      </c>
      <c r="C41" s="32">
        <v>1</v>
      </c>
      <c r="D41" s="33">
        <f>'Field measurement'!C3</f>
        <v>2</v>
      </c>
      <c r="E41" s="33">
        <f>'Field measurement'!E3</f>
        <v>4.7</v>
      </c>
      <c r="F41" s="33">
        <v>0.15</v>
      </c>
      <c r="G41" s="33">
        <f>PRODUCT(C41:F41)</f>
        <v>1.41</v>
      </c>
      <c r="H41" s="32"/>
      <c r="I41" s="32"/>
      <c r="J41" s="32"/>
      <c r="K41" s="32"/>
    </row>
    <row r="42" spans="1:14" x14ac:dyDescent="0.25">
      <c r="A42" s="65"/>
      <c r="B42" s="50" t="str">
        <f t="shared" si="3"/>
        <v>0+002 to 0+004</v>
      </c>
      <c r="C42" s="32">
        <v>1</v>
      </c>
      <c r="D42" s="33">
        <f>'Field measurement'!C4</f>
        <v>2</v>
      </c>
      <c r="E42" s="33">
        <f>'Field measurement'!E4</f>
        <v>4.7</v>
      </c>
      <c r="F42" s="33">
        <v>0.15</v>
      </c>
      <c r="G42" s="33">
        <f t="shared" ref="G42:G47" si="4">PRODUCT(C42:F42)</f>
        <v>1.41</v>
      </c>
      <c r="H42" s="32"/>
      <c r="I42" s="32"/>
      <c r="J42" s="32"/>
      <c r="K42" s="32"/>
    </row>
    <row r="43" spans="1:14" x14ac:dyDescent="0.25">
      <c r="A43" s="65"/>
      <c r="B43" s="50" t="str">
        <f t="shared" si="3"/>
        <v>0+004 to 0+006</v>
      </c>
      <c r="C43" s="32">
        <v>1</v>
      </c>
      <c r="D43" s="33">
        <f>'Field measurement'!C5</f>
        <v>2</v>
      </c>
      <c r="E43" s="33">
        <f>'Field measurement'!E5</f>
        <v>4.5999999999999996</v>
      </c>
      <c r="F43" s="33">
        <v>0.15</v>
      </c>
      <c r="G43" s="33">
        <f t="shared" si="4"/>
        <v>1.38</v>
      </c>
      <c r="H43" s="32"/>
      <c r="I43" s="32"/>
      <c r="J43" s="32"/>
      <c r="K43" s="32"/>
    </row>
    <row r="44" spans="1:14" x14ac:dyDescent="0.25">
      <c r="A44" s="65"/>
      <c r="B44" s="50" t="str">
        <f t="shared" si="3"/>
        <v>0+006 to 0+008</v>
      </c>
      <c r="C44" s="32">
        <v>1</v>
      </c>
      <c r="D44" s="33">
        <f>'Field measurement'!C6</f>
        <v>2</v>
      </c>
      <c r="E44" s="33">
        <f>'Field measurement'!E6</f>
        <v>4.5</v>
      </c>
      <c r="F44" s="33">
        <v>0.15</v>
      </c>
      <c r="G44" s="33">
        <f t="shared" si="4"/>
        <v>1.3499999999999999</v>
      </c>
      <c r="H44" s="32"/>
      <c r="I44" s="32"/>
      <c r="J44" s="32"/>
      <c r="K44" s="32"/>
    </row>
    <row r="45" spans="1:14" x14ac:dyDescent="0.25">
      <c r="A45" s="65"/>
      <c r="B45" s="50" t="str">
        <f t="shared" si="3"/>
        <v>0+008 to 0+010</v>
      </c>
      <c r="C45" s="32">
        <v>1</v>
      </c>
      <c r="D45" s="33">
        <f>'Field measurement'!C7</f>
        <v>2</v>
      </c>
      <c r="E45" s="33">
        <f>'Field measurement'!E7</f>
        <v>4.5</v>
      </c>
      <c r="F45" s="33">
        <v>0.15</v>
      </c>
      <c r="G45" s="33">
        <f t="shared" si="4"/>
        <v>1.3499999999999999</v>
      </c>
      <c r="H45" s="32"/>
      <c r="I45" s="32"/>
      <c r="J45" s="32"/>
      <c r="K45" s="32"/>
    </row>
    <row r="46" spans="1:14" x14ac:dyDescent="0.25">
      <c r="A46" s="65"/>
      <c r="B46" s="50" t="str">
        <f t="shared" si="3"/>
        <v>0+010 to 0+012</v>
      </c>
      <c r="C46" s="32">
        <v>1</v>
      </c>
      <c r="D46" s="33">
        <f>'Field measurement'!C8</f>
        <v>2</v>
      </c>
      <c r="E46" s="33">
        <f>'Field measurement'!E8</f>
        <v>4.45</v>
      </c>
      <c r="F46" s="33">
        <v>0.15</v>
      </c>
      <c r="G46" s="33">
        <f t="shared" si="4"/>
        <v>1.335</v>
      </c>
      <c r="H46" s="32"/>
      <c r="I46" s="32"/>
      <c r="J46" s="32"/>
      <c r="K46" s="32"/>
    </row>
    <row r="47" spans="1:14" x14ac:dyDescent="0.25">
      <c r="A47" s="65"/>
      <c r="B47" s="50" t="str">
        <f t="shared" si="3"/>
        <v>0+012 to 0+013.8</v>
      </c>
      <c r="C47" s="32">
        <v>1</v>
      </c>
      <c r="D47" s="33">
        <f>'Field measurement'!C9</f>
        <v>1.8</v>
      </c>
      <c r="E47" s="33">
        <f>'Field measurement'!E9</f>
        <v>4.3499999999999996</v>
      </c>
      <c r="F47" s="33">
        <v>0.15</v>
      </c>
      <c r="G47" s="33">
        <f t="shared" si="4"/>
        <v>1.1744999999999999</v>
      </c>
      <c r="H47" s="32"/>
      <c r="I47" s="32"/>
      <c r="J47" s="32"/>
      <c r="K47" s="32"/>
    </row>
    <row r="48" spans="1:14" ht="15" customHeight="1" x14ac:dyDescent="0.25">
      <c r="A48" s="28"/>
      <c r="B48" s="10" t="s">
        <v>22</v>
      </c>
      <c r="C48" s="23"/>
      <c r="D48" s="24"/>
      <c r="E48" s="24"/>
      <c r="F48" s="24"/>
      <c r="G48" s="25">
        <f>SUM(G41:G47)</f>
        <v>9.4094999999999995</v>
      </c>
      <c r="H48" s="25" t="s">
        <v>23</v>
      </c>
      <c r="I48" s="25">
        <v>11588.17</v>
      </c>
      <c r="J48" s="26">
        <f>G48*I48</f>
        <v>109038.88561499999</v>
      </c>
      <c r="K48" s="19"/>
    </row>
    <row r="49" spans="1:19" ht="15" customHeight="1" x14ac:dyDescent="0.25">
      <c r="A49" s="28"/>
      <c r="B49" s="10" t="s">
        <v>24</v>
      </c>
      <c r="C49" s="23"/>
      <c r="D49" s="24"/>
      <c r="E49" s="24"/>
      <c r="F49" s="24"/>
      <c r="G49" s="24"/>
      <c r="H49" s="24"/>
      <c r="I49" s="24"/>
      <c r="J49" s="27">
        <f>0.13*G48*((128662.2+6685.5)/15)</f>
        <v>11037.469587300002</v>
      </c>
      <c r="K49" s="19"/>
    </row>
    <row r="50" spans="1:19" ht="15" customHeight="1" x14ac:dyDescent="0.25">
      <c r="A50" s="28"/>
      <c r="B50" s="10"/>
      <c r="C50" s="23"/>
      <c r="D50" s="24"/>
      <c r="E50" s="24"/>
      <c r="F50" s="24"/>
      <c r="G50" s="24"/>
      <c r="H50" s="24"/>
      <c r="I50" s="24"/>
      <c r="J50" s="27"/>
      <c r="K50" s="19"/>
    </row>
    <row r="51" spans="1:19" ht="15" customHeight="1" x14ac:dyDescent="0.25">
      <c r="A51" s="9">
        <v>5</v>
      </c>
      <c r="B51" s="7" t="s">
        <v>32</v>
      </c>
      <c r="C51" s="11">
        <v>1</v>
      </c>
      <c r="D51" s="12"/>
      <c r="E51" s="13"/>
      <c r="F51" s="13"/>
      <c r="G51" s="36">
        <f t="shared" ref="G51" si="5">PRODUCT(C51:F51)</f>
        <v>1</v>
      </c>
      <c r="H51" s="15" t="s">
        <v>33</v>
      </c>
      <c r="I51" s="14">
        <v>15000</v>
      </c>
      <c r="J51" s="36">
        <f>G51*I51</f>
        <v>15000</v>
      </c>
      <c r="K51" s="13"/>
      <c r="M51" s="17"/>
      <c r="N51" s="18"/>
      <c r="O51" s="18"/>
      <c r="P51" s="18"/>
      <c r="Q51" s="18"/>
      <c r="R51" s="17"/>
      <c r="S51" s="17"/>
    </row>
    <row r="52" spans="1:19" ht="15" customHeight="1" x14ac:dyDescent="0.25">
      <c r="A52" s="9"/>
      <c r="B52" s="7"/>
      <c r="C52" s="11"/>
      <c r="D52" s="12"/>
      <c r="E52" s="13"/>
      <c r="F52" s="13"/>
      <c r="G52" s="36"/>
      <c r="H52" s="15"/>
      <c r="I52" s="14"/>
      <c r="J52" s="36"/>
      <c r="K52" s="13"/>
      <c r="M52" s="17"/>
      <c r="N52" s="18"/>
      <c r="O52" s="18"/>
      <c r="P52" s="18"/>
      <c r="Q52" s="18"/>
      <c r="R52" s="17"/>
      <c r="S52" s="17"/>
    </row>
    <row r="53" spans="1:19" ht="15" customHeight="1" x14ac:dyDescent="0.25">
      <c r="A53" s="9">
        <v>6</v>
      </c>
      <c r="B53" s="7" t="s">
        <v>34</v>
      </c>
      <c r="C53" s="11">
        <v>1</v>
      </c>
      <c r="D53" s="12"/>
      <c r="E53" s="13"/>
      <c r="F53" s="13"/>
      <c r="G53" s="36">
        <f t="shared" ref="G53" si="6">PRODUCT(C53:F53)</f>
        <v>1</v>
      </c>
      <c r="H53" s="15" t="s">
        <v>35</v>
      </c>
      <c r="I53" s="14">
        <v>500</v>
      </c>
      <c r="J53" s="36">
        <f>G53*I53</f>
        <v>500</v>
      </c>
      <c r="K53" s="13"/>
      <c r="M53" s="17"/>
      <c r="N53" s="18"/>
      <c r="O53" s="18"/>
      <c r="P53" s="18"/>
      <c r="Q53" s="18"/>
      <c r="R53" s="17"/>
      <c r="S53" s="17"/>
    </row>
    <row r="54" spans="1:19" ht="15" customHeight="1" x14ac:dyDescent="0.25">
      <c r="A54" s="28"/>
      <c r="B54" s="10"/>
      <c r="C54" s="23"/>
      <c r="D54" s="24"/>
      <c r="E54" s="24"/>
      <c r="F54" s="24"/>
      <c r="G54" s="24"/>
      <c r="H54" s="24"/>
      <c r="I54" s="24"/>
      <c r="J54" s="27"/>
      <c r="K54" s="19"/>
    </row>
    <row r="55" spans="1:19" x14ac:dyDescent="0.25">
      <c r="A55" s="22"/>
      <c r="B55" s="46" t="s">
        <v>41</v>
      </c>
      <c r="C55" s="47"/>
      <c r="D55" s="20"/>
      <c r="E55" s="20"/>
      <c r="F55" s="20"/>
      <c r="G55" s="16"/>
      <c r="H55" s="16"/>
      <c r="I55" s="16"/>
      <c r="J55" s="16">
        <f>SUM(J18:J53)</f>
        <v>228081.1803271111</v>
      </c>
      <c r="K55" s="19"/>
    </row>
    <row r="57" spans="1:19" s="18" customFormat="1" x14ac:dyDescent="0.25">
      <c r="A57" s="37"/>
      <c r="B57" s="31" t="s">
        <v>69</v>
      </c>
      <c r="C57" s="73">
        <f>J55</f>
        <v>228081.1803271111</v>
      </c>
      <c r="D57" s="73"/>
      <c r="E57" s="21">
        <v>100</v>
      </c>
      <c r="F57" s="38"/>
      <c r="G57" s="39"/>
      <c r="H57" s="38"/>
      <c r="I57" s="40"/>
      <c r="J57" s="41"/>
      <c r="K57" s="42"/>
    </row>
    <row r="58" spans="1:19" x14ac:dyDescent="0.25">
      <c r="A58" s="43"/>
      <c r="B58" s="31" t="s">
        <v>37</v>
      </c>
      <c r="C58" s="76">
        <v>200000</v>
      </c>
      <c r="D58" s="76"/>
      <c r="E58" s="21"/>
      <c r="F58" s="44"/>
      <c r="G58" s="45"/>
      <c r="H58" s="45"/>
      <c r="I58" s="45"/>
      <c r="J58" s="45"/>
      <c r="K58" s="44"/>
    </row>
    <row r="59" spans="1:19" x14ac:dyDescent="0.25">
      <c r="A59" s="43"/>
      <c r="B59" s="31" t="s">
        <v>38</v>
      </c>
      <c r="C59" s="76">
        <f>C58-C61-C62</f>
        <v>190000</v>
      </c>
      <c r="D59" s="76"/>
      <c r="E59" s="21">
        <f>C59/C57*100</f>
        <v>83.303672721924897</v>
      </c>
      <c r="F59" s="44"/>
      <c r="G59" s="45"/>
      <c r="H59" s="45"/>
      <c r="I59" s="45"/>
      <c r="J59" s="45"/>
      <c r="K59" s="44"/>
    </row>
    <row r="60" spans="1:19" x14ac:dyDescent="0.25">
      <c r="A60" s="43"/>
      <c r="B60" s="31" t="s">
        <v>39</v>
      </c>
      <c r="C60" s="73">
        <f>C57-C59</f>
        <v>38081.180327111098</v>
      </c>
      <c r="D60" s="73"/>
      <c r="E60" s="21">
        <f>100-E59</f>
        <v>16.696327278075103</v>
      </c>
      <c r="F60" s="44"/>
      <c r="G60" s="45"/>
      <c r="H60" s="45"/>
      <c r="I60" s="45"/>
      <c r="J60" s="45"/>
      <c r="K60" s="44"/>
    </row>
    <row r="61" spans="1:19" x14ac:dyDescent="0.25">
      <c r="A61" s="43"/>
      <c r="B61" s="31" t="s">
        <v>40</v>
      </c>
      <c r="C61" s="73">
        <f>C58*0.03</f>
        <v>6000</v>
      </c>
      <c r="D61" s="73"/>
      <c r="E61" s="21">
        <v>3</v>
      </c>
      <c r="F61" s="44"/>
      <c r="G61" s="45"/>
      <c r="H61" s="45"/>
      <c r="I61" s="45"/>
      <c r="J61" s="45"/>
      <c r="K61" s="44"/>
    </row>
    <row r="62" spans="1:19" x14ac:dyDescent="0.25">
      <c r="A62" s="43"/>
      <c r="B62" s="31" t="s">
        <v>72</v>
      </c>
      <c r="C62" s="73">
        <f>C58*0.02</f>
        <v>4000</v>
      </c>
      <c r="D62" s="73"/>
      <c r="E62" s="21">
        <v>2</v>
      </c>
      <c r="F62" s="44"/>
      <c r="G62" s="45"/>
      <c r="H62" s="45"/>
      <c r="I62" s="45"/>
      <c r="J62" s="45"/>
      <c r="K62" s="44"/>
    </row>
  </sheetData>
  <mergeCells count="15">
    <mergeCell ref="C61:D61"/>
    <mergeCell ref="C62:D62"/>
    <mergeCell ref="A7:F7"/>
    <mergeCell ref="H7:K7"/>
    <mergeCell ref="C57:D57"/>
    <mergeCell ref="C58:D58"/>
    <mergeCell ref="C59:D59"/>
    <mergeCell ref="C60:D6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B10" sqref="B10"/>
    </sheetView>
  </sheetViews>
  <sheetFormatPr defaultRowHeight="15" x14ac:dyDescent="0.25"/>
  <cols>
    <col min="2" max="2" width="16.42578125" bestFit="1" customWidth="1"/>
    <col min="5" max="5" width="10.42578125" bestFit="1" customWidth="1"/>
  </cols>
  <sheetData>
    <row r="1" spans="1:5" x14ac:dyDescent="0.25">
      <c r="A1" t="s">
        <v>42</v>
      </c>
      <c r="B1" t="s">
        <v>43</v>
      </c>
      <c r="C1" t="s">
        <v>12</v>
      </c>
      <c r="D1" t="s">
        <v>44</v>
      </c>
      <c r="E1" t="s">
        <v>51</v>
      </c>
    </row>
    <row r="2" spans="1:5" x14ac:dyDescent="0.25">
      <c r="B2" t="s">
        <v>73</v>
      </c>
      <c r="C2">
        <v>0</v>
      </c>
      <c r="D2">
        <v>4.7</v>
      </c>
    </row>
    <row r="3" spans="1:5" x14ac:dyDescent="0.25">
      <c r="B3" t="s">
        <v>46</v>
      </c>
      <c r="C3">
        <v>2</v>
      </c>
      <c r="D3">
        <v>4.7</v>
      </c>
      <c r="E3" s="34">
        <f>(D2+D3)/2</f>
        <v>4.7</v>
      </c>
    </row>
    <row r="4" spans="1:5" x14ac:dyDescent="0.25">
      <c r="B4" t="s">
        <v>45</v>
      </c>
      <c r="C4">
        <v>2</v>
      </c>
      <c r="D4">
        <v>4.7</v>
      </c>
      <c r="E4" s="34">
        <f t="shared" ref="E4:E9" si="0">(D3+D4)/2</f>
        <v>4.7</v>
      </c>
    </row>
    <row r="5" spans="1:5" x14ac:dyDescent="0.25">
      <c r="B5" t="s">
        <v>47</v>
      </c>
      <c r="C5">
        <v>2</v>
      </c>
      <c r="D5">
        <v>4.5</v>
      </c>
      <c r="E5" s="34">
        <f t="shared" si="0"/>
        <v>4.5999999999999996</v>
      </c>
    </row>
    <row r="6" spans="1:5" x14ac:dyDescent="0.25">
      <c r="B6" t="s">
        <v>48</v>
      </c>
      <c r="C6">
        <v>2</v>
      </c>
      <c r="D6">
        <v>4.5</v>
      </c>
      <c r="E6" s="34">
        <f t="shared" si="0"/>
        <v>4.5</v>
      </c>
    </row>
    <row r="7" spans="1:5" x14ac:dyDescent="0.25">
      <c r="B7" t="s">
        <v>49</v>
      </c>
      <c r="C7">
        <v>2</v>
      </c>
      <c r="D7">
        <v>4.5</v>
      </c>
      <c r="E7" s="34">
        <f t="shared" si="0"/>
        <v>4.5</v>
      </c>
    </row>
    <row r="8" spans="1:5" x14ac:dyDescent="0.25">
      <c r="B8" t="s">
        <v>50</v>
      </c>
      <c r="C8">
        <v>2</v>
      </c>
      <c r="D8">
        <v>4.4000000000000004</v>
      </c>
      <c r="E8" s="34">
        <f t="shared" si="0"/>
        <v>4.45</v>
      </c>
    </row>
    <row r="9" spans="1:5" x14ac:dyDescent="0.25">
      <c r="B9" t="s">
        <v>74</v>
      </c>
      <c r="C9">
        <v>1.8</v>
      </c>
      <c r="D9">
        <v>4.3</v>
      </c>
      <c r="E9" s="34">
        <f t="shared" si="0"/>
        <v>4.3499999999999996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22" zoomScaleNormal="100" workbookViewId="0">
      <selection activeCell="A8" sqref="A8:F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1" x14ac:dyDescent="0.25">
      <c r="A1" s="84" t="s">
        <v>0</v>
      </c>
      <c r="B1" s="84"/>
      <c r="C1" s="84"/>
      <c r="D1" s="84"/>
      <c r="E1" s="84"/>
      <c r="F1" s="84"/>
      <c r="G1" s="84"/>
      <c r="H1" s="84"/>
      <c r="I1" s="84"/>
      <c r="J1" s="84"/>
      <c r="K1" s="84"/>
    </row>
    <row r="2" spans="1:11" ht="25.5" x14ac:dyDescent="0.35">
      <c r="A2" s="85" t="s">
        <v>1</v>
      </c>
      <c r="B2" s="85"/>
      <c r="C2" s="85"/>
      <c r="D2" s="85"/>
      <c r="E2" s="85"/>
      <c r="F2" s="85"/>
      <c r="G2" s="85"/>
      <c r="H2" s="85"/>
      <c r="I2" s="85"/>
      <c r="J2" s="85"/>
      <c r="K2" s="85"/>
    </row>
    <row r="3" spans="1:11" s="18" customFormat="1" x14ac:dyDescent="0.25">
      <c r="A3" s="71" t="s">
        <v>2</v>
      </c>
      <c r="B3" s="71"/>
      <c r="C3" s="71"/>
      <c r="D3" s="71"/>
      <c r="E3" s="71"/>
      <c r="F3" s="71"/>
      <c r="G3" s="71"/>
      <c r="H3" s="71"/>
      <c r="I3" s="71"/>
      <c r="J3" s="71"/>
      <c r="K3" s="71"/>
    </row>
    <row r="4" spans="1:11" s="18" customFormat="1" x14ac:dyDescent="0.25">
      <c r="A4" s="71" t="s">
        <v>3</v>
      </c>
      <c r="B4" s="71"/>
      <c r="C4" s="71"/>
      <c r="D4" s="71"/>
      <c r="E4" s="71"/>
      <c r="F4" s="71"/>
      <c r="G4" s="71"/>
      <c r="H4" s="71"/>
      <c r="I4" s="71"/>
      <c r="J4" s="71"/>
      <c r="K4" s="71"/>
    </row>
    <row r="5" spans="1:11" ht="18.75" x14ac:dyDescent="0.3">
      <c r="A5" s="86" t="s">
        <v>53</v>
      </c>
      <c r="B5" s="86"/>
      <c r="C5" s="86"/>
      <c r="D5" s="86"/>
      <c r="E5" s="86"/>
      <c r="F5" s="86"/>
      <c r="G5" s="86"/>
      <c r="H5" s="86"/>
      <c r="I5" s="86"/>
      <c r="J5" s="86"/>
      <c r="K5" s="86"/>
    </row>
    <row r="6" spans="1:11" ht="18.75" x14ac:dyDescent="0.3">
      <c r="A6" s="52" t="s">
        <v>54</v>
      </c>
      <c r="B6" s="52"/>
      <c r="C6" s="87">
        <f>F29</f>
        <v>226120.14918209484</v>
      </c>
      <c r="D6" s="88"/>
      <c r="E6" s="53"/>
      <c r="F6" s="52"/>
      <c r="G6" s="52"/>
      <c r="H6" s="52" t="s">
        <v>55</v>
      </c>
      <c r="I6" s="52"/>
      <c r="J6" s="87">
        <f>I29</f>
        <v>228081.1803271111</v>
      </c>
      <c r="K6" s="88"/>
    </row>
    <row r="7" spans="1:11" x14ac:dyDescent="0.25">
      <c r="A7" s="54" t="s">
        <v>56</v>
      </c>
      <c r="B7" s="54"/>
      <c r="C7" s="54"/>
      <c r="D7" s="54"/>
      <c r="F7" s="80"/>
      <c r="G7" s="80"/>
      <c r="I7" s="81" t="s">
        <v>57</v>
      </c>
      <c r="J7" s="81"/>
      <c r="K7" s="81"/>
    </row>
    <row r="8" spans="1:11" ht="15.75" x14ac:dyDescent="0.25">
      <c r="A8" s="67" t="str">
        <f>Estimate!A6</f>
        <v>Project:- बिन्ध्यबासिनी मन्दिर जाने सडक ढलान</v>
      </c>
      <c r="B8" s="67"/>
      <c r="C8" s="67"/>
      <c r="D8" s="67"/>
      <c r="E8" s="67"/>
      <c r="F8" s="67"/>
      <c r="I8" s="82" t="s">
        <v>66</v>
      </c>
      <c r="J8" s="82"/>
      <c r="K8" s="82"/>
    </row>
    <row r="9" spans="1:11" x14ac:dyDescent="0.25">
      <c r="A9" s="83" t="str">
        <f>Estimate!A7</f>
        <v>Location:- Shankharapur Municipality 9</v>
      </c>
      <c r="B9" s="83"/>
      <c r="C9" s="83"/>
      <c r="D9" s="83"/>
      <c r="E9" s="83"/>
      <c r="F9" s="83"/>
      <c r="I9" s="82" t="s">
        <v>67</v>
      </c>
      <c r="J9" s="82"/>
      <c r="K9" s="82"/>
    </row>
    <row r="11" spans="1:11" x14ac:dyDescent="0.25">
      <c r="A11" s="78" t="s">
        <v>58</v>
      </c>
      <c r="B11" s="78" t="s">
        <v>59</v>
      </c>
      <c r="C11" s="78" t="s">
        <v>16</v>
      </c>
      <c r="D11" s="79" t="s">
        <v>60</v>
      </c>
      <c r="E11" s="79"/>
      <c r="F11" s="79"/>
      <c r="G11" s="79" t="s">
        <v>61</v>
      </c>
      <c r="H11" s="79"/>
      <c r="I11" s="79"/>
      <c r="J11" s="78" t="s">
        <v>62</v>
      </c>
      <c r="K11" s="77" t="s">
        <v>63</v>
      </c>
    </row>
    <row r="12" spans="1:11" x14ac:dyDescent="0.25">
      <c r="A12" s="78"/>
      <c r="B12" s="78"/>
      <c r="C12" s="78"/>
      <c r="D12" s="55" t="s">
        <v>64</v>
      </c>
      <c r="E12" s="55" t="s">
        <v>17</v>
      </c>
      <c r="F12" s="55" t="s">
        <v>18</v>
      </c>
      <c r="G12" s="55" t="s">
        <v>64</v>
      </c>
      <c r="H12" s="55" t="s">
        <v>17</v>
      </c>
      <c r="I12" s="55" t="s">
        <v>18</v>
      </c>
      <c r="J12" s="78"/>
      <c r="K12" s="77"/>
    </row>
    <row r="13" spans="1:11" s="18" customFormat="1" ht="141.75" x14ac:dyDescent="0.25">
      <c r="A13" s="66">
        <f>Estimate!A9</f>
        <v>1</v>
      </c>
      <c r="B13" s="59"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56" t="str">
        <f>Estimate!H11</f>
        <v>m3</v>
      </c>
      <c r="D13" s="56">
        <f>Estimate!G11</f>
        <v>9.4087168546174933</v>
      </c>
      <c r="E13" s="56">
        <f>Estimate!I11</f>
        <v>64.63</v>
      </c>
      <c r="F13" s="56">
        <f>D13*E13</f>
        <v>608.08537031392859</v>
      </c>
      <c r="G13" s="56">
        <f>Valuation!G18</f>
        <v>9.4094999999999995</v>
      </c>
      <c r="H13" s="56">
        <f>Valuation!I18</f>
        <v>64.63</v>
      </c>
      <c r="I13" s="56">
        <f>G13*H13</f>
        <v>608.13598499999989</v>
      </c>
      <c r="J13" s="57">
        <f>I13-F13</f>
        <v>5.061468607129882E-2</v>
      </c>
      <c r="K13" s="58"/>
    </row>
    <row r="14" spans="1:11" s="18" customFormat="1" ht="15.75" x14ac:dyDescent="0.25">
      <c r="A14" s="66"/>
      <c r="B14" s="64" t="str">
        <f>Estimate!B12</f>
        <v>VAT calculation</v>
      </c>
      <c r="C14" s="56"/>
      <c r="D14" s="56"/>
      <c r="E14" s="56"/>
      <c r="F14" s="56">
        <f>Estimate!J12</f>
        <v>65.519167936604688</v>
      </c>
      <c r="G14" s="56"/>
      <c r="H14" s="56"/>
      <c r="I14" s="56">
        <f>Valuation!J19</f>
        <v>65.524621499999995</v>
      </c>
      <c r="J14" s="57">
        <f>I14-F14</f>
        <v>5.4535633953065599E-3</v>
      </c>
      <c r="K14" s="58"/>
    </row>
    <row r="15" spans="1:11" s="18" customFormat="1" x14ac:dyDescent="0.25">
      <c r="A15" s="28"/>
      <c r="B15" s="31"/>
      <c r="C15" s="56"/>
      <c r="D15" s="56"/>
      <c r="E15" s="56"/>
      <c r="F15" s="56"/>
      <c r="G15" s="56"/>
      <c r="H15" s="56"/>
      <c r="I15" s="56"/>
      <c r="J15" s="57"/>
      <c r="K15" s="58"/>
    </row>
    <row r="16" spans="1:11" s="18" customFormat="1" ht="78.75" x14ac:dyDescent="0.25">
      <c r="A16" s="66">
        <f>Estimate!A14</f>
        <v>2</v>
      </c>
      <c r="B16" s="59" t="str">
        <f>Estimate!B14</f>
        <v>Providing and laying of hand pack Stone soling with 150 to 200 mm thick stones and packing with smaller stone on prepared surface as per Drawing and Technical Specifications.</v>
      </c>
      <c r="C16" s="56" t="str">
        <f>Estimate!H16</f>
        <v>m3</v>
      </c>
      <c r="D16" s="56">
        <f>Estimate!G16</f>
        <v>9.4087168546174933</v>
      </c>
      <c r="E16" s="56">
        <f>Estimate!I16</f>
        <v>4561.53</v>
      </c>
      <c r="F16" s="56">
        <f>D16*E16</f>
        <v>42918.144193843335</v>
      </c>
      <c r="G16" s="56">
        <f>Valuation!G30</f>
        <v>9.4094999999999995</v>
      </c>
      <c r="H16" s="56">
        <f>Valuation!I30</f>
        <v>4561.53</v>
      </c>
      <c r="I16" s="56">
        <f>G16*H16</f>
        <v>42921.716534999992</v>
      </c>
      <c r="J16" s="57">
        <f>I16-F16</f>
        <v>3.5723411566577852</v>
      </c>
      <c r="K16" s="58"/>
    </row>
    <row r="17" spans="1:13" s="18" customFormat="1" ht="15.75" x14ac:dyDescent="0.25">
      <c r="A17" s="66"/>
      <c r="B17" s="64" t="str">
        <f>Estimate!B17</f>
        <v>VAT calculation</v>
      </c>
      <c r="C17" s="56"/>
      <c r="D17" s="56"/>
      <c r="E17" s="56"/>
      <c r="F17" s="56">
        <f>Estimate!J17</f>
        <v>3780.1175897592188</v>
      </c>
      <c r="G17" s="56"/>
      <c r="H17" s="56"/>
      <c r="I17" s="56">
        <f>Valuation!J31</f>
        <v>3780.4322322000003</v>
      </c>
      <c r="J17" s="57">
        <f>I17-F17</f>
        <v>0.31464244078142656</v>
      </c>
      <c r="K17" s="58"/>
    </row>
    <row r="18" spans="1:13" s="18" customFormat="1" x14ac:dyDescent="0.25">
      <c r="A18" s="28"/>
      <c r="B18" s="31"/>
      <c r="C18" s="56"/>
      <c r="D18" s="56"/>
      <c r="E18" s="56"/>
      <c r="F18" s="56"/>
      <c r="G18" s="56"/>
      <c r="H18" s="56"/>
      <c r="I18" s="56"/>
      <c r="J18" s="57"/>
      <c r="K18" s="58"/>
    </row>
    <row r="19" spans="1:13" s="18" customFormat="1" ht="63" x14ac:dyDescent="0.25">
      <c r="A19" s="66">
        <f>Estimate!A19</f>
        <v>3</v>
      </c>
      <c r="B19" s="59" t="str">
        <f>Estimate!B19</f>
        <v>Providing and laying , fitting and placing HYSD bar reinforcement in sub-structure complete as per Drawing and Technical Specifications</v>
      </c>
      <c r="C19" s="56" t="str">
        <f>Estimate!H22</f>
        <v>MT</v>
      </c>
      <c r="D19" s="56">
        <f>Estimate!G22</f>
        <v>0.31163702123336379</v>
      </c>
      <c r="E19" s="56">
        <f>Estimate!I22</f>
        <v>124140</v>
      </c>
      <c r="F19" s="56">
        <f>D19*E19</f>
        <v>38686.619815909784</v>
      </c>
      <c r="G19" s="56">
        <f>Valuation!G36</f>
        <v>0.32568888888888886</v>
      </c>
      <c r="H19" s="56">
        <f>Valuation!I36</f>
        <v>124140</v>
      </c>
      <c r="I19" s="56">
        <f>G19*H19</f>
        <v>40431.018666666663</v>
      </c>
      <c r="J19" s="57">
        <f>I19-F19</f>
        <v>1744.3988507568793</v>
      </c>
      <c r="K19" s="58"/>
    </row>
    <row r="20" spans="1:13" s="18" customFormat="1" ht="15.75" x14ac:dyDescent="0.25">
      <c r="A20" s="66"/>
      <c r="B20" s="64" t="str">
        <f>Estimate!B23</f>
        <v>VAT calculation</v>
      </c>
      <c r="C20" s="56"/>
      <c r="D20" s="56"/>
      <c r="E20" s="56"/>
      <c r="F20" s="56">
        <f>Estimate!J23</f>
        <v>4495.3017038870266</v>
      </c>
      <c r="G20" s="56"/>
      <c r="H20" s="56"/>
      <c r="I20" s="56">
        <f>Valuation!J37</f>
        <v>4697.9970844444442</v>
      </c>
      <c r="J20" s="57">
        <f>I20-F20</f>
        <v>202.69538055741759</v>
      </c>
      <c r="K20" s="58"/>
    </row>
    <row r="21" spans="1:13" s="18" customFormat="1" x14ac:dyDescent="0.25">
      <c r="A21" s="28"/>
      <c r="B21" s="31"/>
      <c r="C21" s="56"/>
      <c r="D21" s="56"/>
      <c r="E21" s="56"/>
      <c r="F21" s="56"/>
      <c r="G21" s="56"/>
      <c r="H21" s="56"/>
      <c r="I21" s="56"/>
      <c r="J21" s="57"/>
      <c r="K21" s="58"/>
    </row>
    <row r="22" spans="1:13" s="18" customFormat="1" ht="63" x14ac:dyDescent="0.25">
      <c r="A22" s="66">
        <f>Estimate!A25</f>
        <v>4</v>
      </c>
      <c r="B22" s="59" t="str">
        <f>Estimate!B25</f>
        <v>Providing and laying of Plain/Reinforced Cement Concrete in Foundation complete as per Drawing and Technical Specifications., RCC Grade M 20</v>
      </c>
      <c r="C22" s="56" t="str">
        <f>Estimate!H27</f>
        <v>m3</v>
      </c>
      <c r="D22" s="56">
        <f>Estimate!G27</f>
        <v>9.4087168546174933</v>
      </c>
      <c r="E22" s="56">
        <f>Estimate!I27</f>
        <v>11588.17</v>
      </c>
      <c r="F22" s="56">
        <f>D22*E22</f>
        <v>109029.8103931728</v>
      </c>
      <c r="G22" s="56">
        <f>Valuation!G48</f>
        <v>9.4094999999999995</v>
      </c>
      <c r="H22" s="56">
        <f>Valuation!I48</f>
        <v>11588.17</v>
      </c>
      <c r="I22" s="56">
        <f>G22*H22</f>
        <v>109038.88561499999</v>
      </c>
      <c r="J22" s="57">
        <f>I22-F22</f>
        <v>9.0752218271954916</v>
      </c>
      <c r="K22" s="58"/>
    </row>
    <row r="23" spans="1:13" s="18" customFormat="1" ht="15.75" x14ac:dyDescent="0.25">
      <c r="A23" s="66"/>
      <c r="B23" s="64" t="str">
        <f>Estimate!B28</f>
        <v>VAT calculation</v>
      </c>
      <c r="C23" s="56"/>
      <c r="D23" s="56"/>
      <c r="E23" s="56"/>
      <c r="F23" s="56">
        <f>Estimate!J28</f>
        <v>11036.550947272171</v>
      </c>
      <c r="G23" s="56"/>
      <c r="H23" s="56"/>
      <c r="I23" s="56">
        <f>Valuation!J49</f>
        <v>11037.469587300002</v>
      </c>
      <c r="J23" s="57">
        <f>I23-F23</f>
        <v>0.91864002783040632</v>
      </c>
      <c r="K23" s="58"/>
    </row>
    <row r="24" spans="1:13" s="18" customFormat="1" x14ac:dyDescent="0.25">
      <c r="A24" s="28"/>
      <c r="B24" s="31"/>
      <c r="C24" s="56"/>
      <c r="D24" s="56"/>
      <c r="E24" s="56"/>
      <c r="F24" s="56"/>
      <c r="G24" s="56"/>
      <c r="H24" s="56"/>
      <c r="I24" s="56"/>
      <c r="J24" s="57"/>
      <c r="K24" s="58"/>
      <c r="M24" s="89"/>
    </row>
    <row r="25" spans="1:13" s="18" customFormat="1" ht="15.75" x14ac:dyDescent="0.25">
      <c r="A25" s="66">
        <f>Estimate!A30</f>
        <v>5</v>
      </c>
      <c r="B25" s="59" t="str">
        <f>Estimate!B30</f>
        <v>Provisional sum for lab test</v>
      </c>
      <c r="C25" s="56" t="str">
        <f>Estimate!H30</f>
        <v>PS</v>
      </c>
      <c r="D25" s="56">
        <f>Estimate!G30</f>
        <v>1</v>
      </c>
      <c r="E25" s="56">
        <f>Estimate!I30</f>
        <v>15000</v>
      </c>
      <c r="F25" s="56">
        <f>D25*E25</f>
        <v>15000</v>
      </c>
      <c r="G25" s="56">
        <f>Valuation!G51</f>
        <v>1</v>
      </c>
      <c r="H25" s="56">
        <f>Valuation!I51</f>
        <v>15000</v>
      </c>
      <c r="I25" s="56">
        <f>G25*H25</f>
        <v>15000</v>
      </c>
      <c r="J25" s="57">
        <f>I25-F25</f>
        <v>0</v>
      </c>
      <c r="K25" s="58"/>
    </row>
    <row r="26" spans="1:13" s="18" customFormat="1" x14ac:dyDescent="0.25">
      <c r="A26" s="28"/>
      <c r="B26" s="31"/>
      <c r="C26" s="56"/>
      <c r="D26" s="56"/>
      <c r="E26" s="56"/>
      <c r="F26" s="56"/>
      <c r="G26" s="56"/>
      <c r="H26" s="56"/>
      <c r="I26" s="56"/>
      <c r="J26" s="57"/>
      <c r="K26" s="58"/>
    </row>
    <row r="27" spans="1:13" s="18" customFormat="1" x14ac:dyDescent="0.25">
      <c r="A27" s="66">
        <f>Estimate!A32</f>
        <v>6</v>
      </c>
      <c r="B27" s="60" t="str">
        <f>Estimate!B32</f>
        <v>Information board (सुचना पाटि)</v>
      </c>
      <c r="C27" s="56" t="str">
        <f>Estimate!H32</f>
        <v>no.</v>
      </c>
      <c r="D27" s="56">
        <f>Estimate!G32</f>
        <v>1</v>
      </c>
      <c r="E27" s="56">
        <f>Estimate!I32</f>
        <v>500</v>
      </c>
      <c r="F27" s="56">
        <f>D27*E27</f>
        <v>500</v>
      </c>
      <c r="G27" s="56">
        <f>Valuation!G53</f>
        <v>1</v>
      </c>
      <c r="H27" s="56">
        <f>Valuation!I53</f>
        <v>500</v>
      </c>
      <c r="I27" s="56">
        <f>G27*H27</f>
        <v>500</v>
      </c>
      <c r="J27" s="57">
        <f>I27-F27</f>
        <v>0</v>
      </c>
      <c r="K27" s="58"/>
    </row>
    <row r="28" spans="1:13" s="18" customFormat="1" x14ac:dyDescent="0.25">
      <c r="A28" s="31"/>
      <c r="B28" s="31"/>
      <c r="C28" s="56"/>
      <c r="D28" s="56"/>
      <c r="E28" s="56"/>
      <c r="F28" s="56"/>
      <c r="G28" s="56"/>
      <c r="H28" s="56"/>
      <c r="I28" s="56"/>
      <c r="J28" s="57"/>
      <c r="K28" s="58"/>
    </row>
    <row r="29" spans="1:13" x14ac:dyDescent="0.25">
      <c r="A29" s="32"/>
      <c r="B29" s="61" t="s">
        <v>65</v>
      </c>
      <c r="C29" s="61"/>
      <c r="D29" s="62"/>
      <c r="E29" s="62"/>
      <c r="F29" s="62">
        <f>SUM(F13:F27)</f>
        <v>226120.14918209484</v>
      </c>
      <c r="G29" s="62"/>
      <c r="H29" s="62"/>
      <c r="I29" s="62">
        <f>SUM(I13:I27)</f>
        <v>228081.1803271111</v>
      </c>
      <c r="J29" s="63">
        <f>I29-F29</f>
        <v>1961.0311450162553</v>
      </c>
      <c r="K29" s="32"/>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topLeftCell="A32" zoomScale="90" zoomScaleNormal="90" workbookViewId="0">
      <selection activeCell="B40" sqref="B40"/>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hidden="1" customWidth="1"/>
    <col min="10" max="10" width="10.42578125" hidden="1" customWidth="1"/>
  </cols>
  <sheetData>
    <row r="1" spans="1:11" x14ac:dyDescent="0.25">
      <c r="A1" s="69" t="s">
        <v>0</v>
      </c>
      <c r="B1" s="69"/>
      <c r="C1" s="69"/>
      <c r="D1" s="69"/>
      <c r="E1" s="69"/>
      <c r="F1" s="69"/>
      <c r="G1" s="69"/>
      <c r="H1" s="69"/>
      <c r="I1" s="69"/>
      <c r="J1" s="69"/>
      <c r="K1" s="69"/>
    </row>
    <row r="2" spans="1:11" ht="22.5" x14ac:dyDescent="0.25">
      <c r="A2" s="70" t="s">
        <v>1</v>
      </c>
      <c r="B2" s="70"/>
      <c r="C2" s="70"/>
      <c r="D2" s="70"/>
      <c r="E2" s="70"/>
      <c r="F2" s="70"/>
      <c r="G2" s="70"/>
      <c r="H2" s="70"/>
      <c r="I2" s="70"/>
      <c r="J2" s="70"/>
      <c r="K2" s="70"/>
    </row>
    <row r="3" spans="1:11" x14ac:dyDescent="0.25">
      <c r="A3" s="71" t="s">
        <v>2</v>
      </c>
      <c r="B3" s="71"/>
      <c r="C3" s="71"/>
      <c r="D3" s="71"/>
      <c r="E3" s="71"/>
      <c r="F3" s="71"/>
      <c r="G3" s="71"/>
      <c r="H3" s="71"/>
      <c r="I3" s="71"/>
      <c r="J3" s="71"/>
      <c r="K3" s="71"/>
    </row>
    <row r="4" spans="1:11" x14ac:dyDescent="0.25">
      <c r="A4" s="71" t="s">
        <v>3</v>
      </c>
      <c r="B4" s="71"/>
      <c r="C4" s="71"/>
      <c r="D4" s="71"/>
      <c r="E4" s="71"/>
      <c r="F4" s="71"/>
      <c r="G4" s="71"/>
      <c r="H4" s="71"/>
      <c r="I4" s="71"/>
      <c r="J4" s="71"/>
      <c r="K4" s="71"/>
    </row>
    <row r="5" spans="1:11" ht="18.75" x14ac:dyDescent="0.3">
      <c r="A5" s="72" t="s">
        <v>70</v>
      </c>
      <c r="B5" s="72"/>
      <c r="C5" s="72"/>
      <c r="D5" s="72"/>
      <c r="E5" s="72"/>
      <c r="F5" s="72"/>
      <c r="G5" s="72"/>
      <c r="H5" s="72"/>
      <c r="I5" s="72"/>
      <c r="J5" s="72"/>
      <c r="K5" s="72"/>
    </row>
    <row r="6" spans="1:11" ht="15.75" x14ac:dyDescent="0.25">
      <c r="A6" s="67" t="s">
        <v>5</v>
      </c>
      <c r="B6" s="67"/>
      <c r="C6" s="67"/>
      <c r="D6" s="67"/>
      <c r="E6" s="67"/>
      <c r="F6" s="67"/>
      <c r="G6" s="1"/>
      <c r="H6" s="68" t="s">
        <v>6</v>
      </c>
      <c r="I6" s="68"/>
      <c r="J6" s="68"/>
      <c r="K6" s="68"/>
    </row>
    <row r="7" spans="1:11" ht="15.75" x14ac:dyDescent="0.25">
      <c r="A7" s="74" t="s">
        <v>7</v>
      </c>
      <c r="B7" s="74"/>
      <c r="C7" s="74"/>
      <c r="D7" s="74"/>
      <c r="E7" s="74"/>
      <c r="F7" s="74"/>
      <c r="G7" s="2"/>
      <c r="H7" s="75" t="s">
        <v>71</v>
      </c>
      <c r="I7" s="75"/>
      <c r="J7" s="75"/>
      <c r="K7" s="75"/>
    </row>
    <row r="8" spans="1:11" ht="15.75" x14ac:dyDescent="0.25">
      <c r="A8" s="3" t="s">
        <v>9</v>
      </c>
      <c r="B8" s="4" t="s">
        <v>10</v>
      </c>
      <c r="C8" s="3" t="s">
        <v>11</v>
      </c>
      <c r="D8" s="5" t="s">
        <v>12</v>
      </c>
      <c r="E8" s="5" t="s">
        <v>13</v>
      </c>
      <c r="F8" s="5" t="s">
        <v>14</v>
      </c>
      <c r="G8" s="5" t="s">
        <v>15</v>
      </c>
      <c r="H8" s="3" t="s">
        <v>16</v>
      </c>
      <c r="I8" s="5" t="s">
        <v>17</v>
      </c>
      <c r="J8" s="5" t="s">
        <v>18</v>
      </c>
      <c r="K8" s="6" t="s">
        <v>19</v>
      </c>
    </row>
    <row r="9" spans="1:11" s="8" customFormat="1" ht="150" x14ac:dyDescent="0.25">
      <c r="A9" s="65">
        <v>1</v>
      </c>
      <c r="B9" s="7" t="s">
        <v>20</v>
      </c>
      <c r="C9" s="48"/>
      <c r="D9" s="48"/>
      <c r="E9" s="48"/>
      <c r="F9" s="48"/>
      <c r="G9" s="48"/>
      <c r="H9" s="48"/>
      <c r="I9" s="48"/>
      <c r="J9" s="48"/>
      <c r="K9" s="48"/>
    </row>
    <row r="10" spans="1:11" ht="30" x14ac:dyDescent="0.25">
      <c r="A10" s="65"/>
      <c r="B10" s="50" t="str">
        <f>Valuation!B10</f>
        <v>Chainage 0+000</v>
      </c>
      <c r="C10" s="32"/>
      <c r="D10" s="33"/>
      <c r="E10" s="51" t="s">
        <v>52</v>
      </c>
      <c r="F10" s="33"/>
      <c r="G10" s="33"/>
      <c r="H10" s="32"/>
      <c r="I10" s="32"/>
      <c r="J10" s="32"/>
      <c r="K10" s="32"/>
    </row>
    <row r="11" spans="1:11" x14ac:dyDescent="0.25">
      <c r="A11" s="65"/>
      <c r="B11" s="50" t="str">
        <f>Valuation!B11</f>
        <v>0+000 to 0+002</v>
      </c>
      <c r="C11" s="32">
        <v>1</v>
      </c>
      <c r="D11" s="33">
        <f>'Field measurement'!C3</f>
        <v>2</v>
      </c>
      <c r="E11" s="33">
        <f>'Field measurement'!E3</f>
        <v>4.7</v>
      </c>
      <c r="F11" s="33">
        <v>0.15</v>
      </c>
      <c r="G11" s="33">
        <f>PRODUCT(C11:F11)</f>
        <v>1.41</v>
      </c>
      <c r="H11" s="32"/>
      <c r="I11" s="32"/>
      <c r="J11" s="32"/>
      <c r="K11" s="32"/>
    </row>
    <row r="12" spans="1:11" x14ac:dyDescent="0.25">
      <c r="A12" s="65"/>
      <c r="B12" s="50" t="str">
        <f>Valuation!B12</f>
        <v>0+002 to 0+004</v>
      </c>
      <c r="C12" s="32">
        <v>1</v>
      </c>
      <c r="D12" s="33">
        <f>'Field measurement'!C4</f>
        <v>2</v>
      </c>
      <c r="E12" s="33">
        <f>'Field measurement'!E4</f>
        <v>4.7</v>
      </c>
      <c r="F12" s="33">
        <v>0.15</v>
      </c>
      <c r="G12" s="33">
        <f t="shared" ref="G12:G17" si="0">PRODUCT(C12:F12)</f>
        <v>1.41</v>
      </c>
      <c r="H12" s="32"/>
      <c r="I12" s="32"/>
      <c r="J12" s="32"/>
      <c r="K12" s="32"/>
    </row>
    <row r="13" spans="1:11" x14ac:dyDescent="0.25">
      <c r="A13" s="65"/>
      <c r="B13" s="50" t="str">
        <f>Valuation!B13</f>
        <v>0+004 to 0+006</v>
      </c>
      <c r="C13" s="32">
        <v>1</v>
      </c>
      <c r="D13" s="33">
        <f>'Field measurement'!C5</f>
        <v>2</v>
      </c>
      <c r="E13" s="33">
        <f>'Field measurement'!E5</f>
        <v>4.5999999999999996</v>
      </c>
      <c r="F13" s="33">
        <v>0.15</v>
      </c>
      <c r="G13" s="33">
        <f t="shared" si="0"/>
        <v>1.38</v>
      </c>
      <c r="H13" s="32"/>
      <c r="I13" s="32"/>
      <c r="J13" s="32"/>
      <c r="K13" s="32"/>
    </row>
    <row r="14" spans="1:11" x14ac:dyDescent="0.25">
      <c r="A14" s="65"/>
      <c r="B14" s="50" t="str">
        <f>Valuation!B14</f>
        <v>0+006 to 0+008</v>
      </c>
      <c r="C14" s="32">
        <v>1</v>
      </c>
      <c r="D14" s="33">
        <f>'Field measurement'!C6</f>
        <v>2</v>
      </c>
      <c r="E14" s="33">
        <f>'Field measurement'!E6</f>
        <v>4.5</v>
      </c>
      <c r="F14" s="33">
        <v>0.15</v>
      </c>
      <c r="G14" s="33">
        <f t="shared" si="0"/>
        <v>1.3499999999999999</v>
      </c>
      <c r="H14" s="32"/>
      <c r="I14" s="32"/>
      <c r="J14" s="32"/>
      <c r="K14" s="32"/>
    </row>
    <row r="15" spans="1:11" x14ac:dyDescent="0.25">
      <c r="A15" s="65"/>
      <c r="B15" s="50" t="str">
        <f>Valuation!B15</f>
        <v>0+008 to 0+010</v>
      </c>
      <c r="C15" s="32">
        <v>1</v>
      </c>
      <c r="D15" s="33">
        <f>'Field measurement'!C7</f>
        <v>2</v>
      </c>
      <c r="E15" s="33">
        <f>'Field measurement'!E7</f>
        <v>4.5</v>
      </c>
      <c r="F15" s="33">
        <v>0.15</v>
      </c>
      <c r="G15" s="33">
        <f t="shared" si="0"/>
        <v>1.3499999999999999</v>
      </c>
      <c r="H15" s="32"/>
      <c r="I15" s="32"/>
      <c r="J15" s="32"/>
      <c r="K15" s="32"/>
    </row>
    <row r="16" spans="1:11" x14ac:dyDescent="0.25">
      <c r="A16" s="65"/>
      <c r="B16" s="50" t="str">
        <f>Valuation!B16</f>
        <v>0+010 to 0+012</v>
      </c>
      <c r="C16" s="32">
        <v>1</v>
      </c>
      <c r="D16" s="33">
        <f>'Field measurement'!C8</f>
        <v>2</v>
      </c>
      <c r="E16" s="33">
        <f>'Field measurement'!E8</f>
        <v>4.45</v>
      </c>
      <c r="F16" s="33">
        <v>0.15</v>
      </c>
      <c r="G16" s="33">
        <f t="shared" si="0"/>
        <v>1.335</v>
      </c>
      <c r="H16" s="32"/>
      <c r="I16" s="32"/>
      <c r="J16" s="32"/>
      <c r="K16" s="32"/>
    </row>
    <row r="17" spans="1:19" x14ac:dyDescent="0.25">
      <c r="A17" s="65"/>
      <c r="B17" s="50" t="str">
        <f>Valuation!B17</f>
        <v>0+012 to 0+013.8</v>
      </c>
      <c r="C17" s="32">
        <v>1</v>
      </c>
      <c r="D17" s="33">
        <f>'Field measurement'!C9</f>
        <v>1.8</v>
      </c>
      <c r="E17" s="33">
        <f>'Field measurement'!E9</f>
        <v>4.3499999999999996</v>
      </c>
      <c r="F17" s="33">
        <v>0.15</v>
      </c>
      <c r="G17" s="33">
        <f t="shared" si="0"/>
        <v>1.1744999999999999</v>
      </c>
      <c r="H17" s="32"/>
      <c r="I17" s="32"/>
      <c r="J17" s="32"/>
      <c r="K17" s="32"/>
    </row>
    <row r="18" spans="1:19" ht="15" customHeight="1" x14ac:dyDescent="0.25">
      <c r="A18" s="9"/>
      <c r="B18" s="10" t="s">
        <v>22</v>
      </c>
      <c r="C18" s="11"/>
      <c r="D18" s="12"/>
      <c r="E18" s="13"/>
      <c r="F18" s="13"/>
      <c r="G18" s="14">
        <f>SUM(G11:G17)</f>
        <v>9.4094999999999995</v>
      </c>
      <c r="H18" s="15" t="s">
        <v>23</v>
      </c>
      <c r="I18" s="14">
        <v>64.63</v>
      </c>
      <c r="J18" s="16">
        <f>G18*I18</f>
        <v>608.13598499999989</v>
      </c>
      <c r="K18" s="13"/>
      <c r="M18" s="17"/>
      <c r="N18" s="18"/>
      <c r="O18" s="18"/>
      <c r="P18" s="18"/>
      <c r="Q18" s="18"/>
      <c r="R18" s="17"/>
      <c r="S18" s="17"/>
    </row>
    <row r="19" spans="1:19" ht="15" hidden="1" customHeight="1" x14ac:dyDescent="0.25">
      <c r="A19" s="9"/>
      <c r="B19" s="10" t="s">
        <v>24</v>
      </c>
      <c r="C19" s="11"/>
      <c r="D19" s="12"/>
      <c r="E19" s="13"/>
      <c r="F19" s="13"/>
      <c r="G19" s="14"/>
      <c r="H19" s="15"/>
      <c r="I19" s="14"/>
      <c r="J19" s="16">
        <f>0.13*G18*19284/360</f>
        <v>65.524621499999995</v>
      </c>
      <c r="K19" s="13"/>
      <c r="M19" s="17"/>
      <c r="N19" s="18"/>
      <c r="O19" s="18"/>
      <c r="P19" s="18"/>
      <c r="Q19" s="18"/>
      <c r="R19" s="17"/>
      <c r="S19" s="17"/>
    </row>
    <row r="20" spans="1:19" x14ac:dyDescent="0.25">
      <c r="A20" s="65"/>
      <c r="B20" s="32"/>
      <c r="C20" s="32"/>
      <c r="D20" s="32"/>
      <c r="E20" s="32"/>
      <c r="F20" s="32"/>
      <c r="G20" s="32"/>
      <c r="H20" s="32"/>
      <c r="I20" s="32"/>
      <c r="J20" s="32"/>
      <c r="K20" s="32"/>
    </row>
    <row r="21" spans="1:19" ht="90" x14ac:dyDescent="0.25">
      <c r="A21" s="65">
        <v>2</v>
      </c>
      <c r="B21" s="7" t="s">
        <v>25</v>
      </c>
      <c r="C21" s="32"/>
      <c r="D21" s="32"/>
      <c r="E21" s="32"/>
      <c r="F21" s="32"/>
      <c r="G21" s="32"/>
      <c r="H21" s="32"/>
      <c r="I21" s="32"/>
      <c r="J21" s="32"/>
      <c r="K21" s="32"/>
    </row>
    <row r="22" spans="1:19" ht="30" x14ac:dyDescent="0.25">
      <c r="A22" s="65"/>
      <c r="B22" s="50" t="str">
        <f>B10</f>
        <v>Chainage 0+000</v>
      </c>
      <c r="C22" s="32"/>
      <c r="D22" s="33"/>
      <c r="E22" s="51" t="s">
        <v>52</v>
      </c>
      <c r="F22" s="33"/>
      <c r="G22" s="33"/>
      <c r="H22" s="32"/>
      <c r="I22" s="32"/>
      <c r="J22" s="32"/>
      <c r="K22" s="32"/>
    </row>
    <row r="23" spans="1:19" x14ac:dyDescent="0.25">
      <c r="A23" s="65"/>
      <c r="B23" s="50" t="str">
        <f t="shared" ref="B23:B29" si="1">B11</f>
        <v>0+000 to 0+002</v>
      </c>
      <c r="C23" s="32">
        <v>1</v>
      </c>
      <c r="D23" s="33">
        <f>'Field measurement'!C3</f>
        <v>2</v>
      </c>
      <c r="E23" s="33">
        <f>'Field measurement'!E3</f>
        <v>4.7</v>
      </c>
      <c r="F23" s="33">
        <v>0.15</v>
      </c>
      <c r="G23" s="33">
        <f>PRODUCT(C23:F23)</f>
        <v>1.41</v>
      </c>
      <c r="H23" s="32"/>
      <c r="I23" s="32"/>
      <c r="J23" s="32"/>
      <c r="K23" s="32"/>
    </row>
    <row r="24" spans="1:19" x14ac:dyDescent="0.25">
      <c r="A24" s="65"/>
      <c r="B24" s="50" t="str">
        <f t="shared" si="1"/>
        <v>0+002 to 0+004</v>
      </c>
      <c r="C24" s="32">
        <v>1</v>
      </c>
      <c r="D24" s="33">
        <f>'Field measurement'!C4</f>
        <v>2</v>
      </c>
      <c r="E24" s="33">
        <f>'Field measurement'!E4</f>
        <v>4.7</v>
      </c>
      <c r="F24" s="33">
        <v>0.15</v>
      </c>
      <c r="G24" s="33">
        <f t="shared" ref="G24:G29" si="2">PRODUCT(C24:F24)</f>
        <v>1.41</v>
      </c>
      <c r="H24" s="32"/>
      <c r="I24" s="32"/>
      <c r="J24" s="32"/>
      <c r="K24" s="32"/>
    </row>
    <row r="25" spans="1:19" x14ac:dyDescent="0.25">
      <c r="A25" s="65"/>
      <c r="B25" s="50" t="str">
        <f t="shared" si="1"/>
        <v>0+004 to 0+006</v>
      </c>
      <c r="C25" s="32">
        <v>1</v>
      </c>
      <c r="D25" s="33">
        <f>'Field measurement'!C5</f>
        <v>2</v>
      </c>
      <c r="E25" s="33">
        <f>'Field measurement'!E5</f>
        <v>4.5999999999999996</v>
      </c>
      <c r="F25" s="33">
        <v>0.15</v>
      </c>
      <c r="G25" s="33">
        <f t="shared" si="2"/>
        <v>1.38</v>
      </c>
      <c r="H25" s="32"/>
      <c r="I25" s="32"/>
      <c r="J25" s="32"/>
      <c r="K25" s="32"/>
    </row>
    <row r="26" spans="1:19" x14ac:dyDescent="0.25">
      <c r="A26" s="65"/>
      <c r="B26" s="50" t="str">
        <f t="shared" si="1"/>
        <v>0+006 to 0+008</v>
      </c>
      <c r="C26" s="32">
        <v>1</v>
      </c>
      <c r="D26" s="33">
        <f>'Field measurement'!C6</f>
        <v>2</v>
      </c>
      <c r="E26" s="33">
        <f>'Field measurement'!E6</f>
        <v>4.5</v>
      </c>
      <c r="F26" s="33">
        <v>0.15</v>
      </c>
      <c r="G26" s="33">
        <f t="shared" si="2"/>
        <v>1.3499999999999999</v>
      </c>
      <c r="H26" s="32"/>
      <c r="I26" s="32"/>
      <c r="J26" s="32"/>
      <c r="K26" s="32"/>
    </row>
    <row r="27" spans="1:19" x14ac:dyDescent="0.25">
      <c r="A27" s="65"/>
      <c r="B27" s="50" t="str">
        <f t="shared" si="1"/>
        <v>0+008 to 0+010</v>
      </c>
      <c r="C27" s="32">
        <v>1</v>
      </c>
      <c r="D27" s="33">
        <f>'Field measurement'!C7</f>
        <v>2</v>
      </c>
      <c r="E27" s="33">
        <f>'Field measurement'!E7</f>
        <v>4.5</v>
      </c>
      <c r="F27" s="33">
        <v>0.15</v>
      </c>
      <c r="G27" s="33">
        <f t="shared" si="2"/>
        <v>1.3499999999999999</v>
      </c>
      <c r="H27" s="32"/>
      <c r="I27" s="32"/>
      <c r="J27" s="32"/>
      <c r="K27" s="32"/>
    </row>
    <row r="28" spans="1:19" x14ac:dyDescent="0.25">
      <c r="A28" s="65"/>
      <c r="B28" s="50" t="str">
        <f t="shared" si="1"/>
        <v>0+010 to 0+012</v>
      </c>
      <c r="C28" s="32">
        <v>1</v>
      </c>
      <c r="D28" s="33">
        <f>'Field measurement'!C8</f>
        <v>2</v>
      </c>
      <c r="E28" s="33">
        <f>'Field measurement'!E8</f>
        <v>4.45</v>
      </c>
      <c r="F28" s="33">
        <v>0.15</v>
      </c>
      <c r="G28" s="33">
        <f t="shared" si="2"/>
        <v>1.335</v>
      </c>
      <c r="H28" s="32"/>
      <c r="I28" s="32"/>
      <c r="J28" s="32"/>
      <c r="K28" s="32"/>
    </row>
    <row r="29" spans="1:19" x14ac:dyDescent="0.25">
      <c r="A29" s="65"/>
      <c r="B29" s="50" t="str">
        <f t="shared" si="1"/>
        <v>0+012 to 0+013.8</v>
      </c>
      <c r="C29" s="32">
        <v>1</v>
      </c>
      <c r="D29" s="33">
        <f>'Field measurement'!C9</f>
        <v>1.8</v>
      </c>
      <c r="E29" s="33">
        <f>'Field measurement'!E9</f>
        <v>4.3499999999999996</v>
      </c>
      <c r="F29" s="33">
        <v>0.15</v>
      </c>
      <c r="G29" s="33">
        <f t="shared" si="2"/>
        <v>1.1744999999999999</v>
      </c>
      <c r="H29" s="32"/>
      <c r="I29" s="32"/>
      <c r="J29" s="32"/>
      <c r="K29" s="32"/>
    </row>
    <row r="30" spans="1:19" ht="15" customHeight="1" x14ac:dyDescent="0.25">
      <c r="A30" s="28"/>
      <c r="B30" s="10" t="s">
        <v>22</v>
      </c>
      <c r="C30" s="23"/>
      <c r="D30" s="24"/>
      <c r="E30" s="24"/>
      <c r="F30" s="24"/>
      <c r="G30" s="25">
        <f>SUM(G22:G29)</f>
        <v>9.4094999999999995</v>
      </c>
      <c r="H30" s="25" t="s">
        <v>23</v>
      </c>
      <c r="I30" s="25">
        <v>4561.53</v>
      </c>
      <c r="J30" s="26">
        <f>G30*I30</f>
        <v>42921.716534999992</v>
      </c>
      <c r="K30" s="19"/>
    </row>
    <row r="31" spans="1:19" hidden="1" x14ac:dyDescent="0.25">
      <c r="A31" s="28"/>
      <c r="B31" s="10" t="s">
        <v>24</v>
      </c>
      <c r="C31" s="23"/>
      <c r="D31" s="24"/>
      <c r="E31" s="24"/>
      <c r="F31" s="24"/>
      <c r="G31" s="24"/>
      <c r="H31" s="24"/>
      <c r="I31" s="24"/>
      <c r="J31" s="27">
        <f>0.13*G30*(15452.6/5)</f>
        <v>3780.4322322000003</v>
      </c>
      <c r="K31" s="19"/>
    </row>
    <row r="32" spans="1:19" x14ac:dyDescent="0.25">
      <c r="A32" s="65"/>
      <c r="B32" s="32"/>
      <c r="C32" s="32"/>
      <c r="D32" s="32"/>
      <c r="E32" s="32"/>
      <c r="F32" s="32"/>
      <c r="G32" s="32"/>
      <c r="H32" s="32"/>
      <c r="I32" s="32"/>
      <c r="J32" s="32"/>
      <c r="K32" s="32"/>
      <c r="O32">
        <f>8.5/12/3.281</f>
        <v>0.21588946459412781</v>
      </c>
    </row>
    <row r="33" spans="1:14" s="18" customFormat="1" ht="75" x14ac:dyDescent="0.25">
      <c r="A33" s="28">
        <v>3</v>
      </c>
      <c r="B33" s="7" t="s">
        <v>26</v>
      </c>
      <c r="C33" s="29" t="s">
        <v>11</v>
      </c>
      <c r="D33" s="30" t="s">
        <v>27</v>
      </c>
      <c r="E33" s="30" t="s">
        <v>28</v>
      </c>
      <c r="F33" s="30" t="s">
        <v>29</v>
      </c>
      <c r="G33" s="21"/>
      <c r="H33" s="21"/>
      <c r="I33" s="21"/>
      <c r="J33" s="27"/>
      <c r="K33" s="31"/>
    </row>
    <row r="34" spans="1:14" ht="15" customHeight="1" x14ac:dyDescent="0.25">
      <c r="A34" s="28"/>
      <c r="B34" s="10" t="s">
        <v>21</v>
      </c>
      <c r="C34" s="23">
        <f>TRUNC(D35/(0.15),0)</f>
        <v>91</v>
      </c>
      <c r="D34" s="24">
        <f>AVERAGE(E23:E29)</f>
        <v>4.5428571428571427</v>
      </c>
      <c r="E34" s="24">
        <f>8*8/162</f>
        <v>0.39506172839506171</v>
      </c>
      <c r="F34" s="24">
        <f>PRODUCT(C34:E34)</f>
        <v>163.31851851851849</v>
      </c>
      <c r="G34" s="24">
        <f>F34/1000</f>
        <v>0.16331851851851847</v>
      </c>
      <c r="H34" s="24"/>
      <c r="I34" s="24"/>
      <c r="J34" s="27"/>
      <c r="K34" s="19"/>
    </row>
    <row r="35" spans="1:14" x14ac:dyDescent="0.25">
      <c r="A35" s="65"/>
      <c r="B35" s="32"/>
      <c r="C35" s="23">
        <f>TRUNC(D34/(0.15),0)</f>
        <v>30</v>
      </c>
      <c r="D35" s="33">
        <f>SUM(D23:D29)-0.1</f>
        <v>13.700000000000001</v>
      </c>
      <c r="E35" s="24">
        <f>8*8/162</f>
        <v>0.39506172839506171</v>
      </c>
      <c r="F35" s="24">
        <f>PRODUCT(C35:E35)</f>
        <v>162.37037037037038</v>
      </c>
      <c r="G35" s="24">
        <f>F35/1000</f>
        <v>0.16237037037037039</v>
      </c>
      <c r="H35" s="32"/>
      <c r="I35" s="32"/>
      <c r="J35" s="32"/>
      <c r="K35" s="32"/>
      <c r="M35" s="34"/>
      <c r="N35" s="34"/>
    </row>
    <row r="36" spans="1:14" ht="15" customHeight="1" x14ac:dyDescent="0.25">
      <c r="A36" s="28"/>
      <c r="B36" s="10" t="s">
        <v>22</v>
      </c>
      <c r="C36" s="23"/>
      <c r="D36" s="24"/>
      <c r="E36" s="24"/>
      <c r="F36" s="24"/>
      <c r="G36" s="25">
        <f>SUM(G34:G35)</f>
        <v>0.32568888888888886</v>
      </c>
      <c r="H36" s="25" t="s">
        <v>30</v>
      </c>
      <c r="I36" s="25">
        <v>124140</v>
      </c>
      <c r="J36" s="26">
        <f>G36*I36</f>
        <v>40431.018666666663</v>
      </c>
      <c r="K36" s="19"/>
    </row>
    <row r="37" spans="1:14" ht="15" hidden="1" customHeight="1" x14ac:dyDescent="0.25">
      <c r="A37" s="28"/>
      <c r="B37" s="10" t="s">
        <v>24</v>
      </c>
      <c r="C37" s="23"/>
      <c r="D37" s="24"/>
      <c r="E37" s="24"/>
      <c r="F37" s="24"/>
      <c r="G37" s="24"/>
      <c r="H37" s="24"/>
      <c r="I37" s="24"/>
      <c r="J37" s="27">
        <f>0.13*G36*110960</f>
        <v>4697.9970844444442</v>
      </c>
      <c r="K37" s="19"/>
    </row>
    <row r="38" spans="1:14" ht="15" customHeight="1" x14ac:dyDescent="0.25">
      <c r="A38" s="28"/>
      <c r="B38" s="10"/>
      <c r="C38" s="23"/>
      <c r="D38" s="24"/>
      <c r="E38" s="24"/>
      <c r="F38" s="24"/>
      <c r="G38" s="24"/>
      <c r="H38" s="24"/>
      <c r="I38" s="24"/>
      <c r="J38" s="27"/>
      <c r="K38" s="19"/>
    </row>
    <row r="39" spans="1:14" s="18" customFormat="1" ht="75" x14ac:dyDescent="0.25">
      <c r="A39" s="28">
        <v>4</v>
      </c>
      <c r="B39" s="7" t="s">
        <v>31</v>
      </c>
      <c r="C39" s="29"/>
      <c r="D39" s="21"/>
      <c r="E39" s="21"/>
      <c r="F39" s="21"/>
      <c r="G39" s="21"/>
      <c r="H39" s="21"/>
      <c r="I39" s="21"/>
      <c r="J39" s="27"/>
      <c r="K39" s="31"/>
    </row>
    <row r="40" spans="1:14" ht="30" x14ac:dyDescent="0.25">
      <c r="A40" s="65"/>
      <c r="B40" s="50" t="str">
        <f>B10</f>
        <v>Chainage 0+000</v>
      </c>
      <c r="C40" s="32"/>
      <c r="D40" s="33"/>
      <c r="E40" s="51" t="s">
        <v>52</v>
      </c>
      <c r="F40" s="33"/>
      <c r="G40" s="33"/>
      <c r="H40" s="32"/>
      <c r="I40" s="32"/>
      <c r="J40" s="32"/>
      <c r="K40" s="32"/>
    </row>
    <row r="41" spans="1:14" x14ac:dyDescent="0.25">
      <c r="A41" s="65"/>
      <c r="B41" s="50" t="str">
        <f t="shared" ref="B41:B47" si="3">B11</f>
        <v>0+000 to 0+002</v>
      </c>
      <c r="C41" s="32">
        <v>1</v>
      </c>
      <c r="D41" s="33">
        <f>'Field measurement'!C3</f>
        <v>2</v>
      </c>
      <c r="E41" s="33">
        <f>'Field measurement'!E3</f>
        <v>4.7</v>
      </c>
      <c r="F41" s="33">
        <v>0.15</v>
      </c>
      <c r="G41" s="33">
        <f>PRODUCT(C41:F41)</f>
        <v>1.41</v>
      </c>
      <c r="H41" s="32"/>
      <c r="I41" s="32"/>
      <c r="J41" s="32"/>
      <c r="K41" s="32"/>
    </row>
    <row r="42" spans="1:14" x14ac:dyDescent="0.25">
      <c r="A42" s="65"/>
      <c r="B42" s="50" t="str">
        <f t="shared" si="3"/>
        <v>0+002 to 0+004</v>
      </c>
      <c r="C42" s="32">
        <v>1</v>
      </c>
      <c r="D42" s="33">
        <f>'Field measurement'!C4</f>
        <v>2</v>
      </c>
      <c r="E42" s="33">
        <f>'Field measurement'!E4</f>
        <v>4.7</v>
      </c>
      <c r="F42" s="33">
        <v>0.15</v>
      </c>
      <c r="G42" s="33">
        <f t="shared" ref="G42:G47" si="4">PRODUCT(C42:F42)</f>
        <v>1.41</v>
      </c>
      <c r="H42" s="32"/>
      <c r="I42" s="32"/>
      <c r="J42" s="32"/>
      <c r="K42" s="32"/>
    </row>
    <row r="43" spans="1:14" x14ac:dyDescent="0.25">
      <c r="A43" s="65"/>
      <c r="B43" s="50" t="str">
        <f t="shared" si="3"/>
        <v>0+004 to 0+006</v>
      </c>
      <c r="C43" s="32">
        <v>1</v>
      </c>
      <c r="D43" s="33">
        <f>'Field measurement'!C5</f>
        <v>2</v>
      </c>
      <c r="E43" s="33">
        <f>'Field measurement'!E5</f>
        <v>4.5999999999999996</v>
      </c>
      <c r="F43" s="33">
        <v>0.15</v>
      </c>
      <c r="G43" s="33">
        <f t="shared" si="4"/>
        <v>1.38</v>
      </c>
      <c r="H43" s="32"/>
      <c r="I43" s="32"/>
      <c r="J43" s="32"/>
      <c r="K43" s="32"/>
    </row>
    <row r="44" spans="1:14" x14ac:dyDescent="0.25">
      <c r="A44" s="65"/>
      <c r="B44" s="50" t="str">
        <f t="shared" si="3"/>
        <v>0+006 to 0+008</v>
      </c>
      <c r="C44" s="32">
        <v>1</v>
      </c>
      <c r="D44" s="33">
        <f>'Field measurement'!C6</f>
        <v>2</v>
      </c>
      <c r="E44" s="33">
        <f>'Field measurement'!E6</f>
        <v>4.5</v>
      </c>
      <c r="F44" s="33">
        <v>0.15</v>
      </c>
      <c r="G44" s="33">
        <f t="shared" si="4"/>
        <v>1.3499999999999999</v>
      </c>
      <c r="H44" s="32"/>
      <c r="I44" s="32"/>
      <c r="J44" s="32"/>
      <c r="K44" s="32"/>
    </row>
    <row r="45" spans="1:14" x14ac:dyDescent="0.25">
      <c r="A45" s="65"/>
      <c r="B45" s="50" t="str">
        <f t="shared" si="3"/>
        <v>0+008 to 0+010</v>
      </c>
      <c r="C45" s="32">
        <v>1</v>
      </c>
      <c r="D45" s="33">
        <f>'Field measurement'!C7</f>
        <v>2</v>
      </c>
      <c r="E45" s="33">
        <f>'Field measurement'!E7</f>
        <v>4.5</v>
      </c>
      <c r="F45" s="33">
        <v>0.15</v>
      </c>
      <c r="G45" s="33">
        <f t="shared" si="4"/>
        <v>1.3499999999999999</v>
      </c>
      <c r="H45" s="32"/>
      <c r="I45" s="32"/>
      <c r="J45" s="32"/>
      <c r="K45" s="32"/>
    </row>
    <row r="46" spans="1:14" x14ac:dyDescent="0.25">
      <c r="A46" s="65"/>
      <c r="B46" s="50" t="str">
        <f t="shared" si="3"/>
        <v>0+010 to 0+012</v>
      </c>
      <c r="C46" s="32">
        <v>1</v>
      </c>
      <c r="D46" s="33">
        <f>'Field measurement'!C8</f>
        <v>2</v>
      </c>
      <c r="E46" s="33">
        <f>'Field measurement'!E8</f>
        <v>4.45</v>
      </c>
      <c r="F46" s="33">
        <v>0.15</v>
      </c>
      <c r="G46" s="33">
        <f t="shared" si="4"/>
        <v>1.335</v>
      </c>
      <c r="H46" s="32"/>
      <c r="I46" s="32"/>
      <c r="J46" s="32"/>
      <c r="K46" s="32"/>
    </row>
    <row r="47" spans="1:14" x14ac:dyDescent="0.25">
      <c r="A47" s="65"/>
      <c r="B47" s="50" t="str">
        <f t="shared" si="3"/>
        <v>0+012 to 0+013.8</v>
      </c>
      <c r="C47" s="32">
        <v>1</v>
      </c>
      <c r="D47" s="33">
        <f>'Field measurement'!C9</f>
        <v>1.8</v>
      </c>
      <c r="E47" s="33">
        <f>'Field measurement'!E9</f>
        <v>4.3499999999999996</v>
      </c>
      <c r="F47" s="33">
        <v>0.15</v>
      </c>
      <c r="G47" s="33">
        <f t="shared" si="4"/>
        <v>1.1744999999999999</v>
      </c>
      <c r="H47" s="32"/>
      <c r="I47" s="32"/>
      <c r="J47" s="32"/>
      <c r="K47" s="32"/>
    </row>
    <row r="48" spans="1:14" ht="15" customHeight="1" x14ac:dyDescent="0.25">
      <c r="A48" s="28"/>
      <c r="B48" s="10" t="s">
        <v>22</v>
      </c>
      <c r="C48" s="23"/>
      <c r="D48" s="24"/>
      <c r="E48" s="24"/>
      <c r="F48" s="24"/>
      <c r="G48" s="25">
        <f>SUM(G41:G47)</f>
        <v>9.4094999999999995</v>
      </c>
      <c r="H48" s="25" t="s">
        <v>23</v>
      </c>
      <c r="I48" s="25">
        <v>11588.17</v>
      </c>
      <c r="J48" s="26">
        <f>G48*I48</f>
        <v>109038.88561499999</v>
      </c>
      <c r="K48" s="19"/>
    </row>
    <row r="49" spans="1:19" ht="15" hidden="1" customHeight="1" x14ac:dyDescent="0.25">
      <c r="A49" s="28"/>
      <c r="B49" s="10" t="s">
        <v>24</v>
      </c>
      <c r="C49" s="23"/>
      <c r="D49" s="24"/>
      <c r="E49" s="24"/>
      <c r="F49" s="24"/>
      <c r="G49" s="24"/>
      <c r="H49" s="24"/>
      <c r="I49" s="24"/>
      <c r="J49" s="27">
        <f>0.13*G48*((128662.2+6685.5)/15)</f>
        <v>11037.469587300002</v>
      </c>
      <c r="K49" s="19"/>
    </row>
    <row r="50" spans="1:19" ht="15" customHeight="1" x14ac:dyDescent="0.25">
      <c r="A50" s="28"/>
      <c r="B50" s="10"/>
      <c r="C50" s="23"/>
      <c r="D50" s="24"/>
      <c r="E50" s="24"/>
      <c r="F50" s="24"/>
      <c r="G50" s="24"/>
      <c r="H50" s="24"/>
      <c r="I50" s="24"/>
      <c r="J50" s="27"/>
      <c r="K50" s="19"/>
    </row>
    <row r="51" spans="1:19" ht="15" customHeight="1" x14ac:dyDescent="0.25">
      <c r="A51" s="9">
        <v>5</v>
      </c>
      <c r="B51" s="7" t="s">
        <v>32</v>
      </c>
      <c r="C51" s="11">
        <v>1</v>
      </c>
      <c r="D51" s="12"/>
      <c r="E51" s="13"/>
      <c r="F51" s="13"/>
      <c r="G51" s="36">
        <f t="shared" ref="G51" si="5">PRODUCT(C51:F51)</f>
        <v>1</v>
      </c>
      <c r="H51" s="15" t="s">
        <v>33</v>
      </c>
      <c r="I51" s="14">
        <v>15000</v>
      </c>
      <c r="J51" s="36">
        <f>G51*I51</f>
        <v>15000</v>
      </c>
      <c r="K51" s="13"/>
      <c r="M51" s="17"/>
      <c r="N51" s="18"/>
      <c r="O51" s="18"/>
      <c r="P51" s="18"/>
      <c r="Q51" s="18"/>
      <c r="R51" s="17"/>
      <c r="S51" s="17"/>
    </row>
    <row r="52" spans="1:19" ht="15" customHeight="1" x14ac:dyDescent="0.25">
      <c r="A52" s="9"/>
      <c r="B52" s="7"/>
      <c r="C52" s="11"/>
      <c r="D52" s="12"/>
      <c r="E52" s="13"/>
      <c r="F52" s="13"/>
      <c r="G52" s="36"/>
      <c r="H52" s="15"/>
      <c r="I52" s="14"/>
      <c r="J52" s="36"/>
      <c r="K52" s="13"/>
      <c r="M52" s="17"/>
      <c r="N52" s="18"/>
      <c r="O52" s="18"/>
      <c r="P52" s="18"/>
      <c r="Q52" s="18"/>
      <c r="R52" s="17"/>
      <c r="S52" s="17"/>
    </row>
    <row r="53" spans="1:19" ht="15" customHeight="1" x14ac:dyDescent="0.25">
      <c r="A53" s="9">
        <v>6</v>
      </c>
      <c r="B53" s="7" t="s">
        <v>34</v>
      </c>
      <c r="C53" s="11">
        <v>1</v>
      </c>
      <c r="D53" s="12"/>
      <c r="E53" s="13"/>
      <c r="F53" s="13"/>
      <c r="G53" s="36">
        <f t="shared" ref="G53" si="6">PRODUCT(C53:F53)</f>
        <v>1</v>
      </c>
      <c r="H53" s="15" t="s">
        <v>35</v>
      </c>
      <c r="I53" s="14">
        <v>500</v>
      </c>
      <c r="J53" s="36">
        <f>G53*I53</f>
        <v>500</v>
      </c>
      <c r="K53" s="13"/>
      <c r="M53" s="17"/>
      <c r="N53" s="18"/>
      <c r="O53" s="18"/>
      <c r="P53" s="18"/>
      <c r="Q53" s="18"/>
      <c r="R53" s="17"/>
      <c r="S53" s="17"/>
    </row>
    <row r="54" spans="1:19" ht="15" customHeight="1" x14ac:dyDescent="0.25">
      <c r="A54" s="28"/>
      <c r="B54" s="10"/>
      <c r="C54" s="23"/>
      <c r="D54" s="24"/>
      <c r="E54" s="24"/>
      <c r="F54" s="24"/>
      <c r="G54" s="24"/>
      <c r="H54" s="24"/>
      <c r="I54" s="24"/>
      <c r="J54" s="27"/>
      <c r="K54" s="19"/>
    </row>
    <row r="55" spans="1:19" x14ac:dyDescent="0.25">
      <c r="A55" s="22"/>
      <c r="B55" s="46" t="s">
        <v>41</v>
      </c>
      <c r="C55" s="47"/>
      <c r="D55" s="20"/>
      <c r="E55" s="20"/>
      <c r="F55" s="20"/>
      <c r="G55" s="16"/>
      <c r="H55" s="16"/>
      <c r="I55" s="16"/>
      <c r="J55" s="16">
        <f>SUM(J18:J53)</f>
        <v>228081.1803271111</v>
      </c>
      <c r="K55" s="19"/>
    </row>
    <row r="57" spans="1:19" s="18" customFormat="1" hidden="1" x14ac:dyDescent="0.25">
      <c r="A57" s="37"/>
      <c r="B57" s="31" t="s">
        <v>69</v>
      </c>
      <c r="C57" s="73">
        <f>J55</f>
        <v>228081.1803271111</v>
      </c>
      <c r="D57" s="73"/>
      <c r="E57" s="21">
        <v>100</v>
      </c>
      <c r="F57" s="38"/>
      <c r="G57" s="39"/>
      <c r="H57" s="38"/>
      <c r="I57" s="40"/>
      <c r="J57" s="41"/>
      <c r="K57" s="42"/>
    </row>
    <row r="58" spans="1:19" hidden="1" x14ac:dyDescent="0.25">
      <c r="A58" s="43"/>
      <c r="B58" s="31" t="s">
        <v>37</v>
      </c>
      <c r="C58" s="76">
        <v>200000</v>
      </c>
      <c r="D58" s="76"/>
      <c r="E58" s="21"/>
      <c r="F58" s="44"/>
      <c r="G58" s="45"/>
      <c r="H58" s="45"/>
      <c r="I58" s="45"/>
      <c r="J58" s="45"/>
      <c r="K58" s="44"/>
    </row>
    <row r="59" spans="1:19" hidden="1" x14ac:dyDescent="0.25">
      <c r="A59" s="43"/>
      <c r="B59" s="31" t="s">
        <v>38</v>
      </c>
      <c r="C59" s="76">
        <f>C58-C61-C62</f>
        <v>190000</v>
      </c>
      <c r="D59" s="76"/>
      <c r="E59" s="21">
        <f>C59/C57*100</f>
        <v>83.303672721924897</v>
      </c>
      <c r="F59" s="44"/>
      <c r="G59" s="45"/>
      <c r="H59" s="45"/>
      <c r="I59" s="45"/>
      <c r="J59" s="45"/>
      <c r="K59" s="44"/>
    </row>
    <row r="60" spans="1:19" hidden="1" x14ac:dyDescent="0.25">
      <c r="A60" s="43"/>
      <c r="B60" s="31" t="s">
        <v>39</v>
      </c>
      <c r="C60" s="73">
        <f>C57-C59</f>
        <v>38081.180327111098</v>
      </c>
      <c r="D60" s="73"/>
      <c r="E60" s="21">
        <f>100-E59</f>
        <v>16.696327278075103</v>
      </c>
      <c r="F60" s="44"/>
      <c r="G60" s="45"/>
      <c r="H60" s="45"/>
      <c r="I60" s="45"/>
      <c r="J60" s="45"/>
      <c r="K60" s="44"/>
    </row>
    <row r="61" spans="1:19" hidden="1" x14ac:dyDescent="0.25">
      <c r="A61" s="43"/>
      <c r="B61" s="31" t="s">
        <v>40</v>
      </c>
      <c r="C61" s="73">
        <f>C58*0.03</f>
        <v>6000</v>
      </c>
      <c r="D61" s="73"/>
      <c r="E61" s="21">
        <v>3</v>
      </c>
      <c r="F61" s="44"/>
      <c r="G61" s="45"/>
      <c r="H61" s="45"/>
      <c r="I61" s="45"/>
      <c r="J61" s="45"/>
      <c r="K61" s="44"/>
    </row>
    <row r="62" spans="1:19" hidden="1" x14ac:dyDescent="0.25">
      <c r="A62" s="43"/>
      <c r="B62" s="31" t="s">
        <v>72</v>
      </c>
      <c r="C62" s="73">
        <f>C58*0.02</f>
        <v>4000</v>
      </c>
      <c r="D62" s="73"/>
      <c r="E62" s="21">
        <v>2</v>
      </c>
      <c r="F62" s="44"/>
      <c r="G62" s="45"/>
      <c r="H62" s="45"/>
      <c r="I62" s="45"/>
      <c r="J62" s="45"/>
      <c r="K62" s="44"/>
    </row>
  </sheetData>
  <mergeCells count="15">
    <mergeCell ref="C61:D61"/>
    <mergeCell ref="C62:D62"/>
    <mergeCell ref="A7:F7"/>
    <mergeCell ref="H7:K7"/>
    <mergeCell ref="C57:D57"/>
    <mergeCell ref="C58:D58"/>
    <mergeCell ref="C59:D59"/>
    <mergeCell ref="C60:D60"/>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Estimate</vt:lpstr>
      <vt:lpstr>Valuation</vt:lpstr>
      <vt:lpstr>Field measurement</vt:lpstr>
      <vt:lpstr>WCR</vt:lpstr>
      <vt:lpstr>measure</vt:lpstr>
      <vt:lpstr>measure!Print_Area</vt:lpstr>
      <vt:lpstr>Valuation!Print_Area</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2025-02-04T10:25:36Z</dcterms:modified>
</cp:coreProperties>
</file>