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hulaltaar dhikurepaati\"/>
    </mc:Choice>
  </mc:AlternateContent>
  <bookViews>
    <workbookView xWindow="-120" yWindow="-120" windowWidth="20730" windowHeight="11160"/>
  </bookViews>
  <sheets>
    <sheet name="new" sheetId="18"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new!$A$1:$K$73</definedName>
    <definedName name="_xlnm.Print_Titles" localSheetId="0">new!$1:$8</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8" i="18" l="1"/>
  <c r="F58" i="18" s="1"/>
  <c r="G58" i="18" s="1"/>
  <c r="D58" i="18"/>
  <c r="E58" i="18"/>
  <c r="C57" i="18"/>
  <c r="N57" i="18" l="1"/>
  <c r="M57" i="18"/>
  <c r="O57" i="18" s="1"/>
  <c r="E57" i="18"/>
  <c r="D57" i="18"/>
  <c r="F57" i="18"/>
  <c r="G57" i="18" s="1"/>
  <c r="E56" i="18"/>
  <c r="F56" i="18"/>
  <c r="G56" i="18" s="1"/>
  <c r="F55" i="18"/>
  <c r="G55" i="18" s="1"/>
  <c r="E55" i="18"/>
  <c r="D56" i="18"/>
  <c r="D55" i="18"/>
  <c r="C56" i="18"/>
  <c r="C55" i="18"/>
  <c r="F53" i="18" l="1"/>
  <c r="G53" i="18" s="1"/>
  <c r="F54" i="18"/>
  <c r="G54" i="18" s="1"/>
  <c r="E54" i="18"/>
  <c r="E53" i="18"/>
  <c r="D54" i="18"/>
  <c r="C54" i="18"/>
  <c r="D53" i="18"/>
  <c r="C53" i="18"/>
  <c r="D52" i="18"/>
  <c r="O53" i="18"/>
  <c r="N53" i="18"/>
  <c r="M53" i="18"/>
  <c r="F52" i="18"/>
  <c r="G52" i="18" s="1"/>
  <c r="E52" i="18"/>
  <c r="C52" i="18"/>
  <c r="C51" i="18"/>
  <c r="F51" i="18"/>
  <c r="G51" i="18" s="1"/>
  <c r="E51" i="18"/>
  <c r="G47" i="18"/>
  <c r="F46" i="18"/>
  <c r="E42" i="18" l="1"/>
  <c r="D42" i="18"/>
  <c r="F43" i="18"/>
  <c r="C43" i="18"/>
  <c r="C41" i="18"/>
  <c r="G41" i="18" s="1"/>
  <c r="C40" i="18"/>
  <c r="G40" i="18" s="1"/>
  <c r="G39" i="18"/>
  <c r="E38" i="18"/>
  <c r="D38" i="18"/>
  <c r="D37" i="18"/>
  <c r="E32" i="18"/>
  <c r="E46" i="18" s="1"/>
  <c r="D32" i="18"/>
  <c r="C31" i="18"/>
  <c r="C30" i="18"/>
  <c r="F31" i="18"/>
  <c r="D31" i="18"/>
  <c r="F30" i="18"/>
  <c r="D30" i="18"/>
  <c r="D29" i="18"/>
  <c r="F29" i="18"/>
  <c r="C29" i="18"/>
  <c r="E15" i="18"/>
  <c r="D15" i="18"/>
  <c r="C28" i="18"/>
  <c r="G28" i="18" s="1"/>
  <c r="C27" i="18"/>
  <c r="F28" i="18"/>
  <c r="F27" i="18"/>
  <c r="D28" i="18"/>
  <c r="D41" i="18" s="1"/>
  <c r="D45" i="18" s="1"/>
  <c r="G45" i="18" s="1"/>
  <c r="D27" i="18"/>
  <c r="D40" i="18" s="1"/>
  <c r="D44" i="18" s="1"/>
  <c r="G44" i="18" s="1"/>
  <c r="F26" i="18"/>
  <c r="D26" i="18"/>
  <c r="F25" i="18"/>
  <c r="B25" i="18"/>
  <c r="B37" i="18" s="1"/>
  <c r="G32" i="18" l="1"/>
  <c r="G43" i="18"/>
  <c r="G31" i="18"/>
  <c r="G26" i="18"/>
  <c r="G15" i="18"/>
  <c r="G42" i="18"/>
  <c r="D46" i="18"/>
  <c r="G46" i="18" s="1"/>
  <c r="G38" i="18"/>
  <c r="G30" i="18"/>
  <c r="G29" i="18"/>
  <c r="G27" i="18"/>
  <c r="E14" i="18" l="1"/>
  <c r="E20" i="18" s="1"/>
  <c r="D14" i="18"/>
  <c r="D20" i="18" s="1"/>
  <c r="D25" i="18" s="1"/>
  <c r="C14" i="18"/>
  <c r="G14" i="18" l="1"/>
  <c r="G16" i="18" s="1"/>
  <c r="J16" i="18" s="1"/>
  <c r="C20" i="18"/>
  <c r="C25" i="18" s="1"/>
  <c r="G10" i="18"/>
  <c r="G11" i="18" s="1"/>
  <c r="G64" i="18"/>
  <c r="J64" i="18" s="1"/>
  <c r="G62" i="18"/>
  <c r="J62" i="18" s="1"/>
  <c r="G25" i="18" l="1"/>
  <c r="G33" i="18" s="1"/>
  <c r="J33" i="18" s="1"/>
  <c r="C37" i="18"/>
  <c r="G37" i="18" s="1"/>
  <c r="G20" i="18"/>
  <c r="G21" i="18" s="1"/>
  <c r="J22" i="18" s="1"/>
  <c r="J17" i="18"/>
  <c r="J11" i="18"/>
  <c r="J34" i="18" l="1"/>
  <c r="J47" i="18"/>
  <c r="J21" i="18"/>
  <c r="C73" i="18"/>
  <c r="C72" i="18"/>
  <c r="J48" i="18" l="1"/>
  <c r="J66" i="18" s="1"/>
  <c r="C70" i="18"/>
  <c r="C68" i="18" l="1"/>
  <c r="C71" i="18" l="1"/>
  <c r="E70" i="18"/>
  <c r="E71" i="18" s="1"/>
</calcChain>
</file>

<file path=xl/sharedStrings.xml><?xml version="1.0" encoding="utf-8"?>
<sst xmlns="http://schemas.openxmlformats.org/spreadsheetml/2006/main" count="77" uniqueCount="59">
  <si>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</si>
  <si>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</si>
  <si>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</si>
  <si>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</si>
  <si>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</si>
  <si>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</si>
  <si>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</si>
  <si>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</si>
  <si>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</si>
  <si>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</si>
  <si>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</si>
  <si>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</si>
  <si>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</si>
  <si>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</si>
  <si>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</si>
  <si>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</si>
  <si>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</si>
  <si>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</si>
  <si>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</si>
  <si>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</si>
  <si>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</si>
  <si>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</si>
  <si>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</si>
  <si>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</si>
  <si>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</si>
  <si>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</si>
  <si>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 xml:space="preserve">Project:- कुर्थली सामुदायिक ट्रस्ट निर्माण </t>
  </si>
  <si>
    <t>Provisional sum for unforseen works</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</si>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</sst>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5">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xf numFmtId="0" fontId="9" fillId="0" borderId="1" xfId="0" quotePrefix="1" applyFont="1" applyBorder="1" applyAlignment="1">
      <alignment horizontal="right" vertical="center" wrapText="1"/>
    </xf>
    <xf numFmtId="2" fontId="15" fillId="0" borderId="1" xfId="0" applyNumberFormat="1" applyFont="1" applyBorder="1" applyAlignment="1">
      <alignment vertical="center"/>
    </xf>
    <xf numFmtId="0" fontId="14" fillId="0" borderId="0" xfId="0" applyFont="1" applyAlignment="1">
      <alignment vertical="center"/>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3"/>
  <sheetViews>
    <sheetView tabSelected="1" topLeftCell="A19" zoomScaleNormal="100" zoomScaleSheetLayoutView="80" workbookViewId="0">
      <selection activeCell="D27" sqref="D27"/>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45" t="s">
        <v>0</v>
      </c>
      <c r="B1" s="45"/>
      <c r="C1" s="45"/>
      <c r="D1" s="45"/>
      <c r="E1" s="45"/>
      <c r="F1" s="45"/>
      <c r="G1" s="45"/>
      <c r="H1" s="45"/>
      <c r="I1" s="45"/>
      <c r="J1" s="45"/>
      <c r="K1" s="45"/>
    </row>
    <row r="2" spans="1:11" s="1" customFormat="1" ht="22.5" x14ac:dyDescent="0.25">
      <c r="A2" s="46" t="s">
        <v>1</v>
      </c>
      <c r="B2" s="46"/>
      <c r="C2" s="46"/>
      <c r="D2" s="46"/>
      <c r="E2" s="46"/>
      <c r="F2" s="46"/>
      <c r="G2" s="46"/>
      <c r="H2" s="46"/>
      <c r="I2" s="46"/>
      <c r="J2" s="46"/>
      <c r="K2" s="46"/>
    </row>
    <row r="3" spans="1:11" s="1" customFormat="1" x14ac:dyDescent="0.25">
      <c r="A3" s="47" t="s">
        <v>2</v>
      </c>
      <c r="B3" s="47"/>
      <c r="C3" s="47"/>
      <c r="D3" s="47"/>
      <c r="E3" s="47"/>
      <c r="F3" s="47"/>
      <c r="G3" s="47"/>
      <c r="H3" s="47"/>
      <c r="I3" s="47"/>
      <c r="J3" s="47"/>
      <c r="K3" s="47"/>
    </row>
    <row r="4" spans="1:11" s="1" customFormat="1" x14ac:dyDescent="0.25">
      <c r="A4" s="47" t="s">
        <v>3</v>
      </c>
      <c r="B4" s="47"/>
      <c r="C4" s="47"/>
      <c r="D4" s="47"/>
      <c r="E4" s="47"/>
      <c r="F4" s="47"/>
      <c r="G4" s="47"/>
      <c r="H4" s="47"/>
      <c r="I4" s="47"/>
      <c r="J4" s="47"/>
      <c r="K4" s="47"/>
    </row>
    <row r="5" spans="1:11" ht="18.75" x14ac:dyDescent="0.3">
      <c r="A5" s="48" t="s">
        <v>4</v>
      </c>
      <c r="B5" s="48"/>
      <c r="C5" s="48"/>
      <c r="D5" s="48"/>
      <c r="E5" s="48"/>
      <c r="F5" s="48"/>
      <c r="G5" s="48"/>
      <c r="H5" s="48"/>
      <c r="I5" s="48"/>
      <c r="J5" s="48"/>
      <c r="K5" s="48"/>
    </row>
    <row r="6" spans="1:11" ht="18.75" x14ac:dyDescent="0.3">
      <c r="A6" s="43" t="s">
        <v>26</v>
      </c>
      <c r="B6" s="43"/>
      <c r="C6" s="43"/>
      <c r="D6" s="43"/>
      <c r="E6" s="43"/>
      <c r="F6" s="43"/>
      <c r="G6" s="43"/>
      <c r="H6" s="44" t="s">
        <v>37</v>
      </c>
      <c r="I6" s="44"/>
      <c r="J6" s="44"/>
      <c r="K6" s="44"/>
    </row>
    <row r="7" spans="1:11" ht="15.75" x14ac:dyDescent="0.25">
      <c r="A7" s="51" t="s">
        <v>23</v>
      </c>
      <c r="B7" s="51"/>
      <c r="C7" s="51"/>
      <c r="D7" s="51"/>
      <c r="E7" s="51"/>
      <c r="F7" s="51"/>
      <c r="G7" s="2"/>
      <c r="H7" s="44" t="s">
        <v>38</v>
      </c>
      <c r="I7" s="44"/>
      <c r="J7" s="44"/>
      <c r="K7" s="44"/>
    </row>
    <row r="8" spans="1:11" ht="15" customHeight="1" x14ac:dyDescent="0.25">
      <c r="A8" s="3" t="s">
        <v>5</v>
      </c>
      <c r="B8" s="17" t="s">
        <v>6</v>
      </c>
      <c r="C8" s="3" t="s">
        <v>7</v>
      </c>
      <c r="D8" s="18" t="s">
        <v>8</v>
      </c>
      <c r="E8" s="18" t="s">
        <v>9</v>
      </c>
      <c r="F8" s="18" t="s">
        <v>10</v>
      </c>
      <c r="G8" s="18" t="s">
        <v>11</v>
      </c>
      <c r="H8" s="3" t="s">
        <v>12</v>
      </c>
      <c r="I8" s="18" t="s">
        <v>13</v>
      </c>
      <c r="J8" s="18" t="s">
        <v>14</v>
      </c>
      <c r="K8" s="19" t="s">
        <v>15</v>
      </c>
    </row>
    <row r="9" spans="1:11" s="1" customFormat="1" ht="30" x14ac:dyDescent="0.25">
      <c r="A9" s="21">
        <v>1</v>
      </c>
      <c r="B9" s="34" t="s">
        <v>31</v>
      </c>
      <c r="C9" s="22"/>
      <c r="D9" s="23"/>
      <c r="E9" s="24"/>
      <c r="F9" s="24"/>
      <c r="G9" s="27"/>
      <c r="H9" s="25"/>
      <c r="I9" s="26"/>
      <c r="J9" s="27"/>
      <c r="K9" s="24"/>
    </row>
    <row r="10" spans="1:11" s="1" customFormat="1" x14ac:dyDescent="0.25">
      <c r="A10" s="21"/>
      <c r="B10" s="35" t="s">
        <v>32</v>
      </c>
      <c r="C10" s="22">
        <v>6</v>
      </c>
      <c r="D10" s="23">
        <v>1.5</v>
      </c>
      <c r="E10" s="24">
        <v>1.5</v>
      </c>
      <c r="F10" s="24">
        <v>1.5</v>
      </c>
      <c r="G10" s="33">
        <f>PRODUCT(C10:F10)</f>
        <v>20.25</v>
      </c>
      <c r="H10" s="25"/>
      <c r="I10" s="26"/>
      <c r="J10" s="27"/>
      <c r="K10" s="24"/>
    </row>
    <row r="11" spans="1:11" s="1" customFormat="1" x14ac:dyDescent="0.25">
      <c r="A11" s="21"/>
      <c r="B11" s="35" t="s">
        <v>24</v>
      </c>
      <c r="C11" s="22"/>
      <c r="D11" s="23"/>
      <c r="E11" s="24"/>
      <c r="F11" s="24"/>
      <c r="G11" s="27">
        <f>SUM(G10:G10)</f>
        <v>20.25</v>
      </c>
      <c r="H11" s="25" t="s">
        <v>33</v>
      </c>
      <c r="I11" s="26">
        <v>663.31</v>
      </c>
      <c r="J11" s="27">
        <f>G11*I11</f>
        <v>13432.027499999998</v>
      </c>
      <c r="K11" s="24"/>
    </row>
    <row r="12" spans="1:11" s="1" customFormat="1" x14ac:dyDescent="0.25">
      <c r="A12" s="21"/>
      <c r="B12" s="35"/>
      <c r="C12" s="22"/>
      <c r="D12" s="23"/>
      <c r="E12" s="24"/>
      <c r="F12" s="24"/>
      <c r="G12" s="27"/>
      <c r="H12" s="25"/>
      <c r="I12" s="26"/>
      <c r="J12" s="27"/>
      <c r="K12" s="24"/>
    </row>
    <row r="13" spans="1:11" s="1" customFormat="1" ht="30" x14ac:dyDescent="0.25">
      <c r="A13" s="21">
        <v>2</v>
      </c>
      <c r="B13" s="34" t="s">
        <v>34</v>
      </c>
      <c r="C13" s="22"/>
      <c r="D13" s="23"/>
      <c r="E13" s="24"/>
      <c r="F13" s="24"/>
      <c r="G13" s="27"/>
      <c r="H13" s="25"/>
      <c r="I13" s="26"/>
      <c r="J13" s="27"/>
      <c r="K13" s="24"/>
    </row>
    <row r="14" spans="1:11" s="1" customFormat="1" x14ac:dyDescent="0.25">
      <c r="A14" s="21"/>
      <c r="B14" s="35" t="s">
        <v>32</v>
      </c>
      <c r="C14" s="22">
        <f>C10</f>
        <v>6</v>
      </c>
      <c r="D14" s="23">
        <f>D10</f>
        <v>1.5</v>
      </c>
      <c r="E14" s="24">
        <f>E10</f>
        <v>1.5</v>
      </c>
      <c r="F14" s="24">
        <v>0.15</v>
      </c>
      <c r="G14" s="33">
        <f>PRODUCT(C14:F14)</f>
        <v>2.0249999999999999</v>
      </c>
      <c r="H14" s="25"/>
      <c r="I14" s="26"/>
      <c r="J14" s="27"/>
      <c r="K14" s="24"/>
    </row>
    <row r="15" spans="1:11" s="1" customFormat="1" x14ac:dyDescent="0.25">
      <c r="A15" s="21"/>
      <c r="B15" s="35" t="s">
        <v>42</v>
      </c>
      <c r="C15" s="22">
        <v>2</v>
      </c>
      <c r="D15" s="23">
        <f>10/3.281</f>
        <v>3.047851264858275</v>
      </c>
      <c r="E15" s="24">
        <f>10/3.281</f>
        <v>3.047851264858275</v>
      </c>
      <c r="F15" s="24">
        <v>0.15</v>
      </c>
      <c r="G15" s="33">
        <f>PRODUCT(C15:F15)</f>
        <v>2.786819199809456</v>
      </c>
      <c r="H15" s="25"/>
      <c r="I15" s="26"/>
      <c r="J15" s="27"/>
      <c r="K15" s="24"/>
    </row>
    <row r="16" spans="1:11" s="1" customFormat="1" x14ac:dyDescent="0.25">
      <c r="A16" s="21"/>
      <c r="B16" s="35" t="s">
        <v>24</v>
      </c>
      <c r="C16" s="22"/>
      <c r="D16" s="23"/>
      <c r="E16" s="24"/>
      <c r="F16" s="24"/>
      <c r="G16" s="27">
        <f>SUM(G14:G15)</f>
        <v>4.8118191998094559</v>
      </c>
      <c r="H16" s="25" t="s">
        <v>33</v>
      </c>
      <c r="I16" s="26">
        <v>4473.1499999999996</v>
      </c>
      <c r="J16" s="27">
        <f>G16*I16</f>
        <v>21523.989053627665</v>
      </c>
      <c r="K16" s="24"/>
    </row>
    <row r="17" spans="1:11" s="1" customFormat="1" x14ac:dyDescent="0.25">
      <c r="A17" s="21"/>
      <c r="B17" s="35" t="s">
        <v>30</v>
      </c>
      <c r="C17" s="22"/>
      <c r="D17" s="23"/>
      <c r="E17" s="24"/>
      <c r="F17" s="24"/>
      <c r="G17" s="27"/>
      <c r="H17" s="25"/>
      <c r="I17" s="26"/>
      <c r="J17" s="27">
        <f>0.13*G16*3093.15</f>
        <v>1934.8782125257806</v>
      </c>
      <c r="K17" s="24"/>
    </row>
    <row r="18" spans="1:11" s="1" customFormat="1" x14ac:dyDescent="0.25">
      <c r="A18" s="21"/>
      <c r="B18" s="35"/>
      <c r="C18" s="22"/>
      <c r="D18" s="23"/>
      <c r="E18" s="24"/>
      <c r="F18" s="24"/>
      <c r="G18" s="27"/>
      <c r="H18" s="25"/>
      <c r="I18" s="26"/>
      <c r="J18" s="27"/>
      <c r="K18" s="24"/>
    </row>
    <row r="19" spans="1:11" s="1" customFormat="1" ht="30" x14ac:dyDescent="0.25">
      <c r="A19" s="21">
        <v>3</v>
      </c>
      <c r="B19" s="34" t="s">
        <v>35</v>
      </c>
      <c r="C19" s="22"/>
      <c r="D19" s="23"/>
      <c r="E19" s="24"/>
      <c r="F19" s="24"/>
      <c r="G19" s="27"/>
      <c r="H19" s="25"/>
      <c r="I19" s="26"/>
      <c r="J19" s="27"/>
      <c r="K19" s="24"/>
    </row>
    <row r="20" spans="1:11" s="1" customFormat="1" x14ac:dyDescent="0.25">
      <c r="A20" s="21"/>
      <c r="B20" s="35" t="s">
        <v>32</v>
      </c>
      <c r="C20" s="22">
        <f>C14</f>
        <v>6</v>
      </c>
      <c r="D20" s="23">
        <f>D14</f>
        <v>1.5</v>
      </c>
      <c r="E20" s="24">
        <f>E14</f>
        <v>1.5</v>
      </c>
      <c r="F20" s="24">
        <v>0.05</v>
      </c>
      <c r="G20" s="33">
        <f>PRODUCT(C20:F20)</f>
        <v>0.67500000000000004</v>
      </c>
      <c r="H20" s="25"/>
      <c r="I20" s="26"/>
      <c r="J20" s="27"/>
      <c r="K20" s="24"/>
    </row>
    <row r="21" spans="1:11" s="1" customFormat="1" x14ac:dyDescent="0.25">
      <c r="A21" s="21"/>
      <c r="B21" s="35" t="s">
        <v>24</v>
      </c>
      <c r="C21" s="22"/>
      <c r="D21" s="23"/>
      <c r="E21" s="24"/>
      <c r="F21" s="24"/>
      <c r="G21" s="27">
        <f>SUM(G20:G20)</f>
        <v>0.67500000000000004</v>
      </c>
      <c r="H21" s="25" t="s">
        <v>33</v>
      </c>
      <c r="I21" s="26">
        <v>12983.1</v>
      </c>
      <c r="J21" s="27">
        <f>G21*I21</f>
        <v>8763.5925000000007</v>
      </c>
      <c r="K21" s="24"/>
    </row>
    <row r="22" spans="1:11" s="1" customFormat="1" x14ac:dyDescent="0.25">
      <c r="A22" s="21"/>
      <c r="B22" s="35" t="s">
        <v>30</v>
      </c>
      <c r="C22" s="22"/>
      <c r="D22" s="23"/>
      <c r="E22" s="24"/>
      <c r="F22" s="24"/>
      <c r="G22" s="27"/>
      <c r="H22" s="25"/>
      <c r="I22" s="26"/>
      <c r="J22" s="27">
        <f>0.13*G21*8078.11</f>
        <v>708.85415250000005</v>
      </c>
      <c r="K22" s="24"/>
    </row>
    <row r="23" spans="1:11" s="1" customFormat="1" x14ac:dyDescent="0.25">
      <c r="A23" s="21"/>
      <c r="B23" s="35"/>
      <c r="C23" s="22"/>
      <c r="D23" s="23"/>
      <c r="E23" s="24"/>
      <c r="F23" s="24"/>
      <c r="G23" s="27"/>
      <c r="H23" s="25"/>
      <c r="I23" s="26"/>
      <c r="J23" s="27"/>
      <c r="K23" s="24"/>
    </row>
    <row r="24" spans="1:11" s="1" customFormat="1" ht="30" x14ac:dyDescent="0.25">
      <c r="A24" s="21">
        <v>4</v>
      </c>
      <c r="B24" s="34" t="s">
        <v>39</v>
      </c>
      <c r="C24" s="22"/>
      <c r="D24" s="23"/>
      <c r="E24" s="24"/>
      <c r="F24" s="24"/>
      <c r="G24" s="27"/>
      <c r="H24" s="25"/>
      <c r="I24" s="26"/>
      <c r="J24" s="27"/>
      <c r="K24" s="24"/>
    </row>
    <row r="25" spans="1:11" s="1" customFormat="1" x14ac:dyDescent="0.25">
      <c r="A25" s="21"/>
      <c r="B25" s="35" t="str">
        <f>B20</f>
        <v>;-for footing</v>
      </c>
      <c r="C25" s="22">
        <f>C20</f>
        <v>6</v>
      </c>
      <c r="D25" s="23">
        <f>D20*4</f>
        <v>6</v>
      </c>
      <c r="E25" s="24"/>
      <c r="F25" s="24">
        <f>0.23</f>
        <v>0.23</v>
      </c>
      <c r="G25" s="33">
        <f>PRODUCT(C25:F25)</f>
        <v>8.2800000000000011</v>
      </c>
      <c r="H25" s="25"/>
      <c r="I25" s="26"/>
      <c r="J25" s="27"/>
      <c r="K25" s="24"/>
    </row>
    <row r="26" spans="1:11" s="1" customFormat="1" x14ac:dyDescent="0.25">
      <c r="A26" s="21"/>
      <c r="B26" s="35" t="s">
        <v>40</v>
      </c>
      <c r="C26" s="22">
        <v>6</v>
      </c>
      <c r="D26" s="23">
        <f>0.3*4</f>
        <v>1.2</v>
      </c>
      <c r="E26" s="24"/>
      <c r="F26" s="24">
        <f>3.5/3.281</f>
        <v>1.0667479427003961</v>
      </c>
      <c r="G26" s="33">
        <f>PRODUCT(C26:F26)</f>
        <v>7.6805851874428512</v>
      </c>
      <c r="H26" s="25"/>
      <c r="I26" s="26"/>
      <c r="J26" s="27"/>
      <c r="K26" s="24"/>
    </row>
    <row r="27" spans="1:11" s="1" customFormat="1" x14ac:dyDescent="0.25">
      <c r="A27" s="21"/>
      <c r="B27" s="35" t="s">
        <v>41</v>
      </c>
      <c r="C27" s="22">
        <f>2*4</f>
        <v>8</v>
      </c>
      <c r="D27" s="23">
        <f>9.667/3.281</f>
        <v>2.9463578177384941</v>
      </c>
      <c r="E27" s="24"/>
      <c r="F27" s="24">
        <f>0.23*2</f>
        <v>0.46</v>
      </c>
      <c r="G27" s="33">
        <f t="shared" ref="G27:G29" si="0">PRODUCT(C27:F27)</f>
        <v>10.842596769277659</v>
      </c>
      <c r="H27" s="25"/>
      <c r="I27" s="26"/>
      <c r="J27" s="27"/>
      <c r="K27" s="24"/>
    </row>
    <row r="28" spans="1:11" s="1" customFormat="1" x14ac:dyDescent="0.25">
      <c r="A28" s="21"/>
      <c r="B28" s="35"/>
      <c r="C28" s="22">
        <f>2*3</f>
        <v>6</v>
      </c>
      <c r="D28" s="23">
        <f>9.5/3.281</f>
        <v>2.895458701615361</v>
      </c>
      <c r="E28" s="24"/>
      <c r="F28" s="24">
        <f>0.23*2</f>
        <v>0.46</v>
      </c>
      <c r="G28" s="33">
        <f t="shared" si="0"/>
        <v>7.9914660164583964</v>
      </c>
      <c r="H28" s="25"/>
      <c r="I28" s="26"/>
      <c r="J28" s="27"/>
      <c r="K28" s="24"/>
    </row>
    <row r="29" spans="1:11" s="1" customFormat="1" x14ac:dyDescent="0.25">
      <c r="A29" s="21"/>
      <c r="B29" s="35" t="s">
        <v>43</v>
      </c>
      <c r="C29" s="22">
        <f>C26</f>
        <v>6</v>
      </c>
      <c r="D29" s="23">
        <f>0.3*4</f>
        <v>1.2</v>
      </c>
      <c r="E29" s="24"/>
      <c r="F29" s="24">
        <f>8.17/3.281</f>
        <v>2.4900944833892105</v>
      </c>
      <c r="G29" s="33">
        <f t="shared" si="0"/>
        <v>17.928680280402315</v>
      </c>
      <c r="H29" s="25"/>
      <c r="I29" s="26"/>
      <c r="J29" s="27"/>
      <c r="K29" s="24"/>
    </row>
    <row r="30" spans="1:11" s="1" customFormat="1" x14ac:dyDescent="0.25">
      <c r="A30" s="21"/>
      <c r="B30" s="35" t="s">
        <v>44</v>
      </c>
      <c r="C30" s="22">
        <f>4</f>
        <v>4</v>
      </c>
      <c r="D30" s="23">
        <f>9.667/3.281</f>
        <v>2.9463578177384941</v>
      </c>
      <c r="E30" s="24"/>
      <c r="F30" s="24">
        <f>0.23*2</f>
        <v>0.46</v>
      </c>
      <c r="G30" s="33">
        <f t="shared" ref="G30:G32" si="1">PRODUCT(C30:F30)</f>
        <v>5.4212983846388294</v>
      </c>
      <c r="H30" s="25"/>
      <c r="I30" s="26"/>
      <c r="J30" s="27"/>
      <c r="K30" s="24"/>
    </row>
    <row r="31" spans="1:11" s="1" customFormat="1" x14ac:dyDescent="0.25">
      <c r="A31" s="21"/>
      <c r="B31" s="35"/>
      <c r="C31" s="22">
        <f>3</f>
        <v>3</v>
      </c>
      <c r="D31" s="23">
        <f>9.5/3.281</f>
        <v>2.895458701615361</v>
      </c>
      <c r="E31" s="24"/>
      <c r="F31" s="24">
        <f>0.23*2</f>
        <v>0.46</v>
      </c>
      <c r="G31" s="33">
        <f t="shared" si="1"/>
        <v>3.9957330082291982</v>
      </c>
      <c r="H31" s="25"/>
      <c r="I31" s="26"/>
      <c r="J31" s="27"/>
      <c r="K31" s="24"/>
    </row>
    <row r="32" spans="1:11" s="1" customFormat="1" x14ac:dyDescent="0.25">
      <c r="A32" s="21"/>
      <c r="B32" s="35" t="s">
        <v>45</v>
      </c>
      <c r="C32" s="22">
        <v>1</v>
      </c>
      <c r="D32" s="23">
        <f>(22.333+3)/3.281</f>
        <v>7.7211216092654666</v>
      </c>
      <c r="E32" s="24">
        <f>(11.5+3)/3.281</f>
        <v>4.4193843340444987</v>
      </c>
      <c r="F32" s="24"/>
      <c r="G32" s="33">
        <f t="shared" si="1"/>
        <v>34.122603881240252</v>
      </c>
      <c r="H32" s="25"/>
      <c r="I32" s="26"/>
      <c r="J32" s="27"/>
      <c r="K32" s="24"/>
    </row>
    <row r="33" spans="1:11" s="1" customFormat="1" x14ac:dyDescent="0.25">
      <c r="A33" s="21"/>
      <c r="B33" s="35" t="s">
        <v>24</v>
      </c>
      <c r="C33" s="22"/>
      <c r="D33" s="23"/>
      <c r="E33" s="24"/>
      <c r="F33" s="24"/>
      <c r="G33" s="27">
        <f>SUM(G25:G32)</f>
        <v>96.262963527689507</v>
      </c>
      <c r="H33" s="25" t="s">
        <v>25</v>
      </c>
      <c r="I33" s="26">
        <v>915.42</v>
      </c>
      <c r="J33" s="27">
        <f>G33*I33</f>
        <v>88121.042072517521</v>
      </c>
      <c r="K33" s="24"/>
    </row>
    <row r="34" spans="1:11" s="1" customFormat="1" x14ac:dyDescent="0.25">
      <c r="A34" s="21"/>
      <c r="B34" s="35" t="s">
        <v>30</v>
      </c>
      <c r="C34" s="22"/>
      <c r="D34" s="23"/>
      <c r="E34" s="24"/>
      <c r="F34" s="24"/>
      <c r="G34" s="27"/>
      <c r="H34" s="25"/>
      <c r="I34" s="26"/>
      <c r="J34" s="27">
        <f>0.13*G33*46827.87/100</f>
        <v>5860.1264044562013</v>
      </c>
      <c r="K34" s="24"/>
    </row>
    <row r="35" spans="1:11" s="1" customFormat="1" x14ac:dyDescent="0.25">
      <c r="A35" s="21"/>
      <c r="B35" s="35"/>
      <c r="C35" s="22"/>
      <c r="D35" s="23"/>
      <c r="E35" s="24"/>
      <c r="F35" s="24"/>
      <c r="G35" s="27"/>
      <c r="H35" s="25"/>
      <c r="I35" s="26"/>
      <c r="J35" s="27"/>
      <c r="K35" s="24"/>
    </row>
    <row r="36" spans="1:11" s="1" customFormat="1" ht="30" x14ac:dyDescent="0.25">
      <c r="A36" s="21">
        <v>4</v>
      </c>
      <c r="B36" s="34" t="s">
        <v>36</v>
      </c>
      <c r="C36" s="22"/>
      <c r="D36" s="23"/>
      <c r="E36" s="24"/>
      <c r="F36" s="24"/>
      <c r="G36" s="27"/>
      <c r="H36" s="25"/>
      <c r="I36" s="26"/>
      <c r="J36" s="27"/>
      <c r="K36" s="24"/>
    </row>
    <row r="37" spans="1:11" s="1" customFormat="1" x14ac:dyDescent="0.25">
      <c r="A37" s="21"/>
      <c r="B37" s="35" t="str">
        <f>B25</f>
        <v>;-for footing</v>
      </c>
      <c r="C37" s="22">
        <f>C25</f>
        <v>6</v>
      </c>
      <c r="D37" s="23">
        <f>1.5</f>
        <v>1.5</v>
      </c>
      <c r="E37" s="24">
        <v>1.5</v>
      </c>
      <c r="F37" s="24">
        <v>0.23</v>
      </c>
      <c r="G37" s="33">
        <f>PRODUCT(C37:F37)</f>
        <v>3.105</v>
      </c>
      <c r="H37" s="25"/>
      <c r="I37" s="26"/>
      <c r="J37" s="27"/>
      <c r="K37" s="24"/>
    </row>
    <row r="38" spans="1:11" s="1" customFormat="1" x14ac:dyDescent="0.25">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25">
      <c r="A39" s="21"/>
      <c r="B39" s="35" t="s">
        <v>46</v>
      </c>
      <c r="C39" s="22">
        <v>6</v>
      </c>
      <c r="D39" s="23">
        <v>0.3</v>
      </c>
      <c r="E39" s="24">
        <v>0.3</v>
      </c>
      <c r="F39" s="24">
        <v>1.5</v>
      </c>
      <c r="G39" s="33">
        <f>PRODUCT(C39:F39)</f>
        <v>0.80999999999999983</v>
      </c>
      <c r="H39" s="25"/>
      <c r="I39" s="26"/>
      <c r="J39" s="27"/>
      <c r="K39" s="24"/>
    </row>
    <row r="40" spans="1:11" s="1" customFormat="1" x14ac:dyDescent="0.25">
      <c r="A40" s="21"/>
      <c r="B40" s="35" t="s">
        <v>41</v>
      </c>
      <c r="C40" s="22">
        <f>2*4</f>
        <v>8</v>
      </c>
      <c r="D40" s="23">
        <f>D27</f>
        <v>2.9463578177384941</v>
      </c>
      <c r="E40" s="24">
        <v>0.23</v>
      </c>
      <c r="F40" s="24">
        <v>0.23</v>
      </c>
      <c r="G40" s="33">
        <f t="shared" ref="G40:G46" si="2">PRODUCT(C40:F40)</f>
        <v>1.2468986284669308</v>
      </c>
      <c r="H40" s="25"/>
      <c r="I40" s="26"/>
      <c r="J40" s="27"/>
      <c r="K40" s="24"/>
    </row>
    <row r="41" spans="1:11" s="1" customFormat="1" x14ac:dyDescent="0.25">
      <c r="A41" s="21"/>
      <c r="B41" s="35"/>
      <c r="C41" s="22">
        <f>2*3</f>
        <v>6</v>
      </c>
      <c r="D41" s="23">
        <f>D28</f>
        <v>2.895458701615361</v>
      </c>
      <c r="E41" s="24">
        <v>0.23</v>
      </c>
      <c r="F41" s="24">
        <v>0.23</v>
      </c>
      <c r="G41" s="33">
        <f t="shared" si="2"/>
        <v>0.91901859189271562</v>
      </c>
      <c r="H41" s="25"/>
      <c r="I41" s="26"/>
      <c r="J41" s="27"/>
      <c r="K41" s="24"/>
    </row>
    <row r="42" spans="1:11" s="1" customFormat="1" x14ac:dyDescent="0.25">
      <c r="A42" s="21"/>
      <c r="B42" s="35" t="s">
        <v>42</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25">
      <c r="A43" s="21"/>
      <c r="B43" s="35" t="s">
        <v>47</v>
      </c>
      <c r="C43" s="22">
        <f>C39</f>
        <v>6</v>
      </c>
      <c r="D43" s="23">
        <v>0.3</v>
      </c>
      <c r="E43" s="24">
        <v>0.3</v>
      </c>
      <c r="F43" s="24">
        <f>8.917/3.281</f>
        <v>2.7177689728741234</v>
      </c>
      <c r="G43" s="33">
        <f t="shared" si="2"/>
        <v>1.4675952453520265</v>
      </c>
      <c r="H43" s="25"/>
      <c r="I43" s="26"/>
      <c r="J43" s="27"/>
      <c r="K43" s="24"/>
    </row>
    <row r="44" spans="1:11" s="1" customFormat="1" x14ac:dyDescent="0.25">
      <c r="A44" s="21"/>
      <c r="B44" s="35" t="s">
        <v>48</v>
      </c>
      <c r="C44" s="22">
        <v>4</v>
      </c>
      <c r="D44" s="23">
        <f>D40</f>
        <v>2.9463578177384941</v>
      </c>
      <c r="E44" s="24">
        <v>0.23</v>
      </c>
      <c r="F44" s="24">
        <v>0.23</v>
      </c>
      <c r="G44" s="33">
        <f t="shared" si="2"/>
        <v>0.62344931423346539</v>
      </c>
      <c r="H44" s="25"/>
      <c r="I44" s="26"/>
      <c r="J44" s="27"/>
      <c r="K44" s="24"/>
    </row>
    <row r="45" spans="1:11" s="1" customFormat="1" x14ac:dyDescent="0.25">
      <c r="A45" s="21"/>
      <c r="B45" s="35"/>
      <c r="C45" s="22">
        <v>3</v>
      </c>
      <c r="D45" s="23">
        <f>D41</f>
        <v>2.895458701615361</v>
      </c>
      <c r="E45" s="24">
        <v>0.23</v>
      </c>
      <c r="F45" s="24">
        <v>0.23</v>
      </c>
      <c r="G45" s="33">
        <f t="shared" si="2"/>
        <v>0.45950929594635781</v>
      </c>
      <c r="H45" s="25"/>
      <c r="I45" s="26"/>
      <c r="J45" s="27"/>
      <c r="K45" s="24"/>
    </row>
    <row r="46" spans="1:11" s="1" customFormat="1" x14ac:dyDescent="0.25">
      <c r="A46" s="21"/>
      <c r="B46" s="35" t="s">
        <v>45</v>
      </c>
      <c r="C46" s="22">
        <v>1</v>
      </c>
      <c r="D46" s="23">
        <f>D32</f>
        <v>7.7211216092654666</v>
      </c>
      <c r="E46" s="24">
        <f>E32</f>
        <v>4.4193843340444987</v>
      </c>
      <c r="F46" s="24">
        <f>5/12/3.281</f>
        <v>0.12699380270242813</v>
      </c>
      <c r="G46" s="33">
        <f t="shared" si="2"/>
        <v>4.3333592249873334</v>
      </c>
      <c r="H46" s="25"/>
      <c r="I46" s="26"/>
      <c r="J46" s="27"/>
      <c r="K46" s="24"/>
    </row>
    <row r="47" spans="1:11" s="1" customFormat="1" x14ac:dyDescent="0.25">
      <c r="A47" s="21"/>
      <c r="B47" s="35" t="s">
        <v>24</v>
      </c>
      <c r="C47" s="22"/>
      <c r="D47" s="23"/>
      <c r="E47" s="24"/>
      <c r="F47" s="24"/>
      <c r="G47" s="27">
        <f>SUM(G37:G46)</f>
        <v>14.608959623239278</v>
      </c>
      <c r="H47" s="25" t="s">
        <v>33</v>
      </c>
      <c r="I47" s="26">
        <v>13568.9</v>
      </c>
      <c r="J47" s="27">
        <f>G47*I47</f>
        <v>198227.51223177143</v>
      </c>
      <c r="K47" s="24"/>
    </row>
    <row r="48" spans="1:11" s="1" customFormat="1" x14ac:dyDescent="0.25">
      <c r="A48" s="21"/>
      <c r="B48" s="35" t="s">
        <v>30</v>
      </c>
      <c r="C48" s="22"/>
      <c r="D48" s="23"/>
      <c r="E48" s="24"/>
      <c r="F48" s="24"/>
      <c r="G48" s="27"/>
      <c r="H48" s="25"/>
      <c r="I48" s="26"/>
      <c r="J48" s="27">
        <f>0.13*G47*9524.2</f>
        <v>18088.02492167522</v>
      </c>
      <c r="K48" s="24"/>
    </row>
    <row r="49" spans="1:15" s="1" customFormat="1" x14ac:dyDescent="0.25">
      <c r="A49" s="21"/>
      <c r="B49" s="35"/>
      <c r="C49" s="22"/>
      <c r="D49" s="23"/>
      <c r="E49" s="24"/>
      <c r="F49" s="24"/>
      <c r="G49" s="27"/>
      <c r="H49" s="25"/>
      <c r="I49" s="26"/>
      <c r="J49" s="27"/>
      <c r="K49" s="24"/>
    </row>
    <row r="50" spans="1:15" s="1" customFormat="1" ht="45" x14ac:dyDescent="0.25">
      <c r="A50" s="21">
        <v>5</v>
      </c>
      <c r="B50" s="34" t="s">
        <v>49</v>
      </c>
      <c r="C50" s="22" t="s">
        <v>55</v>
      </c>
      <c r="D50" s="37" t="s">
        <v>51</v>
      </c>
      <c r="E50" s="38" t="s">
        <v>52</v>
      </c>
      <c r="F50" s="38" t="s">
        <v>53</v>
      </c>
      <c r="G50" s="39" t="s">
        <v>54</v>
      </c>
      <c r="H50" s="25"/>
      <c r="I50" s="26"/>
      <c r="J50" s="27"/>
      <c r="K50" s="24"/>
    </row>
    <row r="51" spans="1:15" s="1" customFormat="1" x14ac:dyDescent="0.25">
      <c r="A51" s="21"/>
      <c r="B51" s="35" t="s">
        <v>50</v>
      </c>
      <c r="C51" s="22">
        <f>6*2*10</f>
        <v>120</v>
      </c>
      <c r="D51" s="23">
        <v>1.5</v>
      </c>
      <c r="E51" s="24">
        <f>12*12/162</f>
        <v>0.88888888888888884</v>
      </c>
      <c r="F51" s="24">
        <f>PRODUCT(C51:E51)</f>
        <v>160</v>
      </c>
      <c r="G51" s="27">
        <f>F51/1000</f>
        <v>0.16</v>
      </c>
      <c r="H51" s="25"/>
      <c r="I51" s="26"/>
      <c r="J51" s="27"/>
      <c r="K51" s="24"/>
    </row>
    <row r="52" spans="1:15" s="1" customFormat="1" x14ac:dyDescent="0.25">
      <c r="A52" s="21"/>
      <c r="B52" s="35" t="s">
        <v>56</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25">
      <c r="A53" s="21"/>
      <c r="B53" s="35" t="s">
        <v>57</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25">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25">
      <c r="A55" s="21"/>
      <c r="B55" s="35" t="s">
        <v>58</v>
      </c>
      <c r="C55" s="22">
        <f>5*C40</f>
        <v>40</v>
      </c>
      <c r="D55" s="23">
        <f>D40+2*0.72</f>
        <v>4.3863578177384941</v>
      </c>
      <c r="E55" s="24">
        <f>12*12/162</f>
        <v>0.88888888888888884</v>
      </c>
      <c r="F55" s="24">
        <f>PRODUCT(C55:E55)</f>
        <v>155.95938907514645</v>
      </c>
      <c r="G55" s="27">
        <f>F55/1000</f>
        <v>0.15595938907514645</v>
      </c>
      <c r="H55" s="25"/>
      <c r="I55" s="26"/>
      <c r="J55" s="27"/>
      <c r="K55" s="24"/>
    </row>
    <row r="56" spans="1:15" s="1" customFormat="1" x14ac:dyDescent="0.25">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42" customFormat="1" x14ac:dyDescent="0.25">
      <c r="A57" s="21"/>
      <c r="B57" s="40" t="s">
        <v>57</v>
      </c>
      <c r="C57" s="22">
        <f>8*TRUNC((D55-2*0.72)/0.125,0)</f>
        <v>184</v>
      </c>
      <c r="D57" s="23">
        <f>(0.23*4+0.05*2)</f>
        <v>1.02</v>
      </c>
      <c r="E57" s="24">
        <f>8*8/162</f>
        <v>0.39506172839506171</v>
      </c>
      <c r="F57" s="24">
        <f t="shared" ref="F57" si="5">PRODUCT(C57:E57)</f>
        <v>74.145185185185184</v>
      </c>
      <c r="G57" s="41">
        <f t="shared" ref="G57" si="6">F57/1000</f>
        <v>7.4145185185185189E-2</v>
      </c>
      <c r="H57" s="25"/>
      <c r="I57" s="26"/>
      <c r="J57" s="41"/>
      <c r="K57" s="24"/>
      <c r="M57" s="42">
        <f>12*60</f>
        <v>720</v>
      </c>
      <c r="N57" s="42">
        <f>1.333/3.281*1000</f>
        <v>406.27857360560802</v>
      </c>
      <c r="O57" s="42">
        <f>M57-N57</f>
        <v>313.72142639439198</v>
      </c>
    </row>
    <row r="58" spans="1:15" s="42" customFormat="1" x14ac:dyDescent="0.25">
      <c r="A58" s="21"/>
      <c r="B58" s="40"/>
      <c r="C58" s="22">
        <f>6*TRUNC((D56-2*0.72)/0.125,0)</f>
        <v>138</v>
      </c>
      <c r="D58" s="23">
        <f>(0.23*4+0.05*2)</f>
        <v>1.02</v>
      </c>
      <c r="E58" s="24">
        <f>8*8/162</f>
        <v>0.39506172839506171</v>
      </c>
      <c r="F58" s="24">
        <f t="shared" ref="F58" si="7">PRODUCT(C58:E58)</f>
        <v>55.608888888888885</v>
      </c>
      <c r="G58" s="41">
        <f t="shared" ref="G58" si="8">F58/1000</f>
        <v>5.5608888888888881E-2</v>
      </c>
      <c r="H58" s="25"/>
      <c r="I58" s="26"/>
      <c r="J58" s="41"/>
      <c r="K58" s="24"/>
    </row>
    <row r="59" spans="1:15" s="1" customFormat="1" x14ac:dyDescent="0.25">
      <c r="A59" s="21"/>
      <c r="B59" s="35" t="s">
        <v>48</v>
      </c>
      <c r="C59" s="22">
        <v>4</v>
      </c>
      <c r="D59" s="23"/>
      <c r="E59" s="24"/>
      <c r="F59" s="24"/>
      <c r="G59" s="27"/>
      <c r="H59" s="25"/>
      <c r="I59" s="26"/>
      <c r="J59" s="27"/>
      <c r="K59" s="24"/>
    </row>
    <row r="60" spans="1:15" s="1" customFormat="1" x14ac:dyDescent="0.25">
      <c r="A60" s="21"/>
      <c r="B60" s="35"/>
      <c r="C60" s="22">
        <v>3</v>
      </c>
      <c r="D60" s="23"/>
      <c r="E60" s="24"/>
      <c r="F60" s="24"/>
      <c r="G60" s="27"/>
      <c r="H60" s="25"/>
      <c r="I60" s="26"/>
      <c r="J60" s="27"/>
      <c r="K60" s="24"/>
    </row>
    <row r="61" spans="1:15" s="1" customFormat="1" x14ac:dyDescent="0.25">
      <c r="A61" s="21"/>
      <c r="B61" s="35"/>
      <c r="C61" s="22"/>
      <c r="D61" s="23"/>
      <c r="E61" s="24"/>
      <c r="F61" s="24"/>
      <c r="G61" s="27"/>
      <c r="H61" s="25"/>
      <c r="I61" s="26"/>
      <c r="J61" s="27"/>
      <c r="K61" s="24"/>
    </row>
    <row r="62" spans="1:15" s="1" customFormat="1" ht="28.5" x14ac:dyDescent="0.25">
      <c r="A62" s="21">
        <v>5</v>
      </c>
      <c r="B62" s="36" t="s">
        <v>27</v>
      </c>
      <c r="C62" s="22">
        <v>1</v>
      </c>
      <c r="D62" s="23"/>
      <c r="E62" s="24"/>
      <c r="F62" s="24"/>
      <c r="G62" s="33">
        <f>PRODUCT(C62:F62)</f>
        <v>1</v>
      </c>
      <c r="H62" s="25" t="s">
        <v>28</v>
      </c>
      <c r="I62" s="26">
        <v>5000</v>
      </c>
      <c r="J62" s="27">
        <f>G62*I62</f>
        <v>5000</v>
      </c>
      <c r="K62" s="24"/>
    </row>
    <row r="63" spans="1:15" s="1" customFormat="1" x14ac:dyDescent="0.25">
      <c r="A63" s="21"/>
      <c r="B63" s="35"/>
      <c r="C63" s="22"/>
      <c r="D63" s="23"/>
      <c r="E63" s="24"/>
      <c r="F63" s="24"/>
      <c r="G63" s="27"/>
      <c r="H63" s="25"/>
      <c r="I63" s="26"/>
      <c r="J63" s="27"/>
      <c r="K63" s="24"/>
    </row>
    <row r="64" spans="1:15" s="1" customFormat="1" x14ac:dyDescent="0.25">
      <c r="A64" s="21">
        <v>6</v>
      </c>
      <c r="B64" s="36" t="s">
        <v>29</v>
      </c>
      <c r="C64" s="22">
        <v>1</v>
      </c>
      <c r="D64" s="23"/>
      <c r="E64" s="24"/>
      <c r="F64" s="24"/>
      <c r="G64" s="33">
        <f>PRODUCT(C64:F64)</f>
        <v>1</v>
      </c>
      <c r="H64" s="25" t="s">
        <v>28</v>
      </c>
      <c r="I64" s="26">
        <v>500</v>
      </c>
      <c r="J64" s="27">
        <f>G64*I64</f>
        <v>500</v>
      </c>
      <c r="K64" s="24"/>
    </row>
    <row r="65" spans="1:31" s="1" customFormat="1" x14ac:dyDescent="0.25">
      <c r="A65" s="21"/>
      <c r="B65" s="35"/>
      <c r="C65" s="22"/>
      <c r="D65" s="23"/>
      <c r="E65" s="24"/>
      <c r="F65" s="24"/>
      <c r="G65" s="27"/>
      <c r="H65" s="25"/>
      <c r="I65" s="26"/>
      <c r="J65" s="27"/>
      <c r="K65" s="24"/>
    </row>
    <row r="66" spans="1:31" x14ac:dyDescent="0.25">
      <c r="A66" s="9"/>
      <c r="B66" s="20" t="s">
        <v>16</v>
      </c>
      <c r="C66" s="8"/>
      <c r="D66" s="6"/>
      <c r="E66" s="6"/>
      <c r="F66" s="6"/>
      <c r="G66" s="32"/>
      <c r="H66" s="7"/>
      <c r="I66" s="7"/>
      <c r="J66" s="7">
        <f>SUM(J9:J65)</f>
        <v>362160.04704907379</v>
      </c>
      <c r="K66" s="4"/>
      <c r="M66" s="28"/>
      <c r="P66" s="31"/>
      <c r="Q66" s="31"/>
    </row>
    <row r="67" spans="1:31" x14ac:dyDescent="0.25">
      <c r="M67" s="28"/>
      <c r="N67" s="29"/>
      <c r="O67" s="29"/>
      <c r="P67" s="30"/>
      <c r="R67" s="29"/>
      <c r="S67" s="29"/>
      <c r="T67" s="29"/>
      <c r="U67" s="28"/>
      <c r="V67" s="28"/>
      <c r="W67" s="28"/>
      <c r="X67" s="28"/>
      <c r="Y67" s="28"/>
      <c r="Z67" s="28"/>
      <c r="AA67" s="28"/>
      <c r="AB67" s="28"/>
      <c r="AC67" s="28"/>
      <c r="AD67" s="28"/>
      <c r="AE67" s="28"/>
    </row>
    <row r="68" spans="1:31" s="1" customFormat="1" x14ac:dyDescent="0.25">
      <c r="B68" s="11" t="s">
        <v>22</v>
      </c>
      <c r="C68" s="49">
        <f>J66</f>
        <v>362160.04704907379</v>
      </c>
      <c r="D68" s="50"/>
      <c r="E68" s="10">
        <v>100</v>
      </c>
      <c r="F68" s="12"/>
      <c r="G68" s="13"/>
      <c r="H68" s="12"/>
      <c r="I68" s="14"/>
      <c r="J68" s="15"/>
      <c r="K68" s="16"/>
      <c r="M68" s="12"/>
      <c r="N68" s="29"/>
      <c r="O68" s="29"/>
      <c r="P68" s="29"/>
      <c r="Q68" s="29"/>
      <c r="R68" s="29"/>
      <c r="S68" s="29"/>
      <c r="T68" s="29"/>
      <c r="U68" s="12"/>
      <c r="V68" s="12"/>
      <c r="W68" s="12"/>
      <c r="X68" s="12"/>
      <c r="Y68" s="12"/>
      <c r="Z68" s="12"/>
      <c r="AA68" s="12"/>
      <c r="AB68" s="12"/>
      <c r="AC68" s="12"/>
      <c r="AD68" s="12"/>
      <c r="AE68" s="12"/>
    </row>
    <row r="69" spans="1:31" x14ac:dyDescent="0.25">
      <c r="B69" s="11" t="s">
        <v>17</v>
      </c>
      <c r="C69" s="52">
        <v>400000</v>
      </c>
      <c r="D69" s="53"/>
      <c r="E69" s="10"/>
      <c r="M69" s="28"/>
      <c r="N69" s="29"/>
      <c r="O69" s="29"/>
      <c r="P69" s="29"/>
      <c r="Q69" s="29"/>
      <c r="R69" s="29"/>
      <c r="S69" s="29"/>
      <c r="T69" s="29"/>
      <c r="U69" s="28"/>
      <c r="V69" s="28"/>
      <c r="W69" s="28"/>
      <c r="X69" s="28"/>
      <c r="Y69" s="28"/>
      <c r="Z69" s="28"/>
      <c r="AA69" s="28"/>
      <c r="AB69" s="28"/>
      <c r="AC69" s="28"/>
      <c r="AD69" s="28"/>
      <c r="AE69" s="28"/>
    </row>
    <row r="70" spans="1:31" x14ac:dyDescent="0.25">
      <c r="B70" s="11" t="s">
        <v>18</v>
      </c>
      <c r="C70" s="52">
        <f>C69-C72-C73</f>
        <v>380000</v>
      </c>
      <c r="D70" s="53"/>
      <c r="E70" s="10">
        <f>C70/C68*100</f>
        <v>104.92598592701997</v>
      </c>
      <c r="M70" s="28"/>
      <c r="N70" s="28"/>
      <c r="O70" s="28"/>
      <c r="P70" s="28"/>
      <c r="Q70" s="28"/>
      <c r="R70" s="28"/>
      <c r="S70" s="28"/>
      <c r="T70" s="28"/>
      <c r="U70" s="28"/>
      <c r="V70" s="28"/>
      <c r="W70" s="28"/>
      <c r="X70" s="28"/>
      <c r="Y70" s="28"/>
      <c r="Z70" s="28"/>
      <c r="AA70" s="28"/>
      <c r="AB70" s="28"/>
      <c r="AC70" s="28"/>
      <c r="AD70" s="28"/>
      <c r="AE70" s="28"/>
    </row>
    <row r="71" spans="1:31" x14ac:dyDescent="0.25">
      <c r="B71" s="11" t="s">
        <v>19</v>
      </c>
      <c r="C71" s="54">
        <f>C68-C70</f>
        <v>-17839.952950926207</v>
      </c>
      <c r="D71" s="54"/>
      <c r="E71" s="10">
        <f>100-E70</f>
        <v>-4.9259859270199655</v>
      </c>
      <c r="M71" s="28"/>
      <c r="N71" s="28"/>
      <c r="O71" s="28"/>
      <c r="P71" s="28"/>
      <c r="Q71" s="28"/>
      <c r="R71" s="28"/>
      <c r="S71" s="28"/>
      <c r="T71" s="28"/>
      <c r="U71" s="28"/>
      <c r="V71" s="28"/>
      <c r="W71" s="28"/>
      <c r="X71" s="28"/>
      <c r="Y71" s="28"/>
      <c r="Z71" s="28"/>
      <c r="AA71" s="28"/>
      <c r="AB71" s="28"/>
      <c r="AC71" s="28"/>
      <c r="AD71" s="28"/>
      <c r="AE71" s="28"/>
    </row>
    <row r="72" spans="1:31" x14ac:dyDescent="0.25">
      <c r="B72" s="11" t="s">
        <v>20</v>
      </c>
      <c r="C72" s="49">
        <f>C69*0.03</f>
        <v>12000</v>
      </c>
      <c r="D72" s="50"/>
      <c r="E72" s="10">
        <v>3</v>
      </c>
      <c r="M72" s="28"/>
      <c r="N72" s="28"/>
      <c r="O72" s="28"/>
      <c r="P72" s="28"/>
      <c r="Q72" s="28"/>
      <c r="R72" s="28"/>
      <c r="S72" s="28"/>
      <c r="T72" s="28"/>
      <c r="U72" s="28"/>
      <c r="V72" s="28"/>
      <c r="W72" s="28"/>
      <c r="X72" s="28"/>
      <c r="Y72" s="28"/>
      <c r="Z72" s="28"/>
      <c r="AA72" s="28"/>
      <c r="AB72" s="28"/>
      <c r="AC72" s="28"/>
      <c r="AD72" s="28"/>
      <c r="AE72" s="28"/>
    </row>
    <row r="73" spans="1:31" x14ac:dyDescent="0.25">
      <c r="B73" s="11" t="s">
        <v>21</v>
      </c>
      <c r="C73" s="49">
        <f>C69*0.02</f>
        <v>8000</v>
      </c>
      <c r="D73" s="50"/>
      <c r="E73" s="10">
        <v>2</v>
      </c>
      <c r="M73" s="28"/>
      <c r="N73" s="28"/>
      <c r="O73" s="28"/>
      <c r="P73" s="28"/>
      <c r="Q73" s="28"/>
      <c r="R73" s="28"/>
      <c r="S73" s="28"/>
      <c r="T73" s="28"/>
      <c r="U73" s="28"/>
      <c r="V73" s="28"/>
      <c r="W73" s="28"/>
      <c r="X73" s="28"/>
      <c r="Y73" s="28"/>
      <c r="Z73" s="28"/>
      <c r="AA73" s="28"/>
      <c r="AB73" s="28"/>
      <c r="AC73" s="28"/>
      <c r="AD73" s="28"/>
      <c r="AE73" s="28"/>
    </row>
  </sheetData>
  <mergeCells count="15">
    <mergeCell ref="C72:D72"/>
    <mergeCell ref="C73:D73"/>
    <mergeCell ref="A7:F7"/>
    <mergeCell ref="H7:K7"/>
    <mergeCell ref="C68:D68"/>
    <mergeCell ref="C69:D69"/>
    <mergeCell ref="C70:D70"/>
    <mergeCell ref="C71:D7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vt:lpstr>
      <vt:lpstr>new!Print_Area</vt:lpstr>
      <vt:lpstr>new!Print_Titles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2024-11-17T09:55:03Z</dcterms:modified>
</cp:coreProperties>
</file>