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urthali truss\"/>
    </mc:Choice>
  </mc:AlternateContent>
  <bookViews>
    <workbookView xWindow="-120" yWindow="-120" windowWidth="20730" windowHeight="11160" activeTab="1"/>
  </bookViews>
  <sheets>
    <sheet name="new" sheetId="18" r:id="rId1"/>
    <sheet name="as per mistry" sheetId="19" r:id="rId2"/>
  </sheets>
  <externalReferences>
    <externalReference r:id="rId3"/>
    <externalReference r:id="rId4"/>
    <externalReference r:id="rId5"/>
    <externalReference r:id="rId6"/>
    <externalReference r:id="rId7"/>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1">'as per mistry'!$A$5:$K$72</definedName>
    <definedName name="_xlnm.Print_Area" localSheetId="0">new!$A$1:$K$62</definedName>
    <definedName name="_xlnm.Print_Titles" localSheetId="1">'as per mistry'!$1:$8</definedName>
    <definedName name="_xlnm.Print_Titles" localSheetId="0">new!$1:$8</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5" i="19" l="1"/>
  <c r="C63" i="19"/>
  <c r="C62" i="19"/>
  <c r="G63" i="19"/>
  <c r="D63" i="19"/>
  <c r="D62" i="19"/>
  <c r="G62" i="19" s="1"/>
  <c r="G64" i="19" l="1"/>
  <c r="J64" i="19"/>
  <c r="G58" i="19" l="1"/>
  <c r="G56" i="19"/>
  <c r="G57" i="19"/>
  <c r="D57" i="19"/>
  <c r="D56" i="19"/>
  <c r="G50" i="19"/>
  <c r="G49" i="19"/>
  <c r="E49" i="19"/>
  <c r="D49" i="19"/>
  <c r="G38" i="19"/>
  <c r="G37" i="19"/>
  <c r="E37" i="19"/>
  <c r="D37" i="19"/>
  <c r="G33" i="19"/>
  <c r="G43" i="19"/>
  <c r="G23" i="19"/>
  <c r="J39" i="19" l="1"/>
  <c r="J59" i="19"/>
  <c r="G55" i="19"/>
  <c r="C54" i="19"/>
  <c r="G54" i="19" s="1"/>
  <c r="C55" i="19"/>
  <c r="D55" i="19"/>
  <c r="D54" i="19"/>
  <c r="E27" i="19"/>
  <c r="D27" i="19"/>
  <c r="C48" i="19"/>
  <c r="G48" i="19" s="1"/>
  <c r="E47" i="19"/>
  <c r="D47" i="19"/>
  <c r="C47" i="19"/>
  <c r="E42" i="19"/>
  <c r="D42" i="19"/>
  <c r="C42" i="19"/>
  <c r="E36" i="19"/>
  <c r="D36" i="19"/>
  <c r="C36" i="19"/>
  <c r="F32" i="19"/>
  <c r="C32" i="19"/>
  <c r="D22" i="19"/>
  <c r="C22" i="19"/>
  <c r="F22" i="19"/>
  <c r="G22" i="19" s="1"/>
  <c r="D21" i="19"/>
  <c r="D20" i="19"/>
  <c r="D19" i="19"/>
  <c r="D18" i="19"/>
  <c r="C18" i="19"/>
  <c r="C19" i="19"/>
  <c r="C20" i="19"/>
  <c r="C21" i="19"/>
  <c r="D16" i="19"/>
  <c r="D15" i="19"/>
  <c r="D14" i="19"/>
  <c r="C15" i="19"/>
  <c r="C16" i="19"/>
  <c r="C17" i="19"/>
  <c r="C14" i="19"/>
  <c r="D13" i="19"/>
  <c r="C13" i="19"/>
  <c r="D12" i="19"/>
  <c r="C12" i="19"/>
  <c r="D11" i="19"/>
  <c r="D10" i="19"/>
  <c r="J58" i="19" l="1"/>
  <c r="C10" i="19" l="1"/>
  <c r="C78" i="19"/>
  <c r="C77" i="19"/>
  <c r="C75" i="19" s="1"/>
  <c r="G69" i="19"/>
  <c r="J69" i="19" s="1"/>
  <c r="G67" i="19"/>
  <c r="J67" i="19" s="1"/>
  <c r="G47" i="19"/>
  <c r="G42" i="19"/>
  <c r="G36" i="19"/>
  <c r="G32" i="19"/>
  <c r="J33" i="19" s="1"/>
  <c r="G27" i="19"/>
  <c r="G28" i="19" s="1"/>
  <c r="F21" i="19"/>
  <c r="G21" i="19" s="1"/>
  <c r="F20" i="19"/>
  <c r="G20" i="19" s="1"/>
  <c r="F19" i="19"/>
  <c r="G19" i="19" s="1"/>
  <c r="F18" i="19"/>
  <c r="G18" i="19" s="1"/>
  <c r="D17" i="19"/>
  <c r="F17" i="19" s="1"/>
  <c r="G17" i="19" s="1"/>
  <c r="F16" i="19"/>
  <c r="G16" i="19" s="1"/>
  <c r="F15" i="19"/>
  <c r="G15" i="19" s="1"/>
  <c r="F14" i="19"/>
  <c r="G14" i="19" s="1"/>
  <c r="F13" i="19"/>
  <c r="G13" i="19" s="1"/>
  <c r="F12" i="19"/>
  <c r="G12" i="19" s="1"/>
  <c r="F11" i="19"/>
  <c r="G11" i="19" s="1"/>
  <c r="F10" i="19"/>
  <c r="G10" i="19" s="1"/>
  <c r="J24" i="19" l="1"/>
  <c r="J44" i="19"/>
  <c r="J43" i="19"/>
  <c r="J38" i="19"/>
  <c r="J28" i="19"/>
  <c r="J29" i="19"/>
  <c r="J50" i="19"/>
  <c r="J51" i="19"/>
  <c r="C47" i="18"/>
  <c r="G47" i="18" s="1"/>
  <c r="G48" i="18" s="1"/>
  <c r="J49" i="18" s="1"/>
  <c r="C42" i="18"/>
  <c r="G42" i="18" s="1"/>
  <c r="G43" i="18" s="1"/>
  <c r="J44" i="18" s="1"/>
  <c r="C37" i="18"/>
  <c r="G37" i="18" s="1"/>
  <c r="G38" i="18" s="1"/>
  <c r="J38" i="18" s="1"/>
  <c r="F33" i="18"/>
  <c r="C33" i="18"/>
  <c r="G33" i="18" s="1"/>
  <c r="G34" i="18" s="1"/>
  <c r="D23" i="18"/>
  <c r="C23" i="18"/>
  <c r="F23" i="18" s="1"/>
  <c r="G23" i="18" s="1"/>
  <c r="D22" i="18"/>
  <c r="F22" i="18" s="1"/>
  <c r="G22" i="18" s="1"/>
  <c r="D21" i="18"/>
  <c r="F21" i="18" s="1"/>
  <c r="G21" i="18" s="1"/>
  <c r="D20" i="18"/>
  <c r="F20" i="18" s="1"/>
  <c r="G20" i="18" s="1"/>
  <c r="D19" i="18"/>
  <c r="F19" i="18" s="1"/>
  <c r="G19" i="18" s="1"/>
  <c r="D18" i="18"/>
  <c r="F18" i="18" s="1"/>
  <c r="G18" i="18" s="1"/>
  <c r="D17" i="18"/>
  <c r="F17" i="18" s="1"/>
  <c r="G17" i="18" s="1"/>
  <c r="D16" i="18"/>
  <c r="F16" i="18" s="1"/>
  <c r="G16" i="18" s="1"/>
  <c r="D15" i="18"/>
  <c r="F15" i="18" s="1"/>
  <c r="G15" i="18" s="1"/>
  <c r="D14" i="18"/>
  <c r="F14" i="18" s="1"/>
  <c r="G14" i="18" s="1"/>
  <c r="D13" i="18"/>
  <c r="C13" i="18"/>
  <c r="G53" i="18"/>
  <c r="J53" i="18" s="1"/>
  <c r="G51" i="18"/>
  <c r="J51" i="18" s="1"/>
  <c r="E28" i="18"/>
  <c r="D28" i="18"/>
  <c r="J23" i="19" l="1"/>
  <c r="J71" i="19" s="1"/>
  <c r="F13" i="18"/>
  <c r="G13" i="18" s="1"/>
  <c r="G28" i="18"/>
  <c r="G29" i="18" s="1"/>
  <c r="J30" i="18" s="1"/>
  <c r="J48" i="18"/>
  <c r="J39" i="18"/>
  <c r="J43" i="18"/>
  <c r="J34" i="18"/>
  <c r="C73" i="19" l="1"/>
  <c r="C76" i="19" s="1"/>
  <c r="D12" i="18"/>
  <c r="F12" i="18" s="1"/>
  <c r="G12" i="18" s="1"/>
  <c r="D11" i="18"/>
  <c r="F11" i="18" s="1"/>
  <c r="G11" i="18" s="1"/>
  <c r="E75" i="19" l="1"/>
  <c r="E76" i="19" s="1"/>
  <c r="D10" i="18"/>
  <c r="F10" i="18" s="1"/>
  <c r="G10" i="18" s="1"/>
  <c r="G24" i="18" s="1"/>
  <c r="J25" i="18" s="1"/>
  <c r="J24" i="18" l="1"/>
  <c r="J29" i="18"/>
  <c r="J55" i="18" l="1"/>
  <c r="C62" i="18"/>
  <c r="C61" i="18"/>
  <c r="C59" i="18" l="1"/>
  <c r="C57" i="18" l="1"/>
  <c r="C60" i="18" l="1"/>
  <c r="E59" i="18"/>
  <c r="E60" i="18" s="1"/>
</calcChain>
</file>

<file path=xl/sharedStrings.xml><?xml version="1.0" encoding="utf-8"?>
<sst xmlns="http://schemas.openxmlformats.org/spreadsheetml/2006/main" count="151" uniqueCount="66">
  <si>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</si>
  <si>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</si>
  <si>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</si>
  <si>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</si>
  <si>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</si>
  <si>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</si>
  <si>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</si>
  <si>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</si>
  <si>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</si>
  <si>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</si>
  <si>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</si>
  <si>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</si>
  <si>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</si>
  <si>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</si>
  <si>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</si>
  <si>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</si>
  <si>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</si>
  <si>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</si>
  <si>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</si>
  <si>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</si>
  <si>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</si>
  <si>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</si>
  <si>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</si>
  <si>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</si>
  <si>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</si>
  <si>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 xml:space="preserve">Date:                     </t>
  </si>
  <si>
    <t>sub-total</t>
  </si>
  <si>
    <t>Length (m)</t>
  </si>
  <si>
    <t>Total Weight (kg)</t>
  </si>
  <si>
    <t>Unit length (Kg/m)</t>
  </si>
  <si>
    <t>sfnf] kmnfd] kfO{ksf] 6«; agfO{ h8fg ug]{ sfd</t>
  </si>
  <si>
    <t>Kg</t>
  </si>
  <si>
    <t>-for horizontal member</t>
  </si>
  <si>
    <t>-MS square pipe of 113.5mm * 113.5mm of 3mm thickness for vertical post</t>
  </si>
  <si>
    <t xml:space="preserve">).#^ lblv ).$ dL.dL.afSnf] sf]?u]6]8 /+lug ss{6 kftfsf] 5fgf 5fpg] sfd </t>
  </si>
  <si>
    <t>sqm</t>
  </si>
  <si>
    <t xml:space="preserve">Project:- कुर्थली सामुदायिक ट्रस्ट निर्माण </t>
  </si>
  <si>
    <t>Provisional sum for unforseen works</t>
  </si>
  <si>
    <t>PS</t>
  </si>
  <si>
    <t>Information board</t>
  </si>
  <si>
    <t>-MS square pipe of 72mm * 72mm of 3mm thickness for inclined member</t>
  </si>
  <si>
    <t>-MS square pipe of 50mm * 50mm of 3mm thickness for king post member</t>
  </si>
  <si>
    <t>-MS square pipe of 50mm * 50mm of 2.6mm thickness for diagnol member</t>
  </si>
  <si>
    <t>-MS square pipe of 50mm * 50mm of 2.6mm thickness for vertical member</t>
  </si>
  <si>
    <t>-MS square pipe of 50mm * 50mm of 2.6mm thickness for purlins</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</si>
  <si>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</si>
  <si>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</si>
  <si>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</si>
  <si>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</si>
  <si>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</si>
  <si>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</si>
  <si>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</si>
  <si>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-MS square pipe of 3" * 3" of 1.8mm thickness for vertical post</t>
  </si>
  <si>
    <t>-MS square pipe of 2"*2" of 1.8mm thickness for horizontal member</t>
  </si>
  <si>
    <t>-MS square pipe of 2"*2" of 1.6mm thickness for king post member</t>
  </si>
  <si>
    <t>-MS square pipe of 1.5"*1.5" of 1.6mm thickness for vertical member</t>
  </si>
  <si>
    <t>-MS square pipe of 1.5"*1.5" of 1.6mm thickness for diagnol member</t>
  </si>
  <si>
    <t>-MS square pipe of 2"*2" of 1.8mm thickness for inclined member</t>
  </si>
  <si>
    <t>-MS square pipe of 2"*2" of 1.8mm thickness for purlins</t>
  </si>
  <si>
    <t>e'O{+tNnfdf lrDgL e§fsf] O{+6fsf] uf/f] l;d]G6 d;nf -!M^_ df</t>
  </si>
  <si>
    <t>;'Vvf O{6f RofK6f] 5fKg] sfd</t>
  </si>
  <si>
    <t>no.</t>
  </si>
  <si>
    <t>-for flooring</t>
  </si>
  <si>
    <t>-for footing</t>
  </si>
  <si>
    <t>-wall</t>
  </si>
  <si>
    <t>!@=% dL=dL= l;d]G6 afn'jf -!M$_ Knfi6/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</si>
</sst>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4">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2"/>
  <sheetViews>
    <sheetView topLeftCell="A42" zoomScaleNormal="100" zoomScaleSheetLayoutView="80" workbookViewId="0">
      <selection activeCell="J44" sqref="J44"/>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50" t="s">
        <v>0</v>
      </c>
      <c r="B1" s="50"/>
      <c r="C1" s="50"/>
      <c r="D1" s="50"/>
      <c r="E1" s="50"/>
      <c r="F1" s="50"/>
      <c r="G1" s="50"/>
      <c r="H1" s="50"/>
      <c r="I1" s="50"/>
      <c r="J1" s="50"/>
      <c r="K1" s="50"/>
    </row>
    <row r="2" spans="1:13" s="1" customFormat="1" ht="22.5" x14ac:dyDescent="0.25">
      <c r="A2" s="51" t="s">
        <v>1</v>
      </c>
      <c r="B2" s="51"/>
      <c r="C2" s="51"/>
      <c r="D2" s="51"/>
      <c r="E2" s="51"/>
      <c r="F2" s="51"/>
      <c r="G2" s="51"/>
      <c r="H2" s="51"/>
      <c r="I2" s="51"/>
      <c r="J2" s="51"/>
      <c r="K2" s="51"/>
    </row>
    <row r="3" spans="1:13" s="1" customFormat="1" x14ac:dyDescent="0.25">
      <c r="A3" s="52" t="s">
        <v>2</v>
      </c>
      <c r="B3" s="52"/>
      <c r="C3" s="52"/>
      <c r="D3" s="52"/>
      <c r="E3" s="52"/>
      <c r="F3" s="52"/>
      <c r="G3" s="52"/>
      <c r="H3" s="52"/>
      <c r="I3" s="52"/>
      <c r="J3" s="52"/>
      <c r="K3" s="52"/>
    </row>
    <row r="4" spans="1:13" s="1" customFormat="1" x14ac:dyDescent="0.25">
      <c r="A4" s="52" t="s">
        <v>3</v>
      </c>
      <c r="B4" s="52"/>
      <c r="C4" s="52"/>
      <c r="D4" s="52"/>
      <c r="E4" s="52"/>
      <c r="F4" s="52"/>
      <c r="G4" s="52"/>
      <c r="H4" s="52"/>
      <c r="I4" s="52"/>
      <c r="J4" s="52"/>
      <c r="K4" s="52"/>
    </row>
    <row r="5" spans="1:13" ht="18.75" x14ac:dyDescent="0.3">
      <c r="A5" s="53" t="s">
        <v>4</v>
      </c>
      <c r="B5" s="53"/>
      <c r="C5" s="53"/>
      <c r="D5" s="53"/>
      <c r="E5" s="53"/>
      <c r="F5" s="53"/>
      <c r="G5" s="53"/>
      <c r="H5" s="53"/>
      <c r="I5" s="53"/>
      <c r="J5" s="53"/>
      <c r="K5" s="53"/>
    </row>
    <row r="6" spans="1:13" ht="18.75" x14ac:dyDescent="0.3">
      <c r="A6" s="49" t="s">
        <v>36</v>
      </c>
      <c r="B6" s="49"/>
      <c r="C6" s="49"/>
      <c r="D6" s="49"/>
      <c r="E6" s="49"/>
      <c r="F6" s="49"/>
      <c r="G6" s="49"/>
      <c r="H6" s="45" t="s">
        <v>24</v>
      </c>
      <c r="I6" s="45"/>
      <c r="J6" s="45"/>
      <c r="K6" s="45"/>
    </row>
    <row r="7" spans="1:13" ht="15.75" x14ac:dyDescent="0.25">
      <c r="A7" s="44" t="s">
        <v>23</v>
      </c>
      <c r="B7" s="44"/>
      <c r="C7" s="44"/>
      <c r="D7" s="44"/>
      <c r="E7" s="44"/>
      <c r="F7" s="44"/>
      <c r="G7" s="2"/>
      <c r="H7" s="45" t="s">
        <v>25</v>
      </c>
      <c r="I7" s="45"/>
      <c r="J7" s="45"/>
      <c r="K7" s="45"/>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45" x14ac:dyDescent="0.25">
      <c r="A10" s="38"/>
      <c r="B10" s="39" t="s">
        <v>33</v>
      </c>
      <c r="C10" s="40">
        <v>12</v>
      </c>
      <c r="D10" s="10">
        <f>15/3.281</f>
        <v>4.5717768972874122</v>
      </c>
      <c r="E10" s="10">
        <v>10.23</v>
      </c>
      <c r="F10" s="10">
        <f>PRODUCT(C10:E10)</f>
        <v>561.23133191100271</v>
      </c>
      <c r="G10" s="36">
        <f>F10</f>
        <v>561.23133191100271</v>
      </c>
      <c r="H10" s="27"/>
      <c r="I10" s="27"/>
      <c r="J10" s="27"/>
      <c r="K10" s="11"/>
      <c r="M10" s="12"/>
    </row>
    <row r="11" spans="1:13" s="1" customFormat="1" x14ac:dyDescent="0.25">
      <c r="A11" s="38"/>
      <c r="B11" s="39" t="s">
        <v>32</v>
      </c>
      <c r="C11" s="40">
        <v>4</v>
      </c>
      <c r="D11" s="10">
        <f>30/3.281</f>
        <v>9.1435537945748244</v>
      </c>
      <c r="E11" s="10">
        <v>10.23</v>
      </c>
      <c r="F11" s="10">
        <f t="shared" ref="F11:F12" si="0">PRODUCT(C11:E11)</f>
        <v>374.15422127400183</v>
      </c>
      <c r="G11" s="36">
        <f t="shared" ref="G11:G12" si="1">F11</f>
        <v>374.15422127400183</v>
      </c>
      <c r="H11" s="27"/>
      <c r="I11" s="27"/>
      <c r="J11" s="27"/>
      <c r="K11" s="11"/>
      <c r="M11" s="12"/>
    </row>
    <row r="12" spans="1:13" s="1" customFormat="1" x14ac:dyDescent="0.25">
      <c r="A12" s="38"/>
      <c r="B12" s="39"/>
      <c r="C12" s="40">
        <v>3</v>
      </c>
      <c r="D12" s="10">
        <f>40/3.281</f>
        <v>12.1914050594331</v>
      </c>
      <c r="E12" s="10">
        <v>10.23</v>
      </c>
      <c r="F12" s="10">
        <f t="shared" si="0"/>
        <v>374.15422127400183</v>
      </c>
      <c r="G12" s="36">
        <f t="shared" si="1"/>
        <v>374.15422127400183</v>
      </c>
      <c r="H12" s="27"/>
      <c r="I12" s="27"/>
      <c r="J12" s="27"/>
      <c r="K12" s="11"/>
      <c r="M12" s="12"/>
    </row>
    <row r="13" spans="1:13" s="1" customFormat="1" ht="45" x14ac:dyDescent="0.25">
      <c r="A13" s="38"/>
      <c r="B13" s="39" t="s">
        <v>40</v>
      </c>
      <c r="C13" s="40">
        <f>2*4</f>
        <v>8</v>
      </c>
      <c r="D13" s="10">
        <f>16/3.281</f>
        <v>4.8765620237732392</v>
      </c>
      <c r="E13" s="10">
        <v>6.5</v>
      </c>
      <c r="F13" s="10">
        <f t="shared" ref="F13" si="2">PRODUCT(C13:E13)</f>
        <v>253.58122523620844</v>
      </c>
      <c r="G13" s="36">
        <f t="shared" ref="G13" si="3">F13</f>
        <v>253.58122523620844</v>
      </c>
      <c r="H13" s="27"/>
      <c r="I13" s="27"/>
      <c r="J13" s="27"/>
      <c r="K13" s="11"/>
      <c r="M13" s="12"/>
    </row>
    <row r="14" spans="1:13" s="1" customFormat="1" ht="45" x14ac:dyDescent="0.25">
      <c r="A14" s="38"/>
      <c r="B14" s="39" t="s">
        <v>41</v>
      </c>
      <c r="C14" s="40">
        <v>1</v>
      </c>
      <c r="D14" s="10">
        <f>4/3.281</f>
        <v>1.2191405059433098</v>
      </c>
      <c r="E14" s="10">
        <v>4.43</v>
      </c>
      <c r="F14" s="10">
        <f t="shared" ref="F14" si="4">PRODUCT(C14:E14)</f>
        <v>5.4007924413288624</v>
      </c>
      <c r="G14" s="36">
        <f t="shared" ref="G14" si="5">F14</f>
        <v>5.4007924413288624</v>
      </c>
      <c r="H14" s="27"/>
      <c r="I14" s="27"/>
      <c r="J14" s="27"/>
      <c r="K14" s="11"/>
      <c r="M14" s="12"/>
    </row>
    <row r="15" spans="1:13" s="1" customFormat="1" ht="45" x14ac:dyDescent="0.25">
      <c r="A15" s="38"/>
      <c r="B15" s="39" t="s">
        <v>42</v>
      </c>
      <c r="C15" s="40">
        <v>2</v>
      </c>
      <c r="D15" s="10">
        <f>4.42/3.281</f>
        <v>1.3471502590673574</v>
      </c>
      <c r="E15" s="10">
        <v>3.87</v>
      </c>
      <c r="F15" s="10">
        <f t="shared" ref="F15" si="6">PRODUCT(C15:E15)</f>
        <v>10.426943005181347</v>
      </c>
      <c r="G15" s="36">
        <f t="shared" ref="G15" si="7">F15</f>
        <v>10.426943005181347</v>
      </c>
      <c r="H15" s="27"/>
      <c r="I15" s="27"/>
      <c r="J15" s="27"/>
      <c r="K15" s="11"/>
      <c r="M15" s="12"/>
    </row>
    <row r="16" spans="1:13" s="1" customFormat="1" x14ac:dyDescent="0.25">
      <c r="A16" s="38"/>
      <c r="B16" s="39"/>
      <c r="C16" s="40">
        <v>2</v>
      </c>
      <c r="D16" s="10">
        <f>3.833/3.281</f>
        <v>1.1682413898201769</v>
      </c>
      <c r="E16" s="10">
        <v>3.87</v>
      </c>
      <c r="F16" s="10">
        <f t="shared" ref="F16:F19" si="8">PRODUCT(C16:E16)</f>
        <v>9.04218835720817</v>
      </c>
      <c r="G16" s="36">
        <f t="shared" ref="G16:G19" si="9">F16</f>
        <v>9.04218835720817</v>
      </c>
      <c r="H16" s="27"/>
      <c r="I16" s="27"/>
      <c r="J16" s="27"/>
      <c r="K16" s="11"/>
      <c r="M16" s="12"/>
    </row>
    <row r="17" spans="1:13" s="1" customFormat="1" x14ac:dyDescent="0.25">
      <c r="A17" s="38"/>
      <c r="B17" s="39"/>
      <c r="C17" s="40">
        <v>2</v>
      </c>
      <c r="D17" s="10">
        <f>3.42/3.281</f>
        <v>1.04236513258153</v>
      </c>
      <c r="E17" s="10">
        <v>3.87</v>
      </c>
      <c r="F17" s="10">
        <f t="shared" si="8"/>
        <v>8.0679061261810414</v>
      </c>
      <c r="G17" s="36">
        <f t="shared" si="9"/>
        <v>8.0679061261810414</v>
      </c>
      <c r="H17" s="27"/>
      <c r="I17" s="27"/>
      <c r="J17" s="27"/>
      <c r="K17" s="11"/>
      <c r="M17" s="12"/>
    </row>
    <row r="18" spans="1:13" s="1" customFormat="1" x14ac:dyDescent="0.25">
      <c r="A18" s="38"/>
      <c r="B18" s="39"/>
      <c r="C18" s="40">
        <v>2</v>
      </c>
      <c r="D18" s="10">
        <f>3.083/3.281</f>
        <v>0.93965254495580619</v>
      </c>
      <c r="E18" s="10">
        <v>3.87</v>
      </c>
      <c r="F18" s="10">
        <f t="shared" si="8"/>
        <v>7.2729106979579399</v>
      </c>
      <c r="G18" s="36">
        <f t="shared" si="9"/>
        <v>7.2729106979579399</v>
      </c>
      <c r="H18" s="27"/>
      <c r="I18" s="27"/>
      <c r="J18" s="27"/>
      <c r="K18" s="11"/>
      <c r="M18" s="12"/>
    </row>
    <row r="19" spans="1:13" s="1" customFormat="1" ht="45" x14ac:dyDescent="0.25">
      <c r="A19" s="38"/>
      <c r="B19" s="39" t="s">
        <v>43</v>
      </c>
      <c r="C19" s="40">
        <v>2</v>
      </c>
      <c r="D19" s="10">
        <f>3.17/3.281</f>
        <v>0.9661688509600731</v>
      </c>
      <c r="E19" s="10">
        <v>3.87</v>
      </c>
      <c r="F19" s="10">
        <f t="shared" si="8"/>
        <v>7.4781469064309656</v>
      </c>
      <c r="G19" s="36">
        <f t="shared" si="9"/>
        <v>7.4781469064309656</v>
      </c>
      <c r="H19" s="27"/>
      <c r="I19" s="27"/>
      <c r="J19" s="27"/>
      <c r="K19" s="11"/>
      <c r="M19" s="12"/>
    </row>
    <row r="20" spans="1:13" s="1" customFormat="1" x14ac:dyDescent="0.25">
      <c r="A20" s="38"/>
      <c r="B20" s="39"/>
      <c r="C20" s="40">
        <v>2</v>
      </c>
      <c r="D20" s="10">
        <f>2.42/3.281</f>
        <v>0.73758000609570251</v>
      </c>
      <c r="E20" s="10">
        <v>3.87</v>
      </c>
      <c r="F20" s="10">
        <f t="shared" ref="F20:F23" si="10">PRODUCT(C20:E20)</f>
        <v>5.7088692471807372</v>
      </c>
      <c r="G20" s="36">
        <f t="shared" ref="G20:G23" si="11">F20</f>
        <v>5.7088692471807372</v>
      </c>
      <c r="H20" s="27"/>
      <c r="I20" s="27"/>
      <c r="J20" s="27"/>
      <c r="K20" s="11"/>
      <c r="M20" s="12"/>
    </row>
    <row r="21" spans="1:13" s="1" customFormat="1" x14ac:dyDescent="0.25">
      <c r="A21" s="38"/>
      <c r="B21" s="39"/>
      <c r="C21" s="40">
        <v>2</v>
      </c>
      <c r="D21" s="10">
        <f>1.833/3.281</f>
        <v>0.55867113684852177</v>
      </c>
      <c r="E21" s="10">
        <v>3.87</v>
      </c>
      <c r="F21" s="10">
        <f t="shared" si="10"/>
        <v>4.3241145992075589</v>
      </c>
      <c r="G21" s="36">
        <f t="shared" si="11"/>
        <v>4.3241145992075589</v>
      </c>
      <c r="H21" s="27"/>
      <c r="I21" s="27"/>
      <c r="J21" s="27"/>
      <c r="K21" s="11"/>
      <c r="M21" s="12"/>
    </row>
    <row r="22" spans="1:13" s="1" customFormat="1" x14ac:dyDescent="0.25">
      <c r="A22" s="38"/>
      <c r="B22" s="39"/>
      <c r="C22" s="40">
        <v>2</v>
      </c>
      <c r="D22" s="10">
        <f>10/12/3.281</f>
        <v>0.25398760540485626</v>
      </c>
      <c r="E22" s="10">
        <v>3.87</v>
      </c>
      <c r="F22" s="10">
        <f t="shared" si="10"/>
        <v>1.9658640658335875</v>
      </c>
      <c r="G22" s="36">
        <f t="shared" si="11"/>
        <v>1.9658640658335875</v>
      </c>
      <c r="H22" s="27"/>
      <c r="I22" s="27"/>
      <c r="J22" s="27"/>
      <c r="K22" s="11"/>
      <c r="M22" s="12"/>
    </row>
    <row r="23" spans="1:13" s="1" customFormat="1" ht="45" x14ac:dyDescent="0.25">
      <c r="A23" s="38"/>
      <c r="B23" s="39" t="s">
        <v>44</v>
      </c>
      <c r="C23" s="40">
        <f>2*5</f>
        <v>10</v>
      </c>
      <c r="D23" s="10">
        <f>42/3.281</f>
        <v>12.800975312404754</v>
      </c>
      <c r="E23" s="10">
        <v>3.87</v>
      </c>
      <c r="F23" s="10">
        <f t="shared" si="10"/>
        <v>495.39774459006395</v>
      </c>
      <c r="G23" s="36">
        <f t="shared" si="11"/>
        <v>495.39774459006395</v>
      </c>
      <c r="H23" s="27"/>
      <c r="I23" s="27"/>
      <c r="J23" s="27"/>
      <c r="K23" s="11"/>
      <c r="M23" s="12"/>
    </row>
    <row r="24" spans="1:13" s="1" customFormat="1" x14ac:dyDescent="0.25">
      <c r="A24" s="21"/>
      <c r="B24" s="39" t="s">
        <v>26</v>
      </c>
      <c r="C24" s="22"/>
      <c r="D24" s="23"/>
      <c r="E24" s="24"/>
      <c r="F24" s="24"/>
      <c r="G24" s="27">
        <f>SUM(G10:G23)</f>
        <v>2118.2064797317889</v>
      </c>
      <c r="H24" s="25" t="s">
        <v>31</v>
      </c>
      <c r="I24" s="26">
        <v>181.17</v>
      </c>
      <c r="J24" s="27">
        <f>G24*I24</f>
        <v>383755.46793300816</v>
      </c>
      <c r="K24" s="24"/>
    </row>
    <row r="25" spans="1:13" s="1" customFormat="1" x14ac:dyDescent="0.25">
      <c r="A25" s="21"/>
      <c r="B25" s="39" t="s">
        <v>45</v>
      </c>
      <c r="C25" s="22"/>
      <c r="D25" s="23"/>
      <c r="E25" s="24"/>
      <c r="F25" s="24"/>
      <c r="G25" s="27"/>
      <c r="H25" s="25"/>
      <c r="I25" s="26"/>
      <c r="J25" s="27">
        <f>0.13*G24*(1871.42/18.94)</f>
        <v>27208.395783471828</v>
      </c>
      <c r="K25" s="24"/>
    </row>
    <row r="26" spans="1:13" s="1" customFormat="1" x14ac:dyDescent="0.25">
      <c r="A26" s="21"/>
      <c r="B26" s="37"/>
      <c r="C26" s="22"/>
      <c r="D26" s="23"/>
      <c r="E26" s="24"/>
      <c r="F26" s="24"/>
      <c r="G26" s="28"/>
      <c r="H26" s="25"/>
      <c r="I26" s="26"/>
      <c r="J26" s="27"/>
      <c r="K26" s="24"/>
    </row>
    <row r="27" spans="1:13" s="1" customFormat="1" ht="45" x14ac:dyDescent="0.25">
      <c r="A27" s="38">
        <v>2</v>
      </c>
      <c r="B27" s="37" t="s">
        <v>34</v>
      </c>
      <c r="C27" s="40"/>
      <c r="D27" s="10"/>
      <c r="E27" s="10"/>
      <c r="F27" s="10"/>
      <c r="G27" s="36"/>
      <c r="H27" s="27"/>
      <c r="I27" s="27"/>
      <c r="J27" s="27"/>
      <c r="K27" s="11"/>
      <c r="M27" s="12"/>
    </row>
    <row r="28" spans="1:13" s="1" customFormat="1" x14ac:dyDescent="0.25">
      <c r="A28" s="38"/>
      <c r="B28" s="39"/>
      <c r="C28" s="40">
        <v>2</v>
      </c>
      <c r="D28" s="10">
        <f>16/3.281</f>
        <v>4.8765620237732392</v>
      </c>
      <c r="E28" s="10">
        <f>42/3.281</f>
        <v>12.800975312404754</v>
      </c>
      <c r="F28" s="10"/>
      <c r="G28" s="36">
        <f>PRODUCT(C28:F28)</f>
        <v>124.8495001514636</v>
      </c>
      <c r="H28" s="27"/>
      <c r="I28" s="27"/>
      <c r="J28" s="27"/>
      <c r="K28" s="11"/>
      <c r="M28" s="12"/>
    </row>
    <row r="29" spans="1:13" s="1" customFormat="1" x14ac:dyDescent="0.25">
      <c r="A29" s="21"/>
      <c r="B29" s="39" t="s">
        <v>26</v>
      </c>
      <c r="C29" s="22"/>
      <c r="D29" s="23"/>
      <c r="E29" s="24"/>
      <c r="F29" s="24"/>
      <c r="G29" s="27">
        <f>SUM(G28:G28)</f>
        <v>124.8495001514636</v>
      </c>
      <c r="H29" s="25" t="s">
        <v>35</v>
      </c>
      <c r="I29" s="26">
        <v>1070.9000000000001</v>
      </c>
      <c r="J29" s="27">
        <f>G29*I29</f>
        <v>133701.32971220239</v>
      </c>
      <c r="K29" s="24"/>
    </row>
    <row r="30" spans="1:13" s="1" customFormat="1" x14ac:dyDescent="0.25">
      <c r="A30" s="21"/>
      <c r="B30" s="39" t="s">
        <v>45</v>
      </c>
      <c r="C30" s="22"/>
      <c r="D30" s="23"/>
      <c r="E30" s="24"/>
      <c r="F30" s="24"/>
      <c r="G30" s="27"/>
      <c r="H30" s="25"/>
      <c r="I30" s="26"/>
      <c r="J30" s="27">
        <f>0.13*G29*8587.63/10</f>
        <v>13938.097068814273</v>
      </c>
      <c r="K30" s="24"/>
    </row>
    <row r="31" spans="1:13" s="1" customFormat="1" x14ac:dyDescent="0.25">
      <c r="A31" s="21"/>
      <c r="B31" s="39"/>
      <c r="C31" s="22"/>
      <c r="D31" s="23"/>
      <c r="E31" s="24"/>
      <c r="F31" s="24"/>
      <c r="G31" s="27"/>
      <c r="H31" s="25"/>
      <c r="I31" s="26"/>
      <c r="J31" s="27"/>
      <c r="K31" s="24"/>
    </row>
    <row r="32" spans="1:13" s="1" customFormat="1" ht="30" x14ac:dyDescent="0.25">
      <c r="A32" s="21">
        <v>3</v>
      </c>
      <c r="B32" s="37" t="s">
        <v>46</v>
      </c>
      <c r="C32" s="22"/>
      <c r="D32" s="23"/>
      <c r="E32" s="24"/>
      <c r="F32" s="24"/>
      <c r="G32" s="27"/>
      <c r="H32" s="25"/>
      <c r="I32" s="26"/>
      <c r="J32" s="27"/>
      <c r="K32" s="24"/>
    </row>
    <row r="33" spans="1:11" s="1" customFormat="1" x14ac:dyDescent="0.25">
      <c r="A33" s="21"/>
      <c r="B33" s="39" t="s">
        <v>47</v>
      </c>
      <c r="C33" s="22">
        <f>3*4</f>
        <v>12</v>
      </c>
      <c r="D33" s="23">
        <v>0.9</v>
      </c>
      <c r="E33" s="24">
        <v>0.9</v>
      </c>
      <c r="F33" s="24">
        <f>3/3.281</f>
        <v>0.91435537945748246</v>
      </c>
      <c r="G33" s="36">
        <f>PRODUCT(C33:F33)</f>
        <v>8.8875342883267301</v>
      </c>
      <c r="H33" s="25"/>
      <c r="I33" s="26"/>
      <c r="J33" s="27"/>
      <c r="K33" s="24"/>
    </row>
    <row r="34" spans="1:11" s="1" customFormat="1" x14ac:dyDescent="0.25">
      <c r="A34" s="21"/>
      <c r="B34" s="39" t="s">
        <v>26</v>
      </c>
      <c r="C34" s="22"/>
      <c r="D34" s="23"/>
      <c r="E34" s="24"/>
      <c r="F34" s="24"/>
      <c r="G34" s="27">
        <f>SUM(G33:G33)</f>
        <v>8.8875342883267301</v>
      </c>
      <c r="H34" s="25" t="s">
        <v>48</v>
      </c>
      <c r="I34" s="26">
        <v>663.31</v>
      </c>
      <c r="J34" s="27">
        <f>G34*I34</f>
        <v>5895.190368790003</v>
      </c>
      <c r="K34" s="24"/>
    </row>
    <row r="35" spans="1:11" s="1" customFormat="1" x14ac:dyDescent="0.25">
      <c r="A35" s="21"/>
      <c r="B35" s="39"/>
      <c r="C35" s="22"/>
      <c r="D35" s="23"/>
      <c r="E35" s="24"/>
      <c r="F35" s="24"/>
      <c r="G35" s="27"/>
      <c r="H35" s="25"/>
      <c r="I35" s="26"/>
      <c r="J35" s="27"/>
      <c r="K35" s="24"/>
    </row>
    <row r="36" spans="1:11" s="1" customFormat="1" ht="30" x14ac:dyDescent="0.25">
      <c r="A36" s="21">
        <v>3</v>
      </c>
      <c r="B36" s="37" t="s">
        <v>49</v>
      </c>
      <c r="C36" s="22"/>
      <c r="D36" s="23"/>
      <c r="E36" s="24"/>
      <c r="F36" s="24"/>
      <c r="G36" s="27"/>
      <c r="H36" s="25"/>
      <c r="I36" s="26"/>
      <c r="J36" s="27"/>
      <c r="K36" s="24"/>
    </row>
    <row r="37" spans="1:11" s="1" customFormat="1" x14ac:dyDescent="0.25">
      <c r="A37" s="21"/>
      <c r="B37" s="39" t="s">
        <v>47</v>
      </c>
      <c r="C37" s="22">
        <f>3*4</f>
        <v>12</v>
      </c>
      <c r="D37" s="23">
        <v>0.75</v>
      </c>
      <c r="E37" s="24">
        <v>0.75</v>
      </c>
      <c r="F37" s="24">
        <v>0.15</v>
      </c>
      <c r="G37" s="36">
        <f>PRODUCT(C37:F37)</f>
        <v>1.0125</v>
      </c>
      <c r="H37" s="25"/>
      <c r="I37" s="26"/>
      <c r="J37" s="27"/>
      <c r="K37" s="24"/>
    </row>
    <row r="38" spans="1:11" s="1" customFormat="1" x14ac:dyDescent="0.25">
      <c r="A38" s="21"/>
      <c r="B38" s="39" t="s">
        <v>26</v>
      </c>
      <c r="C38" s="22"/>
      <c r="D38" s="23"/>
      <c r="E38" s="24"/>
      <c r="F38" s="24"/>
      <c r="G38" s="27">
        <f>SUM(G37:G37)</f>
        <v>1.0125</v>
      </c>
      <c r="H38" s="25" t="s">
        <v>48</v>
      </c>
      <c r="I38" s="26">
        <v>4473.1499999999996</v>
      </c>
      <c r="J38" s="27">
        <f>G38*I38</f>
        <v>4529.064374999999</v>
      </c>
      <c r="K38" s="24"/>
    </row>
    <row r="39" spans="1:11" s="1" customFormat="1" x14ac:dyDescent="0.25">
      <c r="A39" s="21"/>
      <c r="B39" s="39" t="s">
        <v>45</v>
      </c>
      <c r="C39" s="22"/>
      <c r="D39" s="23"/>
      <c r="E39" s="24"/>
      <c r="F39" s="24"/>
      <c r="G39" s="27"/>
      <c r="H39" s="25"/>
      <c r="I39" s="26"/>
      <c r="J39" s="27">
        <f>0.13*G38*3093.15</f>
        <v>407.13586874999999</v>
      </c>
      <c r="K39" s="24"/>
    </row>
    <row r="40" spans="1:11" s="1" customFormat="1" x14ac:dyDescent="0.25">
      <c r="A40" s="21"/>
      <c r="B40" s="39"/>
      <c r="C40" s="22"/>
      <c r="D40" s="23"/>
      <c r="E40" s="24"/>
      <c r="F40" s="24"/>
      <c r="G40" s="27"/>
      <c r="H40" s="25"/>
      <c r="I40" s="26"/>
      <c r="J40" s="27"/>
      <c r="K40" s="24"/>
    </row>
    <row r="41" spans="1:11" s="1" customFormat="1" ht="30" x14ac:dyDescent="0.25">
      <c r="A41" s="21">
        <v>3</v>
      </c>
      <c r="B41" s="37" t="s">
        <v>50</v>
      </c>
      <c r="C41" s="22"/>
      <c r="D41" s="23"/>
      <c r="E41" s="24"/>
      <c r="F41" s="24"/>
      <c r="G41" s="27"/>
      <c r="H41" s="25"/>
      <c r="I41" s="26"/>
      <c r="J41" s="27"/>
      <c r="K41" s="24"/>
    </row>
    <row r="42" spans="1:11" s="1" customFormat="1" x14ac:dyDescent="0.25">
      <c r="A42" s="21"/>
      <c r="B42" s="39" t="s">
        <v>47</v>
      </c>
      <c r="C42" s="22">
        <f>3*4</f>
        <v>12</v>
      </c>
      <c r="D42" s="23">
        <v>0.75</v>
      </c>
      <c r="E42" s="24">
        <v>0.75</v>
      </c>
      <c r="F42" s="24">
        <v>0.05</v>
      </c>
      <c r="G42" s="36">
        <f>PRODUCT(C42:F42)</f>
        <v>0.33750000000000002</v>
      </c>
      <c r="H42" s="25"/>
      <c r="I42" s="26"/>
      <c r="J42" s="27"/>
      <c r="K42" s="24"/>
    </row>
    <row r="43" spans="1:11" s="1" customFormat="1" x14ac:dyDescent="0.25">
      <c r="A43" s="21"/>
      <c r="B43" s="39" t="s">
        <v>26</v>
      </c>
      <c r="C43" s="22"/>
      <c r="D43" s="23"/>
      <c r="E43" s="24"/>
      <c r="F43" s="24"/>
      <c r="G43" s="27">
        <f>SUM(G42:G42)</f>
        <v>0.33750000000000002</v>
      </c>
      <c r="H43" s="25" t="s">
        <v>48</v>
      </c>
      <c r="I43" s="26">
        <v>12983.1</v>
      </c>
      <c r="J43" s="27">
        <f>G43*I43</f>
        <v>4381.7962500000003</v>
      </c>
      <c r="K43" s="24"/>
    </row>
    <row r="44" spans="1:11" s="1" customFormat="1" x14ac:dyDescent="0.25">
      <c r="A44" s="21"/>
      <c r="B44" s="39" t="s">
        <v>45</v>
      </c>
      <c r="C44" s="22"/>
      <c r="D44" s="23"/>
      <c r="E44" s="24"/>
      <c r="F44" s="24"/>
      <c r="G44" s="27"/>
      <c r="H44" s="25"/>
      <c r="I44" s="26"/>
      <c r="J44" s="27">
        <f>0.13*G43*8078.11</f>
        <v>354.42707625000003</v>
      </c>
      <c r="K44" s="24"/>
    </row>
    <row r="45" spans="1:11" s="1" customFormat="1" x14ac:dyDescent="0.25">
      <c r="A45" s="21"/>
      <c r="B45" s="39"/>
      <c r="C45" s="22"/>
      <c r="D45" s="23"/>
      <c r="E45" s="24"/>
      <c r="F45" s="24"/>
      <c r="G45" s="27"/>
      <c r="H45" s="25"/>
      <c r="I45" s="26"/>
      <c r="J45" s="27"/>
      <c r="K45" s="24"/>
    </row>
    <row r="46" spans="1:11" s="1" customFormat="1" ht="30" x14ac:dyDescent="0.25">
      <c r="A46" s="21">
        <v>3</v>
      </c>
      <c r="B46" s="37" t="s">
        <v>51</v>
      </c>
      <c r="C46" s="22"/>
      <c r="D46" s="23"/>
      <c r="E46" s="24"/>
      <c r="F46" s="24"/>
      <c r="G46" s="27"/>
      <c r="H46" s="25"/>
      <c r="I46" s="26"/>
      <c r="J46" s="27"/>
      <c r="K46" s="24"/>
    </row>
    <row r="47" spans="1:11" s="1" customFormat="1" x14ac:dyDescent="0.25">
      <c r="A47" s="21"/>
      <c r="B47" s="39" t="s">
        <v>47</v>
      </c>
      <c r="C47" s="22">
        <f>3*4</f>
        <v>12</v>
      </c>
      <c r="D47" s="23">
        <v>0.6</v>
      </c>
      <c r="E47" s="24">
        <v>0.6</v>
      </c>
      <c r="F47" s="24">
        <v>0.6</v>
      </c>
      <c r="G47" s="36">
        <f>PRODUCT(C47:F47)</f>
        <v>2.5919999999999996</v>
      </c>
      <c r="H47" s="25"/>
      <c r="I47" s="26"/>
      <c r="J47" s="27"/>
      <c r="K47" s="24"/>
    </row>
    <row r="48" spans="1:11" s="1" customFormat="1" x14ac:dyDescent="0.25">
      <c r="A48" s="21"/>
      <c r="B48" s="39" t="s">
        <v>26</v>
      </c>
      <c r="C48" s="22"/>
      <c r="D48" s="23"/>
      <c r="E48" s="24"/>
      <c r="F48" s="24"/>
      <c r="G48" s="27">
        <f>SUM(G47:G47)</f>
        <v>2.5919999999999996</v>
      </c>
      <c r="H48" s="25" t="s">
        <v>48</v>
      </c>
      <c r="I48" s="26">
        <v>13568.9</v>
      </c>
      <c r="J48" s="27">
        <f>G48*I48</f>
        <v>35170.588799999998</v>
      </c>
      <c r="K48" s="24"/>
    </row>
    <row r="49" spans="1:31" s="1" customFormat="1" x14ac:dyDescent="0.25">
      <c r="A49" s="21"/>
      <c r="B49" s="39" t="s">
        <v>45</v>
      </c>
      <c r="C49" s="22"/>
      <c r="D49" s="23"/>
      <c r="E49" s="24"/>
      <c r="F49" s="24"/>
      <c r="G49" s="27"/>
      <c r="H49" s="25"/>
      <c r="I49" s="26"/>
      <c r="J49" s="27">
        <f>0.13*G48*9524.2</f>
        <v>3209.2744320000002</v>
      </c>
      <c r="K49" s="24"/>
    </row>
    <row r="50" spans="1:31" s="1" customFormat="1" x14ac:dyDescent="0.25">
      <c r="A50" s="21"/>
      <c r="B50" s="39"/>
      <c r="C50" s="22"/>
      <c r="D50" s="23"/>
      <c r="E50" s="24"/>
      <c r="F50" s="24"/>
      <c r="G50" s="27"/>
      <c r="H50" s="25"/>
      <c r="I50" s="26"/>
      <c r="J50" s="27"/>
      <c r="K50" s="24"/>
    </row>
    <row r="51" spans="1:31" s="1" customFormat="1" ht="28.5" x14ac:dyDescent="0.25">
      <c r="A51" s="21">
        <v>3</v>
      </c>
      <c r="B51" s="41" t="s">
        <v>37</v>
      </c>
      <c r="C51" s="22">
        <v>1</v>
      </c>
      <c r="D51" s="23"/>
      <c r="E51" s="24"/>
      <c r="F51" s="24"/>
      <c r="G51" s="36">
        <f>PRODUCT(C51:F51)</f>
        <v>1</v>
      </c>
      <c r="H51" s="25" t="s">
        <v>38</v>
      </c>
      <c r="I51" s="26">
        <v>5000</v>
      </c>
      <c r="J51" s="27">
        <f>G51*I51</f>
        <v>5000</v>
      </c>
      <c r="K51" s="24"/>
    </row>
    <row r="52" spans="1:31" s="1" customFormat="1" x14ac:dyDescent="0.25">
      <c r="A52" s="21"/>
      <c r="B52" s="39"/>
      <c r="C52" s="22"/>
      <c r="D52" s="23"/>
      <c r="E52" s="24"/>
      <c r="F52" s="24"/>
      <c r="G52" s="27"/>
      <c r="H52" s="25"/>
      <c r="I52" s="26"/>
      <c r="J52" s="27"/>
      <c r="K52" s="24"/>
    </row>
    <row r="53" spans="1:31" s="1" customFormat="1" x14ac:dyDescent="0.25">
      <c r="A53" s="21">
        <v>4</v>
      </c>
      <c r="B53" s="41" t="s">
        <v>39</v>
      </c>
      <c r="C53" s="22">
        <v>1</v>
      </c>
      <c r="D53" s="23"/>
      <c r="E53" s="24"/>
      <c r="F53" s="24"/>
      <c r="G53" s="36">
        <f>PRODUCT(C53:F53)</f>
        <v>1</v>
      </c>
      <c r="H53" s="25" t="s">
        <v>38</v>
      </c>
      <c r="I53" s="26">
        <v>500</v>
      </c>
      <c r="J53" s="27">
        <f>G53*I53</f>
        <v>500</v>
      </c>
      <c r="K53" s="24"/>
    </row>
    <row r="54" spans="1:31" s="1" customFormat="1" x14ac:dyDescent="0.25">
      <c r="A54" s="21"/>
      <c r="B54" s="39"/>
      <c r="C54" s="22"/>
      <c r="D54" s="23"/>
      <c r="E54" s="24"/>
      <c r="F54" s="24"/>
      <c r="G54" s="27"/>
      <c r="H54" s="25"/>
      <c r="I54" s="26"/>
      <c r="J54" s="27"/>
      <c r="K54" s="24"/>
    </row>
    <row r="55" spans="1:31" x14ac:dyDescent="0.25">
      <c r="A55" s="9"/>
      <c r="B55" s="20" t="s">
        <v>16</v>
      </c>
      <c r="C55" s="8"/>
      <c r="D55" s="6"/>
      <c r="E55" s="6"/>
      <c r="F55" s="6"/>
      <c r="G55" s="33"/>
      <c r="H55" s="7"/>
      <c r="I55" s="7"/>
      <c r="J55" s="7">
        <f>SUM(J10:J54)</f>
        <v>618050.76766828669</v>
      </c>
      <c r="K55" s="4"/>
      <c r="M55" s="29"/>
      <c r="P55" s="32"/>
      <c r="Q55" s="32"/>
    </row>
    <row r="56" spans="1:31" x14ac:dyDescent="0.25">
      <c r="M56" s="29"/>
      <c r="N56" s="30"/>
      <c r="O56" s="30"/>
      <c r="P56" s="31"/>
      <c r="R56" s="30"/>
      <c r="S56" s="30"/>
      <c r="T56" s="30"/>
      <c r="U56" s="29"/>
      <c r="V56" s="29"/>
      <c r="W56" s="29"/>
      <c r="X56" s="29"/>
      <c r="Y56" s="29"/>
      <c r="Z56" s="29"/>
      <c r="AA56" s="29"/>
      <c r="AB56" s="29"/>
      <c r="AC56" s="29"/>
      <c r="AD56" s="29"/>
      <c r="AE56" s="29"/>
    </row>
    <row r="57" spans="1:31" s="1" customFormat="1" x14ac:dyDescent="0.25">
      <c r="B57" s="11" t="s">
        <v>22</v>
      </c>
      <c r="C57" s="42">
        <f>J55</f>
        <v>618050.76766828669</v>
      </c>
      <c r="D57" s="43"/>
      <c r="E57" s="10">
        <v>100</v>
      </c>
      <c r="F57" s="12"/>
      <c r="G57" s="13"/>
      <c r="H57" s="12"/>
      <c r="I57" s="14"/>
      <c r="J57" s="15"/>
      <c r="K57" s="16"/>
      <c r="M57" s="12"/>
      <c r="N57" s="30"/>
      <c r="O57" s="30"/>
      <c r="P57" s="30"/>
      <c r="Q57" s="30"/>
      <c r="R57" s="30"/>
      <c r="S57" s="30"/>
      <c r="T57" s="30"/>
      <c r="U57" s="12"/>
      <c r="V57" s="12"/>
      <c r="W57" s="12"/>
      <c r="X57" s="12"/>
      <c r="Y57" s="12"/>
      <c r="Z57" s="12"/>
      <c r="AA57" s="12"/>
      <c r="AB57" s="12"/>
      <c r="AC57" s="12"/>
      <c r="AD57" s="12"/>
      <c r="AE57" s="12"/>
    </row>
    <row r="58" spans="1:31" x14ac:dyDescent="0.25">
      <c r="B58" s="11" t="s">
        <v>17</v>
      </c>
      <c r="C58" s="46">
        <v>400000</v>
      </c>
      <c r="D58" s="47"/>
      <c r="E58" s="10"/>
      <c r="M58" s="29"/>
      <c r="N58" s="30"/>
      <c r="O58" s="30"/>
      <c r="P58" s="30"/>
      <c r="Q58" s="30"/>
      <c r="R58" s="30"/>
      <c r="S58" s="30"/>
      <c r="T58" s="30"/>
      <c r="U58" s="29"/>
      <c r="V58" s="29"/>
      <c r="W58" s="29"/>
      <c r="X58" s="29"/>
      <c r="Y58" s="29"/>
      <c r="Z58" s="29"/>
      <c r="AA58" s="29"/>
      <c r="AB58" s="29"/>
      <c r="AC58" s="29"/>
      <c r="AD58" s="29"/>
      <c r="AE58" s="29"/>
    </row>
    <row r="59" spans="1:31" x14ac:dyDescent="0.25">
      <c r="B59" s="11" t="s">
        <v>18</v>
      </c>
      <c r="C59" s="46">
        <f>C58-C61-C62</f>
        <v>380000</v>
      </c>
      <c r="D59" s="47"/>
      <c r="E59" s="10">
        <f>C59/C57*100</f>
        <v>61.483622362224679</v>
      </c>
      <c r="M59" s="29"/>
      <c r="N59" s="29"/>
      <c r="O59" s="29"/>
      <c r="P59" s="29"/>
      <c r="Q59" s="29"/>
      <c r="R59" s="29"/>
      <c r="S59" s="29"/>
      <c r="T59" s="29"/>
      <c r="U59" s="29"/>
      <c r="V59" s="29"/>
      <c r="W59" s="29"/>
      <c r="X59" s="29"/>
      <c r="Y59" s="29"/>
      <c r="Z59" s="29"/>
      <c r="AA59" s="29"/>
      <c r="AB59" s="29"/>
      <c r="AC59" s="29"/>
      <c r="AD59" s="29"/>
      <c r="AE59" s="29"/>
    </row>
    <row r="60" spans="1:31" x14ac:dyDescent="0.25">
      <c r="B60" s="11" t="s">
        <v>19</v>
      </c>
      <c r="C60" s="48">
        <f>C57-C59</f>
        <v>238050.76766828669</v>
      </c>
      <c r="D60" s="48"/>
      <c r="E60" s="10">
        <f>100-E59</f>
        <v>38.516377637775321</v>
      </c>
      <c r="M60" s="29"/>
      <c r="N60" s="29"/>
      <c r="O60" s="29"/>
      <c r="P60" s="29"/>
      <c r="Q60" s="29"/>
      <c r="R60" s="29"/>
      <c r="S60" s="29"/>
      <c r="T60" s="29"/>
      <c r="U60" s="29"/>
      <c r="V60" s="29"/>
      <c r="W60" s="29"/>
      <c r="X60" s="29"/>
      <c r="Y60" s="29"/>
      <c r="Z60" s="29"/>
      <c r="AA60" s="29"/>
      <c r="AB60" s="29"/>
      <c r="AC60" s="29"/>
      <c r="AD60" s="29"/>
      <c r="AE60" s="29"/>
    </row>
    <row r="61" spans="1:31" x14ac:dyDescent="0.25">
      <c r="B61" s="11" t="s">
        <v>20</v>
      </c>
      <c r="C61" s="42">
        <f>C58*0.03</f>
        <v>12000</v>
      </c>
      <c r="D61" s="43"/>
      <c r="E61" s="10">
        <v>3</v>
      </c>
      <c r="M61" s="29"/>
      <c r="N61" s="29"/>
      <c r="O61" s="29"/>
      <c r="P61" s="29"/>
      <c r="Q61" s="29"/>
      <c r="R61" s="29"/>
      <c r="S61" s="29"/>
      <c r="T61" s="29"/>
      <c r="U61" s="29"/>
      <c r="V61" s="29"/>
      <c r="W61" s="29"/>
      <c r="X61" s="29"/>
      <c r="Y61" s="29"/>
      <c r="Z61" s="29"/>
      <c r="AA61" s="29"/>
      <c r="AB61" s="29"/>
      <c r="AC61" s="29"/>
      <c r="AD61" s="29"/>
      <c r="AE61" s="29"/>
    </row>
    <row r="62" spans="1:31" x14ac:dyDescent="0.25">
      <c r="B62" s="11" t="s">
        <v>21</v>
      </c>
      <c r="C62" s="42">
        <f>C58*0.02</f>
        <v>8000</v>
      </c>
      <c r="D62" s="43"/>
      <c r="E62" s="10">
        <v>2</v>
      </c>
      <c r="M62" s="29"/>
      <c r="N62" s="29"/>
      <c r="O62" s="29"/>
      <c r="P62" s="29"/>
      <c r="Q62" s="29"/>
      <c r="R62" s="29"/>
      <c r="S62" s="29"/>
      <c r="T62" s="29"/>
      <c r="U62" s="29"/>
      <c r="V62" s="29"/>
      <c r="W62" s="29"/>
      <c r="X62" s="29"/>
      <c r="Y62" s="29"/>
      <c r="Z62" s="29"/>
      <c r="AA62" s="29"/>
      <c r="AB62" s="29"/>
      <c r="AC62" s="29"/>
      <c r="AD62" s="29"/>
      <c r="AE62" s="29"/>
    </row>
  </sheetData>
  <mergeCells count="15">
    <mergeCell ref="A6:G6"/>
    <mergeCell ref="H6:K6"/>
    <mergeCell ref="A1:K1"/>
    <mergeCell ref="A2:K2"/>
    <mergeCell ref="A3:K3"/>
    <mergeCell ref="A4:K4"/>
    <mergeCell ref="A5:K5"/>
    <mergeCell ref="C61:D61"/>
    <mergeCell ref="C62:D62"/>
    <mergeCell ref="A7:F7"/>
    <mergeCell ref="H7:K7"/>
    <mergeCell ref="C57:D57"/>
    <mergeCell ref="C58:D58"/>
    <mergeCell ref="C59:D59"/>
    <mergeCell ref="C60:D60"/>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8"/>
  <sheetViews>
    <sheetView tabSelected="1" view="pageBreakPreview" zoomScale="80" zoomScaleNormal="100" zoomScaleSheetLayoutView="80" workbookViewId="0">
      <selection activeCell="G9" sqref="G9"/>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50" t="s">
        <v>0</v>
      </c>
      <c r="B1" s="50"/>
      <c r="C1" s="50"/>
      <c r="D1" s="50"/>
      <c r="E1" s="50"/>
      <c r="F1" s="50"/>
      <c r="G1" s="50"/>
      <c r="H1" s="50"/>
      <c r="I1" s="50"/>
      <c r="J1" s="50"/>
      <c r="K1" s="50"/>
    </row>
    <row r="2" spans="1:13" s="1" customFormat="1" ht="22.5" x14ac:dyDescent="0.25">
      <c r="A2" s="51" t="s">
        <v>1</v>
      </c>
      <c r="B2" s="51"/>
      <c r="C2" s="51"/>
      <c r="D2" s="51"/>
      <c r="E2" s="51"/>
      <c r="F2" s="51"/>
      <c r="G2" s="51"/>
      <c r="H2" s="51"/>
      <c r="I2" s="51"/>
      <c r="J2" s="51"/>
      <c r="K2" s="51"/>
    </row>
    <row r="3" spans="1:13" s="1" customFormat="1" x14ac:dyDescent="0.25">
      <c r="A3" s="52" t="s">
        <v>2</v>
      </c>
      <c r="B3" s="52"/>
      <c r="C3" s="52"/>
      <c r="D3" s="52"/>
      <c r="E3" s="52"/>
      <c r="F3" s="52"/>
      <c r="G3" s="52"/>
      <c r="H3" s="52"/>
      <c r="I3" s="52"/>
      <c r="J3" s="52"/>
      <c r="K3" s="52"/>
    </row>
    <row r="4" spans="1:13" s="1" customFormat="1" x14ac:dyDescent="0.25">
      <c r="A4" s="52" t="s">
        <v>3</v>
      </c>
      <c r="B4" s="52"/>
      <c r="C4" s="52"/>
      <c r="D4" s="52"/>
      <c r="E4" s="52"/>
      <c r="F4" s="52"/>
      <c r="G4" s="52"/>
      <c r="H4" s="52"/>
      <c r="I4" s="52"/>
      <c r="J4" s="52"/>
      <c r="K4" s="52"/>
    </row>
    <row r="5" spans="1:13" ht="18.75" x14ac:dyDescent="0.3">
      <c r="A5" s="53" t="s">
        <v>4</v>
      </c>
      <c r="B5" s="53"/>
      <c r="C5" s="53"/>
      <c r="D5" s="53"/>
      <c r="E5" s="53"/>
      <c r="F5" s="53"/>
      <c r="G5" s="53"/>
      <c r="H5" s="53"/>
      <c r="I5" s="53"/>
      <c r="J5" s="53"/>
      <c r="K5" s="53"/>
    </row>
    <row r="6" spans="1:13" ht="18.75" x14ac:dyDescent="0.3">
      <c r="A6" s="49" t="s">
        <v>36</v>
      </c>
      <c r="B6" s="49"/>
      <c r="C6" s="49"/>
      <c r="D6" s="49"/>
      <c r="E6" s="49"/>
      <c r="F6" s="49"/>
      <c r="G6" s="49"/>
      <c r="H6" s="45" t="s">
        <v>24</v>
      </c>
      <c r="I6" s="45"/>
      <c r="J6" s="45"/>
      <c r="K6" s="45"/>
    </row>
    <row r="7" spans="1:13" ht="15.75" x14ac:dyDescent="0.25">
      <c r="A7" s="44" t="s">
        <v>23</v>
      </c>
      <c r="B7" s="44"/>
      <c r="C7" s="44"/>
      <c r="D7" s="44"/>
      <c r="E7" s="44"/>
      <c r="F7" s="44"/>
      <c r="G7" s="2"/>
      <c r="H7" s="45" t="s">
        <v>25</v>
      </c>
      <c r="I7" s="45"/>
      <c r="J7" s="45"/>
      <c r="K7" s="45"/>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52</v>
      </c>
      <c r="C10" s="40">
        <f>3*5</f>
        <v>15</v>
      </c>
      <c r="D10" s="10">
        <f>(2.5+1.5+13)/3.281</f>
        <v>5.1813471502590671</v>
      </c>
      <c r="E10" s="10">
        <v>3.97</v>
      </c>
      <c r="F10" s="10">
        <f>PRODUCT(C10:E10)</f>
        <v>308.54922279792743</v>
      </c>
      <c r="G10" s="36">
        <f>F10</f>
        <v>308.54922279792743</v>
      </c>
      <c r="H10" s="27"/>
      <c r="I10" s="27"/>
      <c r="J10" s="27"/>
      <c r="K10" s="11"/>
      <c r="M10" s="12"/>
    </row>
    <row r="11" spans="1:13" s="1" customFormat="1" ht="45" x14ac:dyDescent="0.25">
      <c r="A11" s="38"/>
      <c r="B11" s="39" t="s">
        <v>53</v>
      </c>
      <c r="C11" s="40">
        <v>5</v>
      </c>
      <c r="D11" s="10">
        <f>(1.5+30+1.5)/3.281</f>
        <v>10.057909174032307</v>
      </c>
      <c r="E11" s="10">
        <v>2.72</v>
      </c>
      <c r="F11" s="10">
        <f t="shared" ref="F11:F21" si="0">PRODUCT(C11:E11)</f>
        <v>136.78756476683938</v>
      </c>
      <c r="G11" s="36">
        <f t="shared" ref="G11:G21" si="1">F11</f>
        <v>136.78756476683938</v>
      </c>
      <c r="H11" s="27"/>
      <c r="I11" s="27"/>
      <c r="J11" s="27"/>
      <c r="K11" s="11"/>
      <c r="M11" s="12"/>
    </row>
    <row r="12" spans="1:13" s="1" customFormat="1" ht="45" x14ac:dyDescent="0.25">
      <c r="A12" s="38"/>
      <c r="B12" s="39" t="s">
        <v>57</v>
      </c>
      <c r="C12" s="40">
        <f>2*5</f>
        <v>10</v>
      </c>
      <c r="D12" s="10">
        <f>16.333/3.281</f>
        <v>4.97805547089302</v>
      </c>
      <c r="E12" s="10">
        <v>2.72</v>
      </c>
      <c r="F12" s="10">
        <f t="shared" si="0"/>
        <v>135.40310880829014</v>
      </c>
      <c r="G12" s="36">
        <f t="shared" si="1"/>
        <v>135.40310880829014</v>
      </c>
      <c r="H12" s="27"/>
      <c r="I12" s="27"/>
      <c r="J12" s="27"/>
      <c r="K12" s="11"/>
      <c r="M12" s="12"/>
    </row>
    <row r="13" spans="1:13" s="1" customFormat="1" ht="45" x14ac:dyDescent="0.25">
      <c r="A13" s="38"/>
      <c r="B13" s="39" t="s">
        <v>54</v>
      </c>
      <c r="C13" s="40">
        <f>1*5</f>
        <v>5</v>
      </c>
      <c r="D13" s="10">
        <f>3.5/3.281</f>
        <v>1.0667479427003961</v>
      </c>
      <c r="E13" s="10">
        <v>2.4300000000000002</v>
      </c>
      <c r="F13" s="10">
        <f t="shared" si="0"/>
        <v>12.960987503809815</v>
      </c>
      <c r="G13" s="36">
        <f t="shared" si="1"/>
        <v>12.960987503809815</v>
      </c>
      <c r="H13" s="27"/>
      <c r="I13" s="27"/>
      <c r="J13" s="27"/>
      <c r="K13" s="11"/>
      <c r="M13" s="12"/>
    </row>
    <row r="14" spans="1:13" s="1" customFormat="1" ht="45" x14ac:dyDescent="0.25">
      <c r="A14" s="38"/>
      <c r="B14" s="39" t="s">
        <v>56</v>
      </c>
      <c r="C14" s="40">
        <f>2*5</f>
        <v>10</v>
      </c>
      <c r="D14" s="10">
        <f>4/3.281</f>
        <v>1.2191405059433098</v>
      </c>
      <c r="E14" s="10">
        <v>3.87</v>
      </c>
      <c r="F14" s="10">
        <f t="shared" si="0"/>
        <v>47.180737580006088</v>
      </c>
      <c r="G14" s="36">
        <f t="shared" si="1"/>
        <v>47.180737580006088</v>
      </c>
      <c r="H14" s="27"/>
      <c r="I14" s="27"/>
      <c r="J14" s="27"/>
      <c r="K14" s="11"/>
      <c r="M14" s="12"/>
    </row>
    <row r="15" spans="1:13" s="1" customFormat="1" x14ac:dyDescent="0.25">
      <c r="A15" s="38"/>
      <c r="B15" s="39"/>
      <c r="C15" s="40">
        <f t="shared" ref="C15:C21" si="2">2*5</f>
        <v>10</v>
      </c>
      <c r="D15" s="10">
        <f>3.583/3.281</f>
        <v>1.0920451081987199</v>
      </c>
      <c r="E15" s="10">
        <v>3.87</v>
      </c>
      <c r="F15" s="10">
        <f t="shared" si="0"/>
        <v>42.262145687290463</v>
      </c>
      <c r="G15" s="36">
        <f t="shared" si="1"/>
        <v>42.262145687290463</v>
      </c>
      <c r="H15" s="27"/>
      <c r="I15" s="27"/>
      <c r="J15" s="27"/>
      <c r="K15" s="11"/>
      <c r="M15" s="12"/>
    </row>
    <row r="16" spans="1:13" s="1" customFormat="1" x14ac:dyDescent="0.25">
      <c r="A16" s="38"/>
      <c r="B16" s="39"/>
      <c r="C16" s="40">
        <f t="shared" si="2"/>
        <v>10</v>
      </c>
      <c r="D16" s="10">
        <f>3.25/3.281</f>
        <v>0.99055166107893933</v>
      </c>
      <c r="E16" s="10">
        <v>3.87</v>
      </c>
      <c r="F16" s="10">
        <f t="shared" si="0"/>
        <v>38.334349283754953</v>
      </c>
      <c r="G16" s="36">
        <f t="shared" si="1"/>
        <v>38.334349283754953</v>
      </c>
      <c r="H16" s="27"/>
      <c r="I16" s="27"/>
      <c r="J16" s="27"/>
      <c r="K16" s="11"/>
      <c r="M16" s="12"/>
    </row>
    <row r="17" spans="1:13" s="1" customFormat="1" x14ac:dyDescent="0.25">
      <c r="A17" s="38"/>
      <c r="B17" s="39"/>
      <c r="C17" s="40">
        <f t="shared" si="2"/>
        <v>10</v>
      </c>
      <c r="D17" s="10">
        <f>3.083/3.281</f>
        <v>0.93965254495580619</v>
      </c>
      <c r="E17" s="10">
        <v>3.87</v>
      </c>
      <c r="F17" s="10">
        <f t="shared" si="0"/>
        <v>36.364553489789699</v>
      </c>
      <c r="G17" s="36">
        <f t="shared" si="1"/>
        <v>36.364553489789699</v>
      </c>
      <c r="H17" s="27"/>
      <c r="I17" s="27"/>
      <c r="J17" s="27"/>
      <c r="K17" s="11"/>
      <c r="M17" s="12"/>
    </row>
    <row r="18" spans="1:13" s="1" customFormat="1" ht="45" x14ac:dyDescent="0.25">
      <c r="A18" s="38"/>
      <c r="B18" s="39" t="s">
        <v>55</v>
      </c>
      <c r="C18" s="40">
        <f t="shared" si="2"/>
        <v>10</v>
      </c>
      <c r="D18" s="10">
        <f>2.667/3.281</f>
        <v>0.81286193233770188</v>
      </c>
      <c r="E18" s="10">
        <v>3.87</v>
      </c>
      <c r="F18" s="10">
        <f t="shared" si="0"/>
        <v>31.457756781469062</v>
      </c>
      <c r="G18" s="36">
        <f t="shared" si="1"/>
        <v>31.457756781469062</v>
      </c>
      <c r="H18" s="27"/>
      <c r="I18" s="27"/>
      <c r="J18" s="27"/>
      <c r="K18" s="11"/>
      <c r="M18" s="12"/>
    </row>
    <row r="19" spans="1:13" s="1" customFormat="1" x14ac:dyDescent="0.25">
      <c r="A19" s="38"/>
      <c r="B19" s="39"/>
      <c r="C19" s="40">
        <f t="shared" si="2"/>
        <v>10</v>
      </c>
      <c r="D19" s="10">
        <f>2/3.281</f>
        <v>0.6095702529716549</v>
      </c>
      <c r="E19" s="10">
        <v>3.87</v>
      </c>
      <c r="F19" s="10">
        <f t="shared" si="0"/>
        <v>23.590368790003044</v>
      </c>
      <c r="G19" s="36">
        <f t="shared" si="1"/>
        <v>23.590368790003044</v>
      </c>
      <c r="H19" s="27"/>
      <c r="I19" s="27"/>
      <c r="J19" s="27"/>
      <c r="K19" s="11"/>
      <c r="M19" s="12"/>
    </row>
    <row r="20" spans="1:13" s="1" customFormat="1" x14ac:dyDescent="0.25">
      <c r="A20" s="38"/>
      <c r="B20" s="39"/>
      <c r="C20" s="40">
        <f t="shared" si="2"/>
        <v>10</v>
      </c>
      <c r="D20" s="10">
        <f>1.333/3.281</f>
        <v>0.40627857360560804</v>
      </c>
      <c r="E20" s="10">
        <v>3.87</v>
      </c>
      <c r="F20" s="10">
        <f t="shared" si="0"/>
        <v>15.72298079853703</v>
      </c>
      <c r="G20" s="36">
        <f t="shared" si="1"/>
        <v>15.72298079853703</v>
      </c>
      <c r="H20" s="27"/>
      <c r="I20" s="27"/>
      <c r="J20" s="27"/>
      <c r="K20" s="11"/>
      <c r="M20" s="12"/>
    </row>
    <row r="21" spans="1:13" s="1" customFormat="1" x14ac:dyDescent="0.25">
      <c r="A21" s="38"/>
      <c r="B21" s="39"/>
      <c r="C21" s="40">
        <f t="shared" si="2"/>
        <v>10</v>
      </c>
      <c r="D21" s="10">
        <f>8/12/3.281</f>
        <v>0.20319008432388497</v>
      </c>
      <c r="E21" s="10">
        <v>3.87</v>
      </c>
      <c r="F21" s="10">
        <f t="shared" si="0"/>
        <v>7.8634562633343483</v>
      </c>
      <c r="G21" s="36">
        <f t="shared" si="1"/>
        <v>7.8634562633343483</v>
      </c>
      <c r="H21" s="27"/>
      <c r="I21" s="27"/>
      <c r="J21" s="27"/>
      <c r="K21" s="11"/>
      <c r="M21" s="12"/>
    </row>
    <row r="22" spans="1:13" s="1" customFormat="1" ht="30" x14ac:dyDescent="0.25">
      <c r="A22" s="38"/>
      <c r="B22" s="39" t="s">
        <v>58</v>
      </c>
      <c r="C22" s="40">
        <f>2*6</f>
        <v>12</v>
      </c>
      <c r="D22" s="10">
        <f>44/3.281</f>
        <v>13.41054556537641</v>
      </c>
      <c r="E22" s="10">
        <v>2.72</v>
      </c>
      <c r="F22" s="10">
        <f t="shared" ref="F22" si="3">PRODUCT(C22:E22)</f>
        <v>437.72020725388603</v>
      </c>
      <c r="G22" s="36">
        <f t="shared" ref="G22" si="4">F22</f>
        <v>437.72020725388603</v>
      </c>
      <c r="H22" s="27"/>
      <c r="I22" s="27"/>
      <c r="J22" s="27"/>
      <c r="K22" s="11"/>
      <c r="M22" s="12"/>
    </row>
    <row r="23" spans="1:13" s="1" customFormat="1" x14ac:dyDescent="0.25">
      <c r="A23" s="21"/>
      <c r="B23" s="39" t="s">
        <v>26</v>
      </c>
      <c r="C23" s="22"/>
      <c r="D23" s="23"/>
      <c r="E23" s="24"/>
      <c r="F23" s="24"/>
      <c r="G23" s="27">
        <f>SUM(G10:G22)</f>
        <v>1274.1974398049376</v>
      </c>
      <c r="H23" s="25" t="s">
        <v>31</v>
      </c>
      <c r="I23" s="26">
        <v>181.17</v>
      </c>
      <c r="J23" s="27">
        <f>G23*I23</f>
        <v>230846.35016946052</v>
      </c>
      <c r="K23" s="24"/>
    </row>
    <row r="24" spans="1:13" s="1" customFormat="1" x14ac:dyDescent="0.25">
      <c r="A24" s="21"/>
      <c r="B24" s="39" t="s">
        <v>45</v>
      </c>
      <c r="C24" s="22"/>
      <c r="D24" s="23"/>
      <c r="E24" s="24"/>
      <c r="F24" s="24"/>
      <c r="G24" s="27"/>
      <c r="H24" s="25"/>
      <c r="I24" s="26"/>
      <c r="J24" s="27">
        <f>0.13*G23*(1871.42/18.94)</f>
        <v>16367.086296936026</v>
      </c>
      <c r="K24" s="24"/>
    </row>
    <row r="25" spans="1:13" s="1" customFormat="1" x14ac:dyDescent="0.25">
      <c r="A25" s="21"/>
      <c r="B25" s="37"/>
      <c r="C25" s="22"/>
      <c r="D25" s="23"/>
      <c r="E25" s="24"/>
      <c r="F25" s="24"/>
      <c r="G25" s="28"/>
      <c r="H25" s="25"/>
      <c r="I25" s="26"/>
      <c r="J25" s="27"/>
      <c r="K25" s="24"/>
    </row>
    <row r="26" spans="1:13" s="1" customFormat="1" ht="45" x14ac:dyDescent="0.25">
      <c r="A26" s="38">
        <v>2</v>
      </c>
      <c r="B26" s="37" t="s">
        <v>34</v>
      </c>
      <c r="C26" s="40"/>
      <c r="D26" s="10"/>
      <c r="E26" s="10"/>
      <c r="F26" s="10"/>
      <c r="G26" s="36"/>
      <c r="H26" s="27"/>
      <c r="I26" s="27"/>
      <c r="J26" s="27"/>
      <c r="K26" s="11"/>
      <c r="M26" s="12"/>
    </row>
    <row r="27" spans="1:13" s="1" customFormat="1" x14ac:dyDescent="0.25">
      <c r="A27" s="38"/>
      <c r="B27" s="39"/>
      <c r="C27" s="40">
        <v>2</v>
      </c>
      <c r="D27" s="10">
        <f>16.333/3.281</f>
        <v>4.97805547089302</v>
      </c>
      <c r="E27" s="10">
        <f>44/3.281</f>
        <v>13.41054556537641</v>
      </c>
      <c r="F27" s="10"/>
      <c r="G27" s="36">
        <f>PRODUCT(C27:F27)</f>
        <v>133.51687943876433</v>
      </c>
      <c r="H27" s="27"/>
      <c r="I27" s="27"/>
      <c r="J27" s="27"/>
      <c r="K27" s="11"/>
      <c r="M27" s="12"/>
    </row>
    <row r="28" spans="1:13" s="1" customFormat="1" x14ac:dyDescent="0.25">
      <c r="A28" s="21"/>
      <c r="B28" s="39" t="s">
        <v>26</v>
      </c>
      <c r="C28" s="22"/>
      <c r="D28" s="23"/>
      <c r="E28" s="24"/>
      <c r="F28" s="24"/>
      <c r="G28" s="27">
        <f>SUM(G27:G27)</f>
        <v>133.51687943876433</v>
      </c>
      <c r="H28" s="25" t="s">
        <v>35</v>
      </c>
      <c r="I28" s="26">
        <v>1070.9000000000001</v>
      </c>
      <c r="J28" s="27">
        <f>G28*I28</f>
        <v>142983.22619097272</v>
      </c>
      <c r="K28" s="24"/>
    </row>
    <row r="29" spans="1:13" s="1" customFormat="1" x14ac:dyDescent="0.25">
      <c r="A29" s="21"/>
      <c r="B29" s="39" t="s">
        <v>45</v>
      </c>
      <c r="C29" s="22"/>
      <c r="D29" s="23"/>
      <c r="E29" s="24"/>
      <c r="F29" s="24"/>
      <c r="G29" s="27"/>
      <c r="H29" s="25"/>
      <c r="I29" s="26"/>
      <c r="J29" s="27">
        <f>0.13*G28*8587.63/10</f>
        <v>14905.716271871303</v>
      </c>
      <c r="K29" s="24"/>
    </row>
    <row r="30" spans="1:13" s="1" customFormat="1" x14ac:dyDescent="0.25">
      <c r="A30" s="21"/>
      <c r="B30" s="39"/>
      <c r="C30" s="22"/>
      <c r="D30" s="23"/>
      <c r="E30" s="24"/>
      <c r="F30" s="24"/>
      <c r="G30" s="27"/>
      <c r="H30" s="25"/>
      <c r="I30" s="26"/>
      <c r="J30" s="27"/>
      <c r="K30" s="24"/>
    </row>
    <row r="31" spans="1:13" s="1" customFormat="1" ht="30" x14ac:dyDescent="0.25">
      <c r="A31" s="21">
        <v>3</v>
      </c>
      <c r="B31" s="37" t="s">
        <v>46</v>
      </c>
      <c r="C31" s="22"/>
      <c r="D31" s="23"/>
      <c r="E31" s="24"/>
      <c r="F31" s="24"/>
      <c r="G31" s="27"/>
      <c r="H31" s="25"/>
      <c r="I31" s="26"/>
      <c r="J31" s="27"/>
      <c r="K31" s="24"/>
    </row>
    <row r="32" spans="1:13" s="1" customFormat="1" x14ac:dyDescent="0.25">
      <c r="A32" s="21"/>
      <c r="B32" s="39" t="s">
        <v>47</v>
      </c>
      <c r="C32" s="22">
        <f>3*5</f>
        <v>15</v>
      </c>
      <c r="D32" s="23">
        <v>0.45</v>
      </c>
      <c r="E32" s="24">
        <v>0.45</v>
      </c>
      <c r="F32" s="24">
        <f>(2.5+0.25+0.17)/3.281</f>
        <v>0.88997256933861624</v>
      </c>
      <c r="G32" s="36">
        <f>PRODUCT(C32:F32)</f>
        <v>2.7032916793660471</v>
      </c>
      <c r="H32" s="25"/>
      <c r="I32" s="26"/>
      <c r="J32" s="27"/>
      <c r="K32" s="24"/>
    </row>
    <row r="33" spans="1:11" s="1" customFormat="1" x14ac:dyDescent="0.25">
      <c r="A33" s="21"/>
      <c r="B33" s="39" t="s">
        <v>26</v>
      </c>
      <c r="C33" s="22"/>
      <c r="D33" s="23"/>
      <c r="E33" s="24"/>
      <c r="F33" s="24"/>
      <c r="G33" s="27">
        <f>SUM(G32:G32)</f>
        <v>2.7032916793660471</v>
      </c>
      <c r="H33" s="25" t="s">
        <v>48</v>
      </c>
      <c r="I33" s="26">
        <v>663.31</v>
      </c>
      <c r="J33" s="27">
        <f>G33*I33</f>
        <v>1793.1204038402925</v>
      </c>
      <c r="K33" s="24"/>
    </row>
    <row r="34" spans="1:11" s="1" customFormat="1" x14ac:dyDescent="0.25">
      <c r="A34" s="21"/>
      <c r="B34" s="39"/>
      <c r="C34" s="22"/>
      <c r="D34" s="23"/>
      <c r="E34" s="24"/>
      <c r="F34" s="24"/>
      <c r="G34" s="27"/>
      <c r="H34" s="25"/>
      <c r="I34" s="26"/>
      <c r="J34" s="27"/>
      <c r="K34" s="24"/>
    </row>
    <row r="35" spans="1:11" s="1" customFormat="1" x14ac:dyDescent="0.25">
      <c r="A35" s="21">
        <v>4</v>
      </c>
      <c r="B35" s="37" t="s">
        <v>60</v>
      </c>
      <c r="C35" s="22"/>
      <c r="D35" s="23"/>
      <c r="E35" s="24"/>
      <c r="F35" s="24"/>
      <c r="G35" s="27"/>
      <c r="H35" s="25"/>
      <c r="I35" s="26"/>
      <c r="J35" s="27"/>
      <c r="K35" s="24"/>
    </row>
    <row r="36" spans="1:11" s="1" customFormat="1" x14ac:dyDescent="0.25">
      <c r="A36" s="21"/>
      <c r="B36" s="39" t="s">
        <v>47</v>
      </c>
      <c r="C36" s="22">
        <f>C32</f>
        <v>15</v>
      </c>
      <c r="D36" s="23">
        <f>D32</f>
        <v>0.45</v>
      </c>
      <c r="E36" s="24">
        <f>E32</f>
        <v>0.45</v>
      </c>
      <c r="F36" s="24"/>
      <c r="G36" s="36">
        <f>PRODUCT(C36:F36)</f>
        <v>3.0375000000000001</v>
      </c>
      <c r="H36" s="25"/>
      <c r="I36" s="26"/>
      <c r="J36" s="27"/>
      <c r="K36" s="24"/>
    </row>
    <row r="37" spans="1:11" s="1" customFormat="1" x14ac:dyDescent="0.25">
      <c r="A37" s="21"/>
      <c r="B37" s="39" t="s">
        <v>62</v>
      </c>
      <c r="C37" s="22">
        <v>1</v>
      </c>
      <c r="D37" s="23">
        <f>40/3.281</f>
        <v>12.1914050594331</v>
      </c>
      <c r="E37" s="24">
        <f>30/3.281</f>
        <v>9.1435537945748244</v>
      </c>
      <c r="F37" s="24"/>
      <c r="G37" s="36">
        <f>PRODUCT(C37:F37)</f>
        <v>111.47276799237824</v>
      </c>
      <c r="H37" s="25"/>
      <c r="I37" s="26"/>
      <c r="J37" s="27"/>
      <c r="K37" s="24"/>
    </row>
    <row r="38" spans="1:11" s="1" customFormat="1" x14ac:dyDescent="0.25">
      <c r="A38" s="21"/>
      <c r="B38" s="39" t="s">
        <v>26</v>
      </c>
      <c r="C38" s="22"/>
      <c r="D38" s="23"/>
      <c r="E38" s="24"/>
      <c r="F38" s="24"/>
      <c r="G38" s="27">
        <f>SUM(G36:G37)</f>
        <v>114.51026799237823</v>
      </c>
      <c r="H38" s="25" t="s">
        <v>35</v>
      </c>
      <c r="I38" s="26">
        <v>1014.97</v>
      </c>
      <c r="J38" s="27">
        <f>G38*I38</f>
        <v>116224.48670422414</v>
      </c>
      <c r="K38" s="24"/>
    </row>
    <row r="39" spans="1:11" s="1" customFormat="1" x14ac:dyDescent="0.25">
      <c r="A39" s="21"/>
      <c r="B39" s="39" t="s">
        <v>45</v>
      </c>
      <c r="C39" s="22"/>
      <c r="D39" s="23"/>
      <c r="E39" s="24"/>
      <c r="F39" s="24"/>
      <c r="G39" s="27"/>
      <c r="H39" s="25"/>
      <c r="I39" s="26"/>
      <c r="J39" s="27">
        <f>0.13*G38*8617.2/10</f>
        <v>12827.852457470985</v>
      </c>
      <c r="K39" s="24"/>
    </row>
    <row r="40" spans="1:11" s="1" customFormat="1" x14ac:dyDescent="0.25">
      <c r="A40" s="21"/>
      <c r="B40" s="39"/>
      <c r="C40" s="22"/>
      <c r="D40" s="23"/>
      <c r="E40" s="24"/>
      <c r="F40" s="24"/>
      <c r="G40" s="27"/>
      <c r="H40" s="25"/>
      <c r="I40" s="26"/>
      <c r="J40" s="27"/>
      <c r="K40" s="24"/>
    </row>
    <row r="41" spans="1:11" s="1" customFormat="1" ht="30" x14ac:dyDescent="0.25">
      <c r="A41" s="21">
        <v>5</v>
      </c>
      <c r="B41" s="37" t="s">
        <v>50</v>
      </c>
      <c r="C41" s="22"/>
      <c r="D41" s="23"/>
      <c r="E41" s="24"/>
      <c r="F41" s="24"/>
      <c r="G41" s="27"/>
      <c r="H41" s="25"/>
      <c r="I41" s="26"/>
      <c r="J41" s="27"/>
      <c r="K41" s="24"/>
    </row>
    <row r="42" spans="1:11" s="1" customFormat="1" x14ac:dyDescent="0.25">
      <c r="A42" s="21"/>
      <c r="B42" s="39" t="s">
        <v>47</v>
      </c>
      <c r="C42" s="22">
        <f>C36</f>
        <v>15</v>
      </c>
      <c r="D42" s="23">
        <f>D36</f>
        <v>0.45</v>
      </c>
      <c r="E42" s="24">
        <f>E36</f>
        <v>0.45</v>
      </c>
      <c r="F42" s="24">
        <v>7.4999999999999997E-2</v>
      </c>
      <c r="G42" s="36">
        <f>PRODUCT(C42:F42)</f>
        <v>0.2278125</v>
      </c>
      <c r="H42" s="25"/>
      <c r="I42" s="26"/>
      <c r="J42" s="27"/>
      <c r="K42" s="24"/>
    </row>
    <row r="43" spans="1:11" s="1" customFormat="1" x14ac:dyDescent="0.25">
      <c r="A43" s="21"/>
      <c r="B43" s="39" t="s">
        <v>26</v>
      </c>
      <c r="C43" s="22"/>
      <c r="D43" s="23"/>
      <c r="E43" s="24"/>
      <c r="F43" s="24"/>
      <c r="G43" s="27">
        <f>SUM(G42:G42)</f>
        <v>0.2278125</v>
      </c>
      <c r="H43" s="25" t="s">
        <v>48</v>
      </c>
      <c r="I43" s="26">
        <v>12983.1</v>
      </c>
      <c r="J43" s="27">
        <f>G43*I43</f>
        <v>2957.71246875</v>
      </c>
      <c r="K43" s="24"/>
    </row>
    <row r="44" spans="1:11" s="1" customFormat="1" x14ac:dyDescent="0.25">
      <c r="A44" s="21"/>
      <c r="B44" s="39" t="s">
        <v>45</v>
      </c>
      <c r="C44" s="22"/>
      <c r="D44" s="23"/>
      <c r="E44" s="24"/>
      <c r="F44" s="24"/>
      <c r="G44" s="27"/>
      <c r="H44" s="25"/>
      <c r="I44" s="26"/>
      <c r="J44" s="27">
        <f>0.13*G43*8078.11</f>
        <v>239.23827646874997</v>
      </c>
      <c r="K44" s="24"/>
    </row>
    <row r="45" spans="1:11" s="1" customFormat="1" x14ac:dyDescent="0.25">
      <c r="A45" s="21"/>
      <c r="B45" s="39"/>
      <c r="C45" s="22"/>
      <c r="D45" s="23"/>
      <c r="E45" s="24"/>
      <c r="F45" s="24"/>
      <c r="G45" s="27"/>
      <c r="H45" s="25"/>
      <c r="I45" s="26"/>
      <c r="J45" s="27"/>
      <c r="K45" s="24"/>
    </row>
    <row r="46" spans="1:11" s="1" customFormat="1" ht="30" x14ac:dyDescent="0.25">
      <c r="A46" s="21">
        <v>6</v>
      </c>
      <c r="B46" s="37" t="s">
        <v>51</v>
      </c>
      <c r="C46" s="22"/>
      <c r="D46" s="23"/>
      <c r="E46" s="24"/>
      <c r="F46" s="24"/>
      <c r="G46" s="27"/>
      <c r="H46" s="25"/>
      <c r="I46" s="26"/>
      <c r="J46" s="27"/>
      <c r="K46" s="24"/>
    </row>
    <row r="47" spans="1:11" s="1" customFormat="1" x14ac:dyDescent="0.25">
      <c r="A47" s="21"/>
      <c r="B47" s="39" t="s">
        <v>63</v>
      </c>
      <c r="C47" s="22">
        <f>C42</f>
        <v>15</v>
      </c>
      <c r="D47" s="23">
        <f>D42</f>
        <v>0.45</v>
      </c>
      <c r="E47" s="24">
        <f>E42</f>
        <v>0.45</v>
      </c>
      <c r="F47" s="24">
        <v>0.75</v>
      </c>
      <c r="G47" s="36">
        <f>PRODUCT(C47:F47)</f>
        <v>2.2781250000000002</v>
      </c>
      <c r="H47" s="25"/>
      <c r="I47" s="26"/>
      <c r="J47" s="27"/>
      <c r="K47" s="24"/>
    </row>
    <row r="48" spans="1:11" s="1" customFormat="1" x14ac:dyDescent="0.25">
      <c r="A48" s="21"/>
      <c r="B48" s="39"/>
      <c r="C48" s="22">
        <f>C47</f>
        <v>15</v>
      </c>
      <c r="D48" s="23">
        <v>0.3</v>
      </c>
      <c r="E48" s="24">
        <v>0.3</v>
      </c>
      <c r="F48" s="24">
        <v>0.45</v>
      </c>
      <c r="G48" s="36">
        <f>PRODUCT(C48:F48)</f>
        <v>0.60749999999999993</v>
      </c>
      <c r="H48" s="25"/>
      <c r="I48" s="26"/>
      <c r="J48" s="27"/>
      <c r="K48" s="24"/>
    </row>
    <row r="49" spans="1:11" s="1" customFormat="1" x14ac:dyDescent="0.25">
      <c r="A49" s="21"/>
      <c r="B49" s="39" t="s">
        <v>62</v>
      </c>
      <c r="C49" s="22">
        <v>1</v>
      </c>
      <c r="D49" s="23">
        <f>D37</f>
        <v>12.1914050594331</v>
      </c>
      <c r="E49" s="24">
        <f>E37</f>
        <v>9.1435537945748244</v>
      </c>
      <c r="F49" s="24">
        <v>7.4999999999999997E-2</v>
      </c>
      <c r="G49" s="36">
        <f>PRODUCT(C49:F49)</f>
        <v>8.3604575994283667</v>
      </c>
      <c r="H49" s="25"/>
      <c r="I49" s="26"/>
      <c r="J49" s="27"/>
      <c r="K49" s="24"/>
    </row>
    <row r="50" spans="1:11" s="1" customFormat="1" x14ac:dyDescent="0.25">
      <c r="A50" s="21"/>
      <c r="B50" s="39" t="s">
        <v>26</v>
      </c>
      <c r="C50" s="22"/>
      <c r="D50" s="23"/>
      <c r="E50" s="24"/>
      <c r="F50" s="24"/>
      <c r="G50" s="27">
        <f>SUM(G47:G49)</f>
        <v>11.246082599428366</v>
      </c>
      <c r="H50" s="25" t="s">
        <v>48</v>
      </c>
      <c r="I50" s="26">
        <v>13568.9</v>
      </c>
      <c r="J50" s="27">
        <f>G50*I50</f>
        <v>152596.97018338356</v>
      </c>
      <c r="K50" s="24"/>
    </row>
    <row r="51" spans="1:11" s="1" customFormat="1" x14ac:dyDescent="0.25">
      <c r="A51" s="21"/>
      <c r="B51" s="39" t="s">
        <v>45</v>
      </c>
      <c r="C51" s="22"/>
      <c r="D51" s="23"/>
      <c r="E51" s="24"/>
      <c r="F51" s="24"/>
      <c r="G51" s="27"/>
      <c r="H51" s="25"/>
      <c r="I51" s="26"/>
      <c r="J51" s="27">
        <f>0.13*G50*9524.2</f>
        <v>13924.292186151835</v>
      </c>
      <c r="K51" s="24"/>
    </row>
    <row r="52" spans="1:11" s="1" customFormat="1" x14ac:dyDescent="0.25">
      <c r="A52" s="21"/>
      <c r="B52" s="39"/>
      <c r="C52" s="22"/>
      <c r="D52" s="23"/>
      <c r="E52" s="24"/>
      <c r="F52" s="24"/>
      <c r="G52" s="27"/>
      <c r="H52" s="25"/>
      <c r="I52" s="26"/>
      <c r="J52" s="27"/>
      <c r="K52" s="24"/>
    </row>
    <row r="53" spans="1:11" s="1" customFormat="1" ht="30" x14ac:dyDescent="0.25">
      <c r="A53" s="21">
        <v>7</v>
      </c>
      <c r="B53" s="37" t="s">
        <v>59</v>
      </c>
      <c r="C53" s="22"/>
      <c r="D53" s="23"/>
      <c r="E53" s="24"/>
      <c r="F53" s="24"/>
      <c r="G53" s="27"/>
      <c r="H53" s="25"/>
      <c r="I53" s="26"/>
      <c r="J53" s="27"/>
      <c r="K53" s="24"/>
    </row>
    <row r="54" spans="1:11" s="1" customFormat="1" x14ac:dyDescent="0.25">
      <c r="A54" s="21"/>
      <c r="B54" s="39" t="s">
        <v>63</v>
      </c>
      <c r="C54" s="22">
        <f>4*2</f>
        <v>8</v>
      </c>
      <c r="D54" s="23">
        <f>13.917/3.281</f>
        <v>4.2416946053032607</v>
      </c>
      <c r="E54" s="24">
        <v>0.23</v>
      </c>
      <c r="F54" s="24">
        <v>0.3</v>
      </c>
      <c r="G54" s="36">
        <f>PRODUCT(C54:F54)</f>
        <v>2.3414154221273997</v>
      </c>
      <c r="H54" s="25"/>
      <c r="I54" s="26"/>
      <c r="J54" s="27"/>
      <c r="K54" s="24"/>
    </row>
    <row r="55" spans="1:11" s="1" customFormat="1" x14ac:dyDescent="0.25">
      <c r="A55" s="21"/>
      <c r="B55" s="39"/>
      <c r="C55" s="22">
        <f>2*2</f>
        <v>4</v>
      </c>
      <c r="D55" s="23">
        <f>8.917/3.281</f>
        <v>2.7177689728741234</v>
      </c>
      <c r="E55" s="24">
        <v>0.23</v>
      </c>
      <c r="F55" s="24">
        <v>0.3</v>
      </c>
      <c r="G55" s="36">
        <f>PRODUCT(C55:F55)</f>
        <v>0.75010423651325808</v>
      </c>
      <c r="H55" s="25"/>
      <c r="I55" s="26"/>
      <c r="J55" s="27"/>
      <c r="K55" s="24"/>
    </row>
    <row r="56" spans="1:11" s="1" customFormat="1" x14ac:dyDescent="0.25">
      <c r="A56" s="21"/>
      <c r="B56" s="39" t="s">
        <v>64</v>
      </c>
      <c r="C56" s="22">
        <v>2</v>
      </c>
      <c r="D56" s="23">
        <f>30/3.281</f>
        <v>9.1435537945748244</v>
      </c>
      <c r="E56" s="24">
        <v>0.23</v>
      </c>
      <c r="F56" s="24">
        <v>0.9</v>
      </c>
      <c r="G56" s="36">
        <f t="shared" ref="G56:G57" si="5">PRODUCT(C56:F56)</f>
        <v>3.7854312709539779</v>
      </c>
      <c r="H56" s="25"/>
      <c r="I56" s="26"/>
      <c r="J56" s="27"/>
      <c r="K56" s="24"/>
    </row>
    <row r="57" spans="1:11" s="1" customFormat="1" x14ac:dyDescent="0.25">
      <c r="A57" s="21"/>
      <c r="B57" s="39"/>
      <c r="C57" s="22">
        <v>2</v>
      </c>
      <c r="D57" s="23">
        <f>(40-1.5)/3.281</f>
        <v>11.734227369704358</v>
      </c>
      <c r="E57" s="24">
        <v>0.23</v>
      </c>
      <c r="F57" s="24">
        <v>0.9</v>
      </c>
      <c r="G57" s="36">
        <f t="shared" si="5"/>
        <v>4.8579701310576047</v>
      </c>
      <c r="H57" s="25"/>
      <c r="I57" s="26"/>
      <c r="J57" s="27"/>
      <c r="K57" s="24"/>
    </row>
    <row r="58" spans="1:11" s="1" customFormat="1" x14ac:dyDescent="0.25">
      <c r="A58" s="21"/>
      <c r="B58" s="39" t="s">
        <v>26</v>
      </c>
      <c r="C58" s="22"/>
      <c r="D58" s="23"/>
      <c r="E58" s="24"/>
      <c r="F58" s="24"/>
      <c r="G58" s="27">
        <f>SUM(G54:G57)</f>
        <v>11.73492106065224</v>
      </c>
      <c r="H58" s="25" t="s">
        <v>48</v>
      </c>
      <c r="I58" s="26">
        <v>14362.76</v>
      </c>
      <c r="J58" s="27">
        <f>G58*I58</f>
        <v>168545.85481309358</v>
      </c>
      <c r="K58" s="24"/>
    </row>
    <row r="59" spans="1:11" s="1" customFormat="1" x14ac:dyDescent="0.25">
      <c r="A59" s="21"/>
      <c r="B59" s="39" t="s">
        <v>45</v>
      </c>
      <c r="C59" s="22"/>
      <c r="D59" s="23"/>
      <c r="E59" s="24"/>
      <c r="F59" s="24"/>
      <c r="G59" s="27"/>
      <c r="H59" s="25"/>
      <c r="I59" s="26"/>
      <c r="J59" s="27">
        <f>0.13*G58*10311.74</f>
        <v>15730.969136736117</v>
      </c>
      <c r="K59" s="24"/>
    </row>
    <row r="60" spans="1:11" s="1" customFormat="1" x14ac:dyDescent="0.25">
      <c r="A60" s="21"/>
      <c r="B60" s="39"/>
      <c r="C60" s="22"/>
      <c r="D60" s="23"/>
      <c r="E60" s="24"/>
      <c r="F60" s="24"/>
      <c r="G60" s="27"/>
      <c r="H60" s="25"/>
      <c r="I60" s="26"/>
      <c r="J60" s="27"/>
      <c r="K60" s="24"/>
    </row>
    <row r="61" spans="1:11" s="1" customFormat="1" ht="30" x14ac:dyDescent="0.25">
      <c r="A61" s="21">
        <v>8</v>
      </c>
      <c r="B61" s="37" t="s">
        <v>65</v>
      </c>
      <c r="C61" s="22"/>
      <c r="D61" s="23"/>
      <c r="E61" s="24"/>
      <c r="F61" s="24"/>
      <c r="G61" s="27"/>
      <c r="H61" s="25"/>
      <c r="I61" s="26"/>
      <c r="J61" s="27"/>
      <c r="K61" s="24"/>
    </row>
    <row r="62" spans="1:11" s="1" customFormat="1" x14ac:dyDescent="0.25">
      <c r="A62" s="21"/>
      <c r="B62" s="39" t="s">
        <v>64</v>
      </c>
      <c r="C62" s="22">
        <f>2*2</f>
        <v>4</v>
      </c>
      <c r="D62" s="23">
        <f>30/3.281</f>
        <v>9.1435537945748244</v>
      </c>
      <c r="E62" s="24"/>
      <c r="F62" s="24">
        <v>0.9</v>
      </c>
      <c r="G62" s="36">
        <f t="shared" ref="G62:G63" si="6">PRODUCT(C62:F62)</f>
        <v>32.916793660469367</v>
      </c>
      <c r="H62" s="25"/>
      <c r="I62" s="26"/>
      <c r="J62" s="27"/>
      <c r="K62" s="24"/>
    </row>
    <row r="63" spans="1:11" s="1" customFormat="1" x14ac:dyDescent="0.25">
      <c r="A63" s="21"/>
      <c r="B63" s="39"/>
      <c r="C63" s="22">
        <f>2*2</f>
        <v>4</v>
      </c>
      <c r="D63" s="23">
        <f>(40-1.5)/3.281</f>
        <v>11.734227369704358</v>
      </c>
      <c r="E63" s="24"/>
      <c r="F63" s="24">
        <v>0.9</v>
      </c>
      <c r="G63" s="36">
        <f t="shared" si="6"/>
        <v>42.243218530935692</v>
      </c>
      <c r="H63" s="25"/>
      <c r="I63" s="26"/>
      <c r="J63" s="27"/>
      <c r="K63" s="24"/>
    </row>
    <row r="64" spans="1:11" s="1" customFormat="1" x14ac:dyDescent="0.25">
      <c r="A64" s="21"/>
      <c r="B64" s="39" t="s">
        <v>26</v>
      </c>
      <c r="C64" s="22"/>
      <c r="D64" s="23"/>
      <c r="E64" s="24"/>
      <c r="F64" s="24"/>
      <c r="G64" s="27">
        <f>SUM(G60:G63)</f>
        <v>75.160012191405059</v>
      </c>
      <c r="H64" s="25" t="s">
        <v>35</v>
      </c>
      <c r="I64" s="26">
        <v>405.86</v>
      </c>
      <c r="J64" s="27">
        <f>G64*I64</f>
        <v>30504.442548003659</v>
      </c>
      <c r="K64" s="24"/>
    </row>
    <row r="65" spans="1:31" s="1" customFormat="1" x14ac:dyDescent="0.25">
      <c r="A65" s="21"/>
      <c r="B65" s="39" t="s">
        <v>45</v>
      </c>
      <c r="C65" s="22"/>
      <c r="D65" s="23"/>
      <c r="E65" s="24"/>
      <c r="F65" s="24"/>
      <c r="G65" s="27"/>
      <c r="H65" s="25"/>
      <c r="I65" s="26"/>
      <c r="J65" s="27">
        <f>0.13*G64*11166.2/100</f>
        <v>1091.0272465711676</v>
      </c>
      <c r="K65" s="24"/>
    </row>
    <row r="66" spans="1:31" s="1" customFormat="1" x14ac:dyDescent="0.25">
      <c r="A66" s="21"/>
      <c r="B66" s="37"/>
      <c r="C66" s="22"/>
      <c r="D66" s="23"/>
      <c r="E66" s="24"/>
      <c r="F66" s="24"/>
      <c r="G66" s="27"/>
      <c r="H66" s="25"/>
      <c r="I66" s="26"/>
      <c r="J66" s="27"/>
      <c r="K66" s="24"/>
    </row>
    <row r="67" spans="1:31" s="1" customFormat="1" ht="28.5" x14ac:dyDescent="0.25">
      <c r="A67" s="21">
        <v>9</v>
      </c>
      <c r="B67" s="41" t="s">
        <v>37</v>
      </c>
      <c r="C67" s="22">
        <v>1</v>
      </c>
      <c r="D67" s="23"/>
      <c r="E67" s="24"/>
      <c r="F67" s="24"/>
      <c r="G67" s="36">
        <f>PRODUCT(C67:F67)</f>
        <v>1</v>
      </c>
      <c r="H67" s="25" t="s">
        <v>38</v>
      </c>
      <c r="I67" s="26">
        <v>5000</v>
      </c>
      <c r="J67" s="27">
        <f>G67*I67</f>
        <v>5000</v>
      </c>
      <c r="K67" s="24"/>
    </row>
    <row r="68" spans="1:31" s="1" customFormat="1" x14ac:dyDescent="0.25">
      <c r="A68" s="21"/>
      <c r="B68" s="39"/>
      <c r="C68" s="22"/>
      <c r="D68" s="23"/>
      <c r="E68" s="24"/>
      <c r="F68" s="24"/>
      <c r="G68" s="27"/>
      <c r="H68" s="25"/>
      <c r="I68" s="26"/>
      <c r="J68" s="27"/>
      <c r="K68" s="24"/>
    </row>
    <row r="69" spans="1:31" s="1" customFormat="1" x14ac:dyDescent="0.25">
      <c r="A69" s="21">
        <v>10</v>
      </c>
      <c r="B69" s="41" t="s">
        <v>39</v>
      </c>
      <c r="C69" s="22">
        <v>1</v>
      </c>
      <c r="D69" s="23"/>
      <c r="E69" s="24"/>
      <c r="F69" s="24"/>
      <c r="G69" s="36">
        <f>PRODUCT(C69:F69)</f>
        <v>1</v>
      </c>
      <c r="H69" s="25" t="s">
        <v>61</v>
      </c>
      <c r="I69" s="26">
        <v>500</v>
      </c>
      <c r="J69" s="27">
        <f>G69*I69</f>
        <v>500</v>
      </c>
      <c r="K69" s="24"/>
    </row>
    <row r="70" spans="1:31" s="1" customFormat="1" x14ac:dyDescent="0.25">
      <c r="A70" s="21"/>
      <c r="B70" s="39"/>
      <c r="C70" s="22"/>
      <c r="D70" s="23"/>
      <c r="E70" s="24"/>
      <c r="F70" s="24"/>
      <c r="G70" s="27"/>
      <c r="H70" s="25"/>
      <c r="I70" s="26"/>
      <c r="J70" s="27"/>
      <c r="K70" s="24"/>
    </row>
    <row r="71" spans="1:31" x14ac:dyDescent="0.25">
      <c r="A71" s="9"/>
      <c r="B71" s="20" t="s">
        <v>16</v>
      </c>
      <c r="C71" s="8"/>
      <c r="D71" s="6"/>
      <c r="E71" s="6"/>
      <c r="F71" s="6"/>
      <c r="G71" s="33"/>
      <c r="H71" s="7"/>
      <c r="I71" s="7"/>
      <c r="J71" s="7">
        <f>SUM(J10:J70)</f>
        <v>927038.34535393445</v>
      </c>
      <c r="K71" s="4"/>
      <c r="M71" s="29"/>
      <c r="P71" s="32"/>
      <c r="Q71" s="32"/>
    </row>
    <row r="72" spans="1:31" x14ac:dyDescent="0.25">
      <c r="M72" s="29"/>
      <c r="N72" s="30"/>
      <c r="O72" s="30"/>
      <c r="P72" s="31"/>
      <c r="R72" s="30"/>
      <c r="S72" s="30"/>
      <c r="T72" s="30"/>
      <c r="U72" s="29"/>
      <c r="V72" s="29"/>
      <c r="W72" s="29"/>
      <c r="X72" s="29"/>
      <c r="Y72" s="29"/>
      <c r="Z72" s="29"/>
      <c r="AA72" s="29"/>
      <c r="AB72" s="29"/>
      <c r="AC72" s="29"/>
      <c r="AD72" s="29"/>
      <c r="AE72" s="29"/>
    </row>
    <row r="73" spans="1:31" s="1" customFormat="1" x14ac:dyDescent="0.25">
      <c r="B73" s="11" t="s">
        <v>22</v>
      </c>
      <c r="C73" s="42">
        <f>J71</f>
        <v>927038.34535393445</v>
      </c>
      <c r="D73" s="43"/>
      <c r="E73" s="10">
        <v>100</v>
      </c>
      <c r="F73" s="12"/>
      <c r="G73" s="13"/>
      <c r="H73" s="12"/>
      <c r="I73" s="14"/>
      <c r="J73" s="15"/>
      <c r="K73" s="16"/>
      <c r="M73" s="12"/>
      <c r="N73" s="30"/>
      <c r="O73" s="30"/>
      <c r="P73" s="30"/>
      <c r="Q73" s="30"/>
      <c r="R73" s="30"/>
      <c r="S73" s="30"/>
      <c r="T73" s="30"/>
      <c r="U73" s="12"/>
      <c r="V73" s="12"/>
      <c r="W73" s="12"/>
      <c r="X73" s="12"/>
      <c r="Y73" s="12"/>
      <c r="Z73" s="12"/>
      <c r="AA73" s="12"/>
      <c r="AB73" s="12"/>
      <c r="AC73" s="12"/>
      <c r="AD73" s="12"/>
      <c r="AE73" s="12"/>
    </row>
    <row r="74" spans="1:31" x14ac:dyDescent="0.25">
      <c r="B74" s="11" t="s">
        <v>17</v>
      </c>
      <c r="C74" s="46">
        <v>400000</v>
      </c>
      <c r="D74" s="47"/>
      <c r="E74" s="10"/>
      <c r="M74" s="29"/>
      <c r="N74" s="30"/>
      <c r="O74" s="30"/>
      <c r="P74" s="30"/>
      <c r="Q74" s="30"/>
      <c r="R74" s="30"/>
      <c r="S74" s="30"/>
      <c r="T74" s="30"/>
      <c r="U74" s="29"/>
      <c r="V74" s="29"/>
      <c r="W74" s="29"/>
      <c r="X74" s="29"/>
      <c r="Y74" s="29"/>
      <c r="Z74" s="29"/>
      <c r="AA74" s="29"/>
      <c r="AB74" s="29"/>
      <c r="AC74" s="29"/>
      <c r="AD74" s="29"/>
      <c r="AE74" s="29"/>
    </row>
    <row r="75" spans="1:31" x14ac:dyDescent="0.25">
      <c r="B75" s="11" t="s">
        <v>18</v>
      </c>
      <c r="C75" s="46">
        <f>C74-C77-C78</f>
        <v>380000</v>
      </c>
      <c r="D75" s="47"/>
      <c r="E75" s="10">
        <f>C75/C73*100</f>
        <v>40.990753176981002</v>
      </c>
      <c r="M75" s="29"/>
      <c r="N75" s="29"/>
      <c r="O75" s="29"/>
      <c r="P75" s="29"/>
      <c r="Q75" s="29"/>
      <c r="R75" s="29"/>
      <c r="S75" s="29"/>
      <c r="T75" s="29"/>
      <c r="U75" s="29"/>
      <c r="V75" s="29"/>
      <c r="W75" s="29"/>
      <c r="X75" s="29"/>
      <c r="Y75" s="29"/>
      <c r="Z75" s="29"/>
      <c r="AA75" s="29"/>
      <c r="AB75" s="29"/>
      <c r="AC75" s="29"/>
      <c r="AD75" s="29"/>
      <c r="AE75" s="29"/>
    </row>
    <row r="76" spans="1:31" x14ac:dyDescent="0.25">
      <c r="B76" s="11" t="s">
        <v>19</v>
      </c>
      <c r="C76" s="48">
        <f>C73-C75</f>
        <v>547038.34535393445</v>
      </c>
      <c r="D76" s="48"/>
      <c r="E76" s="10">
        <f>100-E75</f>
        <v>59.009246823018998</v>
      </c>
      <c r="M76" s="29"/>
      <c r="N76" s="29"/>
      <c r="O76" s="29"/>
      <c r="P76" s="29"/>
      <c r="Q76" s="29"/>
      <c r="R76" s="29"/>
      <c r="S76" s="29"/>
      <c r="T76" s="29"/>
      <c r="U76" s="29"/>
      <c r="V76" s="29"/>
      <c r="W76" s="29"/>
      <c r="X76" s="29"/>
      <c r="Y76" s="29"/>
      <c r="Z76" s="29"/>
      <c r="AA76" s="29"/>
      <c r="AB76" s="29"/>
      <c r="AC76" s="29"/>
      <c r="AD76" s="29"/>
      <c r="AE76" s="29"/>
    </row>
    <row r="77" spans="1:31" x14ac:dyDescent="0.25">
      <c r="B77" s="11" t="s">
        <v>20</v>
      </c>
      <c r="C77" s="42">
        <f>C74*0.03</f>
        <v>12000</v>
      </c>
      <c r="D77" s="43"/>
      <c r="E77" s="10">
        <v>3</v>
      </c>
      <c r="M77" s="29"/>
      <c r="N77" s="29"/>
      <c r="O77" s="29"/>
      <c r="P77" s="29"/>
      <c r="Q77" s="29"/>
      <c r="R77" s="29"/>
      <c r="S77" s="29"/>
      <c r="T77" s="29"/>
      <c r="U77" s="29"/>
      <c r="V77" s="29"/>
      <c r="W77" s="29"/>
      <c r="X77" s="29"/>
      <c r="Y77" s="29"/>
      <c r="Z77" s="29"/>
      <c r="AA77" s="29"/>
      <c r="AB77" s="29"/>
      <c r="AC77" s="29"/>
      <c r="AD77" s="29"/>
      <c r="AE77" s="29"/>
    </row>
    <row r="78" spans="1:31" x14ac:dyDescent="0.25">
      <c r="B78" s="11" t="s">
        <v>21</v>
      </c>
      <c r="C78" s="42">
        <f>C74*0.02</f>
        <v>8000</v>
      </c>
      <c r="D78" s="43"/>
      <c r="E78" s="10">
        <v>2</v>
      </c>
      <c r="M78" s="29"/>
      <c r="N78" s="29"/>
      <c r="O78" s="29"/>
      <c r="P78" s="29"/>
      <c r="Q78" s="29"/>
      <c r="R78" s="29"/>
      <c r="S78" s="29"/>
      <c r="T78" s="29"/>
      <c r="U78" s="29"/>
      <c r="V78" s="29"/>
      <c r="W78" s="29"/>
      <c r="X78" s="29"/>
      <c r="Y78" s="29"/>
      <c r="Z78" s="29"/>
      <c r="AA78" s="29"/>
      <c r="AB78" s="29"/>
      <c r="AC78" s="29"/>
      <c r="AD78" s="29"/>
      <c r="AE78" s="29"/>
    </row>
  </sheetData>
  <mergeCells count="15">
    <mergeCell ref="A6:G6"/>
    <mergeCell ref="H6:K6"/>
    <mergeCell ref="A1:K1"/>
    <mergeCell ref="A2:K2"/>
    <mergeCell ref="A3:K3"/>
    <mergeCell ref="A4:K4"/>
    <mergeCell ref="A5:K5"/>
    <mergeCell ref="C77:D77"/>
    <mergeCell ref="C78:D78"/>
    <mergeCell ref="A7:F7"/>
    <mergeCell ref="H7:K7"/>
    <mergeCell ref="C73:D73"/>
    <mergeCell ref="C74:D74"/>
    <mergeCell ref="C75:D75"/>
    <mergeCell ref="C76:D76"/>
  </mergeCells>
  <hyperlinks>
    <hyperlink ref="B61"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rowBreaks count="1" manualBreakCount="1">
    <brk id="40"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new</vt:lpstr>
      <vt:lpstr>as per mistry</vt:lpstr>
      <vt:lpstr>'as per mistry'!Print_Area</vt:lpstr>
      <vt:lpstr>new!Print_Area</vt:lpstr>
      <vt:lpstr>'as per mistry'!Print_Titles</vt:lpstr>
      <vt:lpstr>new!Print_Titles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2024-11-17T05:59:06Z</cp:lastPrinted>
  <dcterms:created xsi:type="dcterms:W3CDTF">2015-06-05T18:17:20Z</dcterms:created>
  <dcterms:modified xsi:type="dcterms:W3CDTF">2024-11-17T05:59:28Z</dcterms:modified>
</cp:coreProperties>
</file>