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I:\dar rate\dar rate 82 83\"/>
    </mc:Choice>
  </mc:AlternateContent>
  <bookViews>
    <workbookView xWindow="0" yWindow="0" windowWidth="20490" windowHeight="7455" firstSheet="3" activeTab="5"/>
  </bookViews>
  <sheets>
    <sheet name="Datasheet" sheetId="1" state="hidden" r:id="rId1"/>
    <sheet name="Abstract" sheetId="2" state="hidden" r:id="rId2"/>
    <sheet name="Quantity_Sheet" sheetId="3" state="hidden" r:id="rId3"/>
    <sheet name="District_Rate" sheetId="4" r:id="rId4"/>
    <sheet name="Equipment_Rate" sheetId="5" r:id="rId5"/>
    <sheet name="Summary_of_Rates" sheetId="6" r:id="rId6"/>
    <sheet name="rate (roadway)" sheetId="14" state="hidden" r:id="rId7"/>
    <sheet name="manhole" sheetId="19" state="hidden" r:id="rId8"/>
    <sheet name="bistar" sheetId="18" state="hidden" r:id="rId9"/>
    <sheet name="Rate_Analysis" sheetId="7" r:id="rId10"/>
    <sheet name="DWC pipe Rate-analysis" sheetId="21" r:id="rId11"/>
    <sheet name="Sheet1" sheetId="20" r:id="rId12"/>
    <sheet name="Sheet2" sheetId="15" state="hidden" r:id="rId13"/>
    <sheet name="Sheet3" sheetId="16" state="hidden" r:id="rId14"/>
    <sheet name="Sheet4" sheetId="17" state="hidden" r:id="rId15"/>
    <sheet name="Loading_Unloading" sheetId="8" r:id="rId16"/>
    <sheet name="Collection" sheetId="9" r:id="rId17"/>
    <sheet name="Transportation" sheetId="10" r:id="rId18"/>
    <sheet name="References" sheetId="11" r:id="rId19"/>
    <sheet name="BOQ" sheetId="12" state="hidden" r:id="rId20"/>
    <sheet name="PPMO_BOQ" sheetId="13" state="hidden" r:id="rId21"/>
  </sheets>
  <externalReferences>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s>
  <definedNames>
    <definedName name="_______DR1" localSheetId="8">#REF!</definedName>
    <definedName name="_______DR1" localSheetId="7">#REF!</definedName>
    <definedName name="_______DR1">#REF!</definedName>
    <definedName name="____fab111">#REF!</definedName>
    <definedName name="____fab211">#REF!</definedName>
    <definedName name="____fab311">#REF!</definedName>
    <definedName name="___BOQ1">[1]Rates!$G$42</definedName>
    <definedName name="___fab111">#REF!</definedName>
    <definedName name="___fab211">#REF!</definedName>
    <definedName name="___fab311">#REF!</definedName>
    <definedName name="__BOQ1">[1]Rates!$G$42</definedName>
    <definedName name="__fab111">#REF!</definedName>
    <definedName name="__fab211">#REF!</definedName>
    <definedName name="__fab311">#REF!</definedName>
    <definedName name="_BOQ1">[1]Rates!$G$42</definedName>
    <definedName name="_C" localSheetId="8">#REF!</definedName>
    <definedName name="_C" localSheetId="7">#REF!</definedName>
    <definedName name="_C" localSheetId="6">#REF!</definedName>
    <definedName name="_C">#REF!</definedName>
    <definedName name="_cgi24">'[2]update Rate'!$E$92</definedName>
    <definedName name="_fab111" localSheetId="8">#REF!</definedName>
    <definedName name="_fab111" localSheetId="7">#REF!</definedName>
    <definedName name="_fab111">#REF!</definedName>
    <definedName name="_fab211" localSheetId="8">#REF!</definedName>
    <definedName name="_fab211" localSheetId="7">#REF!</definedName>
    <definedName name="_fab211">#REF!</definedName>
    <definedName name="_fab311" localSheetId="8">#REF!</definedName>
    <definedName name="_fab311" localSheetId="7">#REF!</definedName>
    <definedName name="_fab311">#REF!</definedName>
    <definedName name="_h" localSheetId="8">#REF!</definedName>
    <definedName name="_h" localSheetId="7">#REF!</definedName>
    <definedName name="_h" localSheetId="6">#REF!</definedName>
    <definedName name="_h">#REF!</definedName>
    <definedName name="a" localSheetId="6">'[3]4aoc'!$B$1:$G$26</definedName>
    <definedName name="a">'[4]4aoc'!$B$1:$G$26</definedName>
    <definedName name="abc">[5]Rates!$D$5</definedName>
    <definedName name="ac_pipe_100_mm_dia">District_Rate!$D$3</definedName>
    <definedName name="ac_pipe_collar">District_Rate!$D$4</definedName>
    <definedName name="admixture" localSheetId="8">'[6]material rate'!$H$106</definedName>
    <definedName name="admixture" localSheetId="7">'[6]material rate'!$H$106</definedName>
    <definedName name="admixture" localSheetId="6">'[6]material rate'!$H$106</definedName>
    <definedName name="admixture">District_Rate!$D$5</definedName>
    <definedName name="adopted_rate_ac_pipe_100_mm_dia">District_Rate!$L$3</definedName>
    <definedName name="adopted_rate_ac_pipe_collar">District_Rate!$L$4</definedName>
    <definedName name="adopted_rate_admixture">District_Rate!$L$5</definedName>
    <definedName name="adopted_rate_aggregate_10_20_mm">District_Rate!$L$6</definedName>
    <definedName name="adopted_rate_aggregate_10_mm">District_Rate!$L$7</definedName>
    <definedName name="adopted_rate_aggregate_13.2_mm">District_Rate!$L$8</definedName>
    <definedName name="adopted_rate_aggregate_20_40_mm">District_Rate!$L$9</definedName>
    <definedName name="adopted_rate_aggregate_20_mm">District_Rate!$L$10</definedName>
    <definedName name="adopted_rate_aggregate_40_70_mm">District_Rate!$L$11</definedName>
    <definedName name="adopted_rate_aluminum_alloy_plate_2_mm">District_Rate!$L$13</definedName>
    <definedName name="adopted_rate_anti_stripping_agent">District_Rate!$L$14</definedName>
    <definedName name="adopted_rate_base_course_material">District_Rate!$L$15</definedName>
    <definedName name="adopted_rate_bentonite">District_Rate!$L$16</definedName>
    <definedName name="adopted_rate_binding_wire">District_Rate!$L$17</definedName>
    <definedName name="adopted_rate_bitumen">District_Rate!$L$18</definedName>
    <definedName name="adopted_rate_bitumen_vg_10">District_Rate!$L$19</definedName>
    <definedName name="adopted_rate_borrow_pit_material">District_Rate!$L$20</definedName>
    <definedName name="adopted_rate_bricks">District_Rate!$L$21</definedName>
    <definedName name="adopted_rate_bricks_1st_class">District_Rate!$L$22</definedName>
    <definedName name="adopted_rate_capping_layer">District_Rate!$L$23</definedName>
    <definedName name="adopted_rate_cats_eye">District_Rate!$L$24</definedName>
    <definedName name="adopted_rate_cement">District_Rate!$L$25</definedName>
    <definedName name="adopted_rate_clamps">District_Rate!$L$26</definedName>
    <definedName name="adopted_rate_compressible_fiber_board_20_mm">District_Rate!$L$27</definedName>
    <definedName name="adopted_rate_concrete_block_footpath">District_Rate!$L$28</definedName>
    <definedName name="adopted_rate_concrete_block_kerb">District_Rate!$L$29</definedName>
    <definedName name="adopted_rate_copper_plate">District_Rate!$L$30</definedName>
    <definedName name="adopted_rate_corrosion_resistant_steel">District_Rate!$L$31</definedName>
    <definedName name="adopted_rate_cutback_bitumen">District_Rate!$L$32</definedName>
    <definedName name="adopted_rate_diesel">District_Rate!$L$33</definedName>
    <definedName name="adopted_rate_elastomeric_bearing">District_Rate!$L$34</definedName>
    <definedName name="adopted_rate_electric_detonator">District_Rate!$L$35</definedName>
    <definedName name="adopted_rate_electricity">District_Rate!$L$36</definedName>
    <definedName name="adopted_rate_emulsion">District_Rate!$L$37</definedName>
    <definedName name="adopted_rate_epoxy_bonding_agent">District_Rate!$L$38</definedName>
    <definedName name="adopted_rate_epoxy_red_zinc_oxide_phosphate_primer">District_Rate!$L$39</definedName>
    <definedName name="adopted_rate_expansion_joint">District_Rate!$L$40</definedName>
    <definedName name="adopted_rate_filter_material">District_Rate!$L$41</definedName>
    <definedName name="adopted_rate_fuse_wire_blasting">District_Rate!$L$42</definedName>
    <definedName name="adopted_rate_Gabion_100x120_MW2.7_3.7_SW3.4_4.4_LW2.2_3.2">District_Rate!$L$43</definedName>
    <definedName name="adopted_rate_Gabion_100x120_MW2.7_SW3.4_LW2.2">District_Rate!$L$46</definedName>
    <definedName name="adopted_rate_Gabion_100x120_MW3_SW3.9_LW2.4">District_Rate!$L$44</definedName>
    <definedName name="adopted_rate_Gabion_50x80_MW2.7_SW3.4_LW2.2">District_Rate!$L$45</definedName>
    <definedName name="adopted_rate_gabion_mesh_wire">District_Rate!$L$47</definedName>
    <definedName name="adopted_rate_Galvanized_Angle">District_Rate!$L$48</definedName>
    <definedName name="adopted_rate_galvanized_angle_section_100_100_mm">District_Rate!$L$49</definedName>
    <definedName name="adopted_rate_galvanized_channel_post">District_Rate!$L$50</definedName>
    <definedName name="adopted_rate_galvanized_corrugated_thrie_beam">District_Rate!$L$51</definedName>
    <definedName name="adopted_rate_galvanized_corrugated_w_beam_sheet">District_Rate!$L$52</definedName>
    <definedName name="adopted_rate_galvanized_ms_clamp">District_Rate!$L$53</definedName>
    <definedName name="adopted_rate_galvanized_spacer_channel">District_Rate!$L$54</definedName>
    <definedName name="adopted_rate_galvanized_steel">District_Rate!$L$55</definedName>
    <definedName name="adopted_rate_gelatin">District_Rate!$L$56</definedName>
    <definedName name="adopted_rate_geotextile">District_Rate!$L$57</definedName>
    <definedName name="adopted_rate_gi_bolt_dia_10_mm">District_Rate!$L$58</definedName>
    <definedName name="adopted_rate_gi_pipe_dia_100_mm">District_Rate!$L$59</definedName>
    <definedName name="adopted_rate_gi_wire">District_Rate!$L$60</definedName>
    <definedName name="adopted_rate_glass_beads">District_Rate!$L$61</definedName>
    <definedName name="adopted_rate_gravel">District_Rate!$L$62</definedName>
    <definedName name="adopted_rate_HDPE_pipe_110_mm">District_Rate!$L$63</definedName>
    <definedName name="adopted_rate_HDPE_pipe_150_mm">District_Rate!$L$64</definedName>
    <definedName name="adopted_rate_high_built_epoxy">District_Rate!$L$65</definedName>
    <definedName name="adopted_rate_hume_pipe_dia_100_mm">District_Rate!$L$67</definedName>
    <definedName name="adopted_rate_hume_pipe_dia_1000_mm">District_Rate!$L$66</definedName>
    <definedName name="adopted_rate_hume_pipe_dia_1200_mm">District_Rate!$L$68</definedName>
    <definedName name="adopted_rate_hume_pipe_dia_300_mm">District_Rate!$L$69</definedName>
    <definedName name="adopted_rate_hume_pipe_dia_450_mm">District_Rate!$L$70</definedName>
    <definedName name="adopted_rate_hume_pipe_dia_600_mm">District_Rate!$L$71</definedName>
    <definedName name="adopted_rate_hume_pipe_dia_900_mm">District_Rate!$L$72</definedName>
    <definedName name="adopted_rate_HYSD_bar">District_Rate!$L$73</definedName>
    <definedName name="adopted_rate_kerosene">District_Rate!$L$74</definedName>
    <definedName name="adopted_rate_lime">District_Rate!$L$75</definedName>
    <definedName name="adopted_rate_lpg">District_Rate!$L$76</definedName>
    <definedName name="adopted_rate_ms_angle">District_Rate!$L$128</definedName>
    <definedName name="adopted_rate_ms_bar">District_Rate!$L$77</definedName>
    <definedName name="adopted_rate_ms_channel">District_Rate!$L$78</definedName>
    <definedName name="adopted_rate_ms_clamp">District_Rate!$L$79</definedName>
    <definedName name="adopted_rate_ms_flat_pipe">District_Rate!$L$80</definedName>
    <definedName name="adopted_rate_ms_pipe_25_mm">District_Rate!$L$81</definedName>
    <definedName name="adopted_rate_ms_pipe_50_mm">District_Rate!$L$82</definedName>
    <definedName name="adopted_rate_ms_pipes_dia_40mm">District_Rate!$L$83</definedName>
    <definedName name="adopted_rate_ms_plate">District_Rate!$L$84</definedName>
    <definedName name="adopted_rate_ms_sheet_2_mm">District_Rate!$L$85</definedName>
    <definedName name="adopted_rate_nails_spikes">District_Rate!$L$86</definedName>
    <definedName name="adopted_rate_nuts_bolts">District_Rate!$L$87</definedName>
    <definedName name="adopted_rate_pack_high_built_polyur_ethane">District_Rate!$L$88</definedName>
    <definedName name="adopted_rate_paint">District_Rate!$L$89</definedName>
    <definedName name="adopted_rate_part_of_bearing">District_Rate!$L$90</definedName>
    <definedName name="adopted_rate_petrol">District_Rate!$L$91</definedName>
    <definedName name="adopted_rate_planks_38mm_thick">District_Rate!$L$92</definedName>
    <definedName name="adopted_rate_ply_wood_12mm_thick">District_Rate!$L$93</definedName>
    <definedName name="adopted_rate_ply_wood_9mm_thick">District_Rate!$L$94</definedName>
    <definedName name="adopted_rate_pre_coated_stone_chips_13mm">District_Rate!$L$95</definedName>
    <definedName name="adopted_rate_pre_moulded_joint_filler">District_Rate!$L$97</definedName>
    <definedName name="adopted_rate_preformed_continuous_chloroprene_elastomer">District_Rate!$L$96</definedName>
    <definedName name="adopted_rate_project_signboard">District_Rate!$L$98</definedName>
    <definedName name="adopted_rate_PVC_pipe_200_mm">District_Rate!$L$99</definedName>
    <definedName name="adopted_rate_rafter_beam_battens">District_Rate!$L$100</definedName>
    <definedName name="adopted_rate_RCC_collar_dia_1000_mm">District_Rate!$L$101</definedName>
    <definedName name="adopted_rate_RCC_collar_dia_1200_mm">District_Rate!$L$102</definedName>
    <definedName name="adopted_rate_RCC_collar_dia_300_mm">District_Rate!$L$103</definedName>
    <definedName name="adopted_rate_RCC_collar_dia_450_mm">District_Rate!$L$104</definedName>
    <definedName name="adopted_rate_RCC_collar_dia_600_mm">District_Rate!$L$105</definedName>
    <definedName name="adopted_rate_RCC_collar_dia_900_mm">District_Rate!$L$106</definedName>
    <definedName name="adopted_rate_RS_joist">District_Rate!$L$107</definedName>
    <definedName name="adopted_rate_rubble">District_Rate!$L$108</definedName>
    <definedName name="adopted_rate_sal_wood">District_Rate!$L$110</definedName>
    <definedName name="adopted_rate_sand">District_Rate!$L$111</definedName>
    <definedName name="adopted_rate_steel_tube_dia_50_mm">District_Rate!$L$112</definedName>
    <definedName name="adopted_rate_steel_wire_40_mm">District_Rate!$L$113</definedName>
    <definedName name="adopted_rate_stone_dust">District_Rate!$L$114</definedName>
    <definedName name="adopted_rate_stone_slab_50_mm">District_Rate!$L$115</definedName>
    <definedName name="adopted_rate_street_lighting_pole_9_m">District_Rate!$L$116</definedName>
    <definedName name="adopted_rate_strip_or_box_seal_expansion_joint">District_Rate!$L$117</definedName>
    <definedName name="adopted_rate_structural_steel">District_Rate!$L$118</definedName>
    <definedName name="adopted_rate_struts">District_Rate!$L$119</definedName>
    <definedName name="adopted_rate_struts_ballies">District_Rate!$L$120</definedName>
    <definedName name="adopted_rate_sub_base_material">District_Rate!$L$121</definedName>
    <definedName name="adopted_rate_sub_base_material_footpath">District_Rate!$L$122</definedName>
    <definedName name="adopted_rate_surface_dressing_chips">District_Rate!$L$124</definedName>
    <definedName name="adopted_rate_thermoplastic_paint">District_Rate!$L$125</definedName>
    <definedName name="adopted_rate_tiles_300_300_mm_and_25mm_thick">District_Rate!$L$126</definedName>
    <definedName name="adopted_rate_vapor_lamp">District_Rate!$L$127</definedName>
    <definedName name="adopted_rate_water">District_Rate!$L$129</definedName>
    <definedName name="adopted_rate_wooden_packing">District_Rate!$L$130</definedName>
    <definedName name="Agg_10mm" localSheetId="8">'[7]Rate analysis'!#REF!</definedName>
    <definedName name="Agg_10mm" localSheetId="7">'[7]Rate analysis'!#REF!</definedName>
    <definedName name="Agg_10mm" localSheetId="6">'[7]Rate analysis'!#REF!</definedName>
    <definedName name="Agg_10mm">'[7]Rate analysis'!#REF!</definedName>
    <definedName name="Agg_20mm" localSheetId="8">'[7]Rate analysis'!#REF!</definedName>
    <definedName name="Agg_20mm" localSheetId="7">'[7]Rate analysis'!#REF!</definedName>
    <definedName name="Agg_20mm" localSheetId="6">'[7]Rate analysis'!#REF!</definedName>
    <definedName name="Agg_20mm">'[7]Rate analysis'!#REF!</definedName>
    <definedName name="Agg_40mm" localSheetId="8">'[7]Rate analysis'!#REF!</definedName>
    <definedName name="Agg_40mm" localSheetId="7">'[7]Rate analysis'!#REF!</definedName>
    <definedName name="Agg_40mm" localSheetId="6">'[7]Rate analysis'!#REF!</definedName>
    <definedName name="Agg_40mm">'[7]Rate analysis'!#REF!</definedName>
    <definedName name="aggregate" localSheetId="8">'[8]material rate'!#REF!</definedName>
    <definedName name="aggregate" localSheetId="7">'[8]material rate'!#REF!</definedName>
    <definedName name="aggregate" localSheetId="6">[9]Rate!#REF!</definedName>
    <definedName name="aggregate">'[8]material rate'!#REF!</definedName>
    <definedName name="aggregate_10_20_mm">District_Rate!$D$6</definedName>
    <definedName name="aggregate_10_mm">District_Rate!$D$7</definedName>
    <definedName name="aggregate_13.2_mm">District_Rate!$D$8</definedName>
    <definedName name="aggregate_20_40_mm">District_Rate!$D$9</definedName>
    <definedName name="aggregate_20_mm">District_Rate!$D$10</definedName>
    <definedName name="aggregate_40_70_mm">District_Rate!$D$11</definedName>
    <definedName name="aggregate10_20">'[8]material rate'!$H$86</definedName>
    <definedName name="aggregate10down">'[8]material rate'!$H$87</definedName>
    <definedName name="aggregate20_40">'[8]material rate'!$H$85</definedName>
    <definedName name="aggregate40_70">'[8]material rate'!$H$84</definedName>
    <definedName name="aggspreader">'[8]material rate'!$P$36</definedName>
    <definedName name="air_compressor">Equipment_Rate!$J$5</definedName>
    <definedName name="aircompressor" localSheetId="6">[10]rate!$M$31</definedName>
    <definedName name="aircompressor">'[8]material rate'!$P$34</definedName>
    <definedName name="all" localSheetId="8">#REF!</definedName>
    <definedName name="all" localSheetId="7">#REF!</definedName>
    <definedName name="all">#REF!</definedName>
    <definedName name="aluminum_alloy_plate_2_mm">District_Rate!$D$13</definedName>
    <definedName name="angle_steel">'[6]material rate'!$H$138</definedName>
    <definedName name="anti_stripping_agent">District_Rate!$D$14</definedName>
    <definedName name="asphaltmixer">'[8]material rate'!$P$49</definedName>
    <definedName name="asphaltpaver">'[8]material rate'!$P$50</definedName>
    <definedName name="asphaltplant">'[8]material rate'!$P$48</definedName>
    <definedName name="b" localSheetId="6">'[3]4aoc'!$B$27:$G$51</definedName>
    <definedName name="b">'[4]4aoc'!$B$27:$G$51</definedName>
    <definedName name="Bamboo" localSheetId="8">'[7]Rate analysis'!#REF!</definedName>
    <definedName name="Bamboo" localSheetId="7">'[7]Rate analysis'!#REF!</definedName>
    <definedName name="Bamboo" localSheetId="6">'[7]Rate analysis'!#REF!</definedName>
    <definedName name="Bamboo">'[7]Rate analysis'!#REF!</definedName>
    <definedName name="bar_dia_weight" localSheetId="8">#REF!</definedName>
    <definedName name="bar_dia_weight" localSheetId="7">#REF!</definedName>
    <definedName name="bar_dia_weight" localSheetId="6">#REF!</definedName>
    <definedName name="bar_dia_weight">#REF!</definedName>
    <definedName name="Base_Course">'[8]material rate'!$H$88</definedName>
    <definedName name="base_course_material">District_Rate!$D$15</definedName>
    <definedName name="baseagg" localSheetId="8">'[8]material rate'!#REF!</definedName>
    <definedName name="baseagg" localSheetId="7">'[8]material rate'!#REF!</definedName>
    <definedName name="baseagg" localSheetId="6">[9]Rate!#REF!</definedName>
    <definedName name="baseagg">'[8]material rate'!#REF!</definedName>
    <definedName name="basic_rates">'[11]Basic rates'!$B$8:$D$121</definedName>
    <definedName name="Batchmix_HMP">'[6]material rate'!$P$52</definedName>
    <definedName name="bb" localSheetId="8">#REF!</definedName>
    <definedName name="bb" localSheetId="7">#REF!</definedName>
    <definedName name="bb">#REF!</definedName>
    <definedName name="bearingpad">'[8]material rate'!$H$78</definedName>
    <definedName name="bentonite">District_Rate!$D$16</definedName>
    <definedName name="bentonite_pump">Equipment_Rate!$J$6</definedName>
    <definedName name="bh_number">Datasheet!$C$8</definedName>
    <definedName name="binding" localSheetId="6">[12]Rates!$G$29</definedName>
    <definedName name="binding">[13]Rates!$G$22</definedName>
    <definedName name="Binding_wire" localSheetId="8">'[7]Rate analysis'!#REF!</definedName>
    <definedName name="Binding_wire" localSheetId="7">'[7]Rate analysis'!#REF!</definedName>
    <definedName name="Binding_wire" localSheetId="6">'[7]Rate analysis'!#REF!</definedName>
    <definedName name="binding_wire">District_Rate!$D$17</definedName>
    <definedName name="bindingwireblack" localSheetId="8">[9]Rate!#REF!</definedName>
    <definedName name="bindingwireblack" localSheetId="7">[9]Rate!#REF!</definedName>
    <definedName name="bindingwireblack" localSheetId="6">[9]Rate!#REF!</definedName>
    <definedName name="bindingwireblack">[9]Rate!#REF!</definedName>
    <definedName name="bindingwirewhite" localSheetId="8">[9]Rate!#REF!</definedName>
    <definedName name="bindingwirewhite" localSheetId="7">[9]Rate!#REF!</definedName>
    <definedName name="bindingwirewhite" localSheetId="6">[9]Rate!#REF!</definedName>
    <definedName name="bindingwirewhite">[9]Rate!#REF!</definedName>
    <definedName name="bitumen" localSheetId="8">'[8]material rate'!$H$32</definedName>
    <definedName name="bitumen" localSheetId="7">'[8]material rate'!$H$32</definedName>
    <definedName name="bitumen" localSheetId="6">'[8]material rate'!$H$32</definedName>
    <definedName name="bitumen">District_Rate!$D$18</definedName>
    <definedName name="bitumen_boi_dis_fuel">'[6]material rate'!$P$72</definedName>
    <definedName name="bitumen_boiler">Equipment_Rate!$J$7</definedName>
    <definedName name="bitumen_distributor">Equipment_Rate!$J$8</definedName>
    <definedName name="bitumen_vg_10">District_Rate!$D$19</definedName>
    <definedName name="black_iron_pipe_50mm">'[6]material rate'!$H$71</definedName>
    <definedName name="blast_rubble">Collection!$I$72</definedName>
    <definedName name="blaster">District_Rate!$D$145</definedName>
    <definedName name="blastingmachine" localSheetId="6">[9]Rate!#REF!</definedName>
    <definedName name="blastingmachine">'[8]material rate'!$P$40</definedName>
    <definedName name="blastmachine" localSheetId="8">[9]Rate!#REF!</definedName>
    <definedName name="blastmachine" localSheetId="7">[9]Rate!#REF!</definedName>
    <definedName name="blastmachine" localSheetId="6">[9]Rate!#REF!</definedName>
    <definedName name="blastmachine">[9]Rate!#REF!</definedName>
    <definedName name="boiler">'[8]material rate'!$P$32</definedName>
    <definedName name="bond_stone">'[6]material rate'!$H$29</definedName>
    <definedName name="borrow_pit_material">District_Rate!$D$20</definedName>
    <definedName name="Boulder" localSheetId="8">'[7]Rate analysis'!#REF!</definedName>
    <definedName name="Boulder" localSheetId="7">'[7]Rate analysis'!#REF!</definedName>
    <definedName name="Boulder" localSheetId="6">'[7]Rate analysis'!#REF!</definedName>
    <definedName name="Boulder">'[7]Rate analysis'!#REF!</definedName>
    <definedName name="brick">'[8]material rate'!$H$21</definedName>
    <definedName name="bricks">District_Rate!$D$21</definedName>
    <definedName name="bricks_1st_class">District_Rate!$D$22</definedName>
    <definedName name="Broken_stone" localSheetId="8">'[7]Rate analysis'!#REF!</definedName>
    <definedName name="Broken_stone" localSheetId="7">'[7]Rate analysis'!#REF!</definedName>
    <definedName name="Broken_stone" localSheetId="6">'[7]Rate analysis'!#REF!</definedName>
    <definedName name="Broken_stone">'[7]Rate analysis'!#REF!</definedName>
    <definedName name="broomer">'[6]material rate'!$P$58</definedName>
    <definedName name="BS_40" localSheetId="8">'[7]Rate analysis'!#REF!</definedName>
    <definedName name="BS_40" localSheetId="7">'[7]Rate analysis'!#REF!</definedName>
    <definedName name="BS_40" localSheetId="6">'[7]Rate analysis'!#REF!</definedName>
    <definedName name="BS_40">'[7]Rate analysis'!#REF!</definedName>
    <definedName name="BW" localSheetId="8">#REF!</definedName>
    <definedName name="BW" localSheetId="7">#REF!</definedName>
    <definedName name="BW" localSheetId="6">#REF!</definedName>
    <definedName name="BW">#REF!</definedName>
    <definedName name="bwireblack" localSheetId="6">[9]Rate!#REF!</definedName>
    <definedName name="bwireblack">'[8]material rate'!$H$39</definedName>
    <definedName name="capping_layer">District_Rate!$D$23</definedName>
    <definedName name="cats_eye">District_Rate!$D$24</definedName>
    <definedName name="cc" localSheetId="6">'[3]4aoc'!$B$52:$G$76</definedName>
    <definedName name="cc">'[4]4aoc'!$B$52:$G$76</definedName>
    <definedName name="cement" localSheetId="8">'[8]material rate'!$H$29</definedName>
    <definedName name="cement" localSheetId="7">'[8]material rate'!$H$29</definedName>
    <definedName name="cement" localSheetId="6">[12]Rates!$G$24</definedName>
    <definedName name="cement">District_Rate!$D$25</definedName>
    <definedName name="chip_spreader">Equipment_Rate!$J$9</definedName>
    <definedName name="chips" localSheetId="8">'[8]material rate'!#REF!</definedName>
    <definedName name="chips" localSheetId="7">'[8]material rate'!#REF!</definedName>
    <definedName name="chips" localSheetId="6">[9]Rate!#REF!</definedName>
    <definedName name="chips">'[8]material rate'!#REF!</definedName>
    <definedName name="chips10mm" localSheetId="8">[9]Rate!#REF!</definedName>
    <definedName name="chips10mm" localSheetId="7">[9]Rate!#REF!</definedName>
    <definedName name="chips10mm" localSheetId="6">[9]Rate!#REF!</definedName>
    <definedName name="chips10mm">[9]Rate!#REF!</definedName>
    <definedName name="chips20mm" localSheetId="8">[9]Rate!#REF!</definedName>
    <definedName name="chips20mm" localSheetId="7">[9]Rate!#REF!</definedName>
    <definedName name="chips20mm" localSheetId="6">[9]Rate!#REF!</definedName>
    <definedName name="chips20mm">[9]Rate!#REF!</definedName>
    <definedName name="chipspreader">'[8]material rate'!$P$46</definedName>
    <definedName name="clamps">District_Rate!$D$26</definedName>
    <definedName name="coarseagg" localSheetId="8">[9]Rate!#REF!</definedName>
    <definedName name="coarseagg" localSheetId="7">[9]Rate!#REF!</definedName>
    <definedName name="coarseagg" localSheetId="6">[9]Rate!#REF!</definedName>
    <definedName name="coarseagg">[9]Rate!#REF!</definedName>
    <definedName name="col_rate_aggregate">Collection!$F$17</definedName>
    <definedName name="col_rate_aggregate_10_20_mm">Collection!$F$21</definedName>
    <definedName name="col_rate_aggregate_10_mm">Collection!$F$22</definedName>
    <definedName name="col_rate_aggregate_13.2_mm">Collection!$F$24</definedName>
    <definedName name="col_rate_aggregate_20_40_mm">Collection!$F$20</definedName>
    <definedName name="col_rate_aggregate_20_mm">Collection!$F$25</definedName>
    <definedName name="col_rate_aggregate_40_70_mm">Collection!$F$19</definedName>
    <definedName name="col_rate_aggregate_40_mm">Collection!$F$26</definedName>
    <definedName name="col_rate_aggregate_70_100_mm">Collection!$F$18</definedName>
    <definedName name="col_rate_gravel_20_mm">Collection!$F$7</definedName>
    <definedName name="col_rate_gravel_40_70_mm">Collection!$F$9</definedName>
    <definedName name="col_rate_gravel_40_mm">Collection!$F$6</definedName>
    <definedName name="col_rate_gravel_5_70_mm">Collection!$F$5</definedName>
    <definedName name="col_rate_gravel_70_100_mm">Collection!$F$10</definedName>
    <definedName name="col_rate_gravel_8_mm">Collection!$F$8</definedName>
    <definedName name="col_rate_quarry_output_33_to_66_per">Collection!$F$13</definedName>
    <definedName name="col_rate_quarry_output_less_than_33_per">Collection!$F$12</definedName>
    <definedName name="col_rate_quarry_output_more_than_66_per">Collection!$F$14</definedName>
    <definedName name="col_rate_rubble">Collection!$F$16</definedName>
    <definedName name="col_rate_sand">Collection!$F$15</definedName>
    <definedName name="collection_aggregate">Collection!$F$45</definedName>
    <definedName name="collection_gravel_20_mm">Collection!$F$34</definedName>
    <definedName name="collection_gravel_40_70_mm">Collection!$F$36</definedName>
    <definedName name="collection_gravel_40_mm">Collection!$F$33</definedName>
    <definedName name="collection_gravel_5_70_mm">Collection!$F$32</definedName>
    <definedName name="collection_gravel_70_100_mm">Collection!$F$37</definedName>
    <definedName name="collection_gravel_8_mm">Collection!$F$35</definedName>
    <definedName name="collection_quarry_output_33_to_66_per">Collection!$F$40</definedName>
    <definedName name="collection_quarry_output_less_than_33_per">Collection!$F$39</definedName>
    <definedName name="collection_quarry_output_more_than_66_per">Collection!$F$41</definedName>
    <definedName name="collection_rubble">Collection!$F$44</definedName>
    <definedName name="collection_sand">Collection!$F$42</definedName>
    <definedName name="compressible_fiber_board_20_mm">District_Rate!$D$27</definedName>
    <definedName name="conc_mixer_fuel">'[6]material rate'!$P$78</definedName>
    <definedName name="concrete_block_footpath">District_Rate!$D$28</definedName>
    <definedName name="concrete_block_kerb">District_Rate!$D$29</definedName>
    <definedName name="concrete_mixer">Equipment_Rate!$J$10</definedName>
    <definedName name="concrete_needle_vibrator">Equipment_Rate!$J$11</definedName>
    <definedName name="concrete_vibr_fuel">'[6]material rate'!$P$77</definedName>
    <definedName name="Condition" localSheetId="8">#REF!</definedName>
    <definedName name="Condition" localSheetId="7">#REF!</definedName>
    <definedName name="Condition">#REF!</definedName>
    <definedName name="contract_no" localSheetId="6">[14]INPUT!$D$2</definedName>
    <definedName name="contract_no">[15]INPUT!$D$2</definedName>
    <definedName name="contract_number">Datasheet!$C$7</definedName>
    <definedName name="copper_plate">District_Rate!$D$30</definedName>
    <definedName name="corrosion_resistant_steel">District_Rate!$D$31</definedName>
    <definedName name="cr" localSheetId="8">[16]TranspAnalysis!#REF!</definedName>
    <definedName name="cr" localSheetId="7">[16]TranspAnalysis!#REF!</definedName>
    <definedName name="cr">[16]TranspAnalysis!#REF!</definedName>
    <definedName name="crane" localSheetId="8">[13]Rates!$D$63</definedName>
    <definedName name="crane" localSheetId="7">[13]Rates!$D$63</definedName>
    <definedName name="crane" localSheetId="6">[17]Rates!$D$63</definedName>
    <definedName name="crane">Equipment_Rate!$J$12</definedName>
    <definedName name="crushaggmedium" localSheetId="6">'[18]material rate'!$P$37</definedName>
    <definedName name="crushaggmedium">'[18]material rate'!$P$37</definedName>
    <definedName name="cutback_bitumen">District_Rate!$D$32</definedName>
    <definedName name="d" localSheetId="6">'[3]4aoc'!$B$77:$G$102</definedName>
    <definedName name="d">'[4]4aoc'!$B$77:$G$102</definedName>
    <definedName name="d_t_ac_pipe_100_mm_dia">Transportation!$L$15</definedName>
    <definedName name="d_t_ac_pipe_collar">Transportation!$L$36</definedName>
    <definedName name="d_t_admixture">Transportation!$L$17</definedName>
    <definedName name="d_t_aggregate_10_20_mm">Transportation!$L$87</definedName>
    <definedName name="d_t_aggregate_10_mm">Transportation!$L$91</definedName>
    <definedName name="d_t_aggregate_13.2_mm">Transportation!$L$45</definedName>
    <definedName name="d_t_aggregate_20_40_mm">Transportation!$L$89</definedName>
    <definedName name="d_t_aggregate_20_mm">Transportation!$L$43</definedName>
    <definedName name="d_t_aggregate_40_70_mm">Transportation!$L$93</definedName>
    <definedName name="d_t_aluminum_alloy_plate_2_mm">Transportation!$L$20</definedName>
    <definedName name="d_t_anti_stripping_agent">Transportation!$L$16</definedName>
    <definedName name="d_t_base_course_material">Transportation!$L$94</definedName>
    <definedName name="d_t_bentonite">Transportation!$L$23</definedName>
    <definedName name="d_t_binding_wire">Transportation!$L$24</definedName>
    <definedName name="d_t_bitumen">Transportation!$L$25</definedName>
    <definedName name="d_t_bitumen_vg_10">Transportation!$L$27</definedName>
    <definedName name="d_t_borrow_pit_material">Transportation!$L$28</definedName>
    <definedName name="d_t_bricks">Transportation!$L$29</definedName>
    <definedName name="d_t_bricks_1st_class">Transportation!$L$30</definedName>
    <definedName name="d_t_capping_layer">Transportation!$L$31</definedName>
    <definedName name="d_t_cats_eye">Transportation!$L$32</definedName>
    <definedName name="d_t_cement">Transportation!$L$33</definedName>
    <definedName name="d_t_clamps">Transportation!$L$35</definedName>
    <definedName name="d_t_compressible_fiber_board_20_mm">Transportation!$L$37</definedName>
    <definedName name="d_t_concrete_block_footpath">Transportation!$L$122</definedName>
    <definedName name="d_t_concrete_block_kerb">Transportation!$L$121</definedName>
    <definedName name="d_t_copper_plate">Transportation!$L$38</definedName>
    <definedName name="d_t_corrosion_resistant_steel">Transportation!$L$39</definedName>
    <definedName name="d_t_cutback_bitumen">Transportation!$L$46</definedName>
    <definedName name="d_t_diesel">Transportation!$L$47</definedName>
    <definedName name="d_t_elastomeric_bearing">Transportation!$L$48</definedName>
    <definedName name="d_t_electric_detonator">Transportation!$L$49</definedName>
    <definedName name="d_t_electricity">Transportation!$L$50</definedName>
    <definedName name="d_t_emulsion">Transportation!$L$26</definedName>
    <definedName name="d_t_epoxy_bonding_agent">Transportation!$L$51</definedName>
    <definedName name="d_t_epoxy_red_zinc_oxide_phosphate_primer">Transportation!$L$52</definedName>
    <definedName name="d_t_expansion_joint">Transportation!$L$53</definedName>
    <definedName name="d_t_filter_material">Transportation!$L$54</definedName>
    <definedName name="d_t_fuse_wire_blasting">Transportation!$L$55</definedName>
    <definedName name="d_t_Gabion_100x120_MW2.7_3.7_SW3.4_4.4_LW2.2_3.2">Transportation!$L$70</definedName>
    <definedName name="d_t_Gabion_100x120_MW2.7_SW3.4_LW2.2">Transportation!$L$68</definedName>
    <definedName name="d_t_Gabion_100x120_MW3_SW3.9_LW2.4">Transportation!$L$67</definedName>
    <definedName name="d_t_Gabion_50x80_MW2.7_SW3.4_LW2.2">Transportation!$L$69</definedName>
    <definedName name="d_t_gabion_mesh_wire">Transportation!$L$95</definedName>
    <definedName name="d_t_Galvanized_Angle">Transportation!$L$71</definedName>
    <definedName name="d_t_galvanized_angle_section_100_100_mm">Transportation!$L$58</definedName>
    <definedName name="d_t_galvanized_channel_post">Transportation!$L$75</definedName>
    <definedName name="d_t_galvanized_corrugated_thrie_beam">Transportation!$L$77</definedName>
    <definedName name="d_t_galvanized_corrugated_w_beam_sheet">Transportation!$L$76</definedName>
    <definedName name="d_t_galvanized_ms_clamp">Transportation!$L$59</definedName>
    <definedName name="d_t_galvanized_spacer_channel">Transportation!$L$78</definedName>
    <definedName name="d_t_galvanized_steel">Transportation!$L$21</definedName>
    <definedName name="d_t_gelatin">Transportation!$L$60</definedName>
    <definedName name="d_t_geotextile">Transportation!$L$61</definedName>
    <definedName name="d_t_gi_bolt_dia_10_mm">Transportation!$L$56</definedName>
    <definedName name="d_t_gi_pipe_dia_100_mm">Transportation!$L$57</definedName>
    <definedName name="d_t_gi_wire">Transportation!$L$130</definedName>
    <definedName name="d_t_glass_beads">Transportation!$L$127</definedName>
    <definedName name="d_t_gravel">Transportation!$L$62</definedName>
    <definedName name="d_t_HDPE_pipe_110_mm">Transportation!$L$63</definedName>
    <definedName name="d_t_HDPE_pipe_150_mm">Transportation!$L$64</definedName>
    <definedName name="d_t_high_built_epoxy">Transportation!$L$72</definedName>
    <definedName name="d_t_hume_pipe_dia_100_mm">Transportation!$L$114</definedName>
    <definedName name="d_t_hume_pipe_dia_1000_mm">Transportation!$L$103</definedName>
    <definedName name="d_t_hume_pipe_dia_1200_mm">Transportation!$L$104</definedName>
    <definedName name="d_t_hume_pipe_dia_300_mm">Transportation!$L$105</definedName>
    <definedName name="d_t_hume_pipe_dia_450_mm">Transportation!$L$106</definedName>
    <definedName name="d_t_hume_pipe_dia_600_mm">Transportation!$L$107</definedName>
    <definedName name="d_t_hume_pipe_dia_900_mm">Transportation!$L$108</definedName>
    <definedName name="d_t_HYSD_bar">Transportation!$L$65</definedName>
    <definedName name="d_t_kerosene">Transportation!$L$79</definedName>
    <definedName name="d_t_lime">Transportation!$L$81</definedName>
    <definedName name="d_t_lpg">Transportation!$L$80</definedName>
    <definedName name="d_t_ms_angle">Transportation!$L$22</definedName>
    <definedName name="d_t_ms_bar">Transportation!$L$84</definedName>
    <definedName name="d_t_ms_channel">Transportation!$L$96</definedName>
    <definedName name="d_t_ms_clamp">Transportation!$L$85</definedName>
    <definedName name="d_t_ms_flat_pipe">Transportation!$L$82</definedName>
    <definedName name="d_t_ms_pipe_25_mm">Transportation!$L$132</definedName>
    <definedName name="d_t_ms_pipe_50_mm">Transportation!$L$135</definedName>
    <definedName name="d_t_ms_pipes_dia_40mm">Transportation!$L$83</definedName>
    <definedName name="d_t_ms_plate">Transportation!$L$143</definedName>
    <definedName name="d_t_ms_sheet_2_mm">Transportation!$L$14</definedName>
    <definedName name="d_t_nails_spikes">Transportation!$L$109</definedName>
    <definedName name="d_t_nuts_bolts">Transportation!$L$110</definedName>
    <definedName name="d_t_pack_high_built_polyur_ethane">Transportation!$L$73</definedName>
    <definedName name="d_t_paint">Transportation!$L$112</definedName>
    <definedName name="d_t_part_of_bearing">Transportation!$L$113</definedName>
    <definedName name="d_t_petrol">Transportation!$L$115</definedName>
    <definedName name="d_t_planks_38mm_thick">Transportation!$L$116</definedName>
    <definedName name="d_t_ply_wood_12mm_thick">Transportation!$L$117</definedName>
    <definedName name="d_t_ply_wood_9mm_thick">Transportation!$L$118</definedName>
    <definedName name="d_t_pre_coated_stone_chips_13mm">Transportation!$L$119</definedName>
    <definedName name="d_t_pre_moulded_joint_filler">Transportation!$L$120</definedName>
    <definedName name="d_t_preformed_continuous_chloroprene_elastomer">Transportation!$L$123</definedName>
    <definedName name="d_t_project_signboard">Transportation!$L$124</definedName>
    <definedName name="d_t_PVC_pipe_200_mm">Transportation!$L$111</definedName>
    <definedName name="d_t_rafter_beam_battens">Transportation!$L$126</definedName>
    <definedName name="d_t_RCC_collar_dia_1000_mm">Transportation!$L$97</definedName>
    <definedName name="d_t_RCC_collar_dia_1200_mm">Transportation!$L$98</definedName>
    <definedName name="d_t_RCC_collar_dia_300_mm">Transportation!$L$99</definedName>
    <definedName name="d_t_RCC_collar_dia_450_mm">Transportation!$L$100</definedName>
    <definedName name="d_t_RCC_collar_dia_600_mm">Transportation!$L$101</definedName>
    <definedName name="d_t_RCC_collar_dia_900_mm">Transportation!$L$102</definedName>
    <definedName name="d_t_RS_joist">Transportation!$L$125</definedName>
    <definedName name="d_t_rubble">Transportation!$L$41</definedName>
    <definedName name="d_t_sal_wood">Transportation!$L$145</definedName>
    <definedName name="d_t_sand">Transportation!$L$129</definedName>
    <definedName name="d_t_steel_tube_dia_50_mm">Transportation!$L$66</definedName>
    <definedName name="d_t_steel_wire_40_mm">Transportation!$L$133</definedName>
    <definedName name="d_t_stone_dust">Transportation!$L$148</definedName>
    <definedName name="d_t_stone_slab_50_mm">Transportation!$L$136</definedName>
    <definedName name="d_t_street_lighting_pole_9_m">Transportation!$L$134</definedName>
    <definedName name="d_t_strip_or_box_seal_expansion_joint">Transportation!$L$142</definedName>
    <definedName name="d_t_structural_steel">Transportation!$L$137</definedName>
    <definedName name="d_t_struts">Transportation!$L$138</definedName>
    <definedName name="d_t_struts_ballies">Transportation!$L$139</definedName>
    <definedName name="d_t_sub_base_material">Transportation!$L$141</definedName>
    <definedName name="d_t_sub_base_material_footpath">Transportation!$L$140</definedName>
    <definedName name="d_t_surface_dressing_chips">Transportation!$L$34</definedName>
    <definedName name="d_t_thermoplastic_paint">Transportation!$L$74</definedName>
    <definedName name="d_t_tiles_300_300_mm_and_25mm_thick">Transportation!$L$144</definedName>
    <definedName name="d_t_vapor_lamp">Transportation!$L$131</definedName>
    <definedName name="d_t_water">Transportation!$L$146</definedName>
    <definedName name="d_t_wooden_packing">Transportation!$L$147</definedName>
    <definedName name="_xlnm.Database" localSheetId="8">#REF!</definedName>
    <definedName name="_xlnm.Database" localSheetId="7">#REF!</definedName>
    <definedName name="_xlnm.Database">#REF!</definedName>
    <definedName name="ddr" localSheetId="8">#REF!</definedName>
    <definedName name="ddr" localSheetId="7">#REF!</definedName>
    <definedName name="ddr">#REF!</definedName>
    <definedName name="department">Datasheet!$A$3</definedName>
    <definedName name="description_1">Abstract!$B$167</definedName>
    <definedName name="description_10">Abstract!$B$175</definedName>
    <definedName name="description_1011">Abstract!$B$333</definedName>
    <definedName name="description_1012">Abstract!$B$334</definedName>
    <definedName name="description_1013">Abstract!$B$335</definedName>
    <definedName name="description_1014">Abstract!$B$336</definedName>
    <definedName name="description_1015">Abstract!$B$337</definedName>
    <definedName name="description_1018">Abstract!$B$338</definedName>
    <definedName name="description_1019">Abstract!$B$339</definedName>
    <definedName name="description_103">Abstract!$B$16</definedName>
    <definedName name="description_1049">Abstract!$B$15</definedName>
    <definedName name="description_11">Abstract!$B$176</definedName>
    <definedName name="description_121">Abstract!$B$17</definedName>
    <definedName name="description_124">Abstract!$B$18</definedName>
    <definedName name="description_128">Abstract!$B$19</definedName>
    <definedName name="description_13">Abstract!$B$177</definedName>
    <definedName name="description_14">Abstract!$B$178</definedName>
    <definedName name="description_15">Abstract!$B$179</definedName>
    <definedName name="description_16">Abstract!$B$180</definedName>
    <definedName name="description_17">Abstract!$B$181</definedName>
    <definedName name="description_18">Abstract!$B$182</definedName>
    <definedName name="description_19">Abstract!$B$183</definedName>
    <definedName name="description_2">Abstract!$B$168</definedName>
    <definedName name="description_20">Abstract!$B$184</definedName>
    <definedName name="description_2051">Abstract!$B$65</definedName>
    <definedName name="description_2052">Abstract!$B$66</definedName>
    <definedName name="description_2063">Abstract!$B$77</definedName>
    <definedName name="description_2064">Abstract!$B$78</definedName>
    <definedName name="description_2065">Abstract!$B$79</definedName>
    <definedName name="description_2066">Abstract!$B$80</definedName>
    <definedName name="description_2088">Abstract!$B$102</definedName>
    <definedName name="description_2089">Abstract!$B$103</definedName>
    <definedName name="description_21">Abstract!$B$185</definedName>
    <definedName name="description_2101">Abstract!$B$115</definedName>
    <definedName name="description_2102">Abstract!$B$116</definedName>
    <definedName name="description_2103">Abstract!$B$117</definedName>
    <definedName name="description_22">Abstract!$B$186</definedName>
    <definedName name="description_2212">Abstract!$B$226</definedName>
    <definedName name="description_2290">Abstract!$B$304</definedName>
    <definedName name="description_23">Abstract!$B$187</definedName>
    <definedName name="description_24">Abstract!$B$188</definedName>
    <definedName name="description_245">Abstract!$B$20</definedName>
    <definedName name="description_246">Abstract!$B$21</definedName>
    <definedName name="description_247">Abstract!$B$22</definedName>
    <definedName name="description_248">Abstract!$B$23</definedName>
    <definedName name="description_249">Abstract!$B$24</definedName>
    <definedName name="description_25">Abstract!$B$189</definedName>
    <definedName name="description_250">Abstract!$B$25</definedName>
    <definedName name="description_251">Abstract!$B$26</definedName>
    <definedName name="description_252">Abstract!$B$27</definedName>
    <definedName name="description_253">Abstract!$B$28</definedName>
    <definedName name="description_254">Abstract!$B$29</definedName>
    <definedName name="description_255">Abstract!$B$30</definedName>
    <definedName name="description_256">Abstract!$B$31</definedName>
    <definedName name="description_257">Abstract!$B$32</definedName>
    <definedName name="description_26">Abstract!$B$190</definedName>
    <definedName name="description_261">Abstract!$B$33</definedName>
    <definedName name="description_262">Abstract!$B$34</definedName>
    <definedName name="description_263">Abstract!$B$35</definedName>
    <definedName name="description_264">Abstract!$B$36</definedName>
    <definedName name="description_265">Abstract!$B$37</definedName>
    <definedName name="description_266">Abstract!$B$38</definedName>
    <definedName name="description_27">Abstract!$B$191</definedName>
    <definedName name="description_270">Abstract!$B$50</definedName>
    <definedName name="description_271">Abstract!$B$49</definedName>
    <definedName name="description_273">Abstract!$B$39</definedName>
    <definedName name="description_276">Abstract!$B$40</definedName>
    <definedName name="description_277">Abstract!$B$41</definedName>
    <definedName name="description_278">Abstract!$B$42</definedName>
    <definedName name="description_28">Abstract!$B$192</definedName>
    <definedName name="description_280">Abstract!$B$43</definedName>
    <definedName name="description_289">Abstract!$B$44</definedName>
    <definedName name="description_29">Abstract!$B$193</definedName>
    <definedName name="description_291">Abstract!$B$45</definedName>
    <definedName name="description_293">Abstract!$B$46</definedName>
    <definedName name="description_294">Abstract!$B$47</definedName>
    <definedName name="description_296">Abstract!$B$52</definedName>
    <definedName name="description_297">Abstract!$B$48</definedName>
    <definedName name="description_298">Abstract!$B$51</definedName>
    <definedName name="description_299">Abstract!$B$54</definedName>
    <definedName name="description_3">Abstract!$B$169</definedName>
    <definedName name="description_30">Abstract!$B$194</definedName>
    <definedName name="description_301">Abstract!$B$53</definedName>
    <definedName name="description_302">Abstract!$B$55</definedName>
    <definedName name="description_303">Abstract!$B$56</definedName>
    <definedName name="description_304">Abstract!$B$57</definedName>
    <definedName name="description_305">Abstract!$B$58</definedName>
    <definedName name="description_306">Abstract!$B$59</definedName>
    <definedName name="description_31">Abstract!$B$195</definedName>
    <definedName name="description_310">Abstract!$B$60</definedName>
    <definedName name="description_312">Abstract!$B$61</definedName>
    <definedName name="description_315">Abstract!$B$62</definedName>
    <definedName name="description_326">Abstract!$B$63</definedName>
    <definedName name="description_327">Abstract!$B$64</definedName>
    <definedName name="description_328">Abstract!$B$68</definedName>
    <definedName name="description_329">Abstract!$B$69</definedName>
    <definedName name="description_331">Abstract!$B$67</definedName>
    <definedName name="description_340">Abstract!$B$70</definedName>
    <definedName name="description_343">Abstract!$B$71</definedName>
    <definedName name="description_345">Abstract!$B$72</definedName>
    <definedName name="description_350">Abstract!$B$73</definedName>
    <definedName name="description_352">Abstract!$B$74</definedName>
    <definedName name="description_353">Abstract!$B$75</definedName>
    <definedName name="description_354">Abstract!$B$76</definedName>
    <definedName name="description_36">Abstract!$B$198</definedName>
    <definedName name="description_363">Abstract!$B$81</definedName>
    <definedName name="description_364">Abstract!$B$82</definedName>
    <definedName name="description_365">Abstract!$B$83</definedName>
    <definedName name="description_366">Abstract!$B$84</definedName>
    <definedName name="description_37">Abstract!$B$196</definedName>
    <definedName name="description_376">Abstract!$B$85</definedName>
    <definedName name="description_377">Abstract!$B$86</definedName>
    <definedName name="description_378">Abstract!$B$87</definedName>
    <definedName name="description_379">Abstract!$B$88</definedName>
    <definedName name="description_38">Abstract!$B$197</definedName>
    <definedName name="description_380">Abstract!$B$89</definedName>
    <definedName name="description_382">Abstract!$B$90</definedName>
    <definedName name="description_383">Abstract!$B$91</definedName>
    <definedName name="description_384">Abstract!$B$92</definedName>
    <definedName name="description_385">Abstract!$B$93</definedName>
    <definedName name="description_387">Abstract!$B$94</definedName>
    <definedName name="description_39">Abstract!$B$199</definedName>
    <definedName name="description_394">Abstract!$B$95</definedName>
    <definedName name="description_395">Abstract!$B$96</definedName>
    <definedName name="description_396">Abstract!$B$97</definedName>
    <definedName name="description_397">Abstract!$B$98</definedName>
    <definedName name="description_398">Abstract!$B$99</definedName>
    <definedName name="description_4">Abstract!$B$170</definedName>
    <definedName name="description_40">Abstract!$B$200</definedName>
    <definedName name="description_400">Abstract!$B$100</definedName>
    <definedName name="description_401">Abstract!$B$101</definedName>
    <definedName name="description_404">Abstract!$B$104</definedName>
    <definedName name="description_405">Abstract!$B$105</definedName>
    <definedName name="description_406">Abstract!$B$106</definedName>
    <definedName name="description_407">Abstract!$B$107</definedName>
    <definedName name="description_408">Abstract!$B$108</definedName>
    <definedName name="description_409">Abstract!$B$109</definedName>
    <definedName name="description_41">Abstract!$B$201</definedName>
    <definedName name="description_410">Abstract!$B$110</definedName>
    <definedName name="description_411">Abstract!$B$111</definedName>
    <definedName name="description_412">Abstract!$B$112</definedName>
    <definedName name="description_413">Abstract!$B$113</definedName>
    <definedName name="description_414">Abstract!$B$114</definedName>
    <definedName name="description_418">Abstract!$B$118</definedName>
    <definedName name="description_419">Abstract!$B$119</definedName>
    <definedName name="description_42">Abstract!$B$202</definedName>
    <definedName name="description_420">Abstract!$B$120</definedName>
    <definedName name="description_421">Abstract!$B$121</definedName>
    <definedName name="description_422">Abstract!$B$122</definedName>
    <definedName name="description_423">Abstract!$B$123</definedName>
    <definedName name="description_424">Abstract!$B$124</definedName>
    <definedName name="description_425">Abstract!$B$125</definedName>
    <definedName name="description_426">Abstract!$B$127</definedName>
    <definedName name="description_427">Abstract!$B$126</definedName>
    <definedName name="description_428">Abstract!$B$128</definedName>
    <definedName name="description_429">Abstract!$B$129</definedName>
    <definedName name="description_43">Abstract!$B$203</definedName>
    <definedName name="description_430">Abstract!$B$130</definedName>
    <definedName name="description_431">Abstract!$B$131</definedName>
    <definedName name="description_432">Abstract!$B$132</definedName>
    <definedName name="description_433">Abstract!$B$133</definedName>
    <definedName name="description_434">Abstract!$B$134</definedName>
    <definedName name="description_435">Abstract!$B$135</definedName>
    <definedName name="description_436">Abstract!$B$136</definedName>
    <definedName name="description_437">Abstract!$B$137</definedName>
    <definedName name="description_438">Abstract!$B$138</definedName>
    <definedName name="description_439">Abstract!$B$139</definedName>
    <definedName name="description_44">Abstract!$B$204</definedName>
    <definedName name="description_444">Abstract!$B$140</definedName>
    <definedName name="description_45">Abstract!$B$205</definedName>
    <definedName name="description_46">Abstract!$B$206</definedName>
    <definedName name="description_47">Abstract!$B$207</definedName>
    <definedName name="description_48">Abstract!$B$208</definedName>
    <definedName name="description_49">Abstract!$B$209</definedName>
    <definedName name="description_5">Abstract!$B$171</definedName>
    <definedName name="description_50">Abstract!$B$210</definedName>
    <definedName name="description_51">Abstract!$B$211</definedName>
    <definedName name="description_52">Abstract!$B$212</definedName>
    <definedName name="description_53">Abstract!$B$213</definedName>
    <definedName name="description_54">Abstract!$B$214</definedName>
    <definedName name="description_55">Abstract!$B$215</definedName>
    <definedName name="description_56">Abstract!$B$216</definedName>
    <definedName name="description_564">Abstract!$B$141</definedName>
    <definedName name="description_565">Abstract!$B$142</definedName>
    <definedName name="description_566">Abstract!$B$143</definedName>
    <definedName name="description_567">Abstract!$B$144</definedName>
    <definedName name="description_568">Abstract!$B$145</definedName>
    <definedName name="description_569">Abstract!$B$146</definedName>
    <definedName name="description_57">Abstract!$B$217</definedName>
    <definedName name="description_58">Abstract!$B$218</definedName>
    <definedName name="description_59">Abstract!$B$219</definedName>
    <definedName name="description_598">Abstract!$B$147</definedName>
    <definedName name="description_599">Abstract!$B$149</definedName>
    <definedName name="description_6">Abstract!$B$172</definedName>
    <definedName name="description_60">Abstract!$B$220</definedName>
    <definedName name="description_600">Abstract!$B$148</definedName>
    <definedName name="description_61">Abstract!$B$221</definedName>
    <definedName name="description_610">Abstract!$B$150</definedName>
    <definedName name="description_611">Abstract!$B$151</definedName>
    <definedName name="description_612">Abstract!$B$152</definedName>
    <definedName name="description_613">Abstract!$B$153</definedName>
    <definedName name="description_614">Abstract!$B$155</definedName>
    <definedName name="description_615">Abstract!$B$154</definedName>
    <definedName name="description_616">Abstract!$B$156</definedName>
    <definedName name="description_617">Abstract!$B$157</definedName>
    <definedName name="description_618">Abstract!$B$158</definedName>
    <definedName name="description_619">Abstract!$B$159</definedName>
    <definedName name="description_62">Abstract!$B$222</definedName>
    <definedName name="description_620">Abstract!$B$160</definedName>
    <definedName name="description_622">Abstract!$B$162</definedName>
    <definedName name="description_623">Abstract!$B$161</definedName>
    <definedName name="description_637">Abstract!$B$163</definedName>
    <definedName name="description_641">Abstract!$B$164</definedName>
    <definedName name="description_642">Abstract!$B$166</definedName>
    <definedName name="description_643">Abstract!$B$165</definedName>
    <definedName name="description_649">Abstract!$B$227</definedName>
    <definedName name="description_650">Abstract!$B$228</definedName>
    <definedName name="description_651">Abstract!$B$229</definedName>
    <definedName name="description_652">Abstract!$B$230</definedName>
    <definedName name="description_653">Abstract!$B$231</definedName>
    <definedName name="description_654">Abstract!$B$232</definedName>
    <definedName name="description_655">Abstract!$B$233</definedName>
    <definedName name="description_656">Abstract!$B$234</definedName>
    <definedName name="description_657">Abstract!$B$235</definedName>
    <definedName name="description_658">Abstract!$B$236</definedName>
    <definedName name="description_671">Abstract!$B$237</definedName>
    <definedName name="description_672">Abstract!$B$238</definedName>
    <definedName name="description_673">Abstract!$B$239</definedName>
    <definedName name="description_674">Abstract!$B$240</definedName>
    <definedName name="description_675">Abstract!$B$241</definedName>
    <definedName name="description_676">Abstract!$B$242</definedName>
    <definedName name="description_677">Abstract!$B$244</definedName>
    <definedName name="description_678">Abstract!$B$243</definedName>
    <definedName name="description_679">Abstract!$B$246</definedName>
    <definedName name="description_68">Abstract!$B$224</definedName>
    <definedName name="description_680">Abstract!$B$245</definedName>
    <definedName name="description_682">Abstract!$B$247</definedName>
    <definedName name="description_684">Abstract!$B$248</definedName>
    <definedName name="description_685">Abstract!$B$249</definedName>
    <definedName name="description_686">Abstract!$B$250</definedName>
    <definedName name="description_687">Abstract!$B$251</definedName>
    <definedName name="description_688">Abstract!$B$252</definedName>
    <definedName name="description_689">Abstract!$B$253</definedName>
    <definedName name="description_69">Abstract!$B$223</definedName>
    <definedName name="description_690">Abstract!$B$254</definedName>
    <definedName name="description_691">Abstract!$B$255</definedName>
    <definedName name="description_692">Abstract!$B$256</definedName>
    <definedName name="description_693">Abstract!$B$257</definedName>
    <definedName name="description_697">Abstract!$B$258</definedName>
    <definedName name="description_698">Abstract!$B$259</definedName>
    <definedName name="description_699">Abstract!$B$260</definedName>
    <definedName name="description_7">Abstract!$B$173</definedName>
    <definedName name="description_700">Abstract!$B$261</definedName>
    <definedName name="description_701">Abstract!$B$262</definedName>
    <definedName name="description_702">Abstract!$B$263</definedName>
    <definedName name="description_703">Abstract!$B$264</definedName>
    <definedName name="description_706">Abstract!$B$265</definedName>
    <definedName name="description_707">Abstract!$B$266</definedName>
    <definedName name="description_746">Abstract!$B$267</definedName>
    <definedName name="description_747">Abstract!$B$268</definedName>
    <definedName name="description_748">Abstract!$B$269</definedName>
    <definedName name="description_749">Abstract!$B$270</definedName>
    <definedName name="description_750">Abstract!$B$271</definedName>
    <definedName name="description_753">Abstract!$B$272</definedName>
    <definedName name="description_754">Abstract!$B$273</definedName>
    <definedName name="description_755">Abstract!$B$274</definedName>
    <definedName name="description_756">Abstract!$B$275</definedName>
    <definedName name="description_757">Abstract!$B$276</definedName>
    <definedName name="description_758">Abstract!$B$277</definedName>
    <definedName name="description_759">Abstract!$B$278</definedName>
    <definedName name="description_760">Abstract!$B$279</definedName>
    <definedName name="description_761">Abstract!$B$280</definedName>
    <definedName name="description_762">Abstract!$B$281</definedName>
    <definedName name="description_763">Abstract!$B$282</definedName>
    <definedName name="description_764">Abstract!$B$283</definedName>
    <definedName name="description_765">Abstract!$B$284</definedName>
    <definedName name="description_766">Abstract!$B$285</definedName>
    <definedName name="description_767">Abstract!$B$286</definedName>
    <definedName name="description_768">Abstract!$B$287</definedName>
    <definedName name="description_769">Abstract!$B$288</definedName>
    <definedName name="description_770">Abstract!$B$289</definedName>
    <definedName name="description_771">Abstract!$B$290</definedName>
    <definedName name="description_772">Abstract!$B$295</definedName>
    <definedName name="description_773">Abstract!$B$294</definedName>
    <definedName name="description_774">Abstract!$B$293</definedName>
    <definedName name="description_775">Abstract!$B$292</definedName>
    <definedName name="description_776">Abstract!$B$291</definedName>
    <definedName name="description_779">Abstract!$B$296</definedName>
    <definedName name="description_780">Abstract!$B$297</definedName>
    <definedName name="description_781">Abstract!$B$299</definedName>
    <definedName name="description_782">Abstract!$B$298</definedName>
    <definedName name="description_783">Abstract!$B$301</definedName>
    <definedName name="description_784">Abstract!$B$300</definedName>
    <definedName name="description_8">Abstract!$B$174</definedName>
    <definedName name="description_810">Abstract!$B$302</definedName>
    <definedName name="description_811">Abstract!$B$303</definedName>
    <definedName name="description_822">Abstract!$B$305</definedName>
    <definedName name="description_824">Abstract!$B$306</definedName>
    <definedName name="description_825">Abstract!$B$307</definedName>
    <definedName name="description_826">Abstract!$B$308</definedName>
    <definedName name="description_827">Abstract!$B$309</definedName>
    <definedName name="description_828">Abstract!$B$310</definedName>
    <definedName name="description_829">Abstract!$B$311</definedName>
    <definedName name="description_830">Abstract!$B$312</definedName>
    <definedName name="description_831">Abstract!$B$313</definedName>
    <definedName name="description_832">Abstract!$B$314</definedName>
    <definedName name="description_90">Abstract!$B$225</definedName>
    <definedName name="description_934">Abstract!$B$315</definedName>
    <definedName name="description_935">Abstract!$B$316</definedName>
    <definedName name="description_936">Abstract!$B$317</definedName>
    <definedName name="description_937">Abstract!$B$318</definedName>
    <definedName name="description_938">Abstract!$B$319</definedName>
    <definedName name="description_943">Abstract!$B$320</definedName>
    <definedName name="description_95">Abstract!$B$14</definedName>
    <definedName name="description_950">Abstract!$B$321</definedName>
    <definedName name="description_951">Abstract!$B$322</definedName>
    <definedName name="description_952">Abstract!$B$323</definedName>
    <definedName name="description_953">Abstract!$B$324</definedName>
    <definedName name="description_954">Abstract!$B$325</definedName>
    <definedName name="description_959">Abstract!$B$326</definedName>
    <definedName name="description_960">Abstract!$B$327</definedName>
    <definedName name="description_961">Abstract!$B$328</definedName>
    <definedName name="description_968">Abstract!$B$329</definedName>
    <definedName name="description_969">Abstract!$B$330</definedName>
    <definedName name="description_970">Abstract!$B$331</definedName>
    <definedName name="description_971">Abstract!$B$332</definedName>
    <definedName name="diesel" localSheetId="8">'[8]material rate'!$P$15</definedName>
    <definedName name="diesel" localSheetId="7">'[8]material rate'!$P$15</definedName>
    <definedName name="diesel" localSheetId="6">[19]Sheet2!$J$6</definedName>
    <definedName name="diesel">District_Rate!$D$33</definedName>
    <definedName name="distributor">'[8]material rate'!$P$44</definedName>
    <definedName name="District1" localSheetId="8">#REF!</definedName>
    <definedName name="District1" localSheetId="7">#REF!</definedName>
    <definedName name="District1" localSheetId="6">#REF!</definedName>
    <definedName name="District1">#REF!</definedName>
    <definedName name="Division" localSheetId="8">#REF!</definedName>
    <definedName name="Division" localSheetId="7">#REF!</definedName>
    <definedName name="Division" localSheetId="6">#REF!</definedName>
    <definedName name="Division">Datasheet!$A$5</definedName>
    <definedName name="dozer">Equipment_Rate!$J$13</definedName>
    <definedName name="DR" localSheetId="8">#REF!</definedName>
    <definedName name="DR" localSheetId="7">#REF!</definedName>
    <definedName name="DR" localSheetId="6">#REF!</definedName>
    <definedName name="DR">#REF!</definedName>
    <definedName name="driller" localSheetId="6">[9]Rate!#REF!</definedName>
    <definedName name="driller">District_Rate!$D$146</definedName>
    <definedName name="drilling_machine">'[6]material rate'!$P$55</definedName>
    <definedName name="drilling_machine_with_bit_and_accessories">Equipment_Rate!$J$14</definedName>
    <definedName name="drum_mix_plant">Equipment_Rate!$J$15</definedName>
    <definedName name="e" localSheetId="6">'[3]4aoc'!$B$103:$G$128</definedName>
    <definedName name="e">'[4]4aoc'!$B$103:$G$128</definedName>
    <definedName name="Earth" localSheetId="8">'[7]Rate analysis'!#REF!</definedName>
    <definedName name="Earth" localSheetId="7">'[7]Rate analysis'!#REF!</definedName>
    <definedName name="Earth" localSheetId="6">'[7]Rate analysis'!#REF!</definedName>
    <definedName name="Earth">'[7]Rate analysis'!#REF!</definedName>
    <definedName name="ehplate" localSheetId="8">[9]Rate!#REF!</definedName>
    <definedName name="ehplate" localSheetId="7">[9]Rate!#REF!</definedName>
    <definedName name="ehplate" localSheetId="6">[9]Rate!#REF!</definedName>
    <definedName name="ehplate">[9]Rate!#REF!</definedName>
    <definedName name="elastomeric_bearing">District_Rate!$D$34</definedName>
    <definedName name="electric_detonator">District_Rate!$D$35</definedName>
    <definedName name="electric_generator">Equipment_Rate!$J$16</definedName>
    <definedName name="electric_heating_plate">Equipment_Rate!$J$17</definedName>
    <definedName name="electricheatingplate" localSheetId="6">[9]Rate!#REF!</definedName>
    <definedName name="electricheatingplate">'[8]material rate'!$P$43</definedName>
    <definedName name="electricity">District_Rate!$D$36</definedName>
    <definedName name="emulsion">District_Rate!$D$37</definedName>
    <definedName name="emulsion_distributor">Equipment_Rate!$J$18</definedName>
    <definedName name="enamel" localSheetId="6">[12]Rates!$G$49</definedName>
    <definedName name="enamel">[13]Rates!$G$42</definedName>
    <definedName name="Enamel_Paint" localSheetId="8">'[7]Rate analysis'!#REF!</definedName>
    <definedName name="Enamel_Paint" localSheetId="7">'[7]Rate analysis'!#REF!</definedName>
    <definedName name="Enamel_Paint" localSheetId="6">'[7]Rate analysis'!#REF!</definedName>
    <definedName name="Enamel_Paint">'[7]Rate analysis'!#REF!</definedName>
    <definedName name="enamelpaint" localSheetId="6">[9]Rate!#REF!</definedName>
    <definedName name="enamelpaint">'[8]material rate'!$H$65</definedName>
    <definedName name="Engineer" localSheetId="8">[9]Rate!#REF!</definedName>
    <definedName name="Engineer" localSheetId="7">[9]Rate!#REF!</definedName>
    <definedName name="Engineer" localSheetId="6">[9]Rate!#REF!</definedName>
    <definedName name="Engineer">[9]Rate!#REF!</definedName>
    <definedName name="epoxy_bonding_agent">District_Rate!$D$38</definedName>
    <definedName name="epoxy_red_zinc_oxide_phosphate_primer">District_Rate!$D$39</definedName>
    <definedName name="er" localSheetId="8">[20]TranspAnalysis!#REF!</definedName>
    <definedName name="er" localSheetId="7">[20]TranspAnalysis!#REF!</definedName>
    <definedName name="er">[20]TranspAnalysis!#REF!</definedName>
    <definedName name="excavator" localSheetId="8">[21]Rates!$D$56</definedName>
    <definedName name="excavator" localSheetId="7">[21]Rates!$D$56</definedName>
    <definedName name="excavator" localSheetId="6">[21]Rates!$D$56</definedName>
    <definedName name="excavator">Equipment_Rate!$J$19</definedName>
    <definedName name="excavator_150hp_fuel">'[6]material rate'!$P$74</definedName>
    <definedName name="expansion_joint">District_Rate!$D$40</definedName>
    <definedName name="f" localSheetId="6">'[3]4aoc'!$B$129:$G$154</definedName>
    <definedName name="f">'[4]4aoc'!$B$129:$G$154</definedName>
    <definedName name="fab1.511" localSheetId="8">#REF!</definedName>
    <definedName name="fab1.511" localSheetId="7">#REF!</definedName>
    <definedName name="fab1.511" localSheetId="6">#REF!</definedName>
    <definedName name="fab1.511">#REF!</definedName>
    <definedName name="fab110.3" localSheetId="8">#REF!</definedName>
    <definedName name="fab110.3" localSheetId="7">#REF!</definedName>
    <definedName name="fab110.3" localSheetId="6">#REF!</definedName>
    <definedName name="fab110.3">#REF!</definedName>
    <definedName name="fab110.5" localSheetId="8">#REF!</definedName>
    <definedName name="fab110.5" localSheetId="7">#REF!</definedName>
    <definedName name="fab110.5" localSheetId="6">#REF!</definedName>
    <definedName name="fab110.5">#REF!</definedName>
    <definedName name="fab110.75" localSheetId="8">#REF!</definedName>
    <definedName name="fab110.75" localSheetId="7">#REF!</definedName>
    <definedName name="fab110.75" localSheetId="6">#REF!</definedName>
    <definedName name="fab110.75">#REF!</definedName>
    <definedName name="fab210.3" localSheetId="8">#REF!</definedName>
    <definedName name="fab210.3" localSheetId="7">#REF!</definedName>
    <definedName name="fab210.3" localSheetId="6">#REF!</definedName>
    <definedName name="fab210.3">#REF!</definedName>
    <definedName name="fab210.5" localSheetId="8">#REF!</definedName>
    <definedName name="fab210.5" localSheetId="7">#REF!</definedName>
    <definedName name="fab210.5" localSheetId="6">#REF!</definedName>
    <definedName name="fab210.5">#REF!</definedName>
    <definedName name="fab210.75" localSheetId="8">#REF!</definedName>
    <definedName name="fab210.75" localSheetId="7">#REF!</definedName>
    <definedName name="fab210.75" localSheetId="6">#REF!</definedName>
    <definedName name="fab210.75">#REF!</definedName>
    <definedName name="fab310.3" localSheetId="8">#REF!</definedName>
    <definedName name="fab310.3" localSheetId="7">#REF!</definedName>
    <definedName name="fab310.3" localSheetId="6">#REF!</definedName>
    <definedName name="fab310.3">#REF!</definedName>
    <definedName name="fab310.5" localSheetId="8">#REF!</definedName>
    <definedName name="fab310.5" localSheetId="7">#REF!</definedName>
    <definedName name="fab310.5" localSheetId="6">#REF!</definedName>
    <definedName name="fab310.5">#REF!</definedName>
    <definedName name="fab310.75" localSheetId="8">#REF!</definedName>
    <definedName name="fab310.75" localSheetId="7">#REF!</definedName>
    <definedName name="fab310.75" localSheetId="6">#REF!</definedName>
    <definedName name="fab310.75">#REF!</definedName>
    <definedName name="Factorr" localSheetId="8">#REF!</definedName>
    <definedName name="Factorr" localSheetId="7">#REF!</definedName>
    <definedName name="Factorr" localSheetId="6">#REF!</definedName>
    <definedName name="Factorr">#REF!</definedName>
    <definedName name="fevicol_gum">'[6]material rate'!$H$67</definedName>
    <definedName name="filler_slakedlime">'[6]material rate'!$H$143</definedName>
    <definedName name="fillingstone" localSheetId="8">#REF!</definedName>
    <definedName name="fillingstone" localSheetId="7">#REF!</definedName>
    <definedName name="fillingstone" localSheetId="6">#REF!</definedName>
    <definedName name="fillingstone">#REF!</definedName>
    <definedName name="filter_material">District_Rate!$D$41</definedName>
    <definedName name="Firewood" localSheetId="8">'[7]Rate analysis'!#REF!</definedName>
    <definedName name="Firewood" localSheetId="7">'[7]Rate analysis'!#REF!</definedName>
    <definedName name="Firewood" localSheetId="6">'[7]Rate analysis'!#REF!</definedName>
    <definedName name="Firewood">'[7]Rate analysis'!#REF!</definedName>
    <definedName name="fmt" localSheetId="8">#REF!</definedName>
    <definedName name="fmt" localSheetId="7">#REF!</definedName>
    <definedName name="fmt">#REF!</definedName>
    <definedName name="foremen">'[8]material rate'!$N$10</definedName>
    <definedName name="formwork">'[8]Rate analysis'!$R$1032</definedName>
    <definedName name="formwork1" localSheetId="6">#REF!</definedName>
    <definedName name="formwork1">'[8]Rate analysis'!$F$1019</definedName>
    <definedName name="formwork3" localSheetId="8">#REF!</definedName>
    <definedName name="formwork3" localSheetId="7">#REF!</definedName>
    <definedName name="formwork3" localSheetId="6">#REF!</definedName>
    <definedName name="formwork3">#REF!</definedName>
    <definedName name="fr" localSheetId="8">[20]TranspAnalysis!#REF!</definedName>
    <definedName name="fr" localSheetId="7">[20]TranspAnalysis!#REF!</definedName>
    <definedName name="fr">[20]TranspAnalysis!#REF!</definedName>
    <definedName name="fuse_wire_blasting">District_Rate!$D$42</definedName>
    <definedName name="g" localSheetId="6">'[3]4aoc'!$B$155:$G$180</definedName>
    <definedName name="g">'[4]4aoc'!$B$155:$G$180</definedName>
    <definedName name="gabion" localSheetId="6">[12]Rates!$G$27</definedName>
    <definedName name="gabion">[13]Rates!$G$20</definedName>
    <definedName name="Gabion_100x120_MW2.7_3.7_SW3.4_4.4_LW2.2_3.2">District_Rate!$D$43</definedName>
    <definedName name="Gabion_100x120_MW2.7_SW3.4_LW2.2">District_Rate!$D$46</definedName>
    <definedName name="Gabion_100x120_MW3_SW3.9_LW2.4">District_Rate!$D$44</definedName>
    <definedName name="gabion_12" localSheetId="6">[17]Rates!$G$21</definedName>
    <definedName name="gabion_12">[13]Rates!$G$21</definedName>
    <definedName name="Gabion_50x80_MW2.7_SW3.4_LW2.2">District_Rate!$D$45</definedName>
    <definedName name="gabion_box_1.5_1_1">'[6]material rate'!$H$132</definedName>
    <definedName name="gabion_box_2_1_1">'[6]material rate'!$H$133</definedName>
    <definedName name="gabion_box_3_1_1">'[6]material rate'!$H$134</definedName>
    <definedName name="gabion_mesh_wire">District_Rate!$D$47</definedName>
    <definedName name="gabion_wire_8_10_12_swg">'[6]material rate'!$H$42</definedName>
    <definedName name="gabionmesh">'[22]material rate'!$H$107</definedName>
    <definedName name="Galvanized_Angle">District_Rate!$D$48</definedName>
    <definedName name="galvanized_angle_section_100_100_mm">District_Rate!$D$49</definedName>
    <definedName name="galvanized_channel_post">District_Rate!$D$50</definedName>
    <definedName name="galvanized_corrugated_thrie_beam">District_Rate!$D$51</definedName>
    <definedName name="galvanized_corrugated_w_beam_sheet">District_Rate!$D$52</definedName>
    <definedName name="galvanized_ms_clamp">District_Rate!$D$53</definedName>
    <definedName name="galvanized_spacer_channel">District_Rate!$D$54</definedName>
    <definedName name="galvanized_steel">District_Rate!$D$55</definedName>
    <definedName name="gas_cutter" localSheetId="6">[17]Rates!$D$67</definedName>
    <definedName name="gas_cutter">[13]Rates!$D$67</definedName>
    <definedName name="gelatin">District_Rate!$D$56</definedName>
    <definedName name="generator" localSheetId="8">'[8]material rate'!$P$41</definedName>
    <definedName name="generator" localSheetId="7">'[8]material rate'!$P$41</definedName>
    <definedName name="generator" localSheetId="6">'[8]material rate'!$P$41</definedName>
    <definedName name="generator">Equipment_Rate!$J$21</definedName>
    <definedName name="geotextile" localSheetId="8">'[8]material rate'!$H$79</definedName>
    <definedName name="geotextile" localSheetId="7">'[8]material rate'!$H$79</definedName>
    <definedName name="geotextile" localSheetId="6">'[8]material rate'!$H$79</definedName>
    <definedName name="geotextile">District_Rate!$D$57</definedName>
    <definedName name="gi_bolt_dia_10_mm">District_Rate!$D$58</definedName>
    <definedName name="GI_pipe_100_dia">'[6]material rate'!$H$76</definedName>
    <definedName name="gi_pipe_dia_100_mm">District_Rate!$D$59</definedName>
    <definedName name="gi_wire">District_Rate!$D$60</definedName>
    <definedName name="gi100mm" localSheetId="6">[23]rate!$D$60</definedName>
    <definedName name="gi100mm">'[8]material rate'!$H$76</definedName>
    <definedName name="gi10gauge" localSheetId="6">[24]rate!$N$20</definedName>
    <definedName name="gi10gauge">[24]rate!$N$20</definedName>
    <definedName name="gi12gauge" localSheetId="6">[24]rate!$N$21</definedName>
    <definedName name="gi12gauge">[24]rate!$N$21</definedName>
    <definedName name="gi38mm" localSheetId="6">[23]rate!$D$57</definedName>
    <definedName name="gi38mm">'[8]material rate'!$H$73</definedName>
    <definedName name="gi50mm">'[8]material rate'!$H$74</definedName>
    <definedName name="gi75mm">'[8]material rate'!$H$75</definedName>
    <definedName name="gi8gauge" localSheetId="6">[24]rate!$N$19</definedName>
    <definedName name="gi8gauge">[24]rate!$N$19</definedName>
    <definedName name="GIpipe40mm" localSheetId="8">'[7]Rate analysis'!#REF!</definedName>
    <definedName name="GIpipe40mm" localSheetId="7">'[7]Rate analysis'!#REF!</definedName>
    <definedName name="GIpipe40mm" localSheetId="6">'[7]Rate analysis'!#REF!</definedName>
    <definedName name="GIpipe40mm">'[7]Rate analysis'!#REF!</definedName>
    <definedName name="GiPipe50mm" localSheetId="8">'[7]Rate analysis'!#REF!</definedName>
    <definedName name="GiPipe50mm" localSheetId="7">'[7]Rate analysis'!#REF!</definedName>
    <definedName name="GiPipe50mm" localSheetId="6">'[7]Rate analysis'!#REF!</definedName>
    <definedName name="GiPipe50mm">'[7]Rate analysis'!#REF!</definedName>
    <definedName name="giwire10" localSheetId="6">[9]Rate!#REF!</definedName>
    <definedName name="giwire10">'[8]material rate'!$H$42</definedName>
    <definedName name="giwire12" localSheetId="6">[9]Rate!#REF!</definedName>
    <definedName name="giwire8" localSheetId="6">[9]Rate!#REF!</definedName>
    <definedName name="giwire8">'[8]material rate'!$H$41</definedName>
    <definedName name="glass_beads">District_Rate!$D$61</definedName>
    <definedName name="glassbead">'[6]material rate'!$H$102</definedName>
    <definedName name="grader">[25]Rates!$D$103</definedName>
    <definedName name="grader_fuel">'[6]material rate'!$P$73</definedName>
    <definedName name="grader75hp">'[8]material rate'!$P$26</definedName>
    <definedName name="grador75hp" localSheetId="8">[9]Rate!#REF!</definedName>
    <definedName name="grador75hp" localSheetId="7">[9]Rate!#REF!</definedName>
    <definedName name="grador75hp" localSheetId="6">[9]Rate!#REF!</definedName>
    <definedName name="grador75hp">[9]Rate!#REF!</definedName>
    <definedName name="Grave1">'[4]4aoc'!$B$77:$G$102</definedName>
    <definedName name="gravel" localSheetId="8">'[8]material rate'!$H$5</definedName>
    <definedName name="gravel" localSheetId="7">'[8]material rate'!$H$5</definedName>
    <definedName name="gravel" localSheetId="6">'[18]material rate'!$M$9</definedName>
    <definedName name="gravel">District_Rate!$D$62</definedName>
    <definedName name="gravel5_70">'[6]material rate'!$H$5</definedName>
    <definedName name="grout_pump_with_agitator">Equipment_Rate!$J$22</definedName>
    <definedName name="gum">'[8]material rate'!$H$67</definedName>
    <definedName name="h" localSheetId="6">'[3]4aoc'!$B$181:$G$206</definedName>
    <definedName name="h">'[4]4aoc'!$B$181:$G$206</definedName>
    <definedName name="handsprayer">'[8]material rate'!$P$35</definedName>
    <definedName name="hdp110mm">'[8]material rate'!$H$77</definedName>
    <definedName name="HDPE_pipe_110_mm">District_Rate!$D$63</definedName>
    <definedName name="HDPE_pipe_150_mm">District_Rate!$D$64</definedName>
    <definedName name="high_built_epoxy">District_Rate!$D$65</definedName>
    <definedName name="holdfast">'[6]material rate'!$H$144</definedName>
    <definedName name="hot_mix_plant">Equipment_Rate!$J$23</definedName>
    <definedName name="hp_300mm">'[6]material rate'!$H$47</definedName>
    <definedName name="hp_450mm">'[6]material rate'!$H$48</definedName>
    <definedName name="hp1200mm">'[8]material rate'!$H$52</definedName>
    <definedName name="hp600mm">'[8]material rate'!$H$49</definedName>
    <definedName name="hp750mm">'[8]material rate'!$H$50</definedName>
    <definedName name="hp900mm">'[8]material rate'!$H$51</definedName>
    <definedName name="hume_pipe_dia_100_mm">District_Rate!$D$67</definedName>
    <definedName name="hume_pipe_dia_1000_mm">District_Rate!$D$66</definedName>
    <definedName name="hume_pipe_dia_1200_mm">District_Rate!$D$68</definedName>
    <definedName name="hume_pipe_dia_300_mm">District_Rate!$D$69</definedName>
    <definedName name="hume_pipe_dia_450_mm">District_Rate!$D$70</definedName>
    <definedName name="hume_pipe_dia_600_mm">District_Rate!$D$71</definedName>
    <definedName name="hume_pipe_dia_900_mm">District_Rate!$D$72</definedName>
    <definedName name="humepipe300mm" localSheetId="8">[9]Rate!#REF!</definedName>
    <definedName name="humepipe300mm" localSheetId="7">[9]Rate!#REF!</definedName>
    <definedName name="humepipe300mm" localSheetId="6">[9]Rate!#REF!</definedName>
    <definedName name="humepipe300mm">[9]Rate!#REF!</definedName>
    <definedName name="hydraulic_jack">Equipment_Rate!$J$24</definedName>
    <definedName name="HYSD_bar">District_Rate!$D$73</definedName>
    <definedName name="i" localSheetId="6">'[3]4aoc'!$B$207:$G$232</definedName>
    <definedName name="i">'[4]4aoc'!$B$207:$G$232</definedName>
    <definedName name="ih" localSheetId="8">#REF!</definedName>
    <definedName name="ih" localSheetId="7">#REF!</definedName>
    <definedName name="ih" localSheetId="6">#REF!</definedName>
    <definedName name="ih">#REF!</definedName>
    <definedName name="interlockingblock_60_mm">'[6]material rate'!$H$95</definedName>
    <definedName name="j" localSheetId="6">'[3]4aoc'!$B$233:$G$258</definedName>
    <definedName name="j">'[4]4aoc'!$B$233:$G$258</definedName>
    <definedName name="jack_hammer">Equipment_Rate!$J$25</definedName>
    <definedName name="jjj" localSheetId="8">[16]TranspAnalysis!#REF!</definedName>
    <definedName name="jjj" localSheetId="7">[16]TranspAnalysis!#REF!</definedName>
    <definedName name="jjj">[16]TranspAnalysis!#REF!</definedName>
    <definedName name="jute">'[8]material rate'!$H$54</definedName>
    <definedName name="k" localSheetId="8">#REF!</definedName>
    <definedName name="k" localSheetId="7">#REF!</definedName>
    <definedName name="k">#REF!</definedName>
    <definedName name="kerb_casting_machine" localSheetId="8">'[6]material rate'!$P$60</definedName>
    <definedName name="kerb_casting_machine" localSheetId="7">'[6]material rate'!$P$60</definedName>
    <definedName name="kerb_casting_machine" localSheetId="6">'[6]material rate'!$P$60</definedName>
    <definedName name="kerb_casting_machine">Equipment_Rate!$J$26</definedName>
    <definedName name="kerosene" localSheetId="8">'[8]material rate'!$P$16</definedName>
    <definedName name="kerosene" localSheetId="7">'[8]material rate'!$P$16</definedName>
    <definedName name="kerosene" localSheetId="6">'[8]material rate'!$P$16</definedName>
    <definedName name="kerosene">District_Rate!$D$74</definedName>
    <definedName name="keyagg" localSheetId="8">'[8]material rate'!#REF!</definedName>
    <definedName name="keyagg" localSheetId="7">'[8]material rate'!#REF!</definedName>
    <definedName name="keyagg" localSheetId="6">[9]Rate!#REF!</definedName>
    <definedName name="keyagg">'[8]material rate'!#REF!</definedName>
    <definedName name="kkj" localSheetId="8">[16]TranspAnalysis!#REF!</definedName>
    <definedName name="kkj" localSheetId="7">[16]TranspAnalysis!#REF!</definedName>
    <definedName name="kkj">[16]TranspAnalysis!#REF!</definedName>
    <definedName name="kkr" localSheetId="8">[16]TranspAnalysis!#REF!</definedName>
    <definedName name="kkr" localSheetId="7">[16]TranspAnalysis!#REF!</definedName>
    <definedName name="kkr">[16]TranspAnalysis!#REF!</definedName>
    <definedName name="Krosene" localSheetId="8">'[7]Rate analysis'!#REF!</definedName>
    <definedName name="Krosene" localSheetId="7">'[7]Rate analysis'!#REF!</definedName>
    <definedName name="Krosene" localSheetId="6">'[7]Rate analysis'!#REF!</definedName>
    <definedName name="Krosene">'[7]Rate analysis'!#REF!</definedName>
    <definedName name="LDP100mm" localSheetId="8">'[7]Rate analysis'!#REF!</definedName>
    <definedName name="LDP100mm" localSheetId="7">'[7]Rate analysis'!#REF!</definedName>
    <definedName name="LDP100mm" localSheetId="6">'[7]Rate analysis'!#REF!</definedName>
    <definedName name="LDP100mm">'[7]Rate analysis'!#REF!</definedName>
    <definedName name="lime" localSheetId="8">'[8]material rate'!$H$66</definedName>
    <definedName name="lime" localSheetId="7">'[8]material rate'!$H$66</definedName>
    <definedName name="lime" localSheetId="6">'[8]material rate'!$H$66</definedName>
    <definedName name="lime">District_Rate!$D$75</definedName>
    <definedName name="LinkStatus" localSheetId="8">#REF!</definedName>
    <definedName name="LinkStatus" localSheetId="7">#REF!</definedName>
    <definedName name="LinkStatus">#REF!</definedName>
    <definedName name="llr" localSheetId="8">[16]TranspAnalysis!#REF!</definedName>
    <definedName name="llr" localSheetId="7">[16]TranspAnalysis!#REF!</definedName>
    <definedName name="llr">[16]TranspAnalysis!#REF!</definedName>
    <definedName name="loader" localSheetId="8">'[8]material rate'!$P$31</definedName>
    <definedName name="loader" localSheetId="7">'[8]material rate'!$P$31</definedName>
    <definedName name="loader" localSheetId="6">'[8]material rate'!$P$31</definedName>
    <definedName name="loader">Equipment_Rate!$J$27</definedName>
    <definedName name="loader_fuel">'[6]material rate'!$P$76</definedName>
    <definedName name="LP_Gas">'[6]material rate'!$H$103</definedName>
    <definedName name="lpg">District_Rate!$D$76</definedName>
    <definedName name="m10_40" localSheetId="6">#REF!</definedName>
    <definedName name="m10_40">'[8]Rate analysis'!$F$1179</definedName>
    <definedName name="m15_15">'[8]Rate analysis'!$F$1195</definedName>
    <definedName name="m15_40" localSheetId="6">#REF!</definedName>
    <definedName name="m20_20" localSheetId="6">#REF!</definedName>
    <definedName name="m20_20">'[8]Rate analysis'!$F$1226</definedName>
    <definedName name="m20_40" localSheetId="6">#REF!</definedName>
    <definedName name="m25_20" localSheetId="6">#REF!</definedName>
    <definedName name="man_break_aggregate_10_20_mm">Collection!$E$60</definedName>
    <definedName name="man_break_aggregate_10_mm">Collection!$E$61</definedName>
    <definedName name="man_break_aggregate_13.2_mm">Collection!$E$63</definedName>
    <definedName name="man_break_aggregate_20_40_mm">Collection!$E$59</definedName>
    <definedName name="man_break_aggregate_20_mm">Collection!$E$64</definedName>
    <definedName name="man_break_aggregate_40_70_mm">Collection!$E$58</definedName>
    <definedName name="man_break_aggregate_70_100_mm">Collection!$E$57</definedName>
    <definedName name="man_load_aggregate">Loading_Unloading!$H$21</definedName>
    <definedName name="man_load_bricks">Loading_Unloading!$H$13</definedName>
    <definedName name="man_load_cement">Loading_Unloading!$H$12</definedName>
    <definedName name="man_load_concrete_block_kerb">Loading_Unloading!$H$16</definedName>
    <definedName name="man_load_empty_bitumen_drum">Loading_Unloading!$H$14</definedName>
    <definedName name="man_load_gravel">Loading_Unloading!$H$18</definedName>
    <definedName name="man_load_hume_pipe_dia_1000_mm">Loading_Unloading!$H$47</definedName>
    <definedName name="man_load_hume_pipe_dia_1200_mm">Loading_Unloading!$H$48</definedName>
    <definedName name="man_load_hume_pipe_dia_300_mm">Loading_Unloading!$H$52</definedName>
    <definedName name="man_load_hume_pipe_dia_450_mm">Loading_Unloading!$H$51</definedName>
    <definedName name="man_load_hume_pipe_dia_600_mm">Loading_Unloading!$H$50</definedName>
    <definedName name="man_load_hume_pipe_dia_700_mm">Loading_Unloading!$H$49</definedName>
    <definedName name="man_load_hume_pipe_dia_900_mm">Loading_Unloading!$H$46</definedName>
    <definedName name="man_load_rubble">Loading_Unloading!$H$20</definedName>
    <definedName name="man_load_sand">Loading_Unloading!$H$19</definedName>
    <definedName name="man_load_steel">Loading_Unloading!$H$17</definedName>
    <definedName name="man_load_timber">Loading_Unloading!$H$15</definedName>
    <definedName name="mason">'[2]update Rate'!$E$6</definedName>
    <definedName name="mastic_cooker">Equipment_Rate!$J$28</definedName>
    <definedName name="MatList" localSheetId="8">[16]TranspAnalysis!#REF!</definedName>
    <definedName name="MatList" localSheetId="7">[16]TranspAnalysis!#REF!</definedName>
    <definedName name="MatList">[16]TranspAnalysis!#REF!</definedName>
    <definedName name="matlist1" localSheetId="8">[20]TranspAnalysis!#REF!</definedName>
    <definedName name="matlist1" localSheetId="7">[20]TranspAnalysis!#REF!</definedName>
    <definedName name="matlist1">[20]TranspAnalysis!#REF!</definedName>
    <definedName name="mech_crush_aggregate_13.2_mm">Collection!$J$77</definedName>
    <definedName name="mech_crush_aggregate_20_mm">Collection!$J$78</definedName>
    <definedName name="mech_crush_aggregate_40_mm">Collection!$J$79</definedName>
    <definedName name="mech_load_aggregate">Loading_Unloading!$F$8</definedName>
    <definedName name="mech_load_gravel">Loading_Unloading!$F$5</definedName>
    <definedName name="mech_load_hume_pipe_450_mm_37.5_m">Loading_Unloading!$H$32</definedName>
    <definedName name="mech_load_hume_pipe_dia_1000_mm">Loading_Unloading!$H$27</definedName>
    <definedName name="mech_load_hume_pipe_dia_1200_mm">Loading_Unloading!$H$28</definedName>
    <definedName name="mech_load_hume_pipe_dia_300_mm">Loading_Unloading!$H$33</definedName>
    <definedName name="mech_load_hume_pipe_dia_450_mm">Loading_Unloading!$H$31</definedName>
    <definedName name="mech_load_hume_pipe_dia_600_mm">Loading_Unloading!$H$30</definedName>
    <definedName name="mech_load_hume_pipe_dia_700_mm">Loading_Unloading!$H$29</definedName>
    <definedName name="mech_load_hume_pipe_dia_900_mm">Loading_Unloading!$H$26</definedName>
    <definedName name="mech_load_rubble">Loading_Unloading!$F$7</definedName>
    <definedName name="mech_load_sand">Loading_Unloading!$F$6</definedName>
    <definedName name="mech_unload_hume_pipe_450_mm_37.5_m">Loading_Unloading!$H$42</definedName>
    <definedName name="mech_unload_hume_pipe_dia_1000_mm">Loading_Unloading!$H$37</definedName>
    <definedName name="mech_unload_hume_pipe_dia_1200_mm">Loading_Unloading!$H$38</definedName>
    <definedName name="mech_unload_hume_pipe_dia_300_mm">Loading_Unloading!$H$43</definedName>
    <definedName name="mech_unload_hume_pipe_dia_450_mm">Loading_Unloading!$H$41</definedName>
    <definedName name="mech_unload_hume_pipe_dia_600_mm">Loading_Unloading!$H$40</definedName>
    <definedName name="mech_unload_hume_pipe_dia_700_mm">Loading_Unloading!$H$39</definedName>
    <definedName name="mech_unload_hume_pipe_dia_900_mm">Loading_Unloading!$H$36</definedName>
    <definedName name="mechanical_broom">Equipment_Rate!$J$29</definedName>
    <definedName name="ministry">Datasheet!$A$2</definedName>
    <definedName name="mixer" localSheetId="6">[17]Rates!$D$65</definedName>
    <definedName name="mixer">'[8]material rate'!$P$38</definedName>
    <definedName name="mixture_machine">Equipment_Rate!$J$30</definedName>
    <definedName name="mobile_slurry_seal_equipment">Equipment_Rate!$J$31</definedName>
    <definedName name="motor_grader">Equipment_Rate!$J$32</definedName>
    <definedName name="mr" localSheetId="6">[17]Rates!$D$6</definedName>
    <definedName name="mr">[13]Rates!$D$6</definedName>
    <definedName name="ms_angle">District_Rate!$D$128</definedName>
    <definedName name="ms_bar">District_Rate!$D$77</definedName>
    <definedName name="ms_channel">District_Rate!$D$78</definedName>
    <definedName name="ms_clamp">District_Rate!$D$79</definedName>
    <definedName name="ms_flat_pipe">District_Rate!$D$80</definedName>
    <definedName name="ms_pipe_25_mm">District_Rate!$D$81</definedName>
    <definedName name="ms_pipe_50_mm">District_Rate!$D$82</definedName>
    <definedName name="ms_pipes_dia_40mm">District_Rate!$D$83</definedName>
    <definedName name="ms_plate">District_Rate!$D$84</definedName>
    <definedName name="ms_sheet_2_mm">District_Rate!$D$85</definedName>
    <definedName name="nail" localSheetId="6">[17]Rates!$G$45</definedName>
    <definedName name="nail">[13]Rates!$G$45</definedName>
    <definedName name="Nails" localSheetId="6">'[7]Rate analysis'!#REF!</definedName>
    <definedName name="nails">'[8]material rate'!$H$55</definedName>
    <definedName name="nails_spikes">District_Rate!$D$86</definedName>
    <definedName name="name_of_road">Datasheet!$C$10</definedName>
    <definedName name="nature_of_work">Datasheet!$C$9</definedName>
    <definedName name="Neighbouring" localSheetId="8">#REF!</definedName>
    <definedName name="Neighbouring" localSheetId="7">#REF!</definedName>
    <definedName name="Neighbouring">#REF!</definedName>
    <definedName name="no_blast_rubble">Collection!$F$68</definedName>
    <definedName name="nuts" localSheetId="6">[17]Rates!$G$55</definedName>
    <definedName name="nuts">[13]Rates!$G$55</definedName>
    <definedName name="nuts_bolts">District_Rate!$D$87</definedName>
    <definedName name="oo">'[26]4aoc'!$B$207:$G$232</definedName>
    <definedName name="op">'[26]4aoc'!$B$1:$G$26</definedName>
    <definedName name="opc">'[27]District Rate 071-72'!$D$32</definedName>
    <definedName name="pack_high_built_polyur_ethane">District_Rate!$D$88</definedName>
    <definedName name="paint">District_Rate!$D$89</definedName>
    <definedName name="paint_sprayer_machine_with_compressor">Equipment_Rate!$J$33</definedName>
    <definedName name="part_of_bearing">District_Rate!$D$90</definedName>
    <definedName name="paver">'[6]material rate'!$P$50</definedName>
    <definedName name="paver_finisher">Equipment_Rate!$J$34</definedName>
    <definedName name="petrol" localSheetId="8">'[8]material rate'!$P$17</definedName>
    <definedName name="petrol" localSheetId="7">'[8]material rate'!$P$17</definedName>
    <definedName name="petrol" localSheetId="6">[12]Rates!$G$46</definedName>
    <definedName name="petrol">District_Rate!$D$91</definedName>
    <definedName name="piling_rig_with_all_accessories">Equipment_Rate!$J$35</definedName>
    <definedName name="planks_38mm_thick">District_Rate!$D$92</definedName>
    <definedName name="plate_compactor">Equipment_Rate!$J$36</definedName>
    <definedName name="plate_vibratory_compactor">'[6]material rate'!$P$57</definedName>
    <definedName name="ply_wood_12mm_thick">District_Rate!$D$93</definedName>
    <definedName name="ply_wood_9mm_thick">District_Rate!$D$94</definedName>
    <definedName name="ply10mm">'[8]material rate'!$H$61</definedName>
    <definedName name="plywood" localSheetId="6">[17]Rates!$G$46</definedName>
    <definedName name="plywood">[13]Rates!$G$46</definedName>
    <definedName name="plywood9mm" localSheetId="8">[9]Rate!#REF!</definedName>
    <definedName name="plywood9mm" localSheetId="7">[9]Rate!#REF!</definedName>
    <definedName name="plywood9mm" localSheetId="6">[9]Rate!#REF!</definedName>
    <definedName name="plywood9mm">[9]Rate!#REF!</definedName>
    <definedName name="pneumatic_roller">Equipment_Rate!$J$37</definedName>
    <definedName name="PopulationI" localSheetId="8">#REF!</definedName>
    <definedName name="PopulationI" localSheetId="7">#REF!</definedName>
    <definedName name="PopulationI">#REF!</definedName>
    <definedName name="pre_coated_stone_chips_13mm">District_Rate!$D$95</definedName>
    <definedName name="pre_moulded_joint_filler">District_Rate!$D$97</definedName>
    <definedName name="preformed_continuous_chloroprene_elastomer">District_Rate!$D$96</definedName>
    <definedName name="primer">'[8]material rate'!$H$69</definedName>
    <definedName name="primer_wood_steel">'[6]material rate'!$H$69</definedName>
    <definedName name="_xlnm.Print_Area" localSheetId="8">bistar!$A$1:$Q$196</definedName>
    <definedName name="_xlnm.Print_Area" localSheetId="3">District_Rate!$A$1:$M$156</definedName>
    <definedName name="_xlnm.Print_Area" localSheetId="7">#REF!</definedName>
    <definedName name="_xlnm.Print_Area" localSheetId="6">'rate (roadway)'!$A$1:$J$34</definedName>
    <definedName name="_xlnm.Print_Area" localSheetId="9">Rate_Analysis!$A$1:$U$4503</definedName>
    <definedName name="_xlnm.Print_Area" localSheetId="5">Summary_of_Rates!$A$1:$M$324</definedName>
    <definedName name="_xlnm.Print_Area">#REF!</definedName>
    <definedName name="PRINT_AREA_MI" localSheetId="8">#REF!</definedName>
    <definedName name="PRINT_AREA_MI" localSheetId="7">#REF!</definedName>
    <definedName name="PRINT_AREA_MI">#REF!</definedName>
    <definedName name="_xlnm.Print_Titles" localSheetId="1">Abstract!$1:$12</definedName>
    <definedName name="_xlnm.Print_Titles" localSheetId="8">bistar!$1:$5</definedName>
    <definedName name="_xlnm.Print_Titles" localSheetId="19">BOQ!$1:$11</definedName>
    <definedName name="_xlnm.Print_Titles" localSheetId="4">Equipment_Rate!$1:$4</definedName>
    <definedName name="_xlnm.Print_Titles" localSheetId="15">Loading_Unloading!$1:$2</definedName>
    <definedName name="_xlnm.Print_Titles" localSheetId="20">PPMO_BOQ!$1:$1</definedName>
    <definedName name="_xlnm.Print_Titles" localSheetId="2">Quantity_Sheet!$1:$12</definedName>
    <definedName name="_xlnm.Print_Titles" localSheetId="9">Rate_Analysis!$1:$4</definedName>
    <definedName name="_xlnm.Print_Titles" localSheetId="5">Summary_of_Rates!$4:$6</definedName>
    <definedName name="Problem1" localSheetId="8">#REF!</definedName>
    <definedName name="Problem1" localSheetId="7">#REF!</definedName>
    <definedName name="Problem1" localSheetId="6">#REF!</definedName>
    <definedName name="Problem1">#REF!</definedName>
    <definedName name="Problem2" localSheetId="8">#REF!</definedName>
    <definedName name="Problem2" localSheetId="7">#REF!</definedName>
    <definedName name="Problem2" localSheetId="6">#REF!</definedName>
    <definedName name="Problem2">#REF!</definedName>
    <definedName name="Problem3" localSheetId="8">#REF!</definedName>
    <definedName name="Problem3" localSheetId="7">#REF!</definedName>
    <definedName name="Problem3" localSheetId="6">#REF!</definedName>
    <definedName name="Problem3">#REF!</definedName>
    <definedName name="project_signboard">District_Rate!$D$98</definedName>
    <definedName name="prov_sum">Abstract!$F$342</definedName>
    <definedName name="ptroller" localSheetId="6">[9]Rate!#REF!</definedName>
    <definedName name="ptroller">'[8]material rate'!$P$37</definedName>
    <definedName name="pump10cmdia" localSheetId="6">[9]Rate!#REF!</definedName>
    <definedName name="PVC_pipe_200_mm">District_Rate!$D$99</definedName>
    <definedName name="qwe">[1]Rates!$D$4</definedName>
    <definedName name="rafter_beam_battens">District_Rate!$D$100</definedName>
    <definedName name="rate_1">Summary_of_Rates!$L$149</definedName>
    <definedName name="rate_10">Summary_of_Rates!$L$157</definedName>
    <definedName name="rate_1011">Summary_of_Rates!#REF!</definedName>
    <definedName name="rate_1012">Summary_of_Rates!#REF!</definedName>
    <definedName name="rate_1013">Summary_of_Rates!#REF!</definedName>
    <definedName name="rate_1014">Summary_of_Rates!#REF!</definedName>
    <definedName name="rate_1015">Summary_of_Rates!#REF!</definedName>
    <definedName name="rate_1018">Summary_of_Rates!#REF!</definedName>
    <definedName name="rate_1019">Summary_of_Rates!#REF!</definedName>
    <definedName name="rate_103">Summary_of_Rates!$L$9</definedName>
    <definedName name="rate_1049">Summary_of_Rates!#REF!</definedName>
    <definedName name="rate_11">Summary_of_Rates!$L$158</definedName>
    <definedName name="rate_121">Summary_of_Rates!$L$10</definedName>
    <definedName name="rate_124">Summary_of_Rates!$L$11</definedName>
    <definedName name="rate_128">Summary_of_Rates!$L$12</definedName>
    <definedName name="rate_13">Summary_of_Rates!$L$159</definedName>
    <definedName name="rate_14">Summary_of_Rates!$L$160</definedName>
    <definedName name="rate_15">Summary_of_Rates!$L$161</definedName>
    <definedName name="rate_16">Summary_of_Rates!$L$162</definedName>
    <definedName name="rate_17">Summary_of_Rates!$L$163</definedName>
    <definedName name="rate_18">Summary_of_Rates!$L$164</definedName>
    <definedName name="rate_19">Summary_of_Rates!$L$165</definedName>
    <definedName name="rate_2">Summary_of_Rates!$L$150</definedName>
    <definedName name="rate_20">Summary_of_Rates!$L$166</definedName>
    <definedName name="rate_2051">Summary_of_Rates!$L$65</definedName>
    <definedName name="rate_2052">Summary_of_Rates!$L$66</definedName>
    <definedName name="rate_2063">Summary_of_Rates!$L$77</definedName>
    <definedName name="rate_2064">Summary_of_Rates!$L$78</definedName>
    <definedName name="rate_2065">Summary_of_Rates!$L$79</definedName>
    <definedName name="rate_2066">Summary_of_Rates!$L$80</definedName>
    <definedName name="rate_2088">Summary_of_Rates!#REF!</definedName>
    <definedName name="rate_2089">Summary_of_Rates!#REF!</definedName>
    <definedName name="rate_21">Summary_of_Rates!$L$167</definedName>
    <definedName name="rate_2101">Summary_of_Rates!$L$110</definedName>
    <definedName name="rate_2102">Summary_of_Rates!$L$111</definedName>
    <definedName name="rate_2103">Summary_of_Rates!$L$112</definedName>
    <definedName name="rate_22">Summary_of_Rates!$L$168</definedName>
    <definedName name="rate_2212">Summary_of_Rates!$L$208</definedName>
    <definedName name="rate_2290">Summary_of_Rates!#REF!</definedName>
    <definedName name="rate_23">Summary_of_Rates!$L$169</definedName>
    <definedName name="rate_24">Summary_of_Rates!$L$170</definedName>
    <definedName name="rate_245">Summary_of_Rates!$L$13</definedName>
    <definedName name="rate_246">Summary_of_Rates!$L$14</definedName>
    <definedName name="rate_247">Summary_of_Rates!$L$15</definedName>
    <definedName name="rate_248">Summary_of_Rates!$L$16</definedName>
    <definedName name="rate_249">Summary_of_Rates!$L$17</definedName>
    <definedName name="rate_25">Summary_of_Rates!$L$171</definedName>
    <definedName name="rate_250">Summary_of_Rates!$L$18</definedName>
    <definedName name="rate_251">Summary_of_Rates!$L$19</definedName>
    <definedName name="rate_252">Summary_of_Rates!$L$20</definedName>
    <definedName name="rate_253">Summary_of_Rates!$L$21</definedName>
    <definedName name="rate_254">Summary_of_Rates!$L$22</definedName>
    <definedName name="rate_255">Summary_of_Rates!$L$23</definedName>
    <definedName name="rate_256">Summary_of_Rates!$L$24</definedName>
    <definedName name="rate_257">Summary_of_Rates!$L$25</definedName>
    <definedName name="rate_26">Summary_of_Rates!$L$172</definedName>
    <definedName name="rate_261">Summary_of_Rates!$L$26</definedName>
    <definedName name="rate_262">Summary_of_Rates!$L$27</definedName>
    <definedName name="rate_263">Summary_of_Rates!$L$28</definedName>
    <definedName name="rate_264">Summary_of_Rates!$L$29</definedName>
    <definedName name="rate_265">Summary_of_Rates!$L$30</definedName>
    <definedName name="rate_266">Summary_of_Rates!#REF!</definedName>
    <definedName name="rate_27">Summary_of_Rates!$L$173</definedName>
    <definedName name="rate_270">Summary_of_Rates!$L$44</definedName>
    <definedName name="rate_271">Summary_of_Rates!$L$43</definedName>
    <definedName name="rate_273">Summary_of_Rates!$L$31</definedName>
    <definedName name="rate_276">Summary_of_Rates!$L$32</definedName>
    <definedName name="rate_277">Summary_of_Rates!$L$33</definedName>
    <definedName name="rate_278">Summary_of_Rates!$L$34</definedName>
    <definedName name="rate_28">Summary_of_Rates!$L$174</definedName>
    <definedName name="rate_280">Summary_of_Rates!$L$35</definedName>
    <definedName name="rate_289">Summary_of_Rates!$L$36</definedName>
    <definedName name="rate_29">Summary_of_Rates!$L$175</definedName>
    <definedName name="rate_291">Summary_of_Rates!$L$37</definedName>
    <definedName name="rate_293">Summary_of_Rates!$L$38</definedName>
    <definedName name="rate_294">Summary_of_Rates!$L$39</definedName>
    <definedName name="rate_296">Summary_of_Rates!$L$46</definedName>
    <definedName name="rate_297">Summary_of_Rates!$L$42</definedName>
    <definedName name="rate_298">Summary_of_Rates!$L$45</definedName>
    <definedName name="rate_299">Summary_of_Rates!$L$48</definedName>
    <definedName name="rate_3">Summary_of_Rates!$L$151</definedName>
    <definedName name="rate_30">Summary_of_Rates!$L$176</definedName>
    <definedName name="rate_301">Summary_of_Rates!$L$47</definedName>
    <definedName name="rate_302">Summary_of_Rates!$L$49</definedName>
    <definedName name="rate_303">Summary_of_Rates!$L$50</definedName>
    <definedName name="rate_304">Summary_of_Rates!$L$51</definedName>
    <definedName name="rate_305">Summary_of_Rates!$L$52</definedName>
    <definedName name="rate_306">Summary_of_Rates!$L$53</definedName>
    <definedName name="rate_31">Summary_of_Rates!$L$177</definedName>
    <definedName name="rate_310">Summary_of_Rates!$L$54</definedName>
    <definedName name="rate_312">Summary_of_Rates!$L$58</definedName>
    <definedName name="rate_315">Summary_of_Rates!$L$62</definedName>
    <definedName name="rate_326">Summary_of_Rates!$L$63</definedName>
    <definedName name="rate_327">Summary_of_Rates!$L$64</definedName>
    <definedName name="rate_328">Summary_of_Rates!$L$68</definedName>
    <definedName name="rate_329">Summary_of_Rates!$L$69</definedName>
    <definedName name="rate_331">Summary_of_Rates!$L$67</definedName>
    <definedName name="rate_340">Summary_of_Rates!$L$70</definedName>
    <definedName name="rate_343">Summary_of_Rates!$L$71</definedName>
    <definedName name="rate_345">Summary_of_Rates!$L$72</definedName>
    <definedName name="rate_350">Summary_of_Rates!$L$73</definedName>
    <definedName name="rate_352">Summary_of_Rates!$L$74</definedName>
    <definedName name="rate_353">Summary_of_Rates!$L$75</definedName>
    <definedName name="rate_354">Summary_of_Rates!$L$76</definedName>
    <definedName name="rate_36">Summary_of_Rates!#REF!</definedName>
    <definedName name="rate_363">Summary_of_Rates!$L$81</definedName>
    <definedName name="rate_364">Summary_of_Rates!$L$82</definedName>
    <definedName name="rate_365">Summary_of_Rates!$L$83</definedName>
    <definedName name="rate_366">Summary_of_Rates!$L$84</definedName>
    <definedName name="rate_37">Summary_of_Rates!$L$179</definedName>
    <definedName name="rate_376">Summary_of_Rates!$L$85</definedName>
    <definedName name="rate_377">Summary_of_Rates!$L$86</definedName>
    <definedName name="rate_378">Summary_of_Rates!$L$87</definedName>
    <definedName name="rate_379">Summary_of_Rates!$L$88</definedName>
    <definedName name="rate_38">Summary_of_Rates!$L$180</definedName>
    <definedName name="rate_380">Summary_of_Rates!$L$89</definedName>
    <definedName name="rate_382">Summary_of_Rates!$L$90</definedName>
    <definedName name="rate_383">Summary_of_Rates!$L$91</definedName>
    <definedName name="rate_384">Summary_of_Rates!$L$92</definedName>
    <definedName name="rate_385">Summary_of_Rates!$L$93</definedName>
    <definedName name="rate_387">Summary_of_Rates!$L$94</definedName>
    <definedName name="rate_39">Summary_of_Rates!$L$181</definedName>
    <definedName name="rate_394">Summary_of_Rates!$L$95</definedName>
    <definedName name="rate_395">Summary_of_Rates!$L$96</definedName>
    <definedName name="rate_396">Summary_of_Rates!$L$97</definedName>
    <definedName name="rate_397">Summary_of_Rates!#REF!</definedName>
    <definedName name="rate_398">Summary_of_Rates!$L$98</definedName>
    <definedName name="rate_4">Summary_of_Rates!$L$152</definedName>
    <definedName name="rate_40">Summary_of_Rates!$L$182</definedName>
    <definedName name="rate_400">Summary_of_Rates!$L$99</definedName>
    <definedName name="rate_401">Summary_of_Rates!$L$100</definedName>
    <definedName name="rate_404">Summary_of_Rates!#REF!</definedName>
    <definedName name="rate_405">Summary_of_Rates!#REF!</definedName>
    <definedName name="rate_406">Summary_of_Rates!$L$101</definedName>
    <definedName name="rate_407">Summary_of_Rates!$L$102</definedName>
    <definedName name="rate_408">Summary_of_Rates!$L$103</definedName>
    <definedName name="rate_409">Summary_of_Rates!$L$104</definedName>
    <definedName name="rate_41">Summary_of_Rates!$L$183</definedName>
    <definedName name="rate_410">Summary_of_Rates!$L$105</definedName>
    <definedName name="rate_411">Summary_of_Rates!$L$106</definedName>
    <definedName name="rate_412">Summary_of_Rates!$L$107</definedName>
    <definedName name="rate_413">Summary_of_Rates!$L$108</definedName>
    <definedName name="rate_414">Summary_of_Rates!$L$109</definedName>
    <definedName name="rate_418">Summary_of_Rates!$L$113</definedName>
    <definedName name="rate_419">Summary_of_Rates!#REF!</definedName>
    <definedName name="rate_42">Summary_of_Rates!$L$184</definedName>
    <definedName name="rate_420">Summary_of_Rates!#REF!</definedName>
    <definedName name="rate_421">Summary_of_Rates!#REF!</definedName>
    <definedName name="rate_422">Summary_of_Rates!#REF!</definedName>
    <definedName name="rate_423">Summary_of_Rates!#REF!</definedName>
    <definedName name="rate_424">Summary_of_Rates!#REF!</definedName>
    <definedName name="rate_425">Summary_of_Rates!#REF!</definedName>
    <definedName name="rate_426">Summary_of_Rates!#REF!</definedName>
    <definedName name="rate_427">Summary_of_Rates!#REF!</definedName>
    <definedName name="rate_428">Summary_of_Rates!$L$114</definedName>
    <definedName name="rate_429">Summary_of_Rates!$L$115</definedName>
    <definedName name="rate_43">Summary_of_Rates!$L$185</definedName>
    <definedName name="rate_430">Summary_of_Rates!$L$116</definedName>
    <definedName name="rate_431">Summary_of_Rates!$L$117</definedName>
    <definedName name="rate_432">Summary_of_Rates!$L$118</definedName>
    <definedName name="rate_433">Summary_of_Rates!$L$119</definedName>
    <definedName name="rate_434">Summary_of_Rates!$L$120</definedName>
    <definedName name="rate_435">Summary_of_Rates!$L$121</definedName>
    <definedName name="rate_436">Summary_of_Rates!$L$122</definedName>
    <definedName name="rate_437">Summary_of_Rates!$L$123</definedName>
    <definedName name="rate_438">Summary_of_Rates!$L$124</definedName>
    <definedName name="rate_439">Summary_of_Rates!$L$125</definedName>
    <definedName name="rate_44">Summary_of_Rates!$L$186</definedName>
    <definedName name="rate_444">Summary_of_Rates!$L$126</definedName>
    <definedName name="rate_45">Summary_of_Rates!$L$187</definedName>
    <definedName name="rate_46">Summary_of_Rates!$L$188</definedName>
    <definedName name="rate_47">Summary_of_Rates!$L$189</definedName>
    <definedName name="rate_48">Summary_of_Rates!$L$190</definedName>
    <definedName name="rate_49">Summary_of_Rates!$L$191</definedName>
    <definedName name="rate_5">Summary_of_Rates!$L$153</definedName>
    <definedName name="rate_50">Summary_of_Rates!$L$192</definedName>
    <definedName name="rate_51">Summary_of_Rates!$L$193</definedName>
    <definedName name="rate_52">Summary_of_Rates!$L$194</definedName>
    <definedName name="rate_53">Summary_of_Rates!$L$195</definedName>
    <definedName name="rate_54">Summary_of_Rates!$L$196</definedName>
    <definedName name="rate_55">Summary_of_Rates!$L$197</definedName>
    <definedName name="rate_56">Summary_of_Rates!$L$198</definedName>
    <definedName name="rate_564">Summary_of_Rates!$L$127</definedName>
    <definedName name="rate_565">Summary_of_Rates!$L$128</definedName>
    <definedName name="rate_566">Summary_of_Rates!$L$129</definedName>
    <definedName name="rate_567">Summary_of_Rates!$L$130</definedName>
    <definedName name="rate_568">Summary_of_Rates!$L$131</definedName>
    <definedName name="rate_569">Summary_of_Rates!#REF!</definedName>
    <definedName name="rate_57">Summary_of_Rates!$L$199</definedName>
    <definedName name="rate_58">Summary_of_Rates!$L$200</definedName>
    <definedName name="rate_59">Summary_of_Rates!$L$201</definedName>
    <definedName name="rate_598">Summary_of_Rates!$L$132</definedName>
    <definedName name="rate_599">Summary_of_Rates!$L$134</definedName>
    <definedName name="rate_6">Summary_of_Rates!$L$154</definedName>
    <definedName name="rate_60">Summary_of_Rates!$L$202</definedName>
    <definedName name="rate_600">Summary_of_Rates!$L$133</definedName>
    <definedName name="rate_61">Summary_of_Rates!$L$203</definedName>
    <definedName name="rate_610">Summary_of_Rates!$L$135</definedName>
    <definedName name="rate_611">Summary_of_Rates!$L$136</definedName>
    <definedName name="rate_612">Summary_of_Rates!$L$137</definedName>
    <definedName name="rate_613">Summary_of_Rates!#REF!</definedName>
    <definedName name="rate_614">Summary_of_Rates!$L$139</definedName>
    <definedName name="rate_615">Summary_of_Rates!$L$138</definedName>
    <definedName name="rate_616">Summary_of_Rates!$L$140</definedName>
    <definedName name="rate_617">Summary_of_Rates!#REF!</definedName>
    <definedName name="rate_618">Summary_of_Rates!$L$141</definedName>
    <definedName name="rate_619">Summary_of_Rates!$L$142</definedName>
    <definedName name="rate_62">Summary_of_Rates!$L$204</definedName>
    <definedName name="rate_620">Summary_of_Rates!$L$143</definedName>
    <definedName name="rate_622">Summary_of_Rates!$L$145</definedName>
    <definedName name="rate_623">Summary_of_Rates!$L$144</definedName>
    <definedName name="rate_637">Summary_of_Rates!$L$146</definedName>
    <definedName name="rate_641">Summary_of_Rates!$L$147</definedName>
    <definedName name="rate_642">Summary_of_Rates!#REF!</definedName>
    <definedName name="rate_643">Summary_of_Rates!$L$148</definedName>
    <definedName name="rate_649">Summary_of_Rates!$L$209</definedName>
    <definedName name="rate_650">Summary_of_Rates!$L$210</definedName>
    <definedName name="rate_651">Summary_of_Rates!$L$211</definedName>
    <definedName name="rate_652">Summary_of_Rates!$L$212</definedName>
    <definedName name="rate_653">Summary_of_Rates!$L$213</definedName>
    <definedName name="rate_654">Summary_of_Rates!$L$214</definedName>
    <definedName name="rate_655">Summary_of_Rates!$L$215</definedName>
    <definedName name="rate_656">Summary_of_Rates!$L$216</definedName>
    <definedName name="rate_657">Summary_of_Rates!$L$217</definedName>
    <definedName name="rate_658">Summary_of_Rates!$L$218</definedName>
    <definedName name="rate_671">Summary_of_Rates!$L$219</definedName>
    <definedName name="rate_672">Summary_of_Rates!$L$220</definedName>
    <definedName name="rate_673">Summary_of_Rates!$L$221</definedName>
    <definedName name="rate_674">Summary_of_Rates!$L$222</definedName>
    <definedName name="rate_675">Summary_of_Rates!$L$229</definedName>
    <definedName name="rate_676">Summary_of_Rates!$L$230</definedName>
    <definedName name="rate_677">Summary_of_Rates!$L$232</definedName>
    <definedName name="rate_678">Summary_of_Rates!$L$231</definedName>
    <definedName name="rate_679">Summary_of_Rates!$L$234</definedName>
    <definedName name="rate_68">Summary_of_Rates!$L$206</definedName>
    <definedName name="rate_680">Summary_of_Rates!$L$233</definedName>
    <definedName name="rate_682">Summary_of_Rates!$L$235</definedName>
    <definedName name="rate_684">Summary_of_Rates!$L$236</definedName>
    <definedName name="rate_685">Summary_of_Rates!$L$237</definedName>
    <definedName name="rate_686">Summary_of_Rates!$L$238</definedName>
    <definedName name="rate_687">Summary_of_Rates!$L$239</definedName>
    <definedName name="rate_688">Summary_of_Rates!$L$240</definedName>
    <definedName name="rate_689">Summary_of_Rates!$L$241</definedName>
    <definedName name="rate_69">Summary_of_Rates!$L$205</definedName>
    <definedName name="rate_690">Summary_of_Rates!$L$242</definedName>
    <definedName name="rate_691">Summary_of_Rates!$L$243</definedName>
    <definedName name="rate_692">Summary_of_Rates!$L$244</definedName>
    <definedName name="rate_693">Summary_of_Rates!$L$245</definedName>
    <definedName name="rate_697">Summary_of_Rates!$L$246</definedName>
    <definedName name="rate_698">Summary_of_Rates!$L$247</definedName>
    <definedName name="rate_699">Summary_of_Rates!#REF!</definedName>
    <definedName name="rate_7">Summary_of_Rates!$L$155</definedName>
    <definedName name="rate_700">Summary_of_Rates!$L$248</definedName>
    <definedName name="rate_701">Summary_of_Rates!$L$249</definedName>
    <definedName name="rate_702">Summary_of_Rates!$L$250</definedName>
    <definedName name="rate_703">Summary_of_Rates!$L$251</definedName>
    <definedName name="rate_706">Summary_of_Rates!$L$253</definedName>
    <definedName name="rate_707">Summary_of_Rates!$L$254</definedName>
    <definedName name="rate_746">Summary_of_Rates!$L$255</definedName>
    <definedName name="rate_747">Summary_of_Rates!$L$256</definedName>
    <definedName name="rate_748">Summary_of_Rates!$L$257</definedName>
    <definedName name="rate_749">Summary_of_Rates!$L$258</definedName>
    <definedName name="rate_750">Summary_of_Rates!#REF!</definedName>
    <definedName name="rate_753">Summary_of_Rates!$L$259</definedName>
    <definedName name="rate_754">Summary_of_Rates!$L$260</definedName>
    <definedName name="rate_755">Summary_of_Rates!$L$261</definedName>
    <definedName name="rate_756">Summary_of_Rates!$L$262</definedName>
    <definedName name="rate_757">Summary_of_Rates!$L$263</definedName>
    <definedName name="rate_758">Summary_of_Rates!$L$264</definedName>
    <definedName name="rate_759">Summary_of_Rates!$L$265</definedName>
    <definedName name="rate_760">Summary_of_Rates!$L$266</definedName>
    <definedName name="rate_761">Summary_of_Rates!$L$267</definedName>
    <definedName name="rate_762">Summary_of_Rates!$L$268</definedName>
    <definedName name="rate_763">Summary_of_Rates!$L$269</definedName>
    <definedName name="rate_764">Summary_of_Rates!$L$270</definedName>
    <definedName name="rate_765">Summary_of_Rates!$L$271</definedName>
    <definedName name="rate_766">Summary_of_Rates!$L$272</definedName>
    <definedName name="rate_767">Summary_of_Rates!$L$273</definedName>
    <definedName name="rate_768">Summary_of_Rates!$L$274</definedName>
    <definedName name="rate_769">Summary_of_Rates!$L$275</definedName>
    <definedName name="rate_770">Summary_of_Rates!$L$276</definedName>
    <definedName name="rate_771">Summary_of_Rates!$L$277</definedName>
    <definedName name="rate_772">Summary_of_Rates!$L$281</definedName>
    <definedName name="rate_773">Summary_of_Rates!$L$280</definedName>
    <definedName name="rate_774">Summary_of_Rates!$L$279</definedName>
    <definedName name="rate_775">Summary_of_Rates!$L$278</definedName>
    <definedName name="rate_776">Summary_of_Rates!#REF!</definedName>
    <definedName name="rate_779">Summary_of_Rates!$L$282</definedName>
    <definedName name="rate_780">Summary_of_Rates!$L$283</definedName>
    <definedName name="rate_781">Summary_of_Rates!$L$285</definedName>
    <definedName name="rate_782">Summary_of_Rates!$L$284</definedName>
    <definedName name="rate_783">Summary_of_Rates!$L$288</definedName>
    <definedName name="rate_784">Summary_of_Rates!$L$287</definedName>
    <definedName name="rate_8">Summary_of_Rates!$L$156</definedName>
    <definedName name="rate_810">Summary_of_Rates!$L$290</definedName>
    <definedName name="rate_811">Summary_of_Rates!$L$291</definedName>
    <definedName name="rate_822">Summary_of_Rates!#REF!</definedName>
    <definedName name="rate_824">Summary_of_Rates!$L$292</definedName>
    <definedName name="rate_825">Summary_of_Rates!$L$293</definedName>
    <definedName name="rate_826">Summary_of_Rates!$L$294</definedName>
    <definedName name="rate_827">Summary_of_Rates!$L$295</definedName>
    <definedName name="rate_828">Summary_of_Rates!$L$296</definedName>
    <definedName name="rate_829">Summary_of_Rates!$L$297</definedName>
    <definedName name="rate_830">Summary_of_Rates!$L$298</definedName>
    <definedName name="rate_831">Summary_of_Rates!#REF!</definedName>
    <definedName name="rate_832">Summary_of_Rates!#REF!</definedName>
    <definedName name="rate_90">Summary_of_Rates!$L$207</definedName>
    <definedName name="rate_934">Summary_of_Rates!$L$299</definedName>
    <definedName name="rate_935">Summary_of_Rates!$L$300</definedName>
    <definedName name="rate_936">Summary_of_Rates!#REF!</definedName>
    <definedName name="rate_937">Summary_of_Rates!$L$301</definedName>
    <definedName name="rate_938">Summary_of_Rates!#REF!</definedName>
    <definedName name="rate_943">Summary_of_Rates!$L$302</definedName>
    <definedName name="rate_95">Summary_of_Rates!$L$8</definedName>
    <definedName name="rate_950">Summary_of_Rates!$L$305</definedName>
    <definedName name="rate_951">Summary_of_Rates!$L$306</definedName>
    <definedName name="rate_952">Summary_of_Rates!$L$307</definedName>
    <definedName name="rate_953">Summary_of_Rates!$L$308</definedName>
    <definedName name="rate_954">Summary_of_Rates!$L$309</definedName>
    <definedName name="rate_959">Summary_of_Rates!#REF!</definedName>
    <definedName name="rate_960">Summary_of_Rates!#REF!</definedName>
    <definedName name="rate_961">Summary_of_Rates!#REF!</definedName>
    <definedName name="rate_968">Summary_of_Rates!#REF!</definedName>
    <definedName name="rate_969">Summary_of_Rates!#REF!</definedName>
    <definedName name="rate_970">Summary_of_Rates!#REF!</definedName>
    <definedName name="rate_971">Summary_of_Rates!#REF!</definedName>
    <definedName name="rates" localSheetId="6">[14]rates!$A$1:$I$198</definedName>
    <definedName name="rates">[15]rates!$A$1:$I$198</definedName>
    <definedName name="RCC_collar_dia_1000_mm">District_Rate!$D$101</definedName>
    <definedName name="RCC_collar_dia_1200_mm">District_Rate!$D$102</definedName>
    <definedName name="RCC_collar_dia_300_mm">District_Rate!$D$103</definedName>
    <definedName name="RCC_collar_dia_450_mm">District_Rate!$D$104</definedName>
    <definedName name="RCC_collar_dia_600_mm">District_Rate!$D$105</definedName>
    <definedName name="RCC_collar_dia_900_mm">District_Rate!$D$106</definedName>
    <definedName name="rd_names" localSheetId="6">[14]INPUT!$A$5:$B$34</definedName>
    <definedName name="rd_names">[15]INPUT!$A$5:$B$34</definedName>
    <definedName name="re_bar" localSheetId="8">'[7]Rate analysis'!#REF!</definedName>
    <definedName name="re_bar" localSheetId="7">'[7]Rate analysis'!#REF!</definedName>
    <definedName name="re_bar" localSheetId="6">'[7]Rate analysis'!#REF!</definedName>
    <definedName name="re_bar">'[7]Rate analysis'!#REF!</definedName>
    <definedName name="Region" localSheetId="8">#REF!</definedName>
    <definedName name="Region" localSheetId="7">#REF!</definedName>
    <definedName name="Region" localSheetId="6">#REF!</definedName>
    <definedName name="Region">Datasheet!$A$4</definedName>
    <definedName name="RegionalB" localSheetId="8">#REF!</definedName>
    <definedName name="RegionalB" localSheetId="7">#REF!</definedName>
    <definedName name="RegionalB">#REF!</definedName>
    <definedName name="reinforcement">'[6]material rate'!$H$36</definedName>
    <definedName name="reseal">'[28]4aoc'!$B$233:$G$258</definedName>
    <definedName name="road_marking_machine" localSheetId="8">'[6]material rate'!$P$61</definedName>
    <definedName name="road_marking_machine" localSheetId="7">'[6]material rate'!$P$61</definedName>
    <definedName name="road_marking_machine" localSheetId="6">'[6]material rate'!$P$61</definedName>
    <definedName name="road_marking_machine">Equipment_Rate!$J$38</definedName>
    <definedName name="RoadClass" localSheetId="8">#REF!</definedName>
    <definedName name="RoadClass" localSheetId="7">#REF!</definedName>
    <definedName name="RoadClass">#REF!</definedName>
    <definedName name="roadlw" localSheetId="8">[9]Rate!#REF!</definedName>
    <definedName name="roadlw" localSheetId="7">[9]Rate!#REF!</definedName>
    <definedName name="roadlw" localSheetId="6">[9]Rate!#REF!</definedName>
    <definedName name="roadlw">[9]Rate!#REF!</definedName>
    <definedName name="roadpaint" localSheetId="6">[9]Rate!#REF!</definedName>
    <definedName name="roadpaint">'[8]material rate'!$H$64</definedName>
    <definedName name="roadsupervisor" localSheetId="6">[9]Rate!#REF!</definedName>
    <definedName name="Roller" localSheetId="6">'[7]Rate analysis'!#REF!</definedName>
    <definedName name="roller">'[8]material rate'!$P$29</definedName>
    <definedName name="roller_10t_vib_fuel">'[6]material rate'!$P$70</definedName>
    <definedName name="roller_pneumatic">'[6]material rate'!$P$38</definedName>
    <definedName name="roller_tendem">'[6]material rate'!$P$59</definedName>
    <definedName name="roller3">[25]Rates!$D$111</definedName>
    <definedName name="roller8_10t" localSheetId="8">[9]Rate!#REF!</definedName>
    <definedName name="roller8_10t" localSheetId="7">[9]Rate!#REF!</definedName>
    <definedName name="roller8_10t" localSheetId="6">[9]Rate!#REF!</definedName>
    <definedName name="roller8_10t">[9]Rate!#REF!</definedName>
    <definedName name="roundagginter" localSheetId="8">[9]Rate!#REF!</definedName>
    <definedName name="roundagginter" localSheetId="7">[9]Rate!#REF!</definedName>
    <definedName name="roundagginter" localSheetId="6">[9]Rate!#REF!</definedName>
    <definedName name="roundagginter">[9]Rate!#REF!</definedName>
    <definedName name="roundagglarge" localSheetId="8">[9]Rate!#REF!</definedName>
    <definedName name="roundagglarge" localSheetId="7">[9]Rate!#REF!</definedName>
    <definedName name="roundagglarge" localSheetId="6">[9]Rate!#REF!</definedName>
    <definedName name="roundagglarge">[9]Rate!#REF!</definedName>
    <definedName name="RS_joist">District_Rate!$D$107</definedName>
    <definedName name="rubble" localSheetId="8">'[8]material rate'!$H$27</definedName>
    <definedName name="rubble" localSheetId="7">'[8]material rate'!$H$27</definedName>
    <definedName name="rubble" localSheetId="6">[10]rate!$H$26</definedName>
    <definedName name="rubble">District_Rate!$D$108</definedName>
    <definedName name="rubble2">'[22]material rate'!$H$28</definedName>
    <definedName name="s" localSheetId="6">[29]Rates!$D$3</definedName>
    <definedName name="s">[29]Rates!$D$3</definedName>
    <definedName name="sal_wood" localSheetId="8">'[6]material rate'!$H$25</definedName>
    <definedName name="sal_wood" localSheetId="7">'[6]material rate'!$H$25</definedName>
    <definedName name="sal_wood" localSheetId="6">'[6]material rate'!$H$25</definedName>
    <definedName name="sal_wood">District_Rate!$D$110</definedName>
    <definedName name="sand" localSheetId="8">'[8]material rate'!$H$18</definedName>
    <definedName name="sand" localSheetId="7">'[8]material rate'!$H$18</definedName>
    <definedName name="sand" localSheetId="6">[12]Rates!$G$33</definedName>
    <definedName name="sand">District_Rate!$D$111</definedName>
    <definedName name="sand_blasting_machine">Equipment_Rate!$J$39</definedName>
    <definedName name="screw_25_mm">'[6]material rate'!$H$145</definedName>
    <definedName name="screw_jack">Equipment_Rate!$J$40</definedName>
    <definedName name="screwjack" localSheetId="6">[9]Rate!#REF!</definedName>
    <definedName name="screwjack">'[8]material rate'!$P$42</definedName>
    <definedName name="sed">[30]Rates!$D$95</definedName>
    <definedName name="semiskilled">District_Rate!$D$147</definedName>
    <definedName name="skilled" localSheetId="8">'[8]material rate'!$N$4</definedName>
    <definedName name="skilled" localSheetId="7">'[8]material rate'!$N$4</definedName>
    <definedName name="Skilled" localSheetId="6">'[7]Rate analysis'!#REF!</definedName>
    <definedName name="skilled">District_Rate!$D$148</definedName>
    <definedName name="skilled_blacksmith">District_Rate!$D$149</definedName>
    <definedName name="skilled_electrician_lineman">District_Rate!$D$150</definedName>
    <definedName name="skilled_mason">District_Rate!$D$151</definedName>
    <definedName name="skilled_painter">District_Rate!$D$152</definedName>
    <definedName name="skilled_plumber">District_Rate!$D$153</definedName>
    <definedName name="smooth_wheel_roller">Equipment_Rate!$J$41</definedName>
    <definedName name="Snowcem" localSheetId="6">'[7]Rate analysis'!#REF!</definedName>
    <definedName name="soil_borrow">'[6]material rate'!$H$142</definedName>
    <definedName name="Soil_capping">[25]Rates!$G$46</definedName>
    <definedName name="Span" localSheetId="8">#REF!</definedName>
    <definedName name="Span" localSheetId="7">#REF!</definedName>
    <definedName name="Span" localSheetId="6">#REF!</definedName>
    <definedName name="Span">#REF!</definedName>
    <definedName name="sprayer">'[8]material rate'!$P$33</definedName>
    <definedName name="sr" localSheetId="6">[12]Rates!$D$11</definedName>
    <definedName name="sr">[13]Rates!$D$4</definedName>
    <definedName name="steel_tube_dia_50_mm">District_Rate!$D$112</definedName>
    <definedName name="steel_wire_40_mm">District_Rate!$D$113</definedName>
    <definedName name="steelpipe" localSheetId="6">[31]rate!$N$41</definedName>
    <definedName name="steelpipe">[31]rate!$N$41</definedName>
    <definedName name="steelplate">'[8]material rate'!$H$70</definedName>
    <definedName name="steeltube">'[8]material rate'!$H$71</definedName>
    <definedName name="stone" localSheetId="6">[12]Rates!$G$34</definedName>
    <definedName name="stone">[13]Rates!$G$27</definedName>
    <definedName name="stone_crusher_with_screen">Equipment_Rate!$J$42</definedName>
    <definedName name="Stone_dust" localSheetId="8">'[7]Rate analysis'!#REF!</definedName>
    <definedName name="Stone_dust" localSheetId="7">'[7]Rate analysis'!#REF!</definedName>
    <definedName name="Stone_dust" localSheetId="6">'[7]Rate analysis'!#REF!</definedName>
    <definedName name="stone_dust">District_Rate!$D$114</definedName>
    <definedName name="stone_slab_50_mm">District_Rate!$D$115</definedName>
    <definedName name="stonedust">'[8]material rate'!$H$26</definedName>
    <definedName name="stonedust_m3">'[6]material rate'!$H$27</definedName>
    <definedName name="StrategicI" localSheetId="8">#REF!</definedName>
    <definedName name="StrategicI" localSheetId="7">#REF!</definedName>
    <definedName name="StrategicI">#REF!</definedName>
    <definedName name="street_lighting_pole_9_m">District_Rate!$D$116</definedName>
    <definedName name="strip_or_box_seal_expansion_joint">District_Rate!$D$117</definedName>
    <definedName name="structural_steel" localSheetId="8">[13]Rates!$G$18</definedName>
    <definedName name="structural_steel" localSheetId="7">[13]Rates!$G$18</definedName>
    <definedName name="structural_steel" localSheetId="6">[17]Rates!$G$18</definedName>
    <definedName name="structural_steel">District_Rate!$D$118</definedName>
    <definedName name="struts">District_Rate!$D$119</definedName>
    <definedName name="struts_ballies">District_Rate!$D$120</definedName>
    <definedName name="sub_base_material">District_Rate!$D$121</definedName>
    <definedName name="sub_base_material_footpath">District_Rate!$D$122</definedName>
    <definedName name="subbaseagg" localSheetId="8">'[8]material rate'!#REF!</definedName>
    <definedName name="subbaseagg" localSheetId="7">'[8]material rate'!#REF!</definedName>
    <definedName name="subbaseagg" localSheetId="6">[9]Rate!#REF!</definedName>
    <definedName name="subbaseagg">'[8]material rate'!#REF!</definedName>
    <definedName name="subgrade">'[8]material rate'!$H$101</definedName>
    <definedName name="supervisor">District_Rate!$D$154</definedName>
    <definedName name="surface_dressing_chips">District_Rate!$D$124</definedName>
    <definedName name="SurfaceType" localSheetId="8">#REF!</definedName>
    <definedName name="SurfaceType" localSheetId="7">#REF!</definedName>
    <definedName name="SurfaceType">#REF!</definedName>
    <definedName name="t_600mmhp">[8]transportation!$N$31</definedName>
    <definedName name="t_750mmhp">[8]transportation!$N$30</definedName>
    <definedName name="t_900mmhp">[8]transportation!$N$29</definedName>
    <definedName name="t_aggregate_10_20_mm">Transportation!$L$86</definedName>
    <definedName name="t_aggregate_10_mm">Transportation!$L$90</definedName>
    <definedName name="t_aggregate_13.2_mm">Transportation!$L$44</definedName>
    <definedName name="t_aggregate_20_40_mm">Transportation!$L$88</definedName>
    <definedName name="t_aggregate_20_mm">Transportation!$L$42</definedName>
    <definedName name="t_aggregate_40_70_mm">Transportation!$L$92</definedName>
    <definedName name="t_bitumen">[8]transportation!$O$21</definedName>
    <definedName name="t_brick">[8]transportation!$N$18</definedName>
    <definedName name="t_brokenaggregate">[8]transportation!$N$14</definedName>
    <definedName name="t_cement">[8]transportation!$N$19</definedName>
    <definedName name="t_gravel">[8]transportation!$N$12</definedName>
    <definedName name="t_rubble" localSheetId="8">[8]transportation!$N$16</definedName>
    <definedName name="t_rubble" localSheetId="7">[8]transportation!$N$16</definedName>
    <definedName name="t_rubble" localSheetId="6">[8]transportation!$N$16</definedName>
    <definedName name="t_rubble">Transportation!$L$40</definedName>
    <definedName name="t_sand" localSheetId="8">[8]transportation!$N$10</definedName>
    <definedName name="t_sand" localSheetId="7">[8]transportation!$N$10</definedName>
    <definedName name="t_sand" localSheetId="6">[8]transportation!$N$10</definedName>
    <definedName name="t_sand">Transportation!$L$128</definedName>
    <definedName name="t_steel">[8]transportation!$N$20</definedName>
    <definedName name="t_structuraltimber">[8]transportation!$N$24</definedName>
    <definedName name="t_timbertemporary">[8]transportation!$N$23</definedName>
    <definedName name="tarfelt" localSheetId="8">'[7]Rate analysis'!#REF!</definedName>
    <definedName name="tarfelt" localSheetId="7">'[7]Rate analysis'!#REF!</definedName>
    <definedName name="tarfelt" localSheetId="6">'[7]Rate analysis'!#REF!</definedName>
    <definedName name="tarfelt">'[7]Rate analysis'!#REF!</definedName>
    <definedName name="Technician" localSheetId="8">[9]Rate!#REF!</definedName>
    <definedName name="Technician" localSheetId="7">[9]Rate!#REF!</definedName>
    <definedName name="Technician" localSheetId="6">[9]Rate!#REF!</definedName>
    <definedName name="technician">District_Rate!$D$155</definedName>
    <definedName name="Techninian" localSheetId="8">[9]Rate!#REF!</definedName>
    <definedName name="Techninian" localSheetId="7">[9]Rate!#REF!</definedName>
    <definedName name="Techninian" localSheetId="6">[9]Rate!#REF!</definedName>
    <definedName name="Techninian">[9]Rate!#REF!</definedName>
    <definedName name="TenthPlan" localSheetId="8">#REF!</definedName>
    <definedName name="TenthPlan" localSheetId="7">#REF!</definedName>
    <definedName name="TenthPlan">#REF!</definedName>
    <definedName name="Terrain" localSheetId="8">#REF!</definedName>
    <definedName name="Terrain" localSheetId="7">#REF!</definedName>
    <definedName name="Terrain">#REF!</definedName>
    <definedName name="thermoplastic">'[6]material rate'!$H$101</definedName>
    <definedName name="thermoplastic_paint">District_Rate!$D$125</definedName>
    <definedName name="tiles_300_300_mm_and_25mm_thick">District_Rate!$D$126</definedName>
    <definedName name="timber" localSheetId="6">[12]Rates!$G$26</definedName>
    <definedName name="timber">[13]Rates!$G$19</definedName>
    <definedName name="Timber_Kukath" localSheetId="8">[9]Detailed!#REF!</definedName>
    <definedName name="Timber_Kukath" localSheetId="7">[9]Detailed!#REF!</definedName>
    <definedName name="Timber_Kukath" localSheetId="6">[9]Detailed!#REF!</definedName>
    <definedName name="Timber_Kukath">[9]Detailed!#REF!</definedName>
    <definedName name="Timber_sal" localSheetId="8">[9]Detailed!#REF!</definedName>
    <definedName name="Timber_sal" localSheetId="7">[9]Detailed!#REF!</definedName>
    <definedName name="Timber_sal" localSheetId="6">[9]Detailed!#REF!</definedName>
    <definedName name="Timber_sal">[9]Detailed!#REF!</definedName>
    <definedName name="tipper">Equipment_Rate!$J$43</definedName>
    <definedName name="total">Abstract!$F$341</definedName>
    <definedName name="TR" localSheetId="8">#REF!</definedName>
    <definedName name="TR" localSheetId="7">#REF!</definedName>
    <definedName name="TR" localSheetId="6">#REF!</definedName>
    <definedName name="TR">#REF!</definedName>
    <definedName name="tractor" localSheetId="8">'[8]material rate'!$P$47</definedName>
    <definedName name="tractor" localSheetId="7">'[8]material rate'!$P$47</definedName>
    <definedName name="tractor" localSheetId="6">'[8]material rate'!$P$47</definedName>
    <definedName name="tractor">Equipment_Rate!$J$44</definedName>
    <definedName name="tractor_tailor_ripper">'[6]material rate'!$P$54</definedName>
    <definedName name="tractor_with_ripper">Equipment_Rate!$J$45</definedName>
    <definedName name="tractor_with_ripper_and_rotator">Equipment_Rate!$J$46</definedName>
    <definedName name="tractor_with_rotavator">Equipment_Rate!$J$47</definedName>
    <definedName name="trafficV" localSheetId="8">#REF!</definedName>
    <definedName name="trafficV" localSheetId="7">#REF!</definedName>
    <definedName name="trafficV">#REF!</definedName>
    <definedName name="truck" localSheetId="8">[13]Rates!$D$82</definedName>
    <definedName name="truck" localSheetId="7">[13]Rates!$D$82</definedName>
    <definedName name="truck" localSheetId="6">[17]Rates!$D$82</definedName>
    <definedName name="truck">Equipment_Rate!$J$48</definedName>
    <definedName name="truck_10t_fuel">'[6]material rate'!$P$68</definedName>
    <definedName name="truck3t" localSheetId="6">[9]Rate!#REF!</definedName>
    <definedName name="tsteel10_22" localSheetId="6">[9]Rate!#REF!</definedName>
    <definedName name="tsteel10_22">'[8]material rate'!$H$35</definedName>
    <definedName name="tsteel25_32" localSheetId="6">[9]Rate!#REF!</definedName>
    <definedName name="tsteel25_32">'[8]material rate'!$H$36</definedName>
    <definedName name="tsteel4.75_7" localSheetId="8">[9]Rate!#REF!</definedName>
    <definedName name="tsteel4.75_7" localSheetId="7">[9]Rate!#REF!</definedName>
    <definedName name="tsteel4.75_7" localSheetId="6">[9]Rate!#REF!</definedName>
    <definedName name="tsteel4.75_7">[9]Rate!#REF!</definedName>
    <definedName name="tsteel8" localSheetId="6">[9]Rate!#REF!</definedName>
    <definedName name="tsteel8">'[8]material rate'!$H$34</definedName>
    <definedName name="Twentyyears" localSheetId="8">#REF!</definedName>
    <definedName name="Twentyyears" localSheetId="7">#REF!</definedName>
    <definedName name="Twentyyears">#REF!</definedName>
    <definedName name="unskilled" localSheetId="8">'[8]material rate'!$N$5</definedName>
    <definedName name="unskilled" localSheetId="7">'[8]material rate'!$N$5</definedName>
    <definedName name="unskilled" localSheetId="6">[32]machine!$R$7</definedName>
    <definedName name="unskilled">District_Rate!$D$156</definedName>
    <definedName name="unskilled2">'[22]material rate'!$N$5</definedName>
    <definedName name="ur" localSheetId="6">[12]Rates!$D$12</definedName>
    <definedName name="ur">[13]Rates!$D$5</definedName>
    <definedName name="vapor_lamp">District_Rate!$D$127</definedName>
    <definedName name="vibratingroller">[21]Rates!$D$87</definedName>
    <definedName name="vibrator" localSheetId="6">[17]Rates!$D$66</definedName>
    <definedName name="vibrator">'[8]material rate'!$P$39</definedName>
    <definedName name="vo">'[33]4aoc'!$B$233:$G$258</definedName>
    <definedName name="vroller" localSheetId="6">[9]Rate!#REF!</definedName>
    <definedName name="vroller">'[8]material rate'!$P$28</definedName>
    <definedName name="vrr" localSheetId="8">[16]TranspAnalysis!#REF!</definedName>
    <definedName name="vrr" localSheetId="7">[16]TranspAnalysis!#REF!</definedName>
    <definedName name="vrr">[16]TranspAnalysis!#REF!</definedName>
    <definedName name="washing_aggregate">Collection!$F$52</definedName>
    <definedName name="washing_gravel">Collection!$F$49</definedName>
    <definedName name="washing_rubble">Collection!$F$51</definedName>
    <definedName name="washing_sand">Collection!$F$50</definedName>
    <definedName name="water" localSheetId="8">'[8]material rate'!$H$31</definedName>
    <definedName name="water" localSheetId="7">'[8]material rate'!$H$31</definedName>
    <definedName name="water" localSheetId="6">[17]Rates!$G$48</definedName>
    <definedName name="water">District_Rate!$D$129</definedName>
    <definedName name="water_tanker">Equipment_Rate!$J$49</definedName>
    <definedName name="waterbowser">'[8]material rate'!$P$30</definedName>
    <definedName name="welding_arc" localSheetId="6">[17]Rates!$D$91</definedName>
    <definedName name="welding_arc">[13]Rates!$D$91</definedName>
    <definedName name="wet_mix_plant">Equipment_Rate!$J$50</definedName>
    <definedName name="Width" localSheetId="8">#REF!</definedName>
    <definedName name="Width" localSheetId="7">#REF!</definedName>
    <definedName name="Width" localSheetId="6">#REF!</definedName>
    <definedName name="Width">#REF!</definedName>
    <definedName name="wooden_packing">District_Rate!$D$130</definedName>
    <definedName name="woodlocal">'[8]material rate'!$H$24</definedName>
    <definedName name="works_codes" localSheetId="6">[14]INPUT!$B$38:$B$615</definedName>
    <definedName name="works_codes">[15]INPUT!$B$38:$B$615</definedName>
    <definedName name="works_qty" localSheetId="6">[14]INPUT!$C$38:$C$615</definedName>
    <definedName name="works_qty">[15]INPUT!$C$38:$C$615</definedName>
    <definedName name="works_rd_index" localSheetId="6">[14]INPUT!$A$38:$A$615</definedName>
    <definedName name="works_rd_index">[15]INPUT!$A$38:$A$615</definedName>
  </definedNames>
  <calcPr calcId="162913"/>
</workbook>
</file>

<file path=xl/calcChain.xml><?xml version="1.0" encoding="utf-8"?>
<calcChain xmlns="http://schemas.openxmlformats.org/spreadsheetml/2006/main">
  <c r="D155" i="4" l="1"/>
  <c r="D154" i="4"/>
  <c r="D146" i="4"/>
  <c r="D91" i="4"/>
  <c r="D37" i="4" l="1"/>
  <c r="D33" i="4"/>
  <c r="D25" i="4"/>
  <c r="D18" i="4"/>
  <c r="D19" i="4"/>
  <c r="M20" i="5" l="1"/>
  <c r="L20" i="5"/>
  <c r="J20" i="5" l="1"/>
  <c r="D118" i="4"/>
  <c r="D114" i="4"/>
  <c r="D111" i="4"/>
  <c r="D108" i="4"/>
  <c r="D73" i="4"/>
  <c r="D15" i="4" l="1"/>
  <c r="D12" i="4"/>
  <c r="D11" i="4"/>
  <c r="D10" i="4"/>
  <c r="D9" i="4"/>
  <c r="D7" i="4"/>
  <c r="D6" i="4"/>
  <c r="N6" i="4"/>
  <c r="E228" i="6" l="1"/>
  <c r="E57" i="6" l="1"/>
  <c r="U604" i="7"/>
  <c r="P604" i="7"/>
  <c r="E603" i="7"/>
  <c r="F603" i="7" s="1"/>
  <c r="E602" i="7"/>
  <c r="F602" i="7" s="1"/>
  <c r="U592" i="7"/>
  <c r="P592" i="7"/>
  <c r="E591" i="7"/>
  <c r="F591" i="7" s="1"/>
  <c r="E590" i="7"/>
  <c r="F590" i="7" s="1"/>
  <c r="F604" i="7" l="1"/>
  <c r="F592" i="7"/>
  <c r="F109" i="4"/>
  <c r="D93" i="4"/>
  <c r="D149" i="4" l="1"/>
  <c r="D150" i="4" s="1"/>
  <c r="D151" i="4" s="1"/>
  <c r="D152" i="4" s="1"/>
  <c r="D153" i="4" s="1"/>
  <c r="D123" i="4" l="1"/>
  <c r="D125" i="4"/>
  <c r="D121" i="4"/>
  <c r="D110" i="4"/>
  <c r="D109" i="4"/>
  <c r="D92" i="4"/>
  <c r="D60" i="4" l="1"/>
  <c r="D28" i="4"/>
  <c r="D32" i="4"/>
  <c r="U3899" i="7" l="1"/>
  <c r="E3896" i="7"/>
  <c r="F3896" i="7" s="1"/>
  <c r="E3895" i="7"/>
  <c r="F3895" i="7" s="1"/>
  <c r="E3908" i="7"/>
  <c r="F3908" i="7" s="1"/>
  <c r="E3909" i="7"/>
  <c r="F3909" i="7" s="1"/>
  <c r="U3912" i="7"/>
  <c r="F3912" i="7" l="1"/>
  <c r="F3899" i="7"/>
  <c r="P3895" i="7" s="1"/>
  <c r="P3899" i="7" s="1"/>
  <c r="U3154" i="7"/>
  <c r="P3154" i="7"/>
  <c r="E3151" i="7"/>
  <c r="F3151" i="7" s="1"/>
  <c r="E3150" i="7"/>
  <c r="F3150" i="7" s="1"/>
  <c r="U3141" i="7"/>
  <c r="P3141" i="7"/>
  <c r="E3138" i="7"/>
  <c r="F3138" i="7" s="1"/>
  <c r="E3137" i="7"/>
  <c r="F3137" i="7" s="1"/>
  <c r="U3128" i="7"/>
  <c r="P3128" i="7"/>
  <c r="E3125" i="7"/>
  <c r="F3125" i="7" s="1"/>
  <c r="E3124" i="7"/>
  <c r="F3124" i="7" s="1"/>
  <c r="U3115" i="7"/>
  <c r="P3115" i="7"/>
  <c r="E3112" i="7"/>
  <c r="F3112" i="7" s="1"/>
  <c r="E3111" i="7"/>
  <c r="F3111" i="7" s="1"/>
  <c r="E3164" i="7"/>
  <c r="F3164" i="7" s="1"/>
  <c r="E3165" i="7"/>
  <c r="F3165" i="7" s="1"/>
  <c r="P3168" i="7"/>
  <c r="U3168" i="7"/>
  <c r="E3177" i="7"/>
  <c r="F3177" i="7" s="1"/>
  <c r="E3178" i="7"/>
  <c r="F3178" i="7" s="1"/>
  <c r="P3181" i="7"/>
  <c r="U3181" i="7"/>
  <c r="E3190" i="7"/>
  <c r="F3190" i="7" s="1"/>
  <c r="E3191" i="7"/>
  <c r="F3191" i="7" s="1"/>
  <c r="P3194" i="7"/>
  <c r="U3194" i="7"/>
  <c r="E3203" i="7"/>
  <c r="F3203" i="7" s="1"/>
  <c r="E3204" i="7"/>
  <c r="F3204" i="7" s="1"/>
  <c r="P3207" i="7"/>
  <c r="U3207" i="7"/>
  <c r="D62" i="6"/>
  <c r="G62" i="6"/>
  <c r="L123" i="4"/>
  <c r="J635" i="7"/>
  <c r="J646" i="7" s="1"/>
  <c r="U649" i="7"/>
  <c r="O647" i="7"/>
  <c r="P647" i="7" s="1"/>
  <c r="E647" i="7"/>
  <c r="F647" i="7" s="1"/>
  <c r="E646" i="7"/>
  <c r="F646" i="7" s="1"/>
  <c r="U638" i="7"/>
  <c r="O636" i="7"/>
  <c r="P636" i="7" s="1"/>
  <c r="E636" i="7"/>
  <c r="F636" i="7" s="1"/>
  <c r="E635" i="7"/>
  <c r="F635" i="7" s="1"/>
  <c r="U627" i="7"/>
  <c r="O625" i="7"/>
  <c r="P625" i="7" s="1"/>
  <c r="E625" i="7"/>
  <c r="F625" i="7" s="1"/>
  <c r="E624" i="7"/>
  <c r="F624" i="7" s="1"/>
  <c r="E613" i="7"/>
  <c r="F613" i="7" s="1"/>
  <c r="E614" i="7"/>
  <c r="F614" i="7" s="1"/>
  <c r="O614" i="7"/>
  <c r="P614" i="7" s="1"/>
  <c r="U616" i="7"/>
  <c r="G109" i="4"/>
  <c r="K109" i="4" s="1"/>
  <c r="L109" i="4" s="1"/>
  <c r="J579" i="7" s="1"/>
  <c r="J3895" i="7"/>
  <c r="K3895" i="7" s="1"/>
  <c r="U581" i="7"/>
  <c r="P581" i="7"/>
  <c r="E580" i="7"/>
  <c r="F580" i="7" s="1"/>
  <c r="E579" i="7"/>
  <c r="F579" i="7" s="1"/>
  <c r="E658" i="7"/>
  <c r="F658" i="7" s="1"/>
  <c r="E659" i="7"/>
  <c r="F659" i="7" s="1"/>
  <c r="O659" i="7"/>
  <c r="P659" i="7" s="1"/>
  <c r="U661" i="7"/>
  <c r="K579" i="7" l="1"/>
  <c r="K581" i="7" s="1"/>
  <c r="J602" i="7"/>
  <c r="K602" i="7" s="1"/>
  <c r="K604" i="7" s="1"/>
  <c r="F3128" i="7"/>
  <c r="F3141" i="7"/>
  <c r="J3114" i="7"/>
  <c r="J3127" i="7" s="1"/>
  <c r="F3154" i="7"/>
  <c r="F3115" i="7"/>
  <c r="F649" i="7"/>
  <c r="K3114" i="7"/>
  <c r="J3140" i="7"/>
  <c r="K3127" i="7"/>
  <c r="F3194" i="7"/>
  <c r="F3168" i="7"/>
  <c r="F3181" i="7"/>
  <c r="F3207" i="7"/>
  <c r="F581" i="7"/>
  <c r="K582" i="7" s="1"/>
  <c r="F627" i="7"/>
  <c r="F638" i="7"/>
  <c r="F616" i="7"/>
  <c r="F582" i="7"/>
  <c r="F661" i="7"/>
  <c r="D122" i="4"/>
  <c r="D22" i="4"/>
  <c r="F605" i="7" l="1"/>
  <c r="K605" i="7"/>
  <c r="K3140" i="7"/>
  <c r="J3153" i="7"/>
  <c r="K3153" i="7" s="1"/>
  <c r="P582" i="7"/>
  <c r="U582" i="7" s="1"/>
  <c r="U583" i="7" s="1"/>
  <c r="L55" i="6" s="1"/>
  <c r="M55" i="6" s="1"/>
  <c r="M51" i="5"/>
  <c r="P605" i="7" l="1"/>
  <c r="U605" i="7" s="1"/>
  <c r="U606" i="7" s="1"/>
  <c r="L57" i="6" s="1"/>
  <c r="M57" i="6" s="1"/>
  <c r="M6" i="5"/>
  <c r="M7" i="5"/>
  <c r="M8" i="5"/>
  <c r="M9" i="5"/>
  <c r="M10" i="5"/>
  <c r="M11" i="5"/>
  <c r="M12" i="5"/>
  <c r="M13" i="5"/>
  <c r="M14" i="5"/>
  <c r="M15" i="5"/>
  <c r="M16" i="5"/>
  <c r="M17" i="5"/>
  <c r="M18" i="5"/>
  <c r="M19"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 i="5"/>
  <c r="L5" i="5" l="1"/>
  <c r="K111" i="21" l="1"/>
  <c r="L111" i="21" s="1"/>
  <c r="K98" i="21"/>
  <c r="L98" i="21" s="1"/>
  <c r="K85" i="21"/>
  <c r="L85" i="21" s="1"/>
  <c r="K72" i="21"/>
  <c r="L72" i="21" s="1"/>
  <c r="K59" i="21"/>
  <c r="L59" i="21" s="1"/>
  <c r="K46" i="21"/>
  <c r="L46" i="21" s="1"/>
  <c r="K33" i="21"/>
  <c r="L33" i="21" s="1"/>
  <c r="K20" i="21"/>
  <c r="L20" i="21" s="1"/>
  <c r="K7" i="21"/>
  <c r="L7" i="21" s="1"/>
  <c r="F112" i="21"/>
  <c r="G112" i="21" s="1"/>
  <c r="F111" i="21"/>
  <c r="G111" i="21" s="1"/>
  <c r="F99" i="21"/>
  <c r="G99" i="21" s="1"/>
  <c r="F98" i="21"/>
  <c r="G98" i="21" s="1"/>
  <c r="F86" i="21"/>
  <c r="G86" i="21" s="1"/>
  <c r="F85" i="21"/>
  <c r="G85" i="21" s="1"/>
  <c r="F73" i="21"/>
  <c r="G73" i="21" s="1"/>
  <c r="F72" i="21"/>
  <c r="G72" i="21" s="1"/>
  <c r="F60" i="21"/>
  <c r="G60" i="21" s="1"/>
  <c r="F59" i="21"/>
  <c r="G59" i="21" s="1"/>
  <c r="F47" i="21"/>
  <c r="G47" i="21" s="1"/>
  <c r="F46" i="21"/>
  <c r="F34" i="21"/>
  <c r="G34" i="21" s="1"/>
  <c r="F33" i="21"/>
  <c r="G33" i="21" s="1"/>
  <c r="F21" i="21"/>
  <c r="G21" i="21" s="1"/>
  <c r="F20" i="21"/>
  <c r="G20" i="21" s="1"/>
  <c r="F8" i="21"/>
  <c r="G8" i="21" s="1"/>
  <c r="F7" i="21"/>
  <c r="G7" i="21" s="1"/>
  <c r="G46" i="21"/>
  <c r="G35" i="21" l="1"/>
  <c r="L34" i="21" s="1"/>
  <c r="L35" i="21" s="1"/>
  <c r="J36" i="21" s="1"/>
  <c r="G61" i="21"/>
  <c r="L60" i="21" s="1"/>
  <c r="L61" i="21" s="1"/>
  <c r="J62" i="21" s="1"/>
  <c r="G113" i="21"/>
  <c r="L112" i="21" s="1"/>
  <c r="L113" i="21" s="1"/>
  <c r="J114" i="21" s="1"/>
  <c r="G87" i="21"/>
  <c r="L86" i="21" s="1"/>
  <c r="L87" i="21" s="1"/>
  <c r="J88" i="21" s="1"/>
  <c r="G74" i="21"/>
  <c r="L73" i="21" s="1"/>
  <c r="L74" i="21" s="1"/>
  <c r="J75" i="21" s="1"/>
  <c r="G100" i="21"/>
  <c r="L99" i="21" s="1"/>
  <c r="L100" i="21" s="1"/>
  <c r="J101" i="21" s="1"/>
  <c r="G48" i="21"/>
  <c r="L47" i="21" s="1"/>
  <c r="L48" i="21" s="1"/>
  <c r="J49" i="21" s="1"/>
  <c r="G22" i="21"/>
  <c r="L21" i="21" s="1"/>
  <c r="L22" i="21" s="1"/>
  <c r="J23" i="21" s="1"/>
  <c r="G9" i="21"/>
  <c r="L8" i="21" s="1"/>
  <c r="L9" i="21" s="1"/>
  <c r="J10" i="21" s="1"/>
  <c r="J115" i="21" l="1"/>
  <c r="J116" i="21" s="1"/>
  <c r="J117" i="21" s="1"/>
  <c r="J24" i="21"/>
  <c r="J25" i="21" s="1"/>
  <c r="J26" i="21" s="1"/>
  <c r="J89" i="21"/>
  <c r="J90" i="21" s="1"/>
  <c r="J91" i="21" s="1"/>
  <c r="J50" i="21"/>
  <c r="J51" i="21" s="1"/>
  <c r="J52" i="21" s="1"/>
  <c r="J76" i="21"/>
  <c r="J77" i="21" s="1"/>
  <c r="J78" i="21" s="1"/>
  <c r="J102" i="21"/>
  <c r="J103" i="21" s="1"/>
  <c r="J104" i="21" s="1"/>
  <c r="J11" i="21"/>
  <c r="J12" i="21" s="1"/>
  <c r="J13" i="21" s="1"/>
  <c r="J37" i="21"/>
  <c r="J38" i="21" s="1"/>
  <c r="J39" i="21" s="1"/>
  <c r="J63" i="21"/>
  <c r="J64" i="21" s="1"/>
  <c r="J65" i="21" s="1"/>
  <c r="J40" i="21" l="1"/>
  <c r="L318" i="6"/>
  <c r="M318" i="6" s="1"/>
  <c r="J53" i="21"/>
  <c r="L319" i="6"/>
  <c r="M319" i="6" s="1"/>
  <c r="J14" i="21"/>
  <c r="L316" i="6"/>
  <c r="M316" i="6" s="1"/>
  <c r="J92" i="21"/>
  <c r="L322" i="6"/>
  <c r="M322" i="6" s="1"/>
  <c r="J105" i="21"/>
  <c r="L323" i="6"/>
  <c r="M323" i="6" s="1"/>
  <c r="J27" i="21"/>
  <c r="L317" i="6"/>
  <c r="M317" i="6" s="1"/>
  <c r="J66" i="21"/>
  <c r="L320" i="6"/>
  <c r="M320" i="6" s="1"/>
  <c r="J79" i="21"/>
  <c r="L321" i="6"/>
  <c r="M321" i="6" s="1"/>
  <c r="J118" i="21"/>
  <c r="L324" i="6"/>
  <c r="M324" i="6" s="1"/>
  <c r="D94" i="4"/>
  <c r="G9" i="6" l="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8"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8" i="6"/>
  <c r="L315" i="6" l="1"/>
  <c r="M315" i="6" s="1"/>
  <c r="J4500" i="7"/>
  <c r="J4499" i="7"/>
  <c r="N92" i="4"/>
  <c r="X1116" i="7"/>
  <c r="J4458" i="7" l="1"/>
  <c r="K4458" i="7" s="1"/>
  <c r="K4471" i="7"/>
  <c r="U4489" i="7"/>
  <c r="P4489" i="7"/>
  <c r="K4488" i="7"/>
  <c r="K4487" i="7"/>
  <c r="K4486" i="7"/>
  <c r="E4486" i="7"/>
  <c r="E4485" i="7"/>
  <c r="U4475" i="7"/>
  <c r="P4475" i="7"/>
  <c r="K4474" i="7"/>
  <c r="K4473" i="7"/>
  <c r="K4472" i="7"/>
  <c r="E4472" i="7"/>
  <c r="F4472" i="7" s="1"/>
  <c r="E4471" i="7"/>
  <c r="F4471" i="7" s="1"/>
  <c r="U4462" i="7"/>
  <c r="P4462" i="7"/>
  <c r="K4461" i="7"/>
  <c r="K4460" i="7"/>
  <c r="K4459" i="7"/>
  <c r="E4459" i="7"/>
  <c r="F4459" i="7" s="1"/>
  <c r="E4458" i="7"/>
  <c r="F4458" i="7" s="1"/>
  <c r="D74" i="4"/>
  <c r="N121" i="4"/>
  <c r="N114" i="4"/>
  <c r="N111" i="4"/>
  <c r="N108" i="4"/>
  <c r="N110" i="4"/>
  <c r="N93" i="4"/>
  <c r="N28" i="4"/>
  <c r="N25" i="4"/>
  <c r="N15" i="4"/>
  <c r="N12" i="4"/>
  <c r="N9" i="4"/>
  <c r="N8" i="4"/>
  <c r="N10" i="4"/>
  <c r="N7" i="4"/>
  <c r="N29" i="4"/>
  <c r="U14" i="17"/>
  <c r="O10" i="17"/>
  <c r="P10" i="17" s="1"/>
  <c r="E7" i="17"/>
  <c r="F7" i="17" s="1"/>
  <c r="P6" i="17"/>
  <c r="E6" i="17"/>
  <c r="F6" i="17" s="1"/>
  <c r="U31" i="20"/>
  <c r="E25" i="20"/>
  <c r="F25" i="20" s="1"/>
  <c r="P24" i="20"/>
  <c r="E24" i="20"/>
  <c r="F24" i="20" s="1"/>
  <c r="U13" i="20"/>
  <c r="E7" i="20"/>
  <c r="F7" i="20" s="1"/>
  <c r="P6" i="20"/>
  <c r="E6" i="20"/>
  <c r="F6" i="20" s="1"/>
  <c r="F4475" i="7" l="1"/>
  <c r="F4486" i="7"/>
  <c r="E4499" i="7"/>
  <c r="F4485" i="7"/>
  <c r="E4500" i="7"/>
  <c r="K4475" i="7"/>
  <c r="K4462" i="7"/>
  <c r="F4462" i="7"/>
  <c r="F13" i="20"/>
  <c r="F14" i="17"/>
  <c r="F31" i="20"/>
  <c r="F4476" i="7" l="1"/>
  <c r="F4489" i="7"/>
  <c r="K4476" i="7"/>
  <c r="P4476" i="7" s="1"/>
  <c r="U4476" i="7" s="1"/>
  <c r="U4477" i="7" s="1"/>
  <c r="U4478" i="7" s="1"/>
  <c r="K4463" i="7"/>
  <c r="F4463" i="7"/>
  <c r="D304" i="6"/>
  <c r="J4186" i="7"/>
  <c r="K4186" i="7" s="1"/>
  <c r="E4187" i="7"/>
  <c r="F4187" i="7" s="1"/>
  <c r="P4190" i="7"/>
  <c r="E4186" i="7"/>
  <c r="F4186" i="7" s="1"/>
  <c r="P4463" i="7" l="1"/>
  <c r="U4463" i="7" s="1"/>
  <c r="U4464" i="7" s="1"/>
  <c r="F4190" i="7"/>
  <c r="D289" i="6"/>
  <c r="U3939" i="7"/>
  <c r="P3939" i="7"/>
  <c r="E3936" i="7"/>
  <c r="F3936" i="7" s="1"/>
  <c r="E3935" i="7"/>
  <c r="F3935" i="7" s="1"/>
  <c r="D303" i="6"/>
  <c r="B303" i="6"/>
  <c r="P4174" i="7"/>
  <c r="O4176" i="7"/>
  <c r="P4176" i="7" s="1"/>
  <c r="E4174" i="7"/>
  <c r="F4174" i="7" s="1"/>
  <c r="E4173" i="7"/>
  <c r="F4173" i="7" s="1"/>
  <c r="F3939" i="7" l="1"/>
  <c r="F4177" i="7"/>
  <c r="D245" i="6" l="1"/>
  <c r="D244" i="6"/>
  <c r="D243" i="6"/>
  <c r="D242" i="6"/>
  <c r="D241" i="6"/>
  <c r="D240" i="6"/>
  <c r="D239" i="6"/>
  <c r="D238" i="6"/>
  <c r="D237" i="6"/>
  <c r="D236" i="6"/>
  <c r="D235" i="6"/>
  <c r="D234" i="6"/>
  <c r="D233" i="6"/>
  <c r="D232" i="6"/>
  <c r="D231" i="6"/>
  <c r="D230" i="6"/>
  <c r="D229" i="6"/>
  <c r="D222" i="6"/>
  <c r="D221" i="6"/>
  <c r="D220" i="6"/>
  <c r="D219" i="6"/>
  <c r="J22" i="19"/>
  <c r="J38" i="19" s="1"/>
  <c r="N22" i="19"/>
  <c r="N38" i="19" s="1"/>
  <c r="P22" i="19"/>
  <c r="P38" i="19" s="1"/>
  <c r="D314" i="6"/>
  <c r="E16" i="19"/>
  <c r="E17" i="19"/>
  <c r="E18" i="19"/>
  <c r="E19" i="19"/>
  <c r="G16" i="19"/>
  <c r="G17" i="19"/>
  <c r="G18" i="19"/>
  <c r="G19" i="19"/>
  <c r="I18" i="19"/>
  <c r="K18" i="19"/>
  <c r="K19" i="19"/>
  <c r="M18" i="19"/>
  <c r="M19" i="19"/>
  <c r="O19" i="19"/>
  <c r="D313" i="6"/>
  <c r="F32" i="19"/>
  <c r="F33" i="19"/>
  <c r="F34" i="19"/>
  <c r="F35" i="19"/>
  <c r="F37" i="19" s="1"/>
  <c r="F36" i="19"/>
  <c r="F38" i="19"/>
  <c r="H32" i="19"/>
  <c r="H33" i="19"/>
  <c r="H34" i="19"/>
  <c r="H35" i="19"/>
  <c r="H36" i="19"/>
  <c r="H38" i="19"/>
  <c r="J34" i="19"/>
  <c r="J35" i="19"/>
  <c r="J36" i="19"/>
  <c r="L34" i="19"/>
  <c r="L35" i="19"/>
  <c r="L36" i="19"/>
  <c r="L38" i="19"/>
  <c r="N34" i="19"/>
  <c r="N35" i="19"/>
  <c r="N36" i="19"/>
  <c r="P35" i="19"/>
  <c r="P36" i="19"/>
  <c r="Q38" i="19"/>
  <c r="Q39" i="19" s="1"/>
  <c r="D16" i="19"/>
  <c r="D17" i="19"/>
  <c r="D18" i="19"/>
  <c r="D19" i="19"/>
  <c r="F20" i="19"/>
  <c r="H20" i="19"/>
  <c r="J19" i="19"/>
  <c r="J20" i="19"/>
  <c r="L20" i="19"/>
  <c r="N20" i="19"/>
  <c r="P20" i="19"/>
  <c r="Q20" i="19"/>
  <c r="Q21" i="19"/>
  <c r="Q23" i="19" s="1"/>
  <c r="E3516" i="7"/>
  <c r="F3516" i="7" s="1"/>
  <c r="E3517" i="7"/>
  <c r="F3517" i="7" s="1"/>
  <c r="L43" i="5"/>
  <c r="J43" i="5" s="1"/>
  <c r="O456" i="7" s="1"/>
  <c r="P456" i="7" s="1"/>
  <c r="L9" i="4"/>
  <c r="J3470" i="7" s="1"/>
  <c r="K3470" i="7" s="1"/>
  <c r="L6" i="4"/>
  <c r="J3503" i="7" s="1"/>
  <c r="F44" i="9"/>
  <c r="D16" i="9" s="1"/>
  <c r="E16" i="9"/>
  <c r="J177" i="18"/>
  <c r="K177" i="18" s="1"/>
  <c r="K178" i="18" s="1"/>
  <c r="E312" i="6"/>
  <c r="D312" i="6"/>
  <c r="J167" i="18"/>
  <c r="K167" i="18" s="1"/>
  <c r="K168" i="18" s="1"/>
  <c r="E311" i="6"/>
  <c r="P156" i="18"/>
  <c r="D311" i="6"/>
  <c r="J155" i="18"/>
  <c r="K155" i="18" s="1"/>
  <c r="J156" i="18"/>
  <c r="K156" i="18" s="1"/>
  <c r="J157" i="18"/>
  <c r="K157" i="18" s="1"/>
  <c r="E310" i="6"/>
  <c r="D310" i="6"/>
  <c r="F156" i="18"/>
  <c r="F155" i="18"/>
  <c r="E13" i="18"/>
  <c r="F13" i="18" s="1"/>
  <c r="E12" i="18"/>
  <c r="F12" i="18" s="1"/>
  <c r="K190" i="18"/>
  <c r="K191" i="18" s="1"/>
  <c r="O186" i="18" s="1"/>
  <c r="O191" i="18" s="1"/>
  <c r="I194" i="18" s="1"/>
  <c r="P191" i="18"/>
  <c r="P178" i="18"/>
  <c r="P168" i="18"/>
  <c r="P155" i="18"/>
  <c r="P158" i="18" s="1"/>
  <c r="E142" i="18"/>
  <c r="F142" i="18" s="1"/>
  <c r="E143" i="18"/>
  <c r="F143" i="18" s="1"/>
  <c r="J142" i="18"/>
  <c r="K142" i="18" s="1"/>
  <c r="J143" i="18"/>
  <c r="K143" i="18" s="1"/>
  <c r="J128" i="18"/>
  <c r="J144" i="18" s="1"/>
  <c r="K144" i="18" s="1"/>
  <c r="J131" i="18"/>
  <c r="J145" i="18" s="1"/>
  <c r="K145" i="18" s="1"/>
  <c r="J130" i="18"/>
  <c r="E29" i="18"/>
  <c r="E126" i="18" s="1"/>
  <c r="F126" i="18" s="1"/>
  <c r="J125" i="18"/>
  <c r="I125" i="18"/>
  <c r="J126" i="18"/>
  <c r="I126" i="18"/>
  <c r="J127" i="18"/>
  <c r="K127" i="18" s="1"/>
  <c r="I127" i="18"/>
  <c r="I128" i="18"/>
  <c r="I129" i="18"/>
  <c r="I130" i="18"/>
  <c r="I131" i="18"/>
  <c r="J132" i="18"/>
  <c r="I132" i="18"/>
  <c r="J104" i="18"/>
  <c r="J115" i="18" s="1"/>
  <c r="K115" i="18" s="1"/>
  <c r="K117" i="18" s="1"/>
  <c r="P117" i="18"/>
  <c r="J30" i="18"/>
  <c r="J81" i="18" s="1"/>
  <c r="P107" i="18"/>
  <c r="J92" i="18"/>
  <c r="K92" i="18" s="1"/>
  <c r="J29" i="18"/>
  <c r="J43" i="18" s="1"/>
  <c r="J31" i="18"/>
  <c r="J82" i="18" s="1"/>
  <c r="P96" i="18"/>
  <c r="J79" i="18"/>
  <c r="K79" i="18" s="1"/>
  <c r="P83" i="18"/>
  <c r="J68" i="18"/>
  <c r="K68" i="18" s="1"/>
  <c r="J58" i="18"/>
  <c r="J69" i="18" s="1"/>
  <c r="K69" i="18" s="1"/>
  <c r="J56" i="18"/>
  <c r="K56" i="18" s="1"/>
  <c r="D42" i="18"/>
  <c r="D43" i="18"/>
  <c r="F44" i="18"/>
  <c r="F45" i="18"/>
  <c r="F46" i="18"/>
  <c r="J28" i="18"/>
  <c r="K28" i="18" s="1"/>
  <c r="I43" i="18"/>
  <c r="I44" i="18"/>
  <c r="I45" i="18"/>
  <c r="J16" i="18"/>
  <c r="J32" i="18" s="1"/>
  <c r="F30" i="18"/>
  <c r="F31" i="18"/>
  <c r="F32" i="18"/>
  <c r="F14" i="18"/>
  <c r="F15" i="18"/>
  <c r="F16" i="18"/>
  <c r="I12" i="18"/>
  <c r="J12" i="18"/>
  <c r="J13" i="18"/>
  <c r="K13" i="18" s="1"/>
  <c r="I14" i="18"/>
  <c r="J14" i="18"/>
  <c r="J15" i="18"/>
  <c r="K15" i="18" s="1"/>
  <c r="E2405" i="7"/>
  <c r="F2405" i="7" s="1"/>
  <c r="E2406" i="7"/>
  <c r="F2406" i="7" s="1"/>
  <c r="D178" i="6"/>
  <c r="P2407" i="7"/>
  <c r="U2407" i="7"/>
  <c r="I1731" i="7"/>
  <c r="I1719" i="7"/>
  <c r="I1707" i="7"/>
  <c r="E1996" i="7"/>
  <c r="F1996" i="7" s="1"/>
  <c r="E1997" i="7"/>
  <c r="F1997" i="7" s="1"/>
  <c r="L10" i="5"/>
  <c r="J10" i="5" s="1"/>
  <c r="O3908" i="7" s="1"/>
  <c r="P3908" i="7" s="1"/>
  <c r="P3912" i="7" s="1"/>
  <c r="L21" i="5"/>
  <c r="J21" i="5" s="1"/>
  <c r="O2648" i="7" s="1"/>
  <c r="P2648" i="7" s="1"/>
  <c r="E423" i="7"/>
  <c r="F423" i="7" s="1"/>
  <c r="E422" i="7"/>
  <c r="F422" i="7" s="1"/>
  <c r="K422" i="7"/>
  <c r="K423" i="7"/>
  <c r="U424" i="7"/>
  <c r="E411" i="7"/>
  <c r="F411" i="7" s="1"/>
  <c r="E412" i="7"/>
  <c r="F412" i="7" s="1"/>
  <c r="K411" i="7"/>
  <c r="U413" i="7"/>
  <c r="D41" i="6"/>
  <c r="D40" i="6"/>
  <c r="J1765" i="7"/>
  <c r="K1765" i="7" s="1"/>
  <c r="E249" i="7"/>
  <c r="F249" i="7" s="1"/>
  <c r="E250" i="7"/>
  <c r="F250" i="7" s="1"/>
  <c r="L19" i="5"/>
  <c r="J19" i="5" s="1"/>
  <c r="O249" i="7" s="1"/>
  <c r="P249" i="7" s="1"/>
  <c r="P251" i="7" s="1"/>
  <c r="K251" i="7"/>
  <c r="U251" i="7"/>
  <c r="E238" i="7"/>
  <c r="F238" i="7" s="1"/>
  <c r="E239" i="7"/>
  <c r="F239" i="7" s="1"/>
  <c r="K240" i="7"/>
  <c r="U240" i="7"/>
  <c r="E6" i="16"/>
  <c r="F6" i="16" s="1"/>
  <c r="E7" i="16"/>
  <c r="F7" i="16" s="1"/>
  <c r="L34" i="5"/>
  <c r="J34" i="5" s="1"/>
  <c r="O829" i="7" s="1"/>
  <c r="P829" i="7" s="1"/>
  <c r="L41" i="5"/>
  <c r="J41" i="5" s="1"/>
  <c r="O1086" i="7" s="1"/>
  <c r="P1086" i="7" s="1"/>
  <c r="L37" i="5"/>
  <c r="J37" i="5" s="1"/>
  <c r="O10" i="15" s="1"/>
  <c r="P10" i="15" s="1"/>
  <c r="L29" i="5"/>
  <c r="J29" i="5" s="1"/>
  <c r="O11" i="16" s="1"/>
  <c r="P11" i="16" s="1"/>
  <c r="K10" i="16"/>
  <c r="U13" i="16"/>
  <c r="F6" i="15"/>
  <c r="F7" i="15"/>
  <c r="J10" i="15"/>
  <c r="K10" i="15" s="1"/>
  <c r="U13" i="15"/>
  <c r="D15" i="14"/>
  <c r="D31" i="14" s="1"/>
  <c r="E15" i="14"/>
  <c r="D16" i="14"/>
  <c r="D32" i="14" s="1"/>
  <c r="E16" i="14"/>
  <c r="E32" i="14" s="1"/>
  <c r="G33" i="14"/>
  <c r="D13" i="14"/>
  <c r="E13" i="14"/>
  <c r="D14" i="14"/>
  <c r="E14" i="14"/>
  <c r="G17" i="14"/>
  <c r="O671" i="7"/>
  <c r="P671" i="7" s="1"/>
  <c r="L32" i="5"/>
  <c r="J32" i="5" s="1"/>
  <c r="L11" i="4"/>
  <c r="J672" i="7" s="1"/>
  <c r="K672" i="7" s="1"/>
  <c r="L10" i="4"/>
  <c r="L8" i="4"/>
  <c r="J4114" i="7" s="1"/>
  <c r="K4114" i="7" s="1"/>
  <c r="L5" i="4"/>
  <c r="J2816" i="7" s="1"/>
  <c r="K2816" i="7" s="1"/>
  <c r="L4" i="4"/>
  <c r="J2445" i="7" s="1"/>
  <c r="K2445" i="7" s="1"/>
  <c r="L3" i="4"/>
  <c r="J100" i="7"/>
  <c r="J112" i="7" s="1"/>
  <c r="E4431" i="7"/>
  <c r="F4431" i="7" s="1"/>
  <c r="E4432" i="7"/>
  <c r="F4432" i="7" s="1"/>
  <c r="K135" i="10"/>
  <c r="E308" i="7"/>
  <c r="F308" i="7" s="1"/>
  <c r="E309" i="7"/>
  <c r="F309" i="7" s="1"/>
  <c r="K310" i="7"/>
  <c r="P310" i="7"/>
  <c r="U310" i="7"/>
  <c r="K33" i="10"/>
  <c r="F42" i="9"/>
  <c r="D15" i="9" s="1"/>
  <c r="E15" i="9"/>
  <c r="K129" i="10"/>
  <c r="K128" i="10"/>
  <c r="L42" i="5"/>
  <c r="J42" i="5" s="1"/>
  <c r="L27" i="5"/>
  <c r="J27" i="5" s="1"/>
  <c r="O4218" i="7" s="1"/>
  <c r="P4218" i="7" s="1"/>
  <c r="E24" i="9"/>
  <c r="K89" i="10"/>
  <c r="K88" i="10"/>
  <c r="K87" i="10"/>
  <c r="K86" i="10"/>
  <c r="K91" i="10"/>
  <c r="K90" i="10"/>
  <c r="K146" i="10"/>
  <c r="E2041" i="7"/>
  <c r="F2041" i="7" s="1"/>
  <c r="E2042" i="7"/>
  <c r="F2042" i="7" s="1"/>
  <c r="E1267" i="7"/>
  <c r="F1267" i="7" s="1"/>
  <c r="E1268" i="7"/>
  <c r="F1268" i="7" s="1"/>
  <c r="K112" i="10"/>
  <c r="K1267" i="7"/>
  <c r="K1268" i="7" s="1"/>
  <c r="P1270" i="7"/>
  <c r="U1270" i="7"/>
  <c r="L44" i="5"/>
  <c r="J44" i="5" s="1"/>
  <c r="U4436" i="7"/>
  <c r="K328" i="13"/>
  <c r="J328" i="13"/>
  <c r="H328" i="13"/>
  <c r="E4415" i="7"/>
  <c r="F4415" i="7" s="1"/>
  <c r="E4416" i="7"/>
  <c r="F4416" i="7" s="1"/>
  <c r="K96" i="10"/>
  <c r="U4422" i="7"/>
  <c r="K327" i="13"/>
  <c r="J327" i="13"/>
  <c r="H327" i="13"/>
  <c r="E4404" i="7"/>
  <c r="F4404" i="7" s="1"/>
  <c r="E4405" i="7"/>
  <c r="F4405" i="7" s="1"/>
  <c r="K120" i="10"/>
  <c r="P4406" i="7"/>
  <c r="U4406" i="7"/>
  <c r="K326" i="13"/>
  <c r="J326" i="13"/>
  <c r="H326" i="13"/>
  <c r="E4393" i="7"/>
  <c r="F4393" i="7" s="1"/>
  <c r="E4394" i="7"/>
  <c r="F4394" i="7" s="1"/>
  <c r="K37" i="10"/>
  <c r="P4395" i="7"/>
  <c r="U4395" i="7"/>
  <c r="K325" i="13"/>
  <c r="J325" i="13"/>
  <c r="H325" i="13"/>
  <c r="E4382" i="7"/>
  <c r="F4382" i="7" s="1"/>
  <c r="E4383" i="7"/>
  <c r="F4383" i="7" s="1"/>
  <c r="K38" i="10"/>
  <c r="P4384" i="7"/>
  <c r="U4384" i="7"/>
  <c r="K324" i="13"/>
  <c r="J324" i="13"/>
  <c r="H324" i="13"/>
  <c r="E4368" i="7"/>
  <c r="F4368" i="7" s="1"/>
  <c r="E4369" i="7"/>
  <c r="F4369" i="7" s="1"/>
  <c r="E4371" i="7"/>
  <c r="F4371" i="7" s="1"/>
  <c r="E4372" i="7"/>
  <c r="F4372" i="7" s="1"/>
  <c r="K39" i="10"/>
  <c r="K57" i="10"/>
  <c r="K56" i="10"/>
  <c r="K59" i="10"/>
  <c r="P4373" i="7"/>
  <c r="U4373" i="7"/>
  <c r="K323" i="13"/>
  <c r="J323" i="13"/>
  <c r="H323" i="13"/>
  <c r="E4351" i="7"/>
  <c r="F4351" i="7" s="1"/>
  <c r="E4352" i="7"/>
  <c r="F4352" i="7" s="1"/>
  <c r="K82" i="10"/>
  <c r="K84" i="10"/>
  <c r="K110" i="10"/>
  <c r="P4358" i="7"/>
  <c r="U4358" i="7"/>
  <c r="K322" i="13"/>
  <c r="J322" i="13"/>
  <c r="H322" i="13"/>
  <c r="E4339" i="7"/>
  <c r="F4339" i="7" s="1"/>
  <c r="E4340" i="7"/>
  <c r="F4340" i="7" s="1"/>
  <c r="K4342" i="7"/>
  <c r="U4342" i="7"/>
  <c r="K321" i="13"/>
  <c r="J321" i="13"/>
  <c r="H321" i="13"/>
  <c r="E4327" i="7"/>
  <c r="F4327" i="7" s="1"/>
  <c r="E4328" i="7"/>
  <c r="F4328" i="7" s="1"/>
  <c r="K4330" i="7"/>
  <c r="U4330" i="7"/>
  <c r="K320" i="13"/>
  <c r="J320" i="13"/>
  <c r="H320" i="13"/>
  <c r="E4315" i="7"/>
  <c r="F4315" i="7" s="1"/>
  <c r="E4316" i="7"/>
  <c r="F4316" i="7" s="1"/>
  <c r="K4318" i="7"/>
  <c r="U4318" i="7"/>
  <c r="K319" i="13"/>
  <c r="J319" i="13"/>
  <c r="H319" i="13"/>
  <c r="E4303" i="7"/>
  <c r="F4303" i="7" s="1"/>
  <c r="E4304" i="7"/>
  <c r="F4304" i="7" s="1"/>
  <c r="K4306" i="7"/>
  <c r="U4306" i="7"/>
  <c r="K318" i="13"/>
  <c r="J318" i="13"/>
  <c r="H318" i="13"/>
  <c r="E4291" i="7"/>
  <c r="F4291" i="7" s="1"/>
  <c r="E4292" i="7"/>
  <c r="F4292" i="7" s="1"/>
  <c r="K25" i="10"/>
  <c r="K34" i="10"/>
  <c r="L7" i="5"/>
  <c r="J7" i="5" s="1"/>
  <c r="O4292" i="7"/>
  <c r="P4292" i="7" s="1"/>
  <c r="U4294" i="7"/>
  <c r="K317" i="13"/>
  <c r="J317" i="13"/>
  <c r="H317" i="13"/>
  <c r="E4279" i="7"/>
  <c r="F4279" i="7" s="1"/>
  <c r="E4280" i="7"/>
  <c r="F4280" i="7" s="1"/>
  <c r="O4280" i="7"/>
  <c r="P4280" i="7" s="1"/>
  <c r="U4282" i="7"/>
  <c r="K316" i="13"/>
  <c r="J316" i="13"/>
  <c r="H316" i="13"/>
  <c r="E4267" i="7"/>
  <c r="F4267" i="7" s="1"/>
  <c r="E4268" i="7"/>
  <c r="F4268" i="7" s="1"/>
  <c r="O4268" i="7"/>
  <c r="P4268" i="7" s="1"/>
  <c r="U4270" i="7"/>
  <c r="K315" i="13"/>
  <c r="J315" i="13"/>
  <c r="H315" i="13"/>
  <c r="E4255" i="7"/>
  <c r="F4255" i="7" s="1"/>
  <c r="E4256" i="7"/>
  <c r="F4256" i="7" s="1"/>
  <c r="K26" i="10"/>
  <c r="J5" i="5"/>
  <c r="U4258" i="7"/>
  <c r="J314" i="13"/>
  <c r="H314" i="13"/>
  <c r="E4243" i="7"/>
  <c r="F4243" i="7" s="1"/>
  <c r="E4244" i="7"/>
  <c r="F4244" i="7" s="1"/>
  <c r="U4246" i="7"/>
  <c r="J313" i="13"/>
  <c r="H313" i="13"/>
  <c r="E4229" i="7"/>
  <c r="F4229" i="7" s="1"/>
  <c r="E4230" i="7"/>
  <c r="F4230" i="7" s="1"/>
  <c r="L31" i="5"/>
  <c r="J31" i="5" s="1"/>
  <c r="O991" i="7" s="1"/>
  <c r="P991" i="7" s="1"/>
  <c r="U4234" i="7"/>
  <c r="J312" i="13"/>
  <c r="H312" i="13"/>
  <c r="E4215" i="7"/>
  <c r="F4215" i="7" s="1"/>
  <c r="E4216" i="7"/>
  <c r="F4216" i="7" s="1"/>
  <c r="U4220" i="7"/>
  <c r="J311" i="13"/>
  <c r="H311" i="13"/>
  <c r="E4200" i="7"/>
  <c r="F4200" i="7" s="1"/>
  <c r="E4201" i="7"/>
  <c r="F4201" i="7" s="1"/>
  <c r="U4206" i="7"/>
  <c r="J310" i="13"/>
  <c r="H310" i="13"/>
  <c r="E4150" i="7"/>
  <c r="F4150" i="7" s="1"/>
  <c r="E4151" i="7"/>
  <c r="F4151" i="7" s="1"/>
  <c r="L30" i="5"/>
  <c r="J30" i="5" s="1"/>
  <c r="O4152" i="7" s="1"/>
  <c r="P4152" i="7" s="1"/>
  <c r="U4163" i="7"/>
  <c r="J309" i="13"/>
  <c r="H309" i="13"/>
  <c r="E4139" i="7"/>
  <c r="F4139" i="7" s="1"/>
  <c r="E4140" i="7"/>
  <c r="F4140" i="7" s="1"/>
  <c r="K28" i="10"/>
  <c r="L36" i="5"/>
  <c r="J36" i="5" s="1"/>
  <c r="U4141" i="7"/>
  <c r="K308" i="13"/>
  <c r="J308" i="13"/>
  <c r="H308" i="13"/>
  <c r="E4128" i="7"/>
  <c r="F4128" i="7" s="1"/>
  <c r="E4129" i="7"/>
  <c r="F4129" i="7" s="1"/>
  <c r="K4130" i="7"/>
  <c r="P4130" i="7"/>
  <c r="U4130" i="7"/>
  <c r="J307" i="13"/>
  <c r="H307" i="13"/>
  <c r="E4114" i="7"/>
  <c r="F4114" i="7" s="1"/>
  <c r="E4115" i="7"/>
  <c r="F4115" i="7" s="1"/>
  <c r="K45" i="10"/>
  <c r="K44" i="10"/>
  <c r="K27" i="10"/>
  <c r="U4119" i="7"/>
  <c r="K306" i="13"/>
  <c r="J306" i="13"/>
  <c r="H306" i="13"/>
  <c r="E4101" i="7"/>
  <c r="F4101" i="7" s="1"/>
  <c r="E4102" i="7"/>
  <c r="F4102" i="7" s="1"/>
  <c r="U4105" i="7"/>
  <c r="J305" i="13"/>
  <c r="H305" i="13"/>
  <c r="E4088" i="7"/>
  <c r="F4088" i="7" s="1"/>
  <c r="E4089" i="7"/>
  <c r="F4089" i="7" s="1"/>
  <c r="U4092" i="7"/>
  <c r="J304" i="13"/>
  <c r="H304" i="13"/>
  <c r="E4076" i="7"/>
  <c r="F4076" i="7" s="1"/>
  <c r="E4077" i="7"/>
  <c r="F4077" i="7" s="1"/>
  <c r="K52" i="10"/>
  <c r="K72" i="10"/>
  <c r="K73" i="10"/>
  <c r="P4079" i="7"/>
  <c r="U4079" i="7"/>
  <c r="K303" i="13"/>
  <c r="J303" i="13"/>
  <c r="H303" i="13"/>
  <c r="E4064" i="7"/>
  <c r="F4064" i="7" s="1"/>
  <c r="E4065" i="7"/>
  <c r="F4065" i="7" s="1"/>
  <c r="L33" i="5"/>
  <c r="J33" i="5" s="1"/>
  <c r="O4064" i="7" s="1"/>
  <c r="P4064" i="7" s="1"/>
  <c r="P4067" i="7" s="1"/>
  <c r="U4067" i="7"/>
  <c r="K302" i="13"/>
  <c r="J302" i="13"/>
  <c r="H302" i="13"/>
  <c r="E4053" i="7"/>
  <c r="F4053" i="7" s="1"/>
  <c r="E4054" i="7"/>
  <c r="F4054" i="7" s="1"/>
  <c r="L39" i="5"/>
  <c r="J39" i="5" s="1"/>
  <c r="O4054" i="7" s="1"/>
  <c r="P4054" i="7" s="1"/>
  <c r="U4055" i="7"/>
  <c r="J301" i="13"/>
  <c r="H301" i="13"/>
  <c r="E4040" i="7"/>
  <c r="F4040" i="7" s="1"/>
  <c r="E4041" i="7"/>
  <c r="F4041" i="7" s="1"/>
  <c r="K143" i="10"/>
  <c r="P4044" i="7"/>
  <c r="U4044" i="7"/>
  <c r="J300" i="13"/>
  <c r="H300" i="13"/>
  <c r="E4029" i="7"/>
  <c r="F4029" i="7" s="1"/>
  <c r="E4030" i="7"/>
  <c r="F4030" i="7" s="1"/>
  <c r="E2086" i="7"/>
  <c r="F2086" i="7" s="1"/>
  <c r="E2087" i="7"/>
  <c r="F2087" i="7" s="1"/>
  <c r="K17" i="10"/>
  <c r="E4445" i="7"/>
  <c r="F4445" i="7" s="1"/>
  <c r="E4446" i="7"/>
  <c r="F4446" i="7" s="1"/>
  <c r="K65" i="10"/>
  <c r="K24" i="10"/>
  <c r="P4447" i="7"/>
  <c r="U4447" i="7"/>
  <c r="P4031" i="7"/>
  <c r="U4031" i="7"/>
  <c r="J299" i="13"/>
  <c r="H299" i="13"/>
  <c r="E4018" i="7"/>
  <c r="F4018" i="7" s="1"/>
  <c r="E4019" i="7"/>
  <c r="F4019" i="7" s="1"/>
  <c r="P4020" i="7"/>
  <c r="U4020" i="7"/>
  <c r="J298" i="13"/>
  <c r="H298" i="13"/>
  <c r="E4007" i="7"/>
  <c r="F4007" i="7" s="1"/>
  <c r="E4008" i="7"/>
  <c r="F4008" i="7" s="1"/>
  <c r="K4009" i="7"/>
  <c r="U4009" i="7"/>
  <c r="J297" i="13"/>
  <c r="H297" i="13"/>
  <c r="E3995" i="7"/>
  <c r="F3995" i="7" s="1"/>
  <c r="E3996" i="7"/>
  <c r="F3996" i="7" s="1"/>
  <c r="K3997" i="7"/>
  <c r="U3997" i="7"/>
  <c r="J296" i="13"/>
  <c r="H296" i="13"/>
  <c r="E3983" i="7"/>
  <c r="F3983" i="7" s="1"/>
  <c r="E3984" i="7"/>
  <c r="F3984" i="7" s="1"/>
  <c r="K3985" i="7"/>
  <c r="U3985" i="7"/>
  <c r="J295" i="13"/>
  <c r="H295" i="13"/>
  <c r="E3971" i="7"/>
  <c r="F3971" i="7" s="1"/>
  <c r="E3972" i="7"/>
  <c r="F3972" i="7" s="1"/>
  <c r="K113" i="10"/>
  <c r="K147" i="10"/>
  <c r="L24" i="5"/>
  <c r="J24" i="5" s="1"/>
  <c r="O3971" i="7" s="1"/>
  <c r="P3971" i="7" s="1"/>
  <c r="P3973" i="7" s="1"/>
  <c r="U3973" i="7"/>
  <c r="K294" i="13"/>
  <c r="J294" i="13"/>
  <c r="H294" i="13"/>
  <c r="K51" i="10"/>
  <c r="E2632" i="7"/>
  <c r="F2632" i="7" s="1"/>
  <c r="E2633" i="7"/>
  <c r="F2633" i="7" s="1"/>
  <c r="J2637" i="7"/>
  <c r="K2637" i="7" s="1"/>
  <c r="U2638" i="7"/>
  <c r="K53" i="10"/>
  <c r="K293" i="13"/>
  <c r="J293" i="13"/>
  <c r="H293" i="13"/>
  <c r="E3959" i="7"/>
  <c r="F3959" i="7" s="1"/>
  <c r="E3960" i="7"/>
  <c r="F3960" i="7" s="1"/>
  <c r="L22" i="5"/>
  <c r="J22" i="5" s="1"/>
  <c r="U3962" i="7"/>
  <c r="J292" i="13"/>
  <c r="H292" i="13"/>
  <c r="E3948" i="7"/>
  <c r="F3948" i="7" s="1"/>
  <c r="E3949" i="7"/>
  <c r="F3949" i="7" s="1"/>
  <c r="U3950" i="7"/>
  <c r="J291" i="13"/>
  <c r="H291" i="13"/>
  <c r="E3921" i="7"/>
  <c r="F3921" i="7" s="1"/>
  <c r="E3922" i="7"/>
  <c r="F3922" i="7" s="1"/>
  <c r="K41" i="10"/>
  <c r="K40" i="10"/>
  <c r="P3925" i="7"/>
  <c r="U3925" i="7"/>
  <c r="J290" i="13"/>
  <c r="H290" i="13"/>
  <c r="J289" i="13"/>
  <c r="H289" i="13"/>
  <c r="E3882" i="7"/>
  <c r="F3882" i="7" s="1"/>
  <c r="E3883" i="7"/>
  <c r="F3883" i="7" s="1"/>
  <c r="U3886" i="7"/>
  <c r="J288" i="13"/>
  <c r="H288" i="13"/>
  <c r="E3869" i="7"/>
  <c r="F3869" i="7" s="1"/>
  <c r="E3870" i="7"/>
  <c r="F3870" i="7" s="1"/>
  <c r="U3873" i="7"/>
  <c r="J287" i="13"/>
  <c r="H287" i="13"/>
  <c r="E3856" i="7"/>
  <c r="F3856" i="7" s="1"/>
  <c r="E3857" i="7"/>
  <c r="F3857" i="7" s="1"/>
  <c r="U3860" i="7"/>
  <c r="J286" i="13"/>
  <c r="H286" i="13"/>
  <c r="E3843" i="7"/>
  <c r="F3843" i="7" s="1"/>
  <c r="E3844" i="7"/>
  <c r="F3844" i="7" s="1"/>
  <c r="U3847" i="7"/>
  <c r="J285" i="13"/>
  <c r="H285" i="13"/>
  <c r="E3831" i="7"/>
  <c r="F3831" i="7" s="1"/>
  <c r="E3832" i="7"/>
  <c r="F3832" i="7" s="1"/>
  <c r="P3834" i="7"/>
  <c r="U3834" i="7"/>
  <c r="J284" i="13"/>
  <c r="H284" i="13"/>
  <c r="E3819" i="7"/>
  <c r="F3819" i="7" s="1"/>
  <c r="E3820" i="7"/>
  <c r="F3820" i="7" s="1"/>
  <c r="U3822" i="7"/>
  <c r="J283" i="13"/>
  <c r="H283" i="13"/>
  <c r="E3807" i="7"/>
  <c r="F3807" i="7" s="1"/>
  <c r="E3808" i="7"/>
  <c r="F3808" i="7" s="1"/>
  <c r="P3810" i="7"/>
  <c r="U3810" i="7"/>
  <c r="J282" i="13"/>
  <c r="H282" i="13"/>
  <c r="E3795" i="7"/>
  <c r="F3795" i="7" s="1"/>
  <c r="E3796" i="7"/>
  <c r="F3796" i="7" s="1"/>
  <c r="U3798" i="7"/>
  <c r="J281" i="13"/>
  <c r="H281" i="13"/>
  <c r="K15" i="10"/>
  <c r="K85" i="10"/>
  <c r="K36" i="10"/>
  <c r="K280" i="13"/>
  <c r="J280" i="13"/>
  <c r="H280" i="13"/>
  <c r="E3783" i="7"/>
  <c r="F3783" i="7" s="1"/>
  <c r="E3784" i="7"/>
  <c r="F3784" i="7" s="1"/>
  <c r="U3786" i="7"/>
  <c r="J279" i="13"/>
  <c r="H279" i="13"/>
  <c r="E3771" i="7"/>
  <c r="F3771" i="7" s="1"/>
  <c r="E3772" i="7"/>
  <c r="F3772" i="7" s="1"/>
  <c r="P3774" i="7"/>
  <c r="U3774" i="7"/>
  <c r="J278" i="13"/>
  <c r="H278" i="13"/>
  <c r="E3759" i="7"/>
  <c r="F3759" i="7" s="1"/>
  <c r="E3760" i="7"/>
  <c r="F3760" i="7" s="1"/>
  <c r="P3762" i="7"/>
  <c r="U3762" i="7"/>
  <c r="J277" i="13"/>
  <c r="H277" i="13"/>
  <c r="E3745" i="7"/>
  <c r="F3745" i="7" s="1"/>
  <c r="E3746" i="7"/>
  <c r="F3746" i="7" s="1"/>
  <c r="K30" i="10"/>
  <c r="U3750" i="7"/>
  <c r="J276" i="13"/>
  <c r="H276" i="13"/>
  <c r="E3731" i="7"/>
  <c r="F3731" i="7" s="1"/>
  <c r="E3732" i="7"/>
  <c r="F3732" i="7" s="1"/>
  <c r="P3736" i="7"/>
  <c r="U3736" i="7"/>
  <c r="J275" i="13"/>
  <c r="H275" i="13"/>
  <c r="E3717" i="7"/>
  <c r="F3717" i="7" s="1"/>
  <c r="E3718" i="7"/>
  <c r="F3718" i="7" s="1"/>
  <c r="U3722" i="7"/>
  <c r="J274" i="13"/>
  <c r="H274" i="13"/>
  <c r="E3703" i="7"/>
  <c r="F3703" i="7" s="1"/>
  <c r="E3704" i="7"/>
  <c r="F3704" i="7" s="1"/>
  <c r="P3708" i="7"/>
  <c r="U3708" i="7"/>
  <c r="J273" i="13"/>
  <c r="H273" i="13"/>
  <c r="E3689" i="7"/>
  <c r="F3689" i="7" s="1"/>
  <c r="E3690" i="7"/>
  <c r="F3690" i="7" s="1"/>
  <c r="U3694" i="7"/>
  <c r="J272" i="13"/>
  <c r="H272" i="13"/>
  <c r="E3675" i="7"/>
  <c r="F3675" i="7" s="1"/>
  <c r="E3676" i="7"/>
  <c r="F3676" i="7" s="1"/>
  <c r="P3680" i="7"/>
  <c r="U3680" i="7"/>
  <c r="J271" i="13"/>
  <c r="H271" i="13"/>
  <c r="E3661" i="7"/>
  <c r="F3661" i="7" s="1"/>
  <c r="E3662" i="7"/>
  <c r="F3662" i="7" s="1"/>
  <c r="U3666" i="7"/>
  <c r="J270" i="13"/>
  <c r="H270" i="13"/>
  <c r="E3647" i="7"/>
  <c r="F3647" i="7" s="1"/>
  <c r="E3648" i="7"/>
  <c r="F3648" i="7" s="1"/>
  <c r="P3652" i="7"/>
  <c r="U3652" i="7"/>
  <c r="J269" i="13"/>
  <c r="H269" i="13"/>
  <c r="E3634" i="7"/>
  <c r="F3634" i="7" s="1"/>
  <c r="E3635" i="7"/>
  <c r="F3635" i="7" s="1"/>
  <c r="U3638" i="7"/>
  <c r="J268" i="13"/>
  <c r="H268" i="13"/>
  <c r="E3621" i="7"/>
  <c r="F3621" i="7" s="1"/>
  <c r="E3622" i="7"/>
  <c r="F3622" i="7" s="1"/>
  <c r="P3625" i="7"/>
  <c r="U3625" i="7"/>
  <c r="J267" i="13"/>
  <c r="H267" i="13"/>
  <c r="E3608" i="7"/>
  <c r="F3608" i="7" s="1"/>
  <c r="E3609" i="7"/>
  <c r="F3609" i="7" s="1"/>
  <c r="U3612" i="7"/>
  <c r="J266" i="13"/>
  <c r="H266" i="13"/>
  <c r="E3595" i="7"/>
  <c r="F3595" i="7" s="1"/>
  <c r="E3596" i="7"/>
  <c r="F3596" i="7" s="1"/>
  <c r="P3599" i="7"/>
  <c r="U3599" i="7"/>
  <c r="J265" i="13"/>
  <c r="H265" i="13"/>
  <c r="E3582" i="7"/>
  <c r="F3582" i="7" s="1"/>
  <c r="E3583" i="7"/>
  <c r="F3583" i="7" s="1"/>
  <c r="U3586" i="7"/>
  <c r="J264" i="13"/>
  <c r="H264" i="13"/>
  <c r="E3569" i="7"/>
  <c r="F3569" i="7" s="1"/>
  <c r="E3570" i="7"/>
  <c r="F3570" i="7" s="1"/>
  <c r="P3573" i="7"/>
  <c r="U3573" i="7"/>
  <c r="J263" i="13"/>
  <c r="H263" i="13"/>
  <c r="E3556" i="7"/>
  <c r="F3556" i="7" s="1"/>
  <c r="E3557" i="7"/>
  <c r="F3557" i="7" s="1"/>
  <c r="P3560" i="7"/>
  <c r="U3560" i="7"/>
  <c r="J262" i="13"/>
  <c r="H262" i="13"/>
  <c r="E3543" i="7"/>
  <c r="F3543" i="7" s="1"/>
  <c r="E3544" i="7"/>
  <c r="F3544" i="7" s="1"/>
  <c r="P3547" i="7"/>
  <c r="U3547" i="7"/>
  <c r="J261" i="13"/>
  <c r="H261" i="13"/>
  <c r="E3532" i="7"/>
  <c r="F3532" i="7" s="1"/>
  <c r="E3533" i="7"/>
  <c r="F3533" i="7" s="1"/>
  <c r="K114" i="10"/>
  <c r="J3533" i="7"/>
  <c r="K3533" i="7" s="1"/>
  <c r="P3534" i="7"/>
  <c r="U3534" i="7"/>
  <c r="K260" i="13"/>
  <c r="J260" i="13"/>
  <c r="H260" i="13"/>
  <c r="P3523" i="7"/>
  <c r="J259" i="13"/>
  <c r="H259" i="13"/>
  <c r="E3500" i="7"/>
  <c r="F3500" i="7" s="1"/>
  <c r="E3501" i="7"/>
  <c r="F3501" i="7" s="1"/>
  <c r="L11" i="5"/>
  <c r="J11" i="5" s="1"/>
  <c r="J258" i="13"/>
  <c r="H258" i="13"/>
  <c r="E3484" i="7"/>
  <c r="F3484" i="7" s="1"/>
  <c r="E3485" i="7"/>
  <c r="F3485" i="7" s="1"/>
  <c r="P3491" i="7"/>
  <c r="J257" i="13"/>
  <c r="H257" i="13"/>
  <c r="E3468" i="7"/>
  <c r="F3468" i="7" s="1"/>
  <c r="E3469" i="7"/>
  <c r="F3469" i="7" s="1"/>
  <c r="J256" i="13"/>
  <c r="H256" i="13"/>
  <c r="E3457" i="7"/>
  <c r="F3457" i="7" s="1"/>
  <c r="E3458" i="7"/>
  <c r="F3458" i="7" s="1"/>
  <c r="K61" i="10"/>
  <c r="P3459" i="7"/>
  <c r="U3459" i="7"/>
  <c r="J255" i="13"/>
  <c r="H255" i="13"/>
  <c r="E3446" i="7"/>
  <c r="F3446" i="7" s="1"/>
  <c r="E3447" i="7"/>
  <c r="F3447" i="7" s="1"/>
  <c r="P3448" i="7"/>
  <c r="U3448" i="7"/>
  <c r="J254" i="13"/>
  <c r="H254" i="13"/>
  <c r="F3437" i="7"/>
  <c r="K68" i="10"/>
  <c r="P3437" i="7"/>
  <c r="U3437" i="7"/>
  <c r="J253" i="13"/>
  <c r="H253" i="13"/>
  <c r="F3427" i="7"/>
  <c r="P3427" i="7"/>
  <c r="U3427" i="7"/>
  <c r="J252" i="13"/>
  <c r="H252" i="13"/>
  <c r="F3417" i="7"/>
  <c r="K71" i="10"/>
  <c r="K3416" i="7"/>
  <c r="K3417" i="7" s="1"/>
  <c r="P3417" i="7"/>
  <c r="U3417" i="7"/>
  <c r="J251" i="13"/>
  <c r="H251" i="13"/>
  <c r="F3407" i="7"/>
  <c r="K70" i="10"/>
  <c r="P3407" i="7"/>
  <c r="U3407" i="7"/>
  <c r="J250" i="13"/>
  <c r="H250" i="13"/>
  <c r="J249" i="13"/>
  <c r="H249" i="13"/>
  <c r="F3397" i="7"/>
  <c r="K67" i="10"/>
  <c r="P3397" i="7"/>
  <c r="U3397" i="7"/>
  <c r="J248" i="13"/>
  <c r="H248" i="13"/>
  <c r="F3387" i="7"/>
  <c r="K69" i="10"/>
  <c r="P3387" i="7"/>
  <c r="U3387" i="7"/>
  <c r="J247" i="13"/>
  <c r="H247" i="13"/>
  <c r="E3373" i="7"/>
  <c r="F3373" i="7" s="1"/>
  <c r="E3374" i="7"/>
  <c r="F3374" i="7" s="1"/>
  <c r="K95" i="10"/>
  <c r="K130" i="10"/>
  <c r="P3377" i="7"/>
  <c r="U3377" i="7"/>
  <c r="J246" i="13"/>
  <c r="H246" i="13"/>
  <c r="E3360" i="7"/>
  <c r="F3360" i="7" s="1"/>
  <c r="E3361" i="7"/>
  <c r="F3361" i="7" s="1"/>
  <c r="P3364" i="7"/>
  <c r="U3364" i="7"/>
  <c r="J245" i="13"/>
  <c r="H245" i="13"/>
  <c r="E3347" i="7"/>
  <c r="F3347" i="7" s="1"/>
  <c r="E3348" i="7"/>
  <c r="F3348" i="7" s="1"/>
  <c r="P3351" i="7"/>
  <c r="U3351" i="7"/>
  <c r="J244" i="13"/>
  <c r="H244" i="13"/>
  <c r="E3334" i="7"/>
  <c r="F3334" i="7" s="1"/>
  <c r="E3335" i="7"/>
  <c r="F3335" i="7" s="1"/>
  <c r="P3338" i="7"/>
  <c r="U3338" i="7"/>
  <c r="J243" i="13"/>
  <c r="H243" i="13"/>
  <c r="E3321" i="7"/>
  <c r="F3321" i="7" s="1"/>
  <c r="E3322" i="7"/>
  <c r="F3322" i="7" s="1"/>
  <c r="P3325" i="7"/>
  <c r="U3325" i="7"/>
  <c r="J242" i="13"/>
  <c r="H242" i="13"/>
  <c r="E3308" i="7"/>
  <c r="F3308" i="7" s="1"/>
  <c r="E3309" i="7"/>
  <c r="F3309" i="7" s="1"/>
  <c r="P3312" i="7"/>
  <c r="U3312" i="7"/>
  <c r="J241" i="13"/>
  <c r="H241" i="13"/>
  <c r="E3294" i="7"/>
  <c r="F3294" i="7" s="1"/>
  <c r="E3295" i="7"/>
  <c r="F3295" i="7" s="1"/>
  <c r="P3298" i="7"/>
  <c r="U3298" i="7"/>
  <c r="J240" i="13"/>
  <c r="H240" i="13"/>
  <c r="E3281" i="7"/>
  <c r="F3281" i="7" s="1"/>
  <c r="E3282" i="7"/>
  <c r="F3282" i="7" s="1"/>
  <c r="P3285" i="7"/>
  <c r="U3285" i="7"/>
  <c r="J239" i="13"/>
  <c r="H239" i="13"/>
  <c r="E3268" i="7"/>
  <c r="F3268" i="7" s="1"/>
  <c r="E3269" i="7"/>
  <c r="F3269" i="7" s="1"/>
  <c r="P3272" i="7"/>
  <c r="U3272" i="7"/>
  <c r="J238" i="13"/>
  <c r="H238" i="13"/>
  <c r="E3255" i="7"/>
  <c r="F3255" i="7" s="1"/>
  <c r="E3256" i="7"/>
  <c r="F3256" i="7" s="1"/>
  <c r="P3259" i="7"/>
  <c r="U3259" i="7"/>
  <c r="J237" i="13"/>
  <c r="H237" i="13"/>
  <c r="E3242" i="7"/>
  <c r="F3242" i="7" s="1"/>
  <c r="E3243" i="7"/>
  <c r="F3243" i="7" s="1"/>
  <c r="P3246" i="7"/>
  <c r="U3246" i="7"/>
  <c r="J236" i="13"/>
  <c r="H236" i="13"/>
  <c r="E3229" i="7"/>
  <c r="F3229" i="7" s="1"/>
  <c r="E3230" i="7"/>
  <c r="F3230" i="7" s="1"/>
  <c r="P3233" i="7"/>
  <c r="U3233" i="7"/>
  <c r="J235" i="13"/>
  <c r="H235" i="13"/>
  <c r="E3216" i="7"/>
  <c r="F3216" i="7" s="1"/>
  <c r="E3217" i="7"/>
  <c r="F3217" i="7" s="1"/>
  <c r="P3220" i="7"/>
  <c r="U3220" i="7"/>
  <c r="J234" i="13"/>
  <c r="H234" i="13"/>
  <c r="J233" i="13"/>
  <c r="H233" i="13"/>
  <c r="J232" i="13"/>
  <c r="H232" i="13"/>
  <c r="J231" i="13"/>
  <c r="H231" i="13"/>
  <c r="J230" i="13"/>
  <c r="H230" i="13"/>
  <c r="E3098" i="7"/>
  <c r="F3098" i="7" s="1"/>
  <c r="E3099" i="7"/>
  <c r="F3099" i="7" s="1"/>
  <c r="P3102" i="7"/>
  <c r="U3102" i="7"/>
  <c r="J229" i="13"/>
  <c r="H229" i="13"/>
  <c r="E3085" i="7"/>
  <c r="F3085" i="7" s="1"/>
  <c r="E3086" i="7"/>
  <c r="F3086" i="7" s="1"/>
  <c r="P3089" i="7"/>
  <c r="U3089" i="7"/>
  <c r="J228" i="13"/>
  <c r="H228" i="13"/>
  <c r="E3072" i="7"/>
  <c r="F3072" i="7" s="1"/>
  <c r="E3073" i="7"/>
  <c r="F3073" i="7" s="1"/>
  <c r="P3076" i="7"/>
  <c r="U3076" i="7"/>
  <c r="J227" i="13"/>
  <c r="H227" i="13"/>
  <c r="E3059" i="7"/>
  <c r="F3059" i="7" s="1"/>
  <c r="E3060" i="7"/>
  <c r="F3060" i="7" s="1"/>
  <c r="P3063" i="7"/>
  <c r="U3063" i="7"/>
  <c r="J226" i="13"/>
  <c r="H226" i="13"/>
  <c r="E3041" i="7"/>
  <c r="F3041" i="7" s="1"/>
  <c r="E3042" i="7"/>
  <c r="F3042" i="7" s="1"/>
  <c r="E3043" i="7"/>
  <c r="F3043" i="7" s="1"/>
  <c r="E3044" i="7"/>
  <c r="F3044" i="7" s="1"/>
  <c r="E3046" i="7"/>
  <c r="F3046" i="7" s="1"/>
  <c r="E3047" i="7"/>
  <c r="F3047" i="7" s="1"/>
  <c r="E3048" i="7"/>
  <c r="F3048" i="7" s="1"/>
  <c r="E3049" i="7"/>
  <c r="F3049" i="7" s="1"/>
  <c r="K137" i="10"/>
  <c r="L12" i="5"/>
  <c r="J12" i="5" s="1"/>
  <c r="U3050" i="7"/>
  <c r="J225" i="13"/>
  <c r="H225" i="13"/>
  <c r="E3022" i="7"/>
  <c r="F3022" i="7" s="1"/>
  <c r="E3023" i="7"/>
  <c r="F3023" i="7" s="1"/>
  <c r="E3024" i="7"/>
  <c r="F3024" i="7" s="1"/>
  <c r="E3025" i="7"/>
  <c r="F3025" i="7" s="1"/>
  <c r="E3027" i="7"/>
  <c r="F3027" i="7" s="1"/>
  <c r="E3028" i="7"/>
  <c r="F3028" i="7" s="1"/>
  <c r="E3029" i="7"/>
  <c r="F3029" i="7" s="1"/>
  <c r="E3030" i="7"/>
  <c r="F3030" i="7" s="1"/>
  <c r="J224" i="13"/>
  <c r="H224" i="13"/>
  <c r="E3003" i="7"/>
  <c r="F3003" i="7" s="1"/>
  <c r="E3004" i="7"/>
  <c r="F3004" i="7" s="1"/>
  <c r="E3005" i="7"/>
  <c r="F3005" i="7" s="1"/>
  <c r="E3006" i="7"/>
  <c r="F3006" i="7" s="1"/>
  <c r="E3008" i="7"/>
  <c r="F3008" i="7" s="1"/>
  <c r="E3009" i="7"/>
  <c r="F3009" i="7" s="1"/>
  <c r="E3010" i="7"/>
  <c r="F3010" i="7" s="1"/>
  <c r="E3011" i="7"/>
  <c r="F3011" i="7" s="1"/>
  <c r="J223" i="13"/>
  <c r="H223" i="13"/>
  <c r="E2984" i="7"/>
  <c r="F2984" i="7" s="1"/>
  <c r="E2985" i="7"/>
  <c r="F2985" i="7" s="1"/>
  <c r="E2986" i="7"/>
  <c r="F2986" i="7" s="1"/>
  <c r="E2987" i="7"/>
  <c r="F2987" i="7" s="1"/>
  <c r="E2989" i="7"/>
  <c r="F2989" i="7" s="1"/>
  <c r="E2990" i="7"/>
  <c r="F2990" i="7" s="1"/>
  <c r="E2991" i="7"/>
  <c r="F2991" i="7" s="1"/>
  <c r="E2992" i="7"/>
  <c r="F2992" i="7" s="1"/>
  <c r="J222" i="13"/>
  <c r="H222" i="13"/>
  <c r="E2965" i="7"/>
  <c r="F2965" i="7" s="1"/>
  <c r="E2966" i="7"/>
  <c r="F2966" i="7" s="1"/>
  <c r="E2967" i="7"/>
  <c r="F2967" i="7" s="1"/>
  <c r="E2968" i="7"/>
  <c r="F2968" i="7" s="1"/>
  <c r="E2970" i="7"/>
  <c r="F2970" i="7" s="1"/>
  <c r="E2971" i="7"/>
  <c r="F2971" i="7" s="1"/>
  <c r="E2972" i="7"/>
  <c r="F2972" i="7" s="1"/>
  <c r="E2973" i="7"/>
  <c r="F2973" i="7" s="1"/>
  <c r="U2974" i="7"/>
  <c r="J221" i="13"/>
  <c r="H221" i="13"/>
  <c r="E2946" i="7"/>
  <c r="F2946" i="7" s="1"/>
  <c r="E2947" i="7"/>
  <c r="F2947" i="7" s="1"/>
  <c r="E2948" i="7"/>
  <c r="F2948" i="7" s="1"/>
  <c r="E2949" i="7"/>
  <c r="F2949" i="7" s="1"/>
  <c r="E2951" i="7"/>
  <c r="F2951" i="7" s="1"/>
  <c r="E2952" i="7"/>
  <c r="F2952" i="7" s="1"/>
  <c r="E2953" i="7"/>
  <c r="F2953" i="7" s="1"/>
  <c r="E2954" i="7"/>
  <c r="F2954" i="7" s="1"/>
  <c r="U2955" i="7"/>
  <c r="J220" i="13"/>
  <c r="H220" i="13"/>
  <c r="E2927" i="7"/>
  <c r="F2927" i="7" s="1"/>
  <c r="E2928" i="7"/>
  <c r="F2928" i="7" s="1"/>
  <c r="E2929" i="7"/>
  <c r="F2929" i="7" s="1"/>
  <c r="E2930" i="7"/>
  <c r="F2930" i="7" s="1"/>
  <c r="E2932" i="7"/>
  <c r="F2932" i="7" s="1"/>
  <c r="E2933" i="7"/>
  <c r="F2933" i="7" s="1"/>
  <c r="E2934" i="7"/>
  <c r="F2934" i="7" s="1"/>
  <c r="E2935" i="7"/>
  <c r="F2935" i="7" s="1"/>
  <c r="U2926" i="7"/>
  <c r="U2936" i="7" s="1"/>
  <c r="J219" i="13"/>
  <c r="H219" i="13"/>
  <c r="E2908" i="7"/>
  <c r="F2908" i="7" s="1"/>
  <c r="E2909" i="7"/>
  <c r="F2909" i="7" s="1"/>
  <c r="E2910" i="7"/>
  <c r="F2910" i="7" s="1"/>
  <c r="E2911" i="7"/>
  <c r="F2911" i="7" s="1"/>
  <c r="E2913" i="7"/>
  <c r="F2913" i="7" s="1"/>
  <c r="E2914" i="7"/>
  <c r="F2914" i="7" s="1"/>
  <c r="E2915" i="7"/>
  <c r="F2915" i="7" s="1"/>
  <c r="E2916" i="7"/>
  <c r="F2916" i="7" s="1"/>
  <c r="U2907" i="7"/>
  <c r="U2908" i="7"/>
  <c r="J218" i="13"/>
  <c r="H218" i="13"/>
  <c r="E2889" i="7"/>
  <c r="F2889" i="7" s="1"/>
  <c r="E2890" i="7"/>
  <c r="F2890" i="7" s="1"/>
  <c r="E2891" i="7"/>
  <c r="F2891" i="7" s="1"/>
  <c r="E2892" i="7"/>
  <c r="F2892" i="7" s="1"/>
  <c r="E2894" i="7"/>
  <c r="F2894" i="7" s="1"/>
  <c r="E2895" i="7"/>
  <c r="F2895" i="7" s="1"/>
  <c r="E2896" i="7"/>
  <c r="F2896" i="7" s="1"/>
  <c r="E2897" i="7"/>
  <c r="F2897" i="7" s="1"/>
  <c r="U2898" i="7"/>
  <c r="J217" i="13"/>
  <c r="H217" i="13"/>
  <c r="E2870" i="7"/>
  <c r="F2870" i="7" s="1"/>
  <c r="E2871" i="7"/>
  <c r="F2871" i="7" s="1"/>
  <c r="E2872" i="7"/>
  <c r="F2872" i="7" s="1"/>
  <c r="E2873" i="7"/>
  <c r="F2873" i="7" s="1"/>
  <c r="E2875" i="7"/>
  <c r="F2875" i="7" s="1"/>
  <c r="E2876" i="7"/>
  <c r="F2876" i="7" s="1"/>
  <c r="E2877" i="7"/>
  <c r="F2877" i="7" s="1"/>
  <c r="E2878" i="7"/>
  <c r="F2878" i="7" s="1"/>
  <c r="U2879" i="7"/>
  <c r="J216" i="13"/>
  <c r="H216" i="13"/>
  <c r="F2860" i="7"/>
  <c r="P2860" i="7"/>
  <c r="U2860" i="7"/>
  <c r="J215" i="13"/>
  <c r="H215" i="13"/>
  <c r="E2842" i="7"/>
  <c r="F2842" i="7" s="1"/>
  <c r="E2843" i="7"/>
  <c r="F2843" i="7" s="1"/>
  <c r="U2848" i="7"/>
  <c r="J214" i="13"/>
  <c r="H214" i="13"/>
  <c r="E2827" i="7"/>
  <c r="F2827" i="7" s="1"/>
  <c r="E2828" i="7"/>
  <c r="F2828" i="7" s="1"/>
  <c r="U2833" i="7"/>
  <c r="J213" i="13"/>
  <c r="H213" i="13"/>
  <c r="E2812" i="7"/>
  <c r="F2812" i="7" s="1"/>
  <c r="E2813" i="7"/>
  <c r="F2813" i="7" s="1"/>
  <c r="J212" i="13"/>
  <c r="H212" i="13"/>
  <c r="E2797" i="7"/>
  <c r="F2797" i="7" s="1"/>
  <c r="E2798" i="7"/>
  <c r="F2798" i="7" s="1"/>
  <c r="J211" i="13"/>
  <c r="H211" i="13"/>
  <c r="E2782" i="7"/>
  <c r="F2782" i="7" s="1"/>
  <c r="E2783" i="7"/>
  <c r="F2783" i="7" s="1"/>
  <c r="J210" i="13"/>
  <c r="H210" i="13"/>
  <c r="E2767" i="7"/>
  <c r="F2767" i="7" s="1"/>
  <c r="E2768" i="7"/>
  <c r="F2768" i="7" s="1"/>
  <c r="J2769" i="7"/>
  <c r="K2769" i="7" s="1"/>
  <c r="J209" i="13"/>
  <c r="H209" i="13"/>
  <c r="E2752" i="7"/>
  <c r="F2752" i="7" s="1"/>
  <c r="E2753" i="7"/>
  <c r="F2753" i="7" s="1"/>
  <c r="J208" i="13"/>
  <c r="H208" i="13"/>
  <c r="E2737" i="7"/>
  <c r="F2737" i="7" s="1"/>
  <c r="E2738" i="7"/>
  <c r="F2738" i="7" s="1"/>
  <c r="U2743" i="7"/>
  <c r="J207" i="13"/>
  <c r="H207" i="13"/>
  <c r="E2722" i="7"/>
  <c r="F2722" i="7" s="1"/>
  <c r="E2723" i="7"/>
  <c r="F2723" i="7" s="1"/>
  <c r="J2724" i="7"/>
  <c r="K2724" i="7" s="1"/>
  <c r="J206" i="13"/>
  <c r="H206" i="13"/>
  <c r="E2707" i="7"/>
  <c r="F2707" i="7" s="1"/>
  <c r="E2708" i="7"/>
  <c r="F2708" i="7" s="1"/>
  <c r="J205" i="13"/>
  <c r="H205" i="13"/>
  <c r="E2692" i="7"/>
  <c r="F2692" i="7" s="1"/>
  <c r="E2693" i="7"/>
  <c r="F2693" i="7" s="1"/>
  <c r="J204" i="13"/>
  <c r="H204" i="13"/>
  <c r="E2677" i="7"/>
  <c r="F2677" i="7" s="1"/>
  <c r="E2678" i="7"/>
  <c r="F2678" i="7" s="1"/>
  <c r="J203" i="13"/>
  <c r="H203" i="13"/>
  <c r="E2662" i="7"/>
  <c r="F2662" i="7" s="1"/>
  <c r="E2663" i="7"/>
  <c r="F2663" i="7" s="1"/>
  <c r="J202" i="13"/>
  <c r="H202" i="13"/>
  <c r="E2647" i="7"/>
  <c r="F2647" i="7" s="1"/>
  <c r="E2648" i="7"/>
  <c r="F2648" i="7" s="1"/>
  <c r="J201" i="13"/>
  <c r="H201" i="13"/>
  <c r="J200" i="13"/>
  <c r="H200" i="13"/>
  <c r="E2617" i="7"/>
  <c r="F2617" i="7" s="1"/>
  <c r="E2618" i="7"/>
  <c r="F2618" i="7" s="1"/>
  <c r="J199" i="13"/>
  <c r="H199" i="13"/>
  <c r="E2602" i="7"/>
  <c r="F2602" i="7" s="1"/>
  <c r="E2603" i="7"/>
  <c r="F2603" i="7" s="1"/>
  <c r="J198" i="13"/>
  <c r="H198" i="13"/>
  <c r="E2587" i="7"/>
  <c r="F2587" i="7" s="1"/>
  <c r="E2588" i="7"/>
  <c r="F2588" i="7" s="1"/>
  <c r="J197" i="13"/>
  <c r="H197" i="13"/>
  <c r="E2572" i="7"/>
  <c r="F2572" i="7" s="1"/>
  <c r="E2573" i="7"/>
  <c r="F2573" i="7" s="1"/>
  <c r="J196" i="13"/>
  <c r="H196" i="13"/>
  <c r="E2557" i="7"/>
  <c r="F2557" i="7" s="1"/>
  <c r="E2558" i="7"/>
  <c r="F2558" i="7" s="1"/>
  <c r="J195" i="13"/>
  <c r="H195" i="13"/>
  <c r="E2542" i="7"/>
  <c r="F2542" i="7" s="1"/>
  <c r="E2543" i="7"/>
  <c r="F2543" i="7" s="1"/>
  <c r="J194" i="13"/>
  <c r="H194" i="13"/>
  <c r="E2527" i="7"/>
  <c r="F2527" i="7" s="1"/>
  <c r="E2528" i="7"/>
  <c r="F2528" i="7" s="1"/>
  <c r="J2529" i="7"/>
  <c r="K2529" i="7" s="1"/>
  <c r="U2533" i="7"/>
  <c r="J193" i="13"/>
  <c r="H193" i="13"/>
  <c r="E2513" i="7"/>
  <c r="F2513" i="7" s="1"/>
  <c r="E2514" i="7"/>
  <c r="F2514" i="7" s="1"/>
  <c r="J192" i="13"/>
  <c r="H192" i="13"/>
  <c r="E2499" i="7"/>
  <c r="F2499" i="7" s="1"/>
  <c r="E2500" i="7"/>
  <c r="F2500" i="7" s="1"/>
  <c r="J191" i="13"/>
  <c r="H191" i="13"/>
  <c r="E2485" i="7"/>
  <c r="F2485" i="7" s="1"/>
  <c r="E2486" i="7"/>
  <c r="F2486" i="7" s="1"/>
  <c r="J190" i="13"/>
  <c r="H190" i="13"/>
  <c r="E2471" i="7"/>
  <c r="F2471" i="7" s="1"/>
  <c r="E2472" i="7"/>
  <c r="F2472" i="7" s="1"/>
  <c r="J189" i="13"/>
  <c r="H189" i="13"/>
  <c r="E2457" i="7"/>
  <c r="F2457" i="7" s="1"/>
  <c r="E2458" i="7"/>
  <c r="F2458" i="7" s="1"/>
  <c r="J188" i="13"/>
  <c r="H188" i="13"/>
  <c r="E2443" i="7"/>
  <c r="F2443" i="7" s="1"/>
  <c r="E2444" i="7"/>
  <c r="F2444" i="7" s="1"/>
  <c r="K64" i="10"/>
  <c r="P2448" i="7"/>
  <c r="U2448" i="7"/>
  <c r="K187" i="13"/>
  <c r="J187" i="13"/>
  <c r="H187" i="13"/>
  <c r="E2429" i="7"/>
  <c r="F2429" i="7" s="1"/>
  <c r="E2430" i="7"/>
  <c r="F2430" i="7" s="1"/>
  <c r="J186" i="13"/>
  <c r="H186" i="13"/>
  <c r="E2415" i="7"/>
  <c r="F2415" i="7" s="1"/>
  <c r="E2416" i="7"/>
  <c r="F2416" i="7" s="1"/>
  <c r="U2420" i="7"/>
  <c r="J185" i="13"/>
  <c r="H185" i="13"/>
  <c r="E2390" i="7"/>
  <c r="F2390" i="7" s="1"/>
  <c r="E2391" i="7"/>
  <c r="F2391" i="7" s="1"/>
  <c r="J2392" i="7"/>
  <c r="K2392" i="7" s="1"/>
  <c r="U2390" i="7"/>
  <c r="J184" i="13"/>
  <c r="H184" i="13"/>
  <c r="E2375" i="7"/>
  <c r="F2375" i="7" s="1"/>
  <c r="E2376" i="7"/>
  <c r="F2376" i="7" s="1"/>
  <c r="U2375" i="7"/>
  <c r="J183" i="13"/>
  <c r="H183" i="13"/>
  <c r="E2360" i="7"/>
  <c r="F2360" i="7" s="1"/>
  <c r="E2361" i="7"/>
  <c r="F2361" i="7" s="1"/>
  <c r="J2362" i="7"/>
  <c r="K2362" i="7" s="1"/>
  <c r="U2360" i="7"/>
  <c r="J182" i="13"/>
  <c r="H182" i="13"/>
  <c r="E2345" i="7"/>
  <c r="F2345" i="7" s="1"/>
  <c r="E2346" i="7"/>
  <c r="F2346" i="7" s="1"/>
  <c r="J2347" i="7"/>
  <c r="K2347" i="7" s="1"/>
  <c r="U2345" i="7"/>
  <c r="J181" i="13"/>
  <c r="H181" i="13"/>
  <c r="E2330" i="7"/>
  <c r="F2330" i="7" s="1"/>
  <c r="E2331" i="7"/>
  <c r="F2331" i="7" s="1"/>
  <c r="U2330" i="7"/>
  <c r="J180" i="13"/>
  <c r="H180" i="13"/>
  <c r="E2315" i="7"/>
  <c r="F2315" i="7" s="1"/>
  <c r="E2316" i="7"/>
  <c r="F2316" i="7" s="1"/>
  <c r="U2315" i="7"/>
  <c r="J179" i="13"/>
  <c r="H179" i="13"/>
  <c r="E2300" i="7"/>
  <c r="F2300" i="7" s="1"/>
  <c r="E2301" i="7"/>
  <c r="F2301" i="7" s="1"/>
  <c r="J2302" i="7"/>
  <c r="K2302" i="7" s="1"/>
  <c r="U2300" i="7"/>
  <c r="J178" i="13"/>
  <c r="H178" i="13"/>
  <c r="E2285" i="7"/>
  <c r="F2285" i="7" s="1"/>
  <c r="E2286" i="7"/>
  <c r="F2286" i="7" s="1"/>
  <c r="U2285" i="7"/>
  <c r="J177" i="13"/>
  <c r="H177" i="13"/>
  <c r="E2271" i="7"/>
  <c r="F2271" i="7" s="1"/>
  <c r="E2272" i="7"/>
  <c r="F2272" i="7" s="1"/>
  <c r="U2271" i="7"/>
  <c r="J176" i="13"/>
  <c r="H176" i="13"/>
  <c r="E2257" i="7"/>
  <c r="F2257" i="7" s="1"/>
  <c r="E2258" i="7"/>
  <c r="F2258" i="7" s="1"/>
  <c r="U2257" i="7"/>
  <c r="J175" i="13"/>
  <c r="H175" i="13"/>
  <c r="E2243" i="7"/>
  <c r="F2243" i="7" s="1"/>
  <c r="E2244" i="7"/>
  <c r="F2244" i="7" s="1"/>
  <c r="U2243" i="7"/>
  <c r="J174" i="13"/>
  <c r="H174" i="13"/>
  <c r="E2227" i="7"/>
  <c r="F2227" i="7" s="1"/>
  <c r="E2228" i="7"/>
  <c r="F2228" i="7" s="1"/>
  <c r="J2230" i="7"/>
  <c r="K2230" i="7" s="1"/>
  <c r="J2233" i="7"/>
  <c r="K2233" i="7" s="1"/>
  <c r="U2227" i="7"/>
  <c r="J173" i="13"/>
  <c r="H173" i="13"/>
  <c r="E2211" i="7"/>
  <c r="F2211" i="7" s="1"/>
  <c r="E2212" i="7"/>
  <c r="F2212" i="7" s="1"/>
  <c r="J2214" i="7"/>
  <c r="K2214" i="7" s="1"/>
  <c r="J2217" i="7"/>
  <c r="K2217" i="7" s="1"/>
  <c r="U2211" i="7"/>
  <c r="J172" i="13"/>
  <c r="H172" i="13"/>
  <c r="E2195" i="7"/>
  <c r="F2195" i="7" s="1"/>
  <c r="E2196" i="7"/>
  <c r="F2196" i="7" s="1"/>
  <c r="J2198" i="7"/>
  <c r="K2198" i="7" s="1"/>
  <c r="J2201" i="7"/>
  <c r="K2201" i="7" s="1"/>
  <c r="U2195" i="7"/>
  <c r="J171" i="13"/>
  <c r="H171" i="13"/>
  <c r="E2179" i="7"/>
  <c r="F2179" i="7" s="1"/>
  <c r="E2180" i="7"/>
  <c r="F2180" i="7" s="1"/>
  <c r="J2182" i="7"/>
  <c r="K2182" i="7" s="1"/>
  <c r="J2185" i="7"/>
  <c r="K2185" i="7" s="1"/>
  <c r="U2179" i="7"/>
  <c r="J170" i="13"/>
  <c r="H170" i="13"/>
  <c r="E2163" i="7"/>
  <c r="F2163" i="7" s="1"/>
  <c r="E2164" i="7"/>
  <c r="F2164" i="7" s="1"/>
  <c r="U2163" i="7"/>
  <c r="J169" i="13"/>
  <c r="H169" i="13"/>
  <c r="E2147" i="7"/>
  <c r="F2147" i="7" s="1"/>
  <c r="E2148" i="7"/>
  <c r="F2148" i="7" s="1"/>
  <c r="J2150" i="7"/>
  <c r="K2150" i="7" s="1"/>
  <c r="U2147" i="7"/>
  <c r="J168" i="13"/>
  <c r="H168" i="13"/>
  <c r="E2132" i="7"/>
  <c r="F2132" i="7" s="1"/>
  <c r="E2133" i="7"/>
  <c r="F2133" i="7" s="1"/>
  <c r="U2132" i="7"/>
  <c r="U2134" i="7"/>
  <c r="J167" i="13"/>
  <c r="H167" i="13"/>
  <c r="E2116" i="7"/>
  <c r="F2116" i="7" s="1"/>
  <c r="E2117" i="7"/>
  <c r="F2117" i="7" s="1"/>
  <c r="J166" i="13"/>
  <c r="H166" i="13"/>
  <c r="E2101" i="7"/>
  <c r="F2101" i="7" s="1"/>
  <c r="E2102" i="7"/>
  <c r="F2102" i="7" s="1"/>
  <c r="J165" i="13"/>
  <c r="H165" i="13"/>
  <c r="J164" i="13"/>
  <c r="H164" i="13"/>
  <c r="E2071" i="7"/>
  <c r="F2071" i="7" s="1"/>
  <c r="E2072" i="7"/>
  <c r="F2072" i="7" s="1"/>
  <c r="J2073" i="7"/>
  <c r="K2073" i="7" s="1"/>
  <c r="J163" i="13"/>
  <c r="H163" i="13"/>
  <c r="E2055" i="7"/>
  <c r="F2055" i="7" s="1"/>
  <c r="E2056" i="7"/>
  <c r="F2056" i="7" s="1"/>
  <c r="J162" i="13"/>
  <c r="H162" i="13"/>
  <c r="J161" i="13"/>
  <c r="H161" i="13"/>
  <c r="E2026" i="7"/>
  <c r="F2026" i="7" s="1"/>
  <c r="E2027" i="7"/>
  <c r="F2027" i="7" s="1"/>
  <c r="J160" i="13"/>
  <c r="H160" i="13"/>
  <c r="E2011" i="7"/>
  <c r="F2011" i="7" s="1"/>
  <c r="E2012" i="7"/>
  <c r="F2012" i="7" s="1"/>
  <c r="P2017" i="7"/>
  <c r="J159" i="13"/>
  <c r="H159" i="13"/>
  <c r="J158" i="13"/>
  <c r="H158" i="13"/>
  <c r="E1983" i="7"/>
  <c r="F1983" i="7" s="1"/>
  <c r="E1984" i="7"/>
  <c r="F1984" i="7" s="1"/>
  <c r="P1987" i="7"/>
  <c r="U1987" i="7"/>
  <c r="J157" i="13"/>
  <c r="H157" i="13"/>
  <c r="E1970" i="7"/>
  <c r="F1970" i="7" s="1"/>
  <c r="E1971" i="7"/>
  <c r="F1971" i="7" s="1"/>
  <c r="U1974" i="7"/>
  <c r="J156" i="13"/>
  <c r="H156" i="13"/>
  <c r="E1957" i="7"/>
  <c r="F1957" i="7" s="1"/>
  <c r="E1958" i="7"/>
  <c r="F1958" i="7" s="1"/>
  <c r="K58" i="10"/>
  <c r="K123" i="10"/>
  <c r="P1961" i="7"/>
  <c r="U1961" i="7"/>
  <c r="K155" i="13"/>
  <c r="J155" i="13"/>
  <c r="H155" i="13"/>
  <c r="E1946" i="7"/>
  <c r="F1946" i="7" s="1"/>
  <c r="E1947" i="7"/>
  <c r="F1947" i="7" s="1"/>
  <c r="K142" i="10"/>
  <c r="P1948" i="7"/>
  <c r="U1948" i="7"/>
  <c r="J154" i="13"/>
  <c r="H154" i="13"/>
  <c r="E1935" i="7"/>
  <c r="F1935" i="7" s="1"/>
  <c r="E1936" i="7"/>
  <c r="F1936" i="7" s="1"/>
  <c r="K1935" i="7"/>
  <c r="K1936" i="7" s="1"/>
  <c r="P1937" i="7"/>
  <c r="U1937" i="7"/>
  <c r="J153" i="13"/>
  <c r="H153" i="13"/>
  <c r="E1924" i="7"/>
  <c r="F1924" i="7" s="1"/>
  <c r="E1925" i="7"/>
  <c r="F1925" i="7" s="1"/>
  <c r="K48" i="10"/>
  <c r="P1926" i="7"/>
  <c r="U1926" i="7"/>
  <c r="J152" i="13"/>
  <c r="H152" i="13"/>
  <c r="E1912" i="7"/>
  <c r="F1912" i="7" s="1"/>
  <c r="E1913" i="7"/>
  <c r="F1913" i="7" s="1"/>
  <c r="I1912" i="7"/>
  <c r="K83" i="10"/>
  <c r="I1913" i="7"/>
  <c r="K35" i="10"/>
  <c r="P1915" i="7"/>
  <c r="U1915" i="7"/>
  <c r="J151" i="13"/>
  <c r="H151" i="13"/>
  <c r="E1900" i="7"/>
  <c r="F1900" i="7" s="1"/>
  <c r="E1901" i="7"/>
  <c r="F1901" i="7" s="1"/>
  <c r="I1900" i="7"/>
  <c r="I1901" i="7"/>
  <c r="P1903" i="7"/>
  <c r="U1903" i="7"/>
  <c r="J150" i="13"/>
  <c r="H150" i="13"/>
  <c r="E1889" i="7"/>
  <c r="F1889" i="7" s="1"/>
  <c r="E1890" i="7"/>
  <c r="F1890" i="7" s="1"/>
  <c r="I1889" i="7"/>
  <c r="K145" i="10"/>
  <c r="L110" i="4"/>
  <c r="J1799" i="7" s="1"/>
  <c r="K109" i="10"/>
  <c r="P1891" i="7"/>
  <c r="U1891" i="7"/>
  <c r="J149" i="13"/>
  <c r="H149" i="13"/>
  <c r="E1878" i="7"/>
  <c r="F1878" i="7" s="1"/>
  <c r="E1879" i="7"/>
  <c r="F1879" i="7" s="1"/>
  <c r="I1878" i="7"/>
  <c r="P1880" i="7"/>
  <c r="U1880" i="7"/>
  <c r="J148" i="13"/>
  <c r="H148" i="13"/>
  <c r="E1867" i="7"/>
  <c r="F1867" i="7" s="1"/>
  <c r="E1868" i="7"/>
  <c r="F1868" i="7" s="1"/>
  <c r="I1867" i="7"/>
  <c r="P1869" i="7"/>
  <c r="U1869" i="7"/>
  <c r="J147" i="13"/>
  <c r="H147" i="13"/>
  <c r="F1858" i="7"/>
  <c r="K1858" i="7"/>
  <c r="P1858" i="7"/>
  <c r="U1858" i="7"/>
  <c r="K146" i="13"/>
  <c r="J146" i="13"/>
  <c r="H146" i="13"/>
  <c r="E1845" i="7"/>
  <c r="F1845" i="7" s="1"/>
  <c r="E1846" i="7"/>
  <c r="F1846" i="7" s="1"/>
  <c r="I1845" i="7"/>
  <c r="I1846" i="7"/>
  <c r="P1848" i="7"/>
  <c r="U1848" i="7"/>
  <c r="J145" i="13"/>
  <c r="H145" i="13"/>
  <c r="E1833" i="7"/>
  <c r="F1833" i="7" s="1"/>
  <c r="E1834" i="7"/>
  <c r="F1834" i="7" s="1"/>
  <c r="I1833" i="7"/>
  <c r="I1834" i="7"/>
  <c r="P1836" i="7"/>
  <c r="U1836" i="7"/>
  <c r="J144" i="13"/>
  <c r="H144" i="13"/>
  <c r="E1821" i="7"/>
  <c r="F1821" i="7" s="1"/>
  <c r="E1822" i="7"/>
  <c r="F1822" i="7" s="1"/>
  <c r="I1821" i="7"/>
  <c r="I1822" i="7"/>
  <c r="P1824" i="7"/>
  <c r="U1824" i="7"/>
  <c r="J143" i="13"/>
  <c r="H143" i="13"/>
  <c r="J142" i="13"/>
  <c r="H142" i="13"/>
  <c r="E1810" i="7"/>
  <c r="F1810" i="7" s="1"/>
  <c r="E1811" i="7"/>
  <c r="F1811" i="7" s="1"/>
  <c r="I1810" i="7"/>
  <c r="P1812" i="7"/>
  <c r="U1812" i="7"/>
  <c r="J141" i="13"/>
  <c r="H141" i="13"/>
  <c r="E1799" i="7"/>
  <c r="F1799" i="7" s="1"/>
  <c r="E1800" i="7"/>
  <c r="F1800" i="7" s="1"/>
  <c r="I1799" i="7"/>
  <c r="P1801" i="7"/>
  <c r="U1801" i="7"/>
  <c r="J140" i="13"/>
  <c r="H140" i="13"/>
  <c r="E1788" i="7"/>
  <c r="F1788" i="7" s="1"/>
  <c r="E1789" i="7"/>
  <c r="F1789" i="7" s="1"/>
  <c r="I1788" i="7"/>
  <c r="P1790" i="7"/>
  <c r="U1790" i="7"/>
  <c r="J139" i="13"/>
  <c r="H139" i="13"/>
  <c r="E1776" i="7"/>
  <c r="F1776" i="7" s="1"/>
  <c r="E1777" i="7"/>
  <c r="F1777" i="7" s="1"/>
  <c r="I1777" i="7"/>
  <c r="I1778" i="7"/>
  <c r="P1779" i="7"/>
  <c r="U1779" i="7"/>
  <c r="J138" i="13"/>
  <c r="H138" i="13"/>
  <c r="E1763" i="7"/>
  <c r="F1763" i="7" s="1"/>
  <c r="E1764" i="7"/>
  <c r="F1764" i="7" s="1"/>
  <c r="I1764" i="7"/>
  <c r="K117" i="10"/>
  <c r="K126" i="10"/>
  <c r="P1767" i="7"/>
  <c r="U1767" i="7"/>
  <c r="J137" i="13"/>
  <c r="H137" i="13"/>
  <c r="E1752" i="7"/>
  <c r="F1752" i="7" s="1"/>
  <c r="E1753" i="7"/>
  <c r="F1753" i="7" s="1"/>
  <c r="I1752" i="7"/>
  <c r="K116" i="10"/>
  <c r="P1754" i="7"/>
  <c r="U1754" i="7"/>
  <c r="J136" i="13"/>
  <c r="H136" i="13"/>
  <c r="F1743" i="7"/>
  <c r="K1743" i="7"/>
  <c r="P1743" i="7"/>
  <c r="U1743" i="7"/>
  <c r="K135" i="13"/>
  <c r="J135" i="13"/>
  <c r="H135" i="13"/>
  <c r="E1730" i="7"/>
  <c r="F1730" i="7" s="1"/>
  <c r="E1731" i="7"/>
  <c r="F1731" i="7" s="1"/>
  <c r="I1730" i="7"/>
  <c r="K118" i="10"/>
  <c r="K139" i="10"/>
  <c r="P1733" i="7"/>
  <c r="U1733" i="7"/>
  <c r="J134" i="13"/>
  <c r="H134" i="13"/>
  <c r="E1718" i="7"/>
  <c r="F1718" i="7" s="1"/>
  <c r="E1719" i="7"/>
  <c r="F1719" i="7" s="1"/>
  <c r="I1718" i="7"/>
  <c r="P1721" i="7"/>
  <c r="U1721" i="7"/>
  <c r="J133" i="13"/>
  <c r="H133" i="13"/>
  <c r="E1706" i="7"/>
  <c r="F1706" i="7" s="1"/>
  <c r="E1707" i="7"/>
  <c r="F1707" i="7" s="1"/>
  <c r="I1706" i="7"/>
  <c r="P1709" i="7"/>
  <c r="U1709" i="7"/>
  <c r="J132" i="13"/>
  <c r="H132" i="13"/>
  <c r="E1693" i="7"/>
  <c r="F1693" i="7" s="1"/>
  <c r="E1694" i="7"/>
  <c r="F1694" i="7" s="1"/>
  <c r="I1693" i="7"/>
  <c r="I1694" i="7"/>
  <c r="I1695" i="7"/>
  <c r="I1696" i="7"/>
  <c r="P1697" i="7"/>
  <c r="U1697" i="7"/>
  <c r="J131" i="13"/>
  <c r="H131" i="13"/>
  <c r="E1680" i="7"/>
  <c r="F1680" i="7" s="1"/>
  <c r="E1681" i="7"/>
  <c r="F1681" i="7" s="1"/>
  <c r="I1680" i="7"/>
  <c r="I1681" i="7"/>
  <c r="P1684" i="7"/>
  <c r="U1684" i="7"/>
  <c r="J130" i="13"/>
  <c r="H130" i="13"/>
  <c r="E1669" i="7"/>
  <c r="F1669" i="7" s="1"/>
  <c r="E1670" i="7"/>
  <c r="F1670" i="7" s="1"/>
  <c r="L35" i="5"/>
  <c r="J35" i="5" s="1"/>
  <c r="O1633" i="7" s="1"/>
  <c r="P1633" i="7" s="1"/>
  <c r="U1671" i="7"/>
  <c r="J129" i="13"/>
  <c r="H129" i="13"/>
  <c r="E1657" i="7"/>
  <c r="F1657" i="7" s="1"/>
  <c r="E1658" i="7"/>
  <c r="F1658" i="7" s="1"/>
  <c r="K23" i="10"/>
  <c r="L6" i="5"/>
  <c r="J6" i="5" s="1"/>
  <c r="O1647" i="7" s="1"/>
  <c r="P1647" i="7" s="1"/>
  <c r="U1660" i="7"/>
  <c r="J128" i="13"/>
  <c r="H128" i="13"/>
  <c r="E1645" i="7"/>
  <c r="F1645" i="7" s="1"/>
  <c r="E1646" i="7"/>
  <c r="F1646" i="7" s="1"/>
  <c r="U1648" i="7"/>
  <c r="J127" i="13"/>
  <c r="H127" i="13"/>
  <c r="E1633" i="7"/>
  <c r="F1633" i="7" s="1"/>
  <c r="E1634" i="7"/>
  <c r="F1634" i="7" s="1"/>
  <c r="U1636" i="7"/>
  <c r="J126" i="13"/>
  <c r="H126" i="13"/>
  <c r="E1621" i="7"/>
  <c r="F1621" i="7" s="1"/>
  <c r="E1622" i="7"/>
  <c r="F1622" i="7" s="1"/>
  <c r="U1624" i="7"/>
  <c r="J125" i="13"/>
  <c r="H125" i="13"/>
  <c r="E1609" i="7"/>
  <c r="F1609" i="7" s="1"/>
  <c r="E1610" i="7"/>
  <c r="F1610" i="7" s="1"/>
  <c r="U1612" i="7"/>
  <c r="J124" i="13"/>
  <c r="H124" i="13"/>
  <c r="E1597" i="7"/>
  <c r="F1597" i="7" s="1"/>
  <c r="E1598" i="7"/>
  <c r="F1598" i="7" s="1"/>
  <c r="U1600" i="7"/>
  <c r="J123" i="13"/>
  <c r="H123" i="13"/>
  <c r="E1585" i="7"/>
  <c r="F1585" i="7" s="1"/>
  <c r="E1586" i="7"/>
  <c r="F1586" i="7" s="1"/>
  <c r="U1588" i="7"/>
  <c r="J122" i="13"/>
  <c r="H122" i="13"/>
  <c r="E1573" i="7"/>
  <c r="F1573" i="7" s="1"/>
  <c r="E1574" i="7"/>
  <c r="F1574" i="7" s="1"/>
  <c r="U1576" i="7"/>
  <c r="J121" i="13"/>
  <c r="H121" i="13"/>
  <c r="E1561" i="7"/>
  <c r="F1561" i="7" s="1"/>
  <c r="E1562" i="7"/>
  <c r="F1562" i="7" s="1"/>
  <c r="U1564" i="7"/>
  <c r="J120" i="13"/>
  <c r="H120" i="13"/>
  <c r="E1549" i="7"/>
  <c r="F1549" i="7" s="1"/>
  <c r="E1550" i="7"/>
  <c r="F1550" i="7" s="1"/>
  <c r="U1552" i="7"/>
  <c r="J119" i="13"/>
  <c r="H119" i="13"/>
  <c r="E1538" i="7"/>
  <c r="F1538" i="7" s="1"/>
  <c r="E1539" i="7"/>
  <c r="F1539" i="7" s="1"/>
  <c r="P1540" i="7"/>
  <c r="U1540" i="7"/>
  <c r="J118" i="13"/>
  <c r="H118" i="13"/>
  <c r="E1527" i="7"/>
  <c r="F1527" i="7" s="1"/>
  <c r="E1528" i="7"/>
  <c r="F1528" i="7" s="1"/>
  <c r="K1527" i="7"/>
  <c r="K1529" i="7" s="1"/>
  <c r="P1529" i="7"/>
  <c r="U1529" i="7"/>
  <c r="J117" i="13"/>
  <c r="H117" i="13"/>
  <c r="E1511" i="7"/>
  <c r="F1511" i="7" s="1"/>
  <c r="E1512" i="7"/>
  <c r="F1512" i="7" s="1"/>
  <c r="K134" i="10"/>
  <c r="K131" i="10"/>
  <c r="P1518" i="7"/>
  <c r="U1518" i="7"/>
  <c r="K116" i="13"/>
  <c r="J116" i="13"/>
  <c r="H116" i="13"/>
  <c r="F1502" i="7"/>
  <c r="K1502" i="7"/>
  <c r="P1502" i="7"/>
  <c r="U1502" i="7"/>
  <c r="K115" i="13"/>
  <c r="J115" i="13"/>
  <c r="H115" i="13"/>
  <c r="E1488" i="7"/>
  <c r="F1488" i="7" s="1"/>
  <c r="E1489" i="7"/>
  <c r="F1489" i="7" s="1"/>
  <c r="K22" i="10"/>
  <c r="E1255" i="7"/>
  <c r="F1255" i="7" s="1"/>
  <c r="E1256" i="7"/>
  <c r="F1256" i="7" s="1"/>
  <c r="K1255" i="7"/>
  <c r="P1258" i="7"/>
  <c r="U1258" i="7"/>
  <c r="U1492" i="7"/>
  <c r="K114" i="13"/>
  <c r="J114" i="13"/>
  <c r="H114" i="13"/>
  <c r="E1474" i="7"/>
  <c r="F1474" i="7" s="1"/>
  <c r="E1475" i="7"/>
  <c r="F1475" i="7" s="1"/>
  <c r="K132" i="10"/>
  <c r="P1479" i="7"/>
  <c r="U1479" i="7"/>
  <c r="K113" i="13"/>
  <c r="J113" i="13"/>
  <c r="H113" i="13"/>
  <c r="J112" i="13"/>
  <c r="H112" i="13"/>
  <c r="E1457" i="7"/>
  <c r="F1457" i="7" s="1"/>
  <c r="E1458" i="7"/>
  <c r="F1458" i="7" s="1"/>
  <c r="K125" i="10"/>
  <c r="K138" i="10"/>
  <c r="K133" i="10"/>
  <c r="U1465" i="7"/>
  <c r="K111" i="13"/>
  <c r="J111" i="13"/>
  <c r="H111" i="13"/>
  <c r="E1442" i="7"/>
  <c r="F1442" i="7" s="1"/>
  <c r="E1443" i="7"/>
  <c r="F1443" i="7" s="1"/>
  <c r="K77" i="10"/>
  <c r="K75" i="10"/>
  <c r="K78" i="10"/>
  <c r="U1448" i="7"/>
  <c r="K110" i="13"/>
  <c r="J110" i="13"/>
  <c r="H110" i="13"/>
  <c r="E1427" i="7"/>
  <c r="F1427" i="7" s="1"/>
  <c r="E1428" i="7"/>
  <c r="F1428" i="7" s="1"/>
  <c r="K76" i="10"/>
  <c r="U1433" i="7"/>
  <c r="K109" i="13"/>
  <c r="J109" i="13"/>
  <c r="H109" i="13"/>
  <c r="E1414" i="7"/>
  <c r="F1414" i="7" s="1"/>
  <c r="E1415" i="7"/>
  <c r="F1415" i="7" s="1"/>
  <c r="P1418" i="7"/>
  <c r="U1418" i="7"/>
  <c r="K108" i="13"/>
  <c r="J108" i="13"/>
  <c r="H108" i="13"/>
  <c r="E1400" i="7"/>
  <c r="F1400" i="7" s="1"/>
  <c r="E1401" i="7"/>
  <c r="F1401" i="7" s="1"/>
  <c r="U1405" i="7"/>
  <c r="J107" i="13"/>
  <c r="H107" i="13"/>
  <c r="E1384" i="7"/>
  <c r="F1384" i="7" s="1"/>
  <c r="E1385" i="7"/>
  <c r="F1385" i="7" s="1"/>
  <c r="U1391" i="7"/>
  <c r="J106" i="13"/>
  <c r="H106" i="13"/>
  <c r="E1368" i="7"/>
  <c r="F1368" i="7" s="1"/>
  <c r="E1369" i="7"/>
  <c r="F1369" i="7" s="1"/>
  <c r="U1375" i="7"/>
  <c r="J105" i="13"/>
  <c r="H105" i="13"/>
  <c r="E1357" i="7"/>
  <c r="F1357" i="7" s="1"/>
  <c r="E1358" i="7"/>
  <c r="F1358" i="7" s="1"/>
  <c r="K32" i="10"/>
  <c r="P1359" i="7"/>
  <c r="U1359" i="7"/>
  <c r="J104" i="13"/>
  <c r="H104" i="13"/>
  <c r="E1346" i="7"/>
  <c r="F1346" i="7" s="1"/>
  <c r="E1347" i="7"/>
  <c r="F1347" i="7" s="1"/>
  <c r="K74" i="10"/>
  <c r="L125" i="4"/>
  <c r="J1335" i="7" s="1"/>
  <c r="K127" i="10"/>
  <c r="L38" i="5"/>
  <c r="J38" i="5" s="1"/>
  <c r="O1335" i="7" s="1"/>
  <c r="P1335" i="7" s="1"/>
  <c r="U1348" i="7"/>
  <c r="J103" i="13"/>
  <c r="H103" i="13"/>
  <c r="E1335" i="7"/>
  <c r="F1335" i="7" s="1"/>
  <c r="E1336" i="7"/>
  <c r="F1336" i="7" s="1"/>
  <c r="K1335" i="7"/>
  <c r="U1337" i="7"/>
  <c r="J102" i="13"/>
  <c r="H102" i="13"/>
  <c r="E1324" i="7"/>
  <c r="F1324" i="7" s="1"/>
  <c r="E1325" i="7"/>
  <c r="F1325" i="7" s="1"/>
  <c r="P1326" i="7"/>
  <c r="U1326" i="7"/>
  <c r="J101" i="13"/>
  <c r="H101" i="13"/>
  <c r="E1313" i="7"/>
  <c r="F1313" i="7" s="1"/>
  <c r="E1314" i="7"/>
  <c r="F1314" i="7" s="1"/>
  <c r="P1315" i="7"/>
  <c r="U1315" i="7"/>
  <c r="J100" i="13"/>
  <c r="H100" i="13"/>
  <c r="E1302" i="7"/>
  <c r="F1302" i="7" s="1"/>
  <c r="E1303" i="7"/>
  <c r="F1303" i="7" s="1"/>
  <c r="P1304" i="7"/>
  <c r="U1304" i="7"/>
  <c r="J99" i="13"/>
  <c r="H99" i="13"/>
  <c r="E1291" i="7"/>
  <c r="F1291" i="7" s="1"/>
  <c r="E1292" i="7"/>
  <c r="F1292" i="7" s="1"/>
  <c r="P1293" i="7"/>
  <c r="U1293" i="7"/>
  <c r="J98" i="13"/>
  <c r="H98" i="13"/>
  <c r="E1279" i="7"/>
  <c r="F1279" i="7" s="1"/>
  <c r="E1280" i="7"/>
  <c r="F1280" i="7" s="1"/>
  <c r="K1279" i="7"/>
  <c r="K1280" i="7" s="1"/>
  <c r="P1282" i="7"/>
  <c r="U1282" i="7"/>
  <c r="J97" i="13"/>
  <c r="H97" i="13"/>
  <c r="J96" i="13"/>
  <c r="H96" i="13"/>
  <c r="J95" i="13"/>
  <c r="H95" i="13"/>
  <c r="E1243" i="7"/>
  <c r="F1243" i="7" s="1"/>
  <c r="E1244" i="7"/>
  <c r="F1244" i="7" s="1"/>
  <c r="K20" i="10"/>
  <c r="P1246" i="7"/>
  <c r="U1246" i="7"/>
  <c r="K94" i="13"/>
  <c r="J94" i="13"/>
  <c r="H94" i="13"/>
  <c r="E1231" i="7"/>
  <c r="F1231" i="7" s="1"/>
  <c r="E1232" i="7"/>
  <c r="F1232" i="7" s="1"/>
  <c r="K21" i="10"/>
  <c r="L48" i="5"/>
  <c r="J48" i="5" s="1"/>
  <c r="H51" i="8" s="1"/>
  <c r="U1234" i="7"/>
  <c r="K93" i="13"/>
  <c r="J93" i="13"/>
  <c r="H93" i="13"/>
  <c r="E1215" i="7"/>
  <c r="F1215" i="7" s="1"/>
  <c r="E1216" i="7"/>
  <c r="F1216" i="7" s="1"/>
  <c r="K14" i="10"/>
  <c r="K66" i="10"/>
  <c r="U1222" i="7"/>
  <c r="K92" i="13"/>
  <c r="J92" i="13"/>
  <c r="H92" i="13"/>
  <c r="E1199" i="7"/>
  <c r="F1199" i="7" s="1"/>
  <c r="E1200" i="7"/>
  <c r="F1200" i="7" s="1"/>
  <c r="U1206" i="7"/>
  <c r="K91" i="13"/>
  <c r="J91" i="13"/>
  <c r="H91" i="13"/>
  <c r="E1188" i="7"/>
  <c r="F1188" i="7" s="1"/>
  <c r="E1189" i="7"/>
  <c r="F1189" i="7" s="1"/>
  <c r="K29" i="10"/>
  <c r="P1190" i="7"/>
  <c r="U1190" i="7"/>
  <c r="J90" i="13"/>
  <c r="H90" i="13"/>
  <c r="E1177" i="7"/>
  <c r="F1177" i="7" s="1"/>
  <c r="E1178" i="7"/>
  <c r="F1178" i="7" s="1"/>
  <c r="P1179" i="7"/>
  <c r="U1179" i="7"/>
  <c r="J89" i="13"/>
  <c r="H89" i="13"/>
  <c r="E1164" i="7"/>
  <c r="F1164" i="7" s="1"/>
  <c r="E1165" i="7"/>
  <c r="F1165" i="7" s="1"/>
  <c r="K43" i="10"/>
  <c r="K42" i="10"/>
  <c r="J1164" i="7"/>
  <c r="K1164" i="7" s="1"/>
  <c r="L26" i="5"/>
  <c r="J26" i="5" s="1"/>
  <c r="O1125" i="7" s="1"/>
  <c r="P1125" i="7" s="1"/>
  <c r="U1168" i="7"/>
  <c r="J88" i="13"/>
  <c r="H88" i="13"/>
  <c r="E1151" i="7"/>
  <c r="F1151" i="7" s="1"/>
  <c r="E1152" i="7"/>
  <c r="F1152" i="7" s="1"/>
  <c r="K136" i="10"/>
  <c r="P1155" i="7"/>
  <c r="U1155" i="7"/>
  <c r="K87" i="13"/>
  <c r="J87" i="13"/>
  <c r="H87" i="13"/>
  <c r="E1138" i="7"/>
  <c r="F1138" i="7" s="1"/>
  <c r="E1139" i="7"/>
  <c r="F1139" i="7" s="1"/>
  <c r="K122" i="10"/>
  <c r="P1142" i="7"/>
  <c r="U1142" i="7"/>
  <c r="J86" i="13"/>
  <c r="H86" i="13"/>
  <c r="E1125" i="7"/>
  <c r="F1125" i="7" s="1"/>
  <c r="E1126" i="7"/>
  <c r="F1126" i="7" s="1"/>
  <c r="K121" i="10"/>
  <c r="U1129" i="7"/>
  <c r="J85" i="13"/>
  <c r="H85" i="13"/>
  <c r="E1107" i="7"/>
  <c r="F1107" i="7" s="1"/>
  <c r="E1108" i="7"/>
  <c r="F1108" i="7" s="1"/>
  <c r="K148" i="10"/>
  <c r="K81" i="10"/>
  <c r="K119" i="10"/>
  <c r="O1107" i="7"/>
  <c r="P1107" i="7" s="1"/>
  <c r="L28" i="5"/>
  <c r="J28" i="5" s="1"/>
  <c r="O1109" i="7" s="1"/>
  <c r="P1109" i="7" s="1"/>
  <c r="U1116" i="7"/>
  <c r="J84" i="13"/>
  <c r="H84" i="13"/>
  <c r="E1096" i="7"/>
  <c r="F1096" i="7" s="1"/>
  <c r="E1097" i="7"/>
  <c r="F1097" i="7" s="1"/>
  <c r="K16" i="10"/>
  <c r="J1096" i="7"/>
  <c r="K1096" i="7" s="1"/>
  <c r="K1098" i="7" s="1"/>
  <c r="U1098" i="7"/>
  <c r="J83" i="13"/>
  <c r="H83" i="13"/>
  <c r="E1082" i="7"/>
  <c r="F1082" i="7" s="1"/>
  <c r="E1083" i="7"/>
  <c r="F1083" i="7" s="1"/>
  <c r="K46" i="10"/>
  <c r="L15" i="5"/>
  <c r="J15" i="5" s="1"/>
  <c r="O1054" i="7" s="1"/>
  <c r="P1054" i="7" s="1"/>
  <c r="U1087" i="7"/>
  <c r="J82" i="13"/>
  <c r="H82" i="13"/>
  <c r="E1068" i="7"/>
  <c r="F1068" i="7" s="1"/>
  <c r="E1069" i="7"/>
  <c r="F1069" i="7" s="1"/>
  <c r="U1073" i="7"/>
  <c r="J81" i="13"/>
  <c r="H81" i="13"/>
  <c r="E1054" i="7"/>
  <c r="F1054" i="7" s="1"/>
  <c r="E1055" i="7"/>
  <c r="F1055" i="7" s="1"/>
  <c r="U1059" i="7"/>
  <c r="J80" i="13"/>
  <c r="H80" i="13"/>
  <c r="E1040" i="7"/>
  <c r="F1040" i="7" s="1"/>
  <c r="E1041" i="7"/>
  <c r="F1041" i="7" s="1"/>
  <c r="U1045" i="7"/>
  <c r="J79" i="13"/>
  <c r="H79" i="13"/>
  <c r="E1028" i="7"/>
  <c r="F1028" i="7" s="1"/>
  <c r="E1029" i="7"/>
  <c r="F1029" i="7" s="1"/>
  <c r="O1028" i="7"/>
  <c r="P1028" i="7" s="1"/>
  <c r="U1031" i="7"/>
  <c r="J78" i="13"/>
  <c r="H78" i="13"/>
  <c r="E1015" i="7"/>
  <c r="F1015" i="7" s="1"/>
  <c r="E1016" i="7"/>
  <c r="F1016" i="7" s="1"/>
  <c r="O1015" i="7"/>
  <c r="P1015" i="7" s="1"/>
  <c r="U1019" i="7"/>
  <c r="J77" i="13"/>
  <c r="H77" i="13"/>
  <c r="E1002" i="7"/>
  <c r="F1002" i="7" s="1"/>
  <c r="E1003" i="7"/>
  <c r="F1003" i="7" s="1"/>
  <c r="O1002" i="7"/>
  <c r="P1002" i="7" s="1"/>
  <c r="U1006" i="7"/>
  <c r="J76" i="13"/>
  <c r="H76" i="13"/>
  <c r="E989" i="7"/>
  <c r="F989" i="7" s="1"/>
  <c r="E990" i="7"/>
  <c r="F990" i="7" s="1"/>
  <c r="O989" i="7"/>
  <c r="P989" i="7" s="1"/>
  <c r="U993" i="7"/>
  <c r="J75" i="13"/>
  <c r="H75" i="13"/>
  <c r="E976" i="7"/>
  <c r="F976" i="7" s="1"/>
  <c r="E977" i="7"/>
  <c r="F977" i="7" s="1"/>
  <c r="L23" i="5"/>
  <c r="J23" i="5" s="1"/>
  <c r="O866" i="7" s="1"/>
  <c r="P866" i="7" s="1"/>
  <c r="U980" i="7"/>
  <c r="J74" i="13"/>
  <c r="H74" i="13"/>
  <c r="E965" i="7"/>
  <c r="F965" i="7" s="1"/>
  <c r="E966" i="7"/>
  <c r="F966" i="7" s="1"/>
  <c r="L9" i="5"/>
  <c r="J9" i="5" s="1"/>
  <c r="O854" i="7" s="1"/>
  <c r="P854" i="7" s="1"/>
  <c r="U967" i="7"/>
  <c r="J73" i="13"/>
  <c r="H73" i="13"/>
  <c r="E954" i="7"/>
  <c r="F954" i="7" s="1"/>
  <c r="E955" i="7"/>
  <c r="F955" i="7" s="1"/>
  <c r="U956" i="7"/>
  <c r="J72" i="13"/>
  <c r="H72" i="13"/>
  <c r="E943" i="7"/>
  <c r="F943" i="7" s="1"/>
  <c r="E944" i="7"/>
  <c r="F944" i="7" s="1"/>
  <c r="U945" i="7"/>
  <c r="J71" i="13"/>
  <c r="H71" i="13"/>
  <c r="E932" i="7"/>
  <c r="F932" i="7" s="1"/>
  <c r="E933" i="7"/>
  <c r="F933" i="7" s="1"/>
  <c r="U934" i="7"/>
  <c r="J70" i="13"/>
  <c r="H70" i="13"/>
  <c r="E916" i="7"/>
  <c r="F916" i="7" s="1"/>
  <c r="E917" i="7"/>
  <c r="F917" i="7" s="1"/>
  <c r="U923" i="7"/>
  <c r="J69" i="13"/>
  <c r="H69" i="13"/>
  <c r="E900" i="7"/>
  <c r="F900" i="7" s="1"/>
  <c r="E901" i="7"/>
  <c r="F901" i="7" s="1"/>
  <c r="O905" i="7"/>
  <c r="P905" i="7" s="1"/>
  <c r="U907" i="7"/>
  <c r="J68" i="13"/>
  <c r="H68" i="13"/>
  <c r="E883" i="7"/>
  <c r="F883" i="7" s="1"/>
  <c r="E884" i="7"/>
  <c r="F884" i="7" s="1"/>
  <c r="O887" i="7"/>
  <c r="P887" i="7" s="1"/>
  <c r="U891" i="7"/>
  <c r="J67" i="13"/>
  <c r="H67" i="13"/>
  <c r="E866" i="7"/>
  <c r="F866" i="7" s="1"/>
  <c r="E867" i="7"/>
  <c r="F867" i="7" s="1"/>
  <c r="O870" i="7"/>
  <c r="P870" i="7" s="1"/>
  <c r="O872" i="7"/>
  <c r="P872" i="7" s="1"/>
  <c r="U874" i="7"/>
  <c r="J66" i="13"/>
  <c r="H66" i="13"/>
  <c r="E854" i="7"/>
  <c r="F854" i="7" s="1"/>
  <c r="E855" i="7"/>
  <c r="F855" i="7" s="1"/>
  <c r="K93" i="10"/>
  <c r="K92" i="10"/>
  <c r="L8" i="5"/>
  <c r="J8" i="5" s="1"/>
  <c r="O856" i="7"/>
  <c r="P856" i="7" s="1"/>
  <c r="U857" i="7"/>
  <c r="J65" i="13"/>
  <c r="H65" i="13"/>
  <c r="E842" i="7"/>
  <c r="F842" i="7" s="1"/>
  <c r="E843" i="7"/>
  <c r="F843" i="7" s="1"/>
  <c r="O844" i="7"/>
  <c r="P844" i="7" s="1"/>
  <c r="U845" i="7"/>
  <c r="J64" i="13"/>
  <c r="H64" i="13"/>
  <c r="E827" i="7"/>
  <c r="F827" i="7" s="1"/>
  <c r="E828" i="7"/>
  <c r="F828" i="7" s="1"/>
  <c r="U833" i="7"/>
  <c r="J63" i="13"/>
  <c r="H63" i="13"/>
  <c r="E812" i="7"/>
  <c r="F812" i="7" s="1"/>
  <c r="E813" i="7"/>
  <c r="F813" i="7" s="1"/>
  <c r="U818" i="7"/>
  <c r="J62" i="13"/>
  <c r="H62" i="13"/>
  <c r="E799" i="7"/>
  <c r="F799" i="7" s="1"/>
  <c r="E800" i="7"/>
  <c r="F800" i="7" s="1"/>
  <c r="U803" i="7"/>
  <c r="J61" i="13"/>
  <c r="H61" i="13"/>
  <c r="E787" i="7"/>
  <c r="F787" i="7" s="1"/>
  <c r="E788" i="7"/>
  <c r="F788" i="7" s="1"/>
  <c r="U790" i="7"/>
  <c r="J60" i="13"/>
  <c r="H60" i="13"/>
  <c r="E773" i="7"/>
  <c r="F773" i="7" s="1"/>
  <c r="E774" i="7"/>
  <c r="F774" i="7" s="1"/>
  <c r="U778" i="7"/>
  <c r="J59" i="13"/>
  <c r="H59" i="13"/>
  <c r="E762" i="7"/>
  <c r="F762" i="7" s="1"/>
  <c r="E763" i="7"/>
  <c r="F763" i="7" s="1"/>
  <c r="U764" i="7"/>
  <c r="J58" i="13"/>
  <c r="H58" i="13"/>
  <c r="E751" i="7"/>
  <c r="F751" i="7" s="1"/>
  <c r="E752" i="7"/>
  <c r="F752" i="7" s="1"/>
  <c r="U753" i="7"/>
  <c r="J57" i="13"/>
  <c r="H57" i="13"/>
  <c r="E726" i="7"/>
  <c r="F726" i="7" s="1"/>
  <c r="E727" i="7"/>
  <c r="F727" i="7" s="1"/>
  <c r="K140" i="10"/>
  <c r="J731" i="7"/>
  <c r="K731" i="7" s="1"/>
  <c r="K144" i="10"/>
  <c r="K111" i="10"/>
  <c r="K740" i="7"/>
  <c r="O726" i="7"/>
  <c r="P726" i="7" s="1"/>
  <c r="U742" i="7"/>
  <c r="J56" i="13"/>
  <c r="H56" i="13"/>
  <c r="E713" i="7"/>
  <c r="F713" i="7" s="1"/>
  <c r="E714" i="7"/>
  <c r="F714" i="7" s="1"/>
  <c r="L50" i="5"/>
  <c r="J50" i="5" s="1"/>
  <c r="O713" i="7" s="1"/>
  <c r="P713" i="7" s="1"/>
  <c r="L16" i="5"/>
  <c r="J16" i="5" s="1"/>
  <c r="O701" i="7" s="1"/>
  <c r="P701" i="7" s="1"/>
  <c r="O716" i="7"/>
  <c r="P716" i="7" s="1"/>
  <c r="U717" i="7"/>
  <c r="J55" i="13"/>
  <c r="H55" i="13"/>
  <c r="E700" i="7"/>
  <c r="F700" i="7" s="1"/>
  <c r="E701" i="7"/>
  <c r="F701" i="7" s="1"/>
  <c r="O703" i="7"/>
  <c r="P703" i="7" s="1"/>
  <c r="U704" i="7"/>
  <c r="J54" i="13"/>
  <c r="H54" i="13"/>
  <c r="E685" i="7"/>
  <c r="F685" i="7" s="1"/>
  <c r="E686" i="7"/>
  <c r="F686" i="7" s="1"/>
  <c r="O686" i="7"/>
  <c r="P686" i="7" s="1"/>
  <c r="U691" i="7"/>
  <c r="J53" i="13"/>
  <c r="H53" i="13"/>
  <c r="E670" i="7"/>
  <c r="F670" i="7" s="1"/>
  <c r="E671" i="7"/>
  <c r="F671" i="7" s="1"/>
  <c r="U676" i="7"/>
  <c r="J52" i="13"/>
  <c r="H52" i="13"/>
  <c r="K94" i="10"/>
  <c r="J51" i="13"/>
  <c r="H51" i="13"/>
  <c r="K141" i="10"/>
  <c r="J50" i="13"/>
  <c r="H50" i="13"/>
  <c r="E568" i="7"/>
  <c r="F568" i="7" s="1"/>
  <c r="E569" i="7"/>
  <c r="F569" i="7" s="1"/>
  <c r="P570" i="7"/>
  <c r="U570" i="7"/>
  <c r="J49" i="13"/>
  <c r="H49" i="13"/>
  <c r="E556" i="7"/>
  <c r="F556" i="7" s="1"/>
  <c r="E557" i="7"/>
  <c r="F557" i="7" s="1"/>
  <c r="L46" i="5"/>
  <c r="J46" i="5" s="1"/>
  <c r="O556" i="7" s="1"/>
  <c r="P556" i="7" s="1"/>
  <c r="O558" i="7"/>
  <c r="P558" i="7" s="1"/>
  <c r="U559" i="7"/>
  <c r="J48" i="13"/>
  <c r="H48" i="13"/>
  <c r="E545" i="7"/>
  <c r="F545" i="7" s="1"/>
  <c r="E546" i="7"/>
  <c r="F546" i="7" s="1"/>
  <c r="L45" i="5"/>
  <c r="J45" i="5" s="1"/>
  <c r="O546" i="7"/>
  <c r="P546" i="7" s="1"/>
  <c r="U547" i="7"/>
  <c r="J47" i="13"/>
  <c r="H47" i="13"/>
  <c r="E533" i="7"/>
  <c r="F533" i="7" s="1"/>
  <c r="E534" i="7"/>
  <c r="F534" i="7" s="1"/>
  <c r="O535" i="7"/>
  <c r="P535" i="7" s="1"/>
  <c r="U536" i="7"/>
  <c r="J46" i="13"/>
  <c r="H46" i="13"/>
  <c r="E522" i="7"/>
  <c r="F522" i="7" s="1"/>
  <c r="E523" i="7"/>
  <c r="F523" i="7" s="1"/>
  <c r="K31" i="10"/>
  <c r="O523" i="7"/>
  <c r="P523" i="7" s="1"/>
  <c r="U524" i="7"/>
  <c r="J45" i="13"/>
  <c r="H45" i="13"/>
  <c r="E510" i="7"/>
  <c r="F510" i="7" s="1"/>
  <c r="E511" i="7"/>
  <c r="F511" i="7" s="1"/>
  <c r="K513" i="7"/>
  <c r="U513" i="7"/>
  <c r="J44" i="13"/>
  <c r="H44" i="13"/>
  <c r="E499" i="7"/>
  <c r="F499" i="7" s="1"/>
  <c r="E500" i="7"/>
  <c r="F500" i="7" s="1"/>
  <c r="K501" i="7"/>
  <c r="U501" i="7"/>
  <c r="J43" i="13"/>
  <c r="H43" i="13"/>
  <c r="E488" i="7"/>
  <c r="F488" i="7" s="1"/>
  <c r="E489" i="7"/>
  <c r="F489" i="7" s="1"/>
  <c r="K490" i="7"/>
  <c r="U490" i="7"/>
  <c r="J42" i="13"/>
  <c r="H42" i="13"/>
  <c r="E477" i="7"/>
  <c r="F477" i="7" s="1"/>
  <c r="E478" i="7"/>
  <c r="F478" i="7" s="1"/>
  <c r="K477" i="7"/>
  <c r="K479" i="7" s="1"/>
  <c r="U479" i="7"/>
  <c r="J41" i="13"/>
  <c r="H41" i="13"/>
  <c r="E466" i="7"/>
  <c r="F466" i="7" s="1"/>
  <c r="E467" i="7"/>
  <c r="F467" i="7" s="1"/>
  <c r="K466" i="7"/>
  <c r="K468" i="7" s="1"/>
  <c r="P468" i="7"/>
  <c r="U468" i="7"/>
  <c r="J40" i="13"/>
  <c r="H40" i="13"/>
  <c r="E455" i="7"/>
  <c r="F455" i="7" s="1"/>
  <c r="E456" i="7"/>
  <c r="F456" i="7" s="1"/>
  <c r="K457" i="7"/>
  <c r="U457" i="7"/>
  <c r="J39" i="13"/>
  <c r="H39" i="13"/>
  <c r="E444" i="7"/>
  <c r="F444" i="7" s="1"/>
  <c r="E445" i="7"/>
  <c r="F445" i="7" s="1"/>
  <c r="K446" i="7"/>
  <c r="U446" i="7"/>
  <c r="J38" i="13"/>
  <c r="H38" i="13"/>
  <c r="E433" i="7"/>
  <c r="F433" i="7" s="1"/>
  <c r="E434" i="7"/>
  <c r="F434" i="7" s="1"/>
  <c r="K54" i="10"/>
  <c r="K433" i="7"/>
  <c r="P435" i="7"/>
  <c r="U435" i="7"/>
  <c r="J37" i="13"/>
  <c r="H37" i="13"/>
  <c r="E400" i="7"/>
  <c r="F400" i="7" s="1"/>
  <c r="E401" i="7"/>
  <c r="F401" i="7" s="1"/>
  <c r="K400" i="7"/>
  <c r="U402" i="7"/>
  <c r="J36" i="13"/>
  <c r="H36" i="13"/>
  <c r="E389" i="7"/>
  <c r="F389" i="7" s="1"/>
  <c r="E390" i="7"/>
  <c r="F390" i="7" s="1"/>
  <c r="F37" i="9"/>
  <c r="D10" i="9" s="1"/>
  <c r="E10" i="9"/>
  <c r="K62" i="10"/>
  <c r="I62" i="4"/>
  <c r="K389" i="7"/>
  <c r="U391" i="7"/>
  <c r="J35" i="13"/>
  <c r="H35" i="13"/>
  <c r="E377" i="7"/>
  <c r="F377" i="7" s="1"/>
  <c r="E378" i="7"/>
  <c r="F378" i="7" s="1"/>
  <c r="L13" i="5"/>
  <c r="J13" i="5" s="1"/>
  <c r="O379" i="7"/>
  <c r="P379" i="7" s="1"/>
  <c r="U380" i="7"/>
  <c r="J34" i="13"/>
  <c r="H34" i="13"/>
  <c r="E363" i="7"/>
  <c r="F363" i="7" s="1"/>
  <c r="E364" i="7"/>
  <c r="F364" i="7" s="1"/>
  <c r="O363" i="7"/>
  <c r="P363" i="7" s="1"/>
  <c r="L47" i="5"/>
  <c r="J47" i="5" s="1"/>
  <c r="O364" i="7" s="1"/>
  <c r="P364" i="7" s="1"/>
  <c r="O367" i="7"/>
  <c r="P367" i="7" s="1"/>
  <c r="U368" i="7"/>
  <c r="J33" i="13"/>
  <c r="H33" i="13"/>
  <c r="E352" i="7"/>
  <c r="F352" i="7" s="1"/>
  <c r="E353" i="7"/>
  <c r="F353" i="7" s="1"/>
  <c r="K354" i="7"/>
  <c r="U354" i="7"/>
  <c r="J32" i="13"/>
  <c r="H32" i="13"/>
  <c r="E341" i="7"/>
  <c r="F341" i="7" s="1"/>
  <c r="E342" i="7"/>
  <c r="F342" i="7" s="1"/>
  <c r="K343" i="7"/>
  <c r="U343" i="7"/>
  <c r="J31" i="13"/>
  <c r="H31" i="13"/>
  <c r="E330" i="7"/>
  <c r="F330" i="7" s="1"/>
  <c r="E331" i="7"/>
  <c r="F331" i="7" s="1"/>
  <c r="K332" i="7"/>
  <c r="U332" i="7"/>
  <c r="J30" i="13"/>
  <c r="H30" i="13"/>
  <c r="E319" i="7"/>
  <c r="F319" i="7" s="1"/>
  <c r="E320" i="7"/>
  <c r="F320" i="7" s="1"/>
  <c r="K321" i="7"/>
  <c r="U321" i="7"/>
  <c r="J29" i="13"/>
  <c r="H29" i="13"/>
  <c r="J28" i="13"/>
  <c r="H28" i="13"/>
  <c r="E295" i="7"/>
  <c r="F295" i="7" s="1"/>
  <c r="E296" i="7"/>
  <c r="F296" i="7" s="1"/>
  <c r="E297" i="7"/>
  <c r="F297" i="7" s="1"/>
  <c r="K60" i="10"/>
  <c r="K49" i="10"/>
  <c r="K55" i="10"/>
  <c r="U299" i="7"/>
  <c r="K27" i="13"/>
  <c r="J27" i="13"/>
  <c r="H27" i="13"/>
  <c r="E282" i="7"/>
  <c r="F282" i="7" s="1"/>
  <c r="E283" i="7"/>
  <c r="F283" i="7" s="1"/>
  <c r="E284" i="7"/>
  <c r="F284" i="7" s="1"/>
  <c r="E285" i="7"/>
  <c r="F285" i="7" s="1"/>
  <c r="K284" i="7"/>
  <c r="L25" i="5"/>
  <c r="J25" i="5" s="1"/>
  <c r="O283" i="7" s="1"/>
  <c r="P283" i="7" s="1"/>
  <c r="U286" i="7"/>
  <c r="J26" i="13"/>
  <c r="H26" i="13"/>
  <c r="E271" i="7"/>
  <c r="F271" i="7" s="1"/>
  <c r="E272" i="7"/>
  <c r="F272" i="7" s="1"/>
  <c r="K273" i="7"/>
  <c r="O271" i="7"/>
  <c r="P271" i="7" s="1"/>
  <c r="P273" i="7" s="1"/>
  <c r="U273" i="7"/>
  <c r="J25" i="13"/>
  <c r="H25" i="13"/>
  <c r="E260" i="7"/>
  <c r="F260" i="7" s="1"/>
  <c r="E261" i="7"/>
  <c r="F261" i="7" s="1"/>
  <c r="K262" i="7"/>
  <c r="U262" i="7"/>
  <c r="J24" i="13"/>
  <c r="H24" i="13"/>
  <c r="J23" i="13"/>
  <c r="H23" i="13"/>
  <c r="J22" i="13"/>
  <c r="H22" i="13"/>
  <c r="E225" i="7"/>
  <c r="F225" i="7" s="1"/>
  <c r="E226" i="7"/>
  <c r="F226" i="7" s="1"/>
  <c r="K104" i="10"/>
  <c r="K98" i="10"/>
  <c r="K228" i="7"/>
  <c r="U229" i="7"/>
  <c r="J21" i="13"/>
  <c r="H21" i="13"/>
  <c r="E212" i="7"/>
  <c r="F212" i="7" s="1"/>
  <c r="E213" i="7"/>
  <c r="F213" i="7" s="1"/>
  <c r="K103" i="10"/>
  <c r="K97" i="10"/>
  <c r="K215" i="7"/>
  <c r="U216" i="7"/>
  <c r="J20" i="13"/>
  <c r="H20" i="13"/>
  <c r="E199" i="7"/>
  <c r="F199" i="7" s="1"/>
  <c r="E200" i="7"/>
  <c r="F200" i="7" s="1"/>
  <c r="K108" i="10"/>
  <c r="K102" i="10"/>
  <c r="K202" i="7"/>
  <c r="U203" i="7"/>
  <c r="J19" i="13"/>
  <c r="H19" i="13"/>
  <c r="E186" i="7"/>
  <c r="F186" i="7" s="1"/>
  <c r="E187" i="7"/>
  <c r="F187" i="7" s="1"/>
  <c r="K107" i="10"/>
  <c r="K101" i="10"/>
  <c r="K189" i="7"/>
  <c r="U190" i="7"/>
  <c r="J18" i="13"/>
  <c r="H18" i="13"/>
  <c r="E173" i="7"/>
  <c r="F173" i="7" s="1"/>
  <c r="E174" i="7"/>
  <c r="F174" i="7" s="1"/>
  <c r="K106" i="10"/>
  <c r="K100" i="10"/>
  <c r="K176" i="7"/>
  <c r="U177" i="7"/>
  <c r="J17" i="13"/>
  <c r="H17" i="13"/>
  <c r="E160" i="7"/>
  <c r="F160" i="7" s="1"/>
  <c r="E161" i="7"/>
  <c r="F161" i="7" s="1"/>
  <c r="K105" i="10"/>
  <c r="K99" i="10"/>
  <c r="K163" i="7"/>
  <c r="U164" i="7"/>
  <c r="J16" i="13"/>
  <c r="H16" i="13"/>
  <c r="E148" i="7"/>
  <c r="F148" i="7" s="1"/>
  <c r="E149" i="7"/>
  <c r="F149" i="7" s="1"/>
  <c r="U151" i="7"/>
  <c r="J15" i="13"/>
  <c r="H15" i="13"/>
  <c r="E136" i="7"/>
  <c r="F136" i="7" s="1"/>
  <c r="E137" i="7"/>
  <c r="F137" i="7" s="1"/>
  <c r="U139" i="7"/>
  <c r="J14" i="13"/>
  <c r="H14" i="13"/>
  <c r="E124" i="7"/>
  <c r="F124" i="7" s="1"/>
  <c r="E125" i="7"/>
  <c r="F125" i="7" s="1"/>
  <c r="U127" i="7"/>
  <c r="J13" i="13"/>
  <c r="H13" i="13"/>
  <c r="E112" i="7"/>
  <c r="F112" i="7" s="1"/>
  <c r="E113" i="7"/>
  <c r="F113" i="7" s="1"/>
  <c r="U115" i="7"/>
  <c r="J12" i="13"/>
  <c r="H12" i="13"/>
  <c r="E100" i="7"/>
  <c r="F100" i="7" s="1"/>
  <c r="E101" i="7"/>
  <c r="F101" i="7" s="1"/>
  <c r="K100" i="7"/>
  <c r="U103" i="7"/>
  <c r="J11" i="13"/>
  <c r="H11" i="13"/>
  <c r="E88" i="7"/>
  <c r="F88" i="7" s="1"/>
  <c r="E89" i="7"/>
  <c r="F89" i="7" s="1"/>
  <c r="K88" i="7"/>
  <c r="U91" i="7"/>
  <c r="J10" i="13"/>
  <c r="H10" i="13"/>
  <c r="E75" i="7"/>
  <c r="F75" i="7" s="1"/>
  <c r="E76" i="7"/>
  <c r="F76" i="7" s="1"/>
  <c r="K63" i="10"/>
  <c r="L40" i="5"/>
  <c r="J40" i="5" s="1"/>
  <c r="O76" i="7" s="1"/>
  <c r="P76" i="7" s="1"/>
  <c r="L17" i="5"/>
  <c r="J17" i="5" s="1"/>
  <c r="O77" i="7" s="1"/>
  <c r="P77" i="7" s="1"/>
  <c r="U79" i="7"/>
  <c r="J9" i="13"/>
  <c r="H9" i="13"/>
  <c r="E64" i="7"/>
  <c r="F64" i="7" s="1"/>
  <c r="E65" i="7"/>
  <c r="F65" i="7" s="1"/>
  <c r="K66" i="7"/>
  <c r="U66" i="7"/>
  <c r="J8" i="13"/>
  <c r="H8" i="13"/>
  <c r="E53" i="7"/>
  <c r="F53" i="7" s="1"/>
  <c r="E54" i="7"/>
  <c r="F54" i="7" s="1"/>
  <c r="K55" i="7"/>
  <c r="U55" i="7"/>
  <c r="J7" i="13"/>
  <c r="H7" i="13"/>
  <c r="E41" i="7"/>
  <c r="F41" i="7" s="1"/>
  <c r="E42" i="7"/>
  <c r="F42" i="7" s="1"/>
  <c r="K44" i="7"/>
  <c r="L14" i="5"/>
  <c r="J14" i="5" s="1"/>
  <c r="O42" i="7" s="1"/>
  <c r="P42" i="7" s="1"/>
  <c r="U44" i="7"/>
  <c r="J6" i="13"/>
  <c r="H6" i="13"/>
  <c r="E31" i="7"/>
  <c r="F31" i="7" s="1"/>
  <c r="F32" i="7" s="1"/>
  <c r="K32" i="7"/>
  <c r="U32" i="7"/>
  <c r="J5" i="13"/>
  <c r="H5" i="13"/>
  <c r="K4" i="13"/>
  <c r="J4" i="13"/>
  <c r="H4" i="13"/>
  <c r="E10" i="7"/>
  <c r="F10" i="7" s="1"/>
  <c r="E11" i="7"/>
  <c r="F11" i="7" s="1"/>
  <c r="K124" i="10"/>
  <c r="K10" i="7"/>
  <c r="K12" i="7" s="1"/>
  <c r="P12" i="7"/>
  <c r="U12" i="7"/>
  <c r="J3" i="13"/>
  <c r="H3" i="13"/>
  <c r="D338" i="12"/>
  <c r="E338" i="12"/>
  <c r="B338" i="12"/>
  <c r="D337" i="12"/>
  <c r="E337" i="12"/>
  <c r="B337" i="12"/>
  <c r="D336" i="12"/>
  <c r="E336" i="12"/>
  <c r="B336" i="12"/>
  <c r="D335" i="12"/>
  <c r="E335" i="12"/>
  <c r="B335" i="12"/>
  <c r="D334" i="12"/>
  <c r="E334" i="12"/>
  <c r="B334" i="12"/>
  <c r="D333" i="12"/>
  <c r="E333" i="12"/>
  <c r="B333" i="12"/>
  <c r="D332" i="12"/>
  <c r="E332" i="12"/>
  <c r="B332" i="12"/>
  <c r="D331" i="12"/>
  <c r="E331" i="12"/>
  <c r="B331" i="12"/>
  <c r="D330" i="12"/>
  <c r="E330" i="12"/>
  <c r="B330" i="12"/>
  <c r="D329" i="12"/>
  <c r="E329" i="12"/>
  <c r="B329" i="12"/>
  <c r="D328" i="12"/>
  <c r="E328" i="12"/>
  <c r="B328" i="12"/>
  <c r="D327" i="12"/>
  <c r="E327" i="12"/>
  <c r="B327" i="12"/>
  <c r="D326" i="12"/>
  <c r="E326" i="12"/>
  <c r="B326" i="12"/>
  <c r="D325" i="12"/>
  <c r="E325" i="12"/>
  <c r="B325" i="12"/>
  <c r="D324" i="12"/>
  <c r="B324" i="12"/>
  <c r="D323" i="12"/>
  <c r="B323" i="12"/>
  <c r="D322" i="12"/>
  <c r="B322" i="12"/>
  <c r="D321" i="12"/>
  <c r="B321" i="12"/>
  <c r="D320" i="12"/>
  <c r="B320" i="12"/>
  <c r="D319" i="12"/>
  <c r="B319" i="12"/>
  <c r="D318" i="12"/>
  <c r="E318" i="12"/>
  <c r="B318" i="12"/>
  <c r="D317" i="12"/>
  <c r="B317" i="12"/>
  <c r="D316" i="12"/>
  <c r="E316" i="12"/>
  <c r="B316" i="12"/>
  <c r="D315" i="12"/>
  <c r="B315" i="12"/>
  <c r="D314" i="12"/>
  <c r="B314" i="12"/>
  <c r="D313" i="12"/>
  <c r="E313" i="12"/>
  <c r="B313" i="12"/>
  <c r="D312" i="12"/>
  <c r="E312" i="12"/>
  <c r="B312" i="12"/>
  <c r="D311" i="12"/>
  <c r="B311" i="12"/>
  <c r="D310" i="12"/>
  <c r="B310" i="12"/>
  <c r="D309" i="12"/>
  <c r="B309" i="12"/>
  <c r="D308" i="12"/>
  <c r="B308" i="12"/>
  <c r="D307" i="12"/>
  <c r="B307" i="12"/>
  <c r="D306" i="12"/>
  <c r="B306" i="12"/>
  <c r="D305" i="12"/>
  <c r="B305" i="12"/>
  <c r="D304" i="12"/>
  <c r="E304" i="12"/>
  <c r="B304" i="12"/>
  <c r="D303" i="12"/>
  <c r="E303" i="12"/>
  <c r="B303" i="12"/>
  <c r="D302" i="12"/>
  <c r="B302" i="12"/>
  <c r="D301" i="12"/>
  <c r="B301" i="12"/>
  <c r="D300" i="12"/>
  <c r="B300" i="12"/>
  <c r="D299" i="12"/>
  <c r="B299" i="12"/>
  <c r="D298" i="12"/>
  <c r="B298" i="12"/>
  <c r="D297" i="12"/>
  <c r="B297" i="12"/>
  <c r="D296" i="12"/>
  <c r="B296" i="12"/>
  <c r="D295" i="12"/>
  <c r="B295" i="12"/>
  <c r="D294" i="12"/>
  <c r="B294" i="12"/>
  <c r="D293" i="12"/>
  <c r="B293" i="12"/>
  <c r="D292" i="12"/>
  <c r="B292" i="12"/>
  <c r="D291" i="12"/>
  <c r="B291" i="12"/>
  <c r="D290" i="12"/>
  <c r="E290" i="12"/>
  <c r="G290" i="12" s="1"/>
  <c r="B290" i="12"/>
  <c r="D289" i="12"/>
  <c r="B289" i="12"/>
  <c r="D288" i="12"/>
  <c r="B288" i="12"/>
  <c r="D287" i="12"/>
  <c r="B287" i="12"/>
  <c r="D286" i="12"/>
  <c r="B286" i="12"/>
  <c r="D285" i="12"/>
  <c r="B285" i="12"/>
  <c r="D284" i="12"/>
  <c r="B284" i="12"/>
  <c r="D283" i="12"/>
  <c r="B283" i="12"/>
  <c r="D282" i="12"/>
  <c r="B282" i="12"/>
  <c r="D281" i="12"/>
  <c r="B281" i="12"/>
  <c r="D280" i="12"/>
  <c r="B280" i="12"/>
  <c r="D279" i="12"/>
  <c r="B279" i="12"/>
  <c r="D278" i="12"/>
  <c r="B278" i="12"/>
  <c r="D277" i="12"/>
  <c r="B277" i="12"/>
  <c r="D276" i="12"/>
  <c r="B276" i="12"/>
  <c r="D275" i="12"/>
  <c r="B275" i="12"/>
  <c r="D274" i="12"/>
  <c r="B274" i="12"/>
  <c r="D273" i="12"/>
  <c r="B273" i="12"/>
  <c r="D272" i="12"/>
  <c r="B272" i="12"/>
  <c r="D271" i="12"/>
  <c r="B271" i="12"/>
  <c r="D270" i="12"/>
  <c r="E270" i="12"/>
  <c r="B270" i="12"/>
  <c r="D269" i="12"/>
  <c r="B269" i="12"/>
  <c r="D268" i="12"/>
  <c r="B268" i="12"/>
  <c r="D267" i="12"/>
  <c r="B267" i="12"/>
  <c r="D266" i="12"/>
  <c r="B266" i="12"/>
  <c r="D265" i="12"/>
  <c r="B265" i="12"/>
  <c r="D264" i="12"/>
  <c r="B264" i="12"/>
  <c r="D263" i="12"/>
  <c r="B263" i="12"/>
  <c r="D262" i="12"/>
  <c r="B262" i="12"/>
  <c r="D261" i="12"/>
  <c r="B261" i="12"/>
  <c r="D260" i="12"/>
  <c r="B260" i="12"/>
  <c r="D259" i="12"/>
  <c r="G259" i="12"/>
  <c r="B259" i="12"/>
  <c r="D258" i="12"/>
  <c r="B258" i="12"/>
  <c r="D257" i="12"/>
  <c r="B257" i="12"/>
  <c r="D256" i="12"/>
  <c r="B256" i="12"/>
  <c r="D255" i="12"/>
  <c r="B255" i="12"/>
  <c r="D254" i="12"/>
  <c r="B254" i="12"/>
  <c r="D253" i="12"/>
  <c r="B253" i="12"/>
  <c r="D252" i="12"/>
  <c r="B252" i="12"/>
  <c r="D251" i="12"/>
  <c r="B251" i="12"/>
  <c r="D250" i="12"/>
  <c r="B250" i="12"/>
  <c r="D249" i="12"/>
  <c r="B249" i="12"/>
  <c r="D248" i="12"/>
  <c r="B248" i="12"/>
  <c r="D247" i="12"/>
  <c r="B247" i="12"/>
  <c r="D246" i="12"/>
  <c r="B246" i="12"/>
  <c r="D245" i="12"/>
  <c r="B245" i="12"/>
  <c r="D244" i="12"/>
  <c r="B244" i="12"/>
  <c r="D243" i="12"/>
  <c r="B243" i="12"/>
  <c r="D242" i="12"/>
  <c r="B242" i="12"/>
  <c r="D241" i="12"/>
  <c r="B241" i="12"/>
  <c r="D240" i="12"/>
  <c r="B240" i="12"/>
  <c r="D239" i="12"/>
  <c r="B239" i="12"/>
  <c r="D238" i="12"/>
  <c r="B238" i="12"/>
  <c r="D237" i="12"/>
  <c r="B237" i="12"/>
  <c r="D236" i="12"/>
  <c r="B236" i="12"/>
  <c r="D235" i="12"/>
  <c r="B235" i="12"/>
  <c r="D234" i="12"/>
  <c r="B234" i="12"/>
  <c r="D233" i="12"/>
  <c r="B233" i="12"/>
  <c r="D232" i="12"/>
  <c r="B232" i="12"/>
  <c r="D231" i="12"/>
  <c r="B231" i="12"/>
  <c r="D230" i="12"/>
  <c r="B230" i="12"/>
  <c r="D229" i="12"/>
  <c r="B229" i="12"/>
  <c r="D228" i="12"/>
  <c r="B228" i="12"/>
  <c r="D227" i="12"/>
  <c r="B227" i="12"/>
  <c r="D226" i="12"/>
  <c r="B226" i="12"/>
  <c r="D225" i="12"/>
  <c r="B225" i="12"/>
  <c r="D224" i="12"/>
  <c r="B224" i="12"/>
  <c r="D223" i="12"/>
  <c r="B223" i="12"/>
  <c r="D222" i="12"/>
  <c r="B222" i="12"/>
  <c r="D221" i="12"/>
  <c r="B221" i="12"/>
  <c r="D220" i="12"/>
  <c r="B220" i="12"/>
  <c r="D219" i="12"/>
  <c r="B219" i="12"/>
  <c r="D218" i="12"/>
  <c r="B218" i="12"/>
  <c r="D217" i="12"/>
  <c r="B217" i="12"/>
  <c r="D216" i="12"/>
  <c r="B216" i="12"/>
  <c r="D215" i="12"/>
  <c r="B215" i="12"/>
  <c r="D214" i="12"/>
  <c r="B214" i="12"/>
  <c r="D213" i="12"/>
  <c r="B213" i="12"/>
  <c r="D212" i="12"/>
  <c r="B212" i="12"/>
  <c r="D211" i="12"/>
  <c r="B211" i="12"/>
  <c r="D210" i="12"/>
  <c r="B210" i="12"/>
  <c r="D209" i="12"/>
  <c r="B209" i="12"/>
  <c r="D208" i="12"/>
  <c r="B208" i="12"/>
  <c r="D207" i="12"/>
  <c r="B207" i="12"/>
  <c r="D206" i="12"/>
  <c r="B206" i="12"/>
  <c r="D205" i="12"/>
  <c r="B205" i="12"/>
  <c r="D204" i="12"/>
  <c r="B204" i="12"/>
  <c r="D203" i="12"/>
  <c r="B203" i="12"/>
  <c r="D202" i="12"/>
  <c r="B202" i="12"/>
  <c r="D201" i="12"/>
  <c r="B201" i="12"/>
  <c r="D200" i="12"/>
  <c r="B200" i="12"/>
  <c r="D199" i="12"/>
  <c r="B199" i="12"/>
  <c r="D198" i="12"/>
  <c r="B198" i="12"/>
  <c r="D197" i="12"/>
  <c r="E197" i="12"/>
  <c r="B197" i="12"/>
  <c r="D196" i="12"/>
  <c r="B196" i="12"/>
  <c r="D195" i="12"/>
  <c r="B195" i="12"/>
  <c r="D194" i="12"/>
  <c r="B194" i="12"/>
  <c r="D193" i="12"/>
  <c r="B193" i="12"/>
  <c r="D192" i="12"/>
  <c r="B192" i="12"/>
  <c r="D191" i="12"/>
  <c r="B191" i="12"/>
  <c r="D190" i="12"/>
  <c r="B190" i="12"/>
  <c r="D189" i="12"/>
  <c r="B189" i="12"/>
  <c r="D188" i="12"/>
  <c r="B188" i="12"/>
  <c r="D187" i="12"/>
  <c r="B187" i="12"/>
  <c r="D186" i="12"/>
  <c r="B186" i="12"/>
  <c r="D185" i="12"/>
  <c r="B185" i="12"/>
  <c r="D184" i="12"/>
  <c r="B184" i="12"/>
  <c r="D183" i="12"/>
  <c r="B183" i="12"/>
  <c r="D182" i="12"/>
  <c r="B182" i="12"/>
  <c r="D181" i="12"/>
  <c r="B181" i="12"/>
  <c r="D180" i="12"/>
  <c r="B180" i="12"/>
  <c r="D179" i="12"/>
  <c r="B179" i="12"/>
  <c r="D178" i="12"/>
  <c r="B178" i="12"/>
  <c r="D177" i="12"/>
  <c r="B177" i="12"/>
  <c r="D176" i="12"/>
  <c r="B176" i="12"/>
  <c r="D175" i="12"/>
  <c r="B175" i="12"/>
  <c r="D174" i="12"/>
  <c r="B174" i="12"/>
  <c r="D173" i="12"/>
  <c r="B173" i="12"/>
  <c r="D172" i="12"/>
  <c r="B172" i="12"/>
  <c r="D171" i="12"/>
  <c r="B171" i="12"/>
  <c r="D170" i="12"/>
  <c r="B170" i="12"/>
  <c r="D169" i="12"/>
  <c r="B169" i="12"/>
  <c r="D168" i="12"/>
  <c r="B168" i="12"/>
  <c r="D167" i="12"/>
  <c r="B167" i="12"/>
  <c r="D166" i="12"/>
  <c r="B166" i="12"/>
  <c r="D165" i="12"/>
  <c r="E165" i="12"/>
  <c r="B165" i="12"/>
  <c r="D164" i="12"/>
  <c r="B164" i="12"/>
  <c r="D163" i="12"/>
  <c r="B163" i="12"/>
  <c r="D162" i="12"/>
  <c r="B162" i="12"/>
  <c r="D161" i="12"/>
  <c r="B161" i="12"/>
  <c r="D160" i="12"/>
  <c r="B160" i="12"/>
  <c r="D159" i="12"/>
  <c r="B159" i="12"/>
  <c r="D158" i="12"/>
  <c r="B158" i="12"/>
  <c r="D157" i="12"/>
  <c r="B157" i="12"/>
  <c r="D156" i="12"/>
  <c r="E156" i="12"/>
  <c r="B156" i="12"/>
  <c r="D155" i="12"/>
  <c r="B155" i="12"/>
  <c r="D154" i="12"/>
  <c r="B154" i="12"/>
  <c r="D153" i="12"/>
  <c r="B153" i="12"/>
  <c r="D152" i="12"/>
  <c r="G152" i="12" s="1"/>
  <c r="B152" i="12"/>
  <c r="D151" i="12"/>
  <c r="B151" i="12"/>
  <c r="D150" i="12"/>
  <c r="B150" i="12"/>
  <c r="D149" i="12"/>
  <c r="B149" i="12"/>
  <c r="D148" i="12"/>
  <c r="B148" i="12"/>
  <c r="D147" i="12"/>
  <c r="B147" i="12"/>
  <c r="D146" i="12"/>
  <c r="B146" i="12"/>
  <c r="D145" i="12"/>
  <c r="E145" i="12"/>
  <c r="B145" i="12"/>
  <c r="D144" i="12"/>
  <c r="B144" i="12"/>
  <c r="D143" i="12"/>
  <c r="B143" i="12"/>
  <c r="D142" i="12"/>
  <c r="B142" i="12"/>
  <c r="D141" i="12"/>
  <c r="B141" i="12"/>
  <c r="D140" i="12"/>
  <c r="B140" i="12"/>
  <c r="D139" i="12"/>
  <c r="B139" i="12"/>
  <c r="D138" i="12"/>
  <c r="B138" i="12"/>
  <c r="D137" i="12"/>
  <c r="B137" i="12"/>
  <c r="D136" i="12"/>
  <c r="B136" i="12"/>
  <c r="D135" i="12"/>
  <c r="B135" i="12"/>
  <c r="D134" i="12"/>
  <c r="B134" i="12"/>
  <c r="D133" i="12"/>
  <c r="B133" i="12"/>
  <c r="D132" i="12"/>
  <c r="B132" i="12"/>
  <c r="D131" i="12"/>
  <c r="B131" i="12"/>
  <c r="D130" i="12"/>
  <c r="B130" i="12"/>
  <c r="D129" i="12"/>
  <c r="B129" i="12"/>
  <c r="D128" i="12"/>
  <c r="B128" i="12"/>
  <c r="D127" i="12"/>
  <c r="B127" i="12"/>
  <c r="D126" i="12"/>
  <c r="E126" i="12"/>
  <c r="B126" i="12"/>
  <c r="D125" i="12"/>
  <c r="E125" i="12"/>
  <c r="B125" i="12"/>
  <c r="D124" i="12"/>
  <c r="E124" i="12"/>
  <c r="B124" i="12"/>
  <c r="D123" i="12"/>
  <c r="E123" i="12"/>
  <c r="B123" i="12"/>
  <c r="D122" i="12"/>
  <c r="G122" i="12" s="1"/>
  <c r="B122" i="12"/>
  <c r="D121" i="12"/>
  <c r="E121" i="12"/>
  <c r="B121" i="12"/>
  <c r="D120" i="12"/>
  <c r="E120" i="12"/>
  <c r="B120" i="12"/>
  <c r="D119" i="12"/>
  <c r="E119" i="12"/>
  <c r="B119" i="12"/>
  <c r="D118" i="12"/>
  <c r="E118" i="12"/>
  <c r="B118" i="12"/>
  <c r="D117" i="12"/>
  <c r="B117" i="12"/>
  <c r="D116" i="12"/>
  <c r="B116" i="12"/>
  <c r="D115" i="12"/>
  <c r="B115" i="12"/>
  <c r="D114" i="12"/>
  <c r="B114" i="12"/>
  <c r="D113" i="12"/>
  <c r="B113" i="12"/>
  <c r="D112" i="12"/>
  <c r="B112" i="12"/>
  <c r="D111" i="12"/>
  <c r="B111" i="12"/>
  <c r="D110" i="12"/>
  <c r="B110" i="12"/>
  <c r="D109" i="12"/>
  <c r="B109" i="12"/>
  <c r="D108" i="12"/>
  <c r="B108" i="12"/>
  <c r="D107" i="12"/>
  <c r="B107" i="12"/>
  <c r="D106" i="12"/>
  <c r="B106" i="12"/>
  <c r="D105" i="12"/>
  <c r="B105" i="12"/>
  <c r="D104" i="12"/>
  <c r="E104" i="12"/>
  <c r="B104" i="12"/>
  <c r="D103" i="12"/>
  <c r="E103" i="12"/>
  <c r="B103" i="12"/>
  <c r="D102" i="12"/>
  <c r="E102" i="12"/>
  <c r="B102" i="12"/>
  <c r="D101" i="12"/>
  <c r="E101" i="12"/>
  <c r="B101" i="12"/>
  <c r="D100" i="12"/>
  <c r="B100" i="12"/>
  <c r="D99" i="12"/>
  <c r="B99" i="12"/>
  <c r="D98" i="12"/>
  <c r="B98" i="12"/>
  <c r="D97" i="12"/>
  <c r="E97" i="12"/>
  <c r="B97" i="12"/>
  <c r="D96" i="12"/>
  <c r="B96" i="12"/>
  <c r="D95" i="12"/>
  <c r="B95" i="12"/>
  <c r="D94" i="12"/>
  <c r="B94" i="12"/>
  <c r="D93" i="12"/>
  <c r="B93" i="12"/>
  <c r="D92" i="12"/>
  <c r="B92" i="12"/>
  <c r="D91" i="12"/>
  <c r="B91" i="12"/>
  <c r="D90" i="12"/>
  <c r="B90" i="12"/>
  <c r="D89" i="12"/>
  <c r="B89" i="12"/>
  <c r="D88" i="12"/>
  <c r="B88" i="12"/>
  <c r="D87" i="12"/>
  <c r="B87" i="12"/>
  <c r="D86" i="12"/>
  <c r="B86" i="12"/>
  <c r="D85" i="12"/>
  <c r="B85" i="12"/>
  <c r="D84" i="12"/>
  <c r="B84" i="12"/>
  <c r="D83" i="12"/>
  <c r="B83" i="12"/>
  <c r="D82" i="12"/>
  <c r="B82" i="12"/>
  <c r="D81" i="12"/>
  <c r="B81" i="12"/>
  <c r="D80" i="12"/>
  <c r="B80" i="12"/>
  <c r="D79" i="12"/>
  <c r="B79" i="12"/>
  <c r="D78" i="12"/>
  <c r="B78" i="12"/>
  <c r="D77" i="12"/>
  <c r="B77" i="12"/>
  <c r="D76" i="12"/>
  <c r="B76" i="12"/>
  <c r="D75" i="12"/>
  <c r="B75" i="12"/>
  <c r="D74" i="12"/>
  <c r="B74" i="12"/>
  <c r="D73" i="12"/>
  <c r="B73" i="12"/>
  <c r="D72" i="12"/>
  <c r="B72" i="12"/>
  <c r="D71" i="12"/>
  <c r="B71" i="12"/>
  <c r="D70" i="12"/>
  <c r="B70" i="12"/>
  <c r="D69" i="12"/>
  <c r="B69" i="12"/>
  <c r="D68" i="12"/>
  <c r="B68" i="12"/>
  <c r="D67" i="12"/>
  <c r="B67" i="12"/>
  <c r="D66" i="12"/>
  <c r="B66" i="12"/>
  <c r="D65" i="12"/>
  <c r="B65" i="12"/>
  <c r="D64" i="12"/>
  <c r="B64" i="12"/>
  <c r="D63" i="12"/>
  <c r="B63" i="12"/>
  <c r="D62" i="12"/>
  <c r="B62" i="12"/>
  <c r="D61" i="12"/>
  <c r="B61" i="12"/>
  <c r="D60" i="12"/>
  <c r="B60" i="12"/>
  <c r="D59" i="12"/>
  <c r="B59" i="12"/>
  <c r="D58" i="12"/>
  <c r="B58" i="12"/>
  <c r="D57" i="12"/>
  <c r="B57" i="12"/>
  <c r="D56" i="12"/>
  <c r="B56" i="12"/>
  <c r="D55" i="12"/>
  <c r="B55" i="12"/>
  <c r="D54" i="12"/>
  <c r="B54" i="12"/>
  <c r="D53" i="12"/>
  <c r="B53" i="12"/>
  <c r="D52" i="12"/>
  <c r="B52" i="12"/>
  <c r="D51" i="12"/>
  <c r="B51" i="12"/>
  <c r="D50" i="12"/>
  <c r="B50" i="12"/>
  <c r="D49" i="12"/>
  <c r="B49" i="12"/>
  <c r="D48" i="12"/>
  <c r="B48" i="12"/>
  <c r="D47" i="12"/>
  <c r="B47" i="12"/>
  <c r="D46" i="12"/>
  <c r="B46" i="12"/>
  <c r="D45" i="12"/>
  <c r="B45" i="12"/>
  <c r="D44" i="12"/>
  <c r="B44" i="12"/>
  <c r="D43" i="12"/>
  <c r="B43" i="12"/>
  <c r="D42" i="12"/>
  <c r="B42" i="12"/>
  <c r="D41" i="12"/>
  <c r="B41" i="12"/>
  <c r="D40" i="12"/>
  <c r="B40" i="12"/>
  <c r="D39" i="12"/>
  <c r="B39" i="12"/>
  <c r="D38" i="12"/>
  <c r="B38" i="12"/>
  <c r="D37" i="12"/>
  <c r="E37" i="12"/>
  <c r="B37" i="12"/>
  <c r="D36" i="12"/>
  <c r="B36" i="12"/>
  <c r="D35" i="12"/>
  <c r="B35" i="12"/>
  <c r="D34" i="12"/>
  <c r="B34" i="12"/>
  <c r="D33" i="12"/>
  <c r="B33" i="12"/>
  <c r="D32" i="12"/>
  <c r="B32" i="12"/>
  <c r="D31" i="12"/>
  <c r="B31" i="12"/>
  <c r="D30" i="12"/>
  <c r="B30" i="12"/>
  <c r="D29" i="12"/>
  <c r="B29" i="12"/>
  <c r="D28" i="12"/>
  <c r="B28" i="12"/>
  <c r="D27" i="12"/>
  <c r="B27" i="12"/>
  <c r="D26" i="12"/>
  <c r="B26" i="12"/>
  <c r="D25" i="12"/>
  <c r="B25" i="12"/>
  <c r="D24" i="12"/>
  <c r="B24" i="12"/>
  <c r="D23" i="12"/>
  <c r="B23" i="12"/>
  <c r="D22" i="12"/>
  <c r="B22" i="12"/>
  <c r="D21" i="12"/>
  <c r="B21" i="12"/>
  <c r="D20" i="12"/>
  <c r="B20" i="12"/>
  <c r="D19" i="12"/>
  <c r="B19" i="12"/>
  <c r="D18" i="12"/>
  <c r="B18" i="12"/>
  <c r="D17" i="12"/>
  <c r="B17" i="12"/>
  <c r="D16" i="12"/>
  <c r="B16" i="12"/>
  <c r="D15" i="12"/>
  <c r="B15" i="12"/>
  <c r="D14" i="12"/>
  <c r="E14" i="12"/>
  <c r="B14" i="12"/>
  <c r="D13" i="12"/>
  <c r="B13" i="12"/>
  <c r="A10" i="12"/>
  <c r="A9" i="12"/>
  <c r="A8" i="12"/>
  <c r="A7" i="12"/>
  <c r="A5" i="12"/>
  <c r="A4" i="12"/>
  <c r="A2" i="12"/>
  <c r="K115" i="10"/>
  <c r="K80" i="10"/>
  <c r="K79" i="10"/>
  <c r="K50" i="10"/>
  <c r="K47" i="10"/>
  <c r="K19" i="10"/>
  <c r="K18" i="10"/>
  <c r="I72" i="9"/>
  <c r="F68" i="9"/>
  <c r="E64" i="9"/>
  <c r="E63" i="9"/>
  <c r="E61" i="9"/>
  <c r="E60" i="9"/>
  <c r="E59" i="9"/>
  <c r="E58" i="9"/>
  <c r="E57" i="9"/>
  <c r="F52" i="9"/>
  <c r="E52" i="9"/>
  <c r="F51" i="9"/>
  <c r="E51" i="9"/>
  <c r="F50" i="9"/>
  <c r="E50" i="9"/>
  <c r="F49" i="9"/>
  <c r="E49" i="9"/>
  <c r="F45" i="9"/>
  <c r="D21" i="9" s="1"/>
  <c r="E45" i="9"/>
  <c r="E44" i="9"/>
  <c r="E42" i="9"/>
  <c r="F41" i="9"/>
  <c r="D14" i="9" s="1"/>
  <c r="E41" i="9"/>
  <c r="F40" i="9"/>
  <c r="E40" i="9"/>
  <c r="F39" i="9"/>
  <c r="D12" i="9" s="1"/>
  <c r="E39" i="9"/>
  <c r="E37" i="9"/>
  <c r="F36" i="9"/>
  <c r="D9" i="9" s="1"/>
  <c r="E36" i="9"/>
  <c r="F35" i="9"/>
  <c r="D8" i="9" s="1"/>
  <c r="E35" i="9"/>
  <c r="F34" i="9"/>
  <c r="D7" i="9" s="1"/>
  <c r="E34" i="9"/>
  <c r="F33" i="9"/>
  <c r="D6" i="9" s="1"/>
  <c r="E33" i="9"/>
  <c r="F32" i="9"/>
  <c r="D5" i="9" s="1"/>
  <c r="E32" i="9"/>
  <c r="E26" i="9"/>
  <c r="E25" i="9"/>
  <c r="E22" i="9"/>
  <c r="E21" i="9"/>
  <c r="E20" i="9"/>
  <c r="E19" i="9"/>
  <c r="E18" i="9"/>
  <c r="E17" i="9"/>
  <c r="E14" i="9"/>
  <c r="D13" i="9"/>
  <c r="E13" i="9"/>
  <c r="E12" i="9"/>
  <c r="E9" i="9"/>
  <c r="E8" i="9"/>
  <c r="E7" i="9"/>
  <c r="E6" i="9"/>
  <c r="E5" i="9"/>
  <c r="F7" i="8"/>
  <c r="O4117" i="7"/>
  <c r="P4117" i="7" s="1"/>
  <c r="F22" i="7"/>
  <c r="P22" i="7"/>
  <c r="U22" i="7"/>
  <c r="D309" i="6"/>
  <c r="D308" i="6"/>
  <c r="D307" i="6"/>
  <c r="D306" i="6"/>
  <c r="D305" i="6"/>
  <c r="D302" i="6"/>
  <c r="D301" i="6"/>
  <c r="D300" i="6"/>
  <c r="D299" i="6"/>
  <c r="D298" i="6"/>
  <c r="D297" i="6"/>
  <c r="D296" i="6"/>
  <c r="D295" i="6"/>
  <c r="D294" i="6"/>
  <c r="D293" i="6"/>
  <c r="D292" i="6"/>
  <c r="D291" i="6"/>
  <c r="D290" i="6"/>
  <c r="D288" i="6"/>
  <c r="D287" i="6"/>
  <c r="D285" i="6"/>
  <c r="D284" i="6"/>
  <c r="D283" i="6"/>
  <c r="D282" i="6"/>
  <c r="D281" i="6"/>
  <c r="D280" i="6"/>
  <c r="D279" i="6"/>
  <c r="D278" i="6"/>
  <c r="D277" i="6"/>
  <c r="D276" i="6"/>
  <c r="D275" i="6"/>
  <c r="D274" i="6"/>
  <c r="D273" i="6"/>
  <c r="D272" i="6"/>
  <c r="D271" i="6"/>
  <c r="D270" i="6"/>
  <c r="D269" i="6"/>
  <c r="D268" i="6"/>
  <c r="D267" i="6"/>
  <c r="D266" i="6"/>
  <c r="D265" i="6"/>
  <c r="D264" i="6"/>
  <c r="D263" i="6"/>
  <c r="D262" i="6"/>
  <c r="D261" i="6"/>
  <c r="D260" i="6"/>
  <c r="D259" i="6"/>
  <c r="D254" i="6"/>
  <c r="D253" i="6"/>
  <c r="D251" i="6"/>
  <c r="D250" i="6"/>
  <c r="D249" i="6"/>
  <c r="D248" i="6"/>
  <c r="D247" i="6"/>
  <c r="D246" i="6"/>
  <c r="D218" i="6"/>
  <c r="D217" i="6"/>
  <c r="D216" i="6"/>
  <c r="D215" i="6"/>
  <c r="D214" i="6"/>
  <c r="D213" i="6"/>
  <c r="D212" i="6"/>
  <c r="D211" i="6"/>
  <c r="D210" i="6"/>
  <c r="D209" i="6"/>
  <c r="D208" i="6"/>
  <c r="D207" i="6"/>
  <c r="D206" i="6"/>
  <c r="D205" i="6"/>
  <c r="D204" i="6"/>
  <c r="D203" i="6"/>
  <c r="D202" i="6"/>
  <c r="D201" i="6"/>
  <c r="D200" i="6"/>
  <c r="D199" i="6"/>
  <c r="D198" i="6"/>
  <c r="D197" i="6"/>
  <c r="D196" i="6"/>
  <c r="D195" i="6"/>
  <c r="D194" i="6"/>
  <c r="D193" i="6"/>
  <c r="D192" i="6"/>
  <c r="D191" i="6"/>
  <c r="D190" i="6"/>
  <c r="D189" i="6"/>
  <c r="D188" i="6"/>
  <c r="D187" i="6"/>
  <c r="D186" i="6"/>
  <c r="D185" i="6"/>
  <c r="D184" i="6"/>
  <c r="D183" i="6"/>
  <c r="D182" i="6"/>
  <c r="D181" i="6"/>
  <c r="D180" i="6"/>
  <c r="D179" i="6"/>
  <c r="D177" i="6"/>
  <c r="D176" i="6"/>
  <c r="D175" i="6"/>
  <c r="D174" i="6"/>
  <c r="D173" i="6"/>
  <c r="D172" i="6"/>
  <c r="D171" i="6"/>
  <c r="D170" i="6"/>
  <c r="D169" i="6"/>
  <c r="D168" i="6"/>
  <c r="D167" i="6"/>
  <c r="D166" i="6"/>
  <c r="D165" i="6"/>
  <c r="D164" i="6"/>
  <c r="D163" i="6"/>
  <c r="D162" i="6"/>
  <c r="D161" i="6"/>
  <c r="D160" i="6"/>
  <c r="D159" i="6"/>
  <c r="D158" i="6"/>
  <c r="D157" i="6"/>
  <c r="D156" i="6"/>
  <c r="D155" i="6"/>
  <c r="D154" i="6"/>
  <c r="D153" i="6"/>
  <c r="D152" i="6"/>
  <c r="D151" i="6"/>
  <c r="D150" i="6"/>
  <c r="D149" i="6"/>
  <c r="D148" i="6"/>
  <c r="D147" i="6"/>
  <c r="D146" i="6"/>
  <c r="D145" i="6"/>
  <c r="D144" i="6"/>
  <c r="D143" i="6"/>
  <c r="D142" i="6"/>
  <c r="D141" i="6"/>
  <c r="D140" i="6"/>
  <c r="D139" i="6"/>
  <c r="D138" i="6"/>
  <c r="D137" i="6"/>
  <c r="D136" i="6"/>
  <c r="D135" i="6"/>
  <c r="D134" i="6"/>
  <c r="D133"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58" i="6"/>
  <c r="D54" i="6"/>
  <c r="D53" i="6"/>
  <c r="D52" i="6"/>
  <c r="D51" i="6"/>
  <c r="D50" i="6"/>
  <c r="D49" i="6"/>
  <c r="D48" i="6"/>
  <c r="D47" i="6"/>
  <c r="D46" i="6"/>
  <c r="D45" i="6"/>
  <c r="D44" i="6"/>
  <c r="D43" i="6"/>
  <c r="D42"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K130" i="4"/>
  <c r="K129" i="4"/>
  <c r="K128" i="4"/>
  <c r="K127" i="4"/>
  <c r="K126" i="4"/>
  <c r="K125" i="4"/>
  <c r="K124" i="4"/>
  <c r="K122" i="4"/>
  <c r="K121" i="4"/>
  <c r="K120" i="4"/>
  <c r="K119" i="4"/>
  <c r="K118" i="4"/>
  <c r="K117" i="4"/>
  <c r="K116" i="4"/>
  <c r="K115" i="4"/>
  <c r="K114" i="4"/>
  <c r="K113" i="4"/>
  <c r="K112" i="4"/>
  <c r="I110" i="4"/>
  <c r="K110" i="4" s="1"/>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1" i="4"/>
  <c r="K60" i="4"/>
  <c r="K59" i="4"/>
  <c r="K58" i="4"/>
  <c r="K57" i="4"/>
  <c r="K56" i="4"/>
  <c r="K55" i="4"/>
  <c r="K54" i="4"/>
  <c r="K53" i="4"/>
  <c r="K52" i="4"/>
  <c r="K51" i="4"/>
  <c r="K50" i="4"/>
  <c r="K49" i="4"/>
  <c r="K48" i="4"/>
  <c r="K47" i="4"/>
  <c r="K46" i="4"/>
  <c r="K45" i="4"/>
  <c r="K44" i="4"/>
  <c r="K43" i="4"/>
  <c r="K42"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5" i="4"/>
  <c r="K4" i="4"/>
  <c r="K3" i="4"/>
  <c r="H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A11" i="3"/>
  <c r="A10" i="3"/>
  <c r="A9" i="3"/>
  <c r="A8" i="3"/>
  <c r="A5" i="3"/>
  <c r="A4" i="3"/>
  <c r="A3" i="3"/>
  <c r="A2" i="3"/>
  <c r="D14" i="2"/>
  <c r="D15" i="2"/>
  <c r="E15" i="2"/>
  <c r="D16" i="2"/>
  <c r="D17" i="2"/>
  <c r="D18" i="2"/>
  <c r="D19" i="2"/>
  <c r="D20" i="2"/>
  <c r="D21" i="2"/>
  <c r="D22" i="2"/>
  <c r="D23" i="2"/>
  <c r="D24" i="2"/>
  <c r="D25" i="2"/>
  <c r="D26" i="2"/>
  <c r="D27" i="2"/>
  <c r="D28" i="2"/>
  <c r="D29" i="2"/>
  <c r="D30" i="2"/>
  <c r="D31" i="2"/>
  <c r="D32" i="2"/>
  <c r="D33" i="2"/>
  <c r="D34" i="2"/>
  <c r="D35" i="2"/>
  <c r="D36" i="2"/>
  <c r="D37" i="2"/>
  <c r="D38" i="2"/>
  <c r="E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E98" i="2"/>
  <c r="D99" i="2"/>
  <c r="D100" i="2"/>
  <c r="D101" i="2"/>
  <c r="D102" i="2"/>
  <c r="E102" i="2"/>
  <c r="D103" i="2"/>
  <c r="E103" i="2"/>
  <c r="D104" i="2"/>
  <c r="E104" i="2"/>
  <c r="D105" i="2"/>
  <c r="E105" i="2"/>
  <c r="D106" i="2"/>
  <c r="D107" i="2"/>
  <c r="D108" i="2"/>
  <c r="D109" i="2"/>
  <c r="D110" i="2"/>
  <c r="D111" i="2"/>
  <c r="D112" i="2"/>
  <c r="D113" i="2"/>
  <c r="D114" i="2"/>
  <c r="D115" i="2"/>
  <c r="D116" i="2"/>
  <c r="D117" i="2"/>
  <c r="D118" i="2"/>
  <c r="D119" i="2"/>
  <c r="E119" i="2"/>
  <c r="D120" i="2"/>
  <c r="E120" i="2"/>
  <c r="D121" i="2"/>
  <c r="E121" i="2"/>
  <c r="D122" i="2"/>
  <c r="E122" i="2"/>
  <c r="D123" i="2"/>
  <c r="F123" i="2" s="1"/>
  <c r="D124" i="2"/>
  <c r="E124" i="2"/>
  <c r="D125" i="2"/>
  <c r="E125" i="2"/>
  <c r="D126" i="2"/>
  <c r="E126" i="2"/>
  <c r="D127" i="2"/>
  <c r="E127" i="2"/>
  <c r="D128" i="2"/>
  <c r="D129" i="2"/>
  <c r="D130" i="2"/>
  <c r="D131" i="2"/>
  <c r="D132" i="2"/>
  <c r="D133" i="2"/>
  <c r="D134" i="2"/>
  <c r="D135" i="2"/>
  <c r="D136" i="2"/>
  <c r="D137" i="2"/>
  <c r="D138" i="2"/>
  <c r="D139" i="2"/>
  <c r="D140" i="2"/>
  <c r="D141" i="2"/>
  <c r="D142" i="2"/>
  <c r="D143" i="2"/>
  <c r="D144" i="2"/>
  <c r="D145" i="2"/>
  <c r="D146" i="2"/>
  <c r="E146" i="2"/>
  <c r="D147" i="2"/>
  <c r="D148" i="2"/>
  <c r="D149" i="2"/>
  <c r="D150" i="2"/>
  <c r="D151" i="2"/>
  <c r="D152" i="2"/>
  <c r="D153" i="2"/>
  <c r="F153" i="2" s="1"/>
  <c r="D154" i="2"/>
  <c r="D155" i="2"/>
  <c r="D156" i="2"/>
  <c r="D157" i="2"/>
  <c r="E157" i="2"/>
  <c r="D158" i="2"/>
  <c r="D159" i="2"/>
  <c r="D160" i="2"/>
  <c r="D161" i="2"/>
  <c r="D162" i="2"/>
  <c r="D163" i="2"/>
  <c r="D164" i="2"/>
  <c r="D165" i="2"/>
  <c r="D166" i="2"/>
  <c r="E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E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F260" i="2" s="1"/>
  <c r="D261" i="2"/>
  <c r="D262" i="2"/>
  <c r="D263" i="2"/>
  <c r="D264" i="2"/>
  <c r="D265" i="2"/>
  <c r="D266" i="2"/>
  <c r="D267" i="2"/>
  <c r="D268" i="2"/>
  <c r="D269" i="2"/>
  <c r="D270" i="2"/>
  <c r="D271" i="2"/>
  <c r="E271" i="2"/>
  <c r="D272" i="2"/>
  <c r="D273" i="2"/>
  <c r="D274" i="2"/>
  <c r="D275" i="2"/>
  <c r="D276" i="2"/>
  <c r="D277" i="2"/>
  <c r="D278" i="2"/>
  <c r="D279" i="2"/>
  <c r="D280" i="2"/>
  <c r="D281" i="2"/>
  <c r="D282" i="2"/>
  <c r="D283" i="2"/>
  <c r="D284" i="2"/>
  <c r="D285" i="2"/>
  <c r="D286" i="2"/>
  <c r="D287" i="2"/>
  <c r="D288" i="2"/>
  <c r="D289" i="2"/>
  <c r="D290" i="2"/>
  <c r="D291" i="2"/>
  <c r="E291" i="2"/>
  <c r="D292" i="2"/>
  <c r="D293" i="2"/>
  <c r="D294" i="2"/>
  <c r="D295" i="2"/>
  <c r="D296" i="2"/>
  <c r="D297" i="2"/>
  <c r="D298" i="2"/>
  <c r="D299" i="2"/>
  <c r="D300" i="2"/>
  <c r="D301" i="2"/>
  <c r="D302" i="2"/>
  <c r="D303" i="2"/>
  <c r="D304" i="2"/>
  <c r="E304" i="2"/>
  <c r="D305" i="2"/>
  <c r="E305" i="2"/>
  <c r="D306" i="2"/>
  <c r="D307" i="2"/>
  <c r="D308" i="2"/>
  <c r="D309" i="2"/>
  <c r="D310" i="2"/>
  <c r="D311" i="2"/>
  <c r="D312" i="2"/>
  <c r="D313" i="2"/>
  <c r="E313" i="2"/>
  <c r="D314" i="2"/>
  <c r="E314" i="2"/>
  <c r="D315" i="2"/>
  <c r="D316" i="2"/>
  <c r="D317" i="2"/>
  <c r="E317" i="2"/>
  <c r="D318" i="2"/>
  <c r="D319" i="2"/>
  <c r="E319" i="2"/>
  <c r="D320" i="2"/>
  <c r="D321" i="2"/>
  <c r="D322" i="2"/>
  <c r="D323" i="2"/>
  <c r="D324" i="2"/>
  <c r="D325" i="2"/>
  <c r="D326" i="2"/>
  <c r="E326" i="2"/>
  <c r="D327" i="2"/>
  <c r="E327" i="2"/>
  <c r="D328" i="2"/>
  <c r="E328" i="2"/>
  <c r="D329" i="2"/>
  <c r="E329" i="2"/>
  <c r="D330" i="2"/>
  <c r="E330" i="2"/>
  <c r="D331" i="2"/>
  <c r="E331" i="2"/>
  <c r="D332" i="2"/>
  <c r="E332" i="2"/>
  <c r="D333" i="2"/>
  <c r="E333" i="2"/>
  <c r="D334" i="2"/>
  <c r="E334" i="2"/>
  <c r="D335" i="2"/>
  <c r="E335" i="2"/>
  <c r="D336" i="2"/>
  <c r="E336" i="2"/>
  <c r="D337" i="2"/>
  <c r="E337" i="2"/>
  <c r="D338" i="2"/>
  <c r="E338" i="2"/>
  <c r="D339" i="2"/>
  <c r="E339" i="2"/>
  <c r="A11" i="2"/>
  <c r="A10" i="2"/>
  <c r="A9" i="2"/>
  <c r="A8" i="2"/>
  <c r="A5" i="2"/>
  <c r="A4" i="2"/>
  <c r="A3" i="2"/>
  <c r="A2" i="2"/>
  <c r="K131" i="18" l="1"/>
  <c r="O444" i="7"/>
  <c r="P444" i="7" s="1"/>
  <c r="O511" i="7"/>
  <c r="P511" i="7" s="1"/>
  <c r="O773" i="7"/>
  <c r="P773" i="7" s="1"/>
  <c r="O787" i="7"/>
  <c r="P787" i="7" s="1"/>
  <c r="O832" i="7"/>
  <c r="P832" i="7" s="1"/>
  <c r="O889" i="7"/>
  <c r="P889" i="7" s="1"/>
  <c r="O777" i="7"/>
  <c r="P777" i="7" s="1"/>
  <c r="O902" i="7"/>
  <c r="P902" i="7" s="1"/>
  <c r="K14" i="18"/>
  <c r="N37" i="19"/>
  <c r="L37" i="19"/>
  <c r="L39" i="19" s="1"/>
  <c r="F39" i="19"/>
  <c r="K125" i="18"/>
  <c r="O1057" i="7"/>
  <c r="P1057" i="7" s="1"/>
  <c r="O341" i="7"/>
  <c r="P341" i="7" s="1"/>
  <c r="P343" i="7" s="1"/>
  <c r="O816" i="7"/>
  <c r="P816" i="7" s="1"/>
  <c r="O1043" i="7"/>
  <c r="P1043" i="7" s="1"/>
  <c r="O319" i="7"/>
  <c r="P319" i="7" s="1"/>
  <c r="P321" i="7" s="1"/>
  <c r="O455" i="7"/>
  <c r="P455" i="7" s="1"/>
  <c r="P457" i="7" s="1"/>
  <c r="O648" i="7"/>
  <c r="P648" i="7" s="1"/>
  <c r="O637" i="7"/>
  <c r="P637" i="7" s="1"/>
  <c r="O626" i="7"/>
  <c r="P626" i="7" s="1"/>
  <c r="O615" i="7"/>
  <c r="P615" i="7" s="1"/>
  <c r="J843" i="7"/>
  <c r="K843" i="7" s="1"/>
  <c r="O885" i="7"/>
  <c r="P885" i="7" s="1"/>
  <c r="O1111" i="7"/>
  <c r="P1111" i="7" s="1"/>
  <c r="J1113" i="7"/>
  <c r="K1113" i="7" s="1"/>
  <c r="O1199" i="7"/>
  <c r="P1199" i="7" s="1"/>
  <c r="P1206" i="7" s="1"/>
  <c r="J2118" i="7"/>
  <c r="K2118" i="7" s="1"/>
  <c r="J2165" i="7"/>
  <c r="K2165" i="7" s="1"/>
  <c r="J2181" i="7"/>
  <c r="K2181" i="7" s="1"/>
  <c r="J2197" i="7"/>
  <c r="K2197" i="7" s="1"/>
  <c r="J2213" i="7"/>
  <c r="K2213" i="7" s="1"/>
  <c r="J2229" i="7"/>
  <c r="K2229" i="7" s="1"/>
  <c r="O2301" i="7"/>
  <c r="P2301" i="7" s="1"/>
  <c r="O2331" i="7"/>
  <c r="P2331" i="7" s="1"/>
  <c r="O2361" i="7"/>
  <c r="P2361" i="7" s="1"/>
  <c r="O658" i="7"/>
  <c r="P658" i="7" s="1"/>
  <c r="O646" i="7"/>
  <c r="P646" i="7" s="1"/>
  <c r="O635" i="7"/>
  <c r="P635" i="7" s="1"/>
  <c r="O624" i="7"/>
  <c r="P624" i="7" s="1"/>
  <c r="O613" i="7"/>
  <c r="P613" i="7" s="1"/>
  <c r="O1442" i="7"/>
  <c r="P1442" i="7" s="1"/>
  <c r="P1448" i="7" s="1"/>
  <c r="O660" i="7"/>
  <c r="P660" i="7" s="1"/>
  <c r="O64" i="7"/>
  <c r="P64" i="7" s="1"/>
  <c r="P66" i="7" s="1"/>
  <c r="O831" i="7"/>
  <c r="P831" i="7" s="1"/>
  <c r="O869" i="7"/>
  <c r="P869" i="7" s="1"/>
  <c r="O886" i="7"/>
  <c r="P886" i="7" s="1"/>
  <c r="O904" i="7"/>
  <c r="P904" i="7" s="1"/>
  <c r="O901" i="7"/>
  <c r="P901" i="7" s="1"/>
  <c r="O920" i="7"/>
  <c r="P920" i="7" s="1"/>
  <c r="O933" i="7"/>
  <c r="P933" i="7" s="1"/>
  <c r="O944" i="7"/>
  <c r="P944" i="7" s="1"/>
  <c r="O955" i="7"/>
  <c r="P955" i="7" s="1"/>
  <c r="O966" i="7"/>
  <c r="P966" i="7" s="1"/>
  <c r="O1085" i="7"/>
  <c r="P1085" i="7" s="1"/>
  <c r="J4159" i="7"/>
  <c r="K4159" i="7" s="1"/>
  <c r="L19" i="19"/>
  <c r="K132" i="18"/>
  <c r="P37" i="19"/>
  <c r="P39" i="19" s="1"/>
  <c r="H37" i="19"/>
  <c r="H39" i="19" s="1"/>
  <c r="F40" i="19" s="1"/>
  <c r="T32" i="19" s="1"/>
  <c r="F13" i="15"/>
  <c r="J37" i="19"/>
  <c r="O2056" i="7"/>
  <c r="P2056" i="7" s="1"/>
  <c r="O2117" i="7"/>
  <c r="P2117" i="7" s="1"/>
  <c r="O2430" i="7"/>
  <c r="P2430" i="7" s="1"/>
  <c r="O2588" i="7"/>
  <c r="P2588" i="7" s="1"/>
  <c r="O2180" i="7"/>
  <c r="P2180" i="7" s="1"/>
  <c r="H21" i="8"/>
  <c r="H49" i="8"/>
  <c r="H50" i="8"/>
  <c r="H13" i="8"/>
  <c r="H17" i="8"/>
  <c r="O884" i="7"/>
  <c r="P884" i="7" s="1"/>
  <c r="O1070" i="7"/>
  <c r="P1070" i="7" s="1"/>
  <c r="O4200" i="7"/>
  <c r="P4200" i="7" s="1"/>
  <c r="O2783" i="7"/>
  <c r="P2783" i="7" s="1"/>
  <c r="O2416" i="7"/>
  <c r="P2416" i="7" s="1"/>
  <c r="H40" i="8"/>
  <c r="J855" i="7"/>
  <c r="K855" i="7" s="1"/>
  <c r="F6" i="8"/>
  <c r="H18" i="8"/>
  <c r="O330" i="7"/>
  <c r="P330" i="7" s="1"/>
  <c r="P332" i="7" s="1"/>
  <c r="O445" i="7"/>
  <c r="P445" i="7" s="1"/>
  <c r="O817" i="7"/>
  <c r="P817" i="7" s="1"/>
  <c r="O919" i="7"/>
  <c r="P919" i="7" s="1"/>
  <c r="O1072" i="7"/>
  <c r="P1072" i="7" s="1"/>
  <c r="O352" i="7"/>
  <c r="P352" i="7" s="1"/>
  <c r="P354" i="7" s="1"/>
  <c r="O921" i="7"/>
  <c r="P921" i="7" s="1"/>
  <c r="O4203" i="7"/>
  <c r="P4203" i="7" s="1"/>
  <c r="O4232" i="7"/>
  <c r="P4232" i="7" s="1"/>
  <c r="O2768" i="7"/>
  <c r="P2768" i="7" s="1"/>
  <c r="O888" i="7"/>
  <c r="P888" i="7" s="1"/>
  <c r="O903" i="7"/>
  <c r="P903" i="7" s="1"/>
  <c r="O979" i="7"/>
  <c r="P979" i="7" s="1"/>
  <c r="O1044" i="7"/>
  <c r="P1044" i="7" s="1"/>
  <c r="O545" i="7"/>
  <c r="P545" i="7" s="1"/>
  <c r="P547" i="7" s="1"/>
  <c r="O488" i="7"/>
  <c r="P488" i="7" s="1"/>
  <c r="P490" i="7" s="1"/>
  <c r="J2350" i="7"/>
  <c r="K2350" i="7" s="1"/>
  <c r="J2365" i="7"/>
  <c r="K2365" i="7" s="1"/>
  <c r="G165" i="12"/>
  <c r="J700" i="7"/>
  <c r="K700" i="7" s="1"/>
  <c r="J814" i="7"/>
  <c r="K814" i="7" s="1"/>
  <c r="J1983" i="7"/>
  <c r="K1983" i="7" s="1"/>
  <c r="J2013" i="7"/>
  <c r="K2013" i="7" s="1"/>
  <c r="J2149" i="7"/>
  <c r="K2149" i="7" s="1"/>
  <c r="J3486" i="7"/>
  <c r="K3486" i="7" s="1"/>
  <c r="J1998" i="7"/>
  <c r="K1998" i="7" s="1"/>
  <c r="J687" i="7"/>
  <c r="K687" i="7" s="1"/>
  <c r="J713" i="7"/>
  <c r="K713" i="7" s="1"/>
  <c r="J869" i="7"/>
  <c r="K869" i="7" s="1"/>
  <c r="J1056" i="7"/>
  <c r="K1056" i="7" s="1"/>
  <c r="J1084" i="7"/>
  <c r="K1084" i="7" s="1"/>
  <c r="J1970" i="7"/>
  <c r="K1970" i="7" s="1"/>
  <c r="J2028" i="7"/>
  <c r="K2028" i="7" s="1"/>
  <c r="J2057" i="7"/>
  <c r="K2057" i="7" s="1"/>
  <c r="J2134" i="7"/>
  <c r="K2134" i="7" s="1"/>
  <c r="J2844" i="7"/>
  <c r="K2844" i="7" s="1"/>
  <c r="J714" i="7"/>
  <c r="K714" i="7" s="1"/>
  <c r="J844" i="7"/>
  <c r="K844" i="7" s="1"/>
  <c r="J2119" i="7"/>
  <c r="K2119" i="7" s="1"/>
  <c r="J2259" i="7"/>
  <c r="K2259" i="7" s="1"/>
  <c r="J2287" i="7"/>
  <c r="K2287" i="7" s="1"/>
  <c r="J2431" i="7"/>
  <c r="K2431" i="7" s="1"/>
  <c r="J2829" i="7"/>
  <c r="K2829" i="7" s="1"/>
  <c r="J2088" i="7"/>
  <c r="K2088" i="7" s="1"/>
  <c r="J829" i="7"/>
  <c r="K829" i="7" s="1"/>
  <c r="J856" i="7"/>
  <c r="K856" i="7" s="1"/>
  <c r="J870" i="7"/>
  <c r="K870" i="7" s="1"/>
  <c r="J903" i="7"/>
  <c r="K903" i="7" s="1"/>
  <c r="J1057" i="7"/>
  <c r="K1057" i="7" s="1"/>
  <c r="J2058" i="7"/>
  <c r="K2058" i="7" s="1"/>
  <c r="J2317" i="7"/>
  <c r="K2317" i="7" s="1"/>
  <c r="J2377" i="7"/>
  <c r="K2377" i="7" s="1"/>
  <c r="J2694" i="7"/>
  <c r="K2694" i="7" s="1"/>
  <c r="J2754" i="7"/>
  <c r="K2754" i="7" s="1"/>
  <c r="J2784" i="7"/>
  <c r="K2784" i="7" s="1"/>
  <c r="J4161" i="7"/>
  <c r="K4161" i="7" s="1"/>
  <c r="J932" i="7"/>
  <c r="K932" i="7" s="1"/>
  <c r="K934" i="7" s="1"/>
  <c r="J815" i="7"/>
  <c r="K815" i="7" s="1"/>
  <c r="J2029" i="7"/>
  <c r="K2029" i="7" s="1"/>
  <c r="J2135" i="7"/>
  <c r="K2135" i="7" s="1"/>
  <c r="J2332" i="7"/>
  <c r="K2332" i="7" s="1"/>
  <c r="J2649" i="7"/>
  <c r="K2649" i="7" s="1"/>
  <c r="J1999" i="7"/>
  <c r="K1999" i="7" s="1"/>
  <c r="J673" i="7"/>
  <c r="K673" i="7" s="1"/>
  <c r="J688" i="7"/>
  <c r="K688" i="7" s="1"/>
  <c r="J701" i="7"/>
  <c r="K701" i="7" s="1"/>
  <c r="J886" i="7"/>
  <c r="K886" i="7" s="1"/>
  <c r="J919" i="7"/>
  <c r="K919" i="7" s="1"/>
  <c r="J1085" i="7"/>
  <c r="K1085" i="7" s="1"/>
  <c r="J2014" i="7"/>
  <c r="K2014" i="7" s="1"/>
  <c r="J2103" i="7"/>
  <c r="K2103" i="7" s="1"/>
  <c r="J2166" i="7"/>
  <c r="K2166" i="7" s="1"/>
  <c r="J2245" i="7"/>
  <c r="K2245" i="7" s="1"/>
  <c r="J2273" i="7"/>
  <c r="K2273" i="7" s="1"/>
  <c r="J2417" i="7"/>
  <c r="K2417" i="7" s="1"/>
  <c r="J2709" i="7"/>
  <c r="K2709" i="7" s="1"/>
  <c r="J2799" i="7"/>
  <c r="K2799" i="7" s="1"/>
  <c r="J2845" i="7"/>
  <c r="K2845" i="7" s="1"/>
  <c r="J4160" i="7"/>
  <c r="K4160" i="7" s="1"/>
  <c r="J2043" i="7"/>
  <c r="K2043" i="7" s="1"/>
  <c r="J1042" i="7"/>
  <c r="K1042" i="7" s="1"/>
  <c r="H18" i="19"/>
  <c r="F18" i="19"/>
  <c r="K424" i="7"/>
  <c r="P19" i="19"/>
  <c r="P21" i="19" s="1"/>
  <c r="P23" i="19" s="1"/>
  <c r="L18" i="19"/>
  <c r="H17" i="19"/>
  <c r="F17" i="19"/>
  <c r="N39" i="19"/>
  <c r="N19" i="19"/>
  <c r="J18" i="19"/>
  <c r="J21" i="19" s="1"/>
  <c r="H16" i="19"/>
  <c r="F16" i="19"/>
  <c r="J39" i="19"/>
  <c r="K126" i="18"/>
  <c r="K130" i="18"/>
  <c r="N18" i="19"/>
  <c r="N21" i="19" s="1"/>
  <c r="N23" i="19" s="1"/>
  <c r="H19" i="19"/>
  <c r="F19" i="19"/>
  <c r="G124" i="12"/>
  <c r="G197" i="12"/>
  <c r="G270" i="12"/>
  <c r="G318" i="12"/>
  <c r="O715" i="7"/>
  <c r="P715" i="7" s="1"/>
  <c r="O812" i="7"/>
  <c r="P812" i="7" s="1"/>
  <c r="O867" i="7"/>
  <c r="P867" i="7" s="1"/>
  <c r="O917" i="7"/>
  <c r="P917" i="7" s="1"/>
  <c r="O1056" i="7"/>
  <c r="P1056" i="7" s="1"/>
  <c r="O1368" i="7"/>
  <c r="P1368" i="7" s="1"/>
  <c r="P1375" i="7" s="1"/>
  <c r="O1400" i="7"/>
  <c r="P1400" i="7" s="1"/>
  <c r="P1405" i="7" s="1"/>
  <c r="O1457" i="7"/>
  <c r="P1457" i="7" s="1"/>
  <c r="P1465" i="7" s="1"/>
  <c r="O1488" i="7"/>
  <c r="P1488" i="7" s="1"/>
  <c r="P1492" i="7" s="1"/>
  <c r="J2153" i="7"/>
  <c r="K2153" i="7" s="1"/>
  <c r="J2169" i="7"/>
  <c r="K2169" i="7" s="1"/>
  <c r="J2380" i="7"/>
  <c r="K2380" i="7" s="1"/>
  <c r="J2532" i="7"/>
  <c r="K2532" i="7" s="1"/>
  <c r="J2577" i="7"/>
  <c r="K2577" i="7" s="1"/>
  <c r="J2622" i="7"/>
  <c r="K2622" i="7" s="1"/>
  <c r="J2652" i="7"/>
  <c r="K2652" i="7" s="1"/>
  <c r="J2697" i="7"/>
  <c r="K2697" i="7" s="1"/>
  <c r="J2727" i="7"/>
  <c r="K2727" i="7" s="1"/>
  <c r="J2757" i="7"/>
  <c r="K2757" i="7" s="1"/>
  <c r="J2802" i="7"/>
  <c r="K2802" i="7" s="1"/>
  <c r="J2831" i="7"/>
  <c r="K2831" i="7" s="1"/>
  <c r="J2091" i="7"/>
  <c r="K2091" i="7" s="1"/>
  <c r="O702" i="7"/>
  <c r="P702" i="7" s="1"/>
  <c r="O814" i="7"/>
  <c r="P814" i="7" s="1"/>
  <c r="O827" i="7"/>
  <c r="P827" i="7" s="1"/>
  <c r="J2061" i="7"/>
  <c r="K2061" i="7" s="1"/>
  <c r="J2290" i="7"/>
  <c r="K2290" i="7" s="1"/>
  <c r="J2305" i="7"/>
  <c r="K2305" i="7" s="1"/>
  <c r="J2395" i="7"/>
  <c r="K2395" i="7" s="1"/>
  <c r="J2562" i="7"/>
  <c r="K2562" i="7" s="1"/>
  <c r="J2607" i="7"/>
  <c r="K2607" i="7" s="1"/>
  <c r="J2682" i="7"/>
  <c r="K2682" i="7" s="1"/>
  <c r="J2742" i="7"/>
  <c r="K2742" i="7" s="1"/>
  <c r="J2772" i="7"/>
  <c r="K2772" i="7" s="1"/>
  <c r="F13" i="9"/>
  <c r="D18" i="9"/>
  <c r="F18" i="9" s="1"/>
  <c r="G325" i="12"/>
  <c r="G329" i="12"/>
  <c r="G337" i="12"/>
  <c r="O43" i="7"/>
  <c r="P43" i="7" s="1"/>
  <c r="O53" i="7"/>
  <c r="P53" i="7" s="1"/>
  <c r="P55" i="7" s="1"/>
  <c r="O499" i="7"/>
  <c r="P499" i="7" s="1"/>
  <c r="P501" i="7" s="1"/>
  <c r="O883" i="7"/>
  <c r="P883" i="7" s="1"/>
  <c r="O900" i="7"/>
  <c r="P900" i="7" s="1"/>
  <c r="O1384" i="7"/>
  <c r="P1384" i="7" s="1"/>
  <c r="P1391" i="7" s="1"/>
  <c r="O1427" i="7"/>
  <c r="P1427" i="7" s="1"/>
  <c r="P1433" i="7" s="1"/>
  <c r="J2076" i="7"/>
  <c r="K2076" i="7" s="1"/>
  <c r="J2106" i="7"/>
  <c r="K2106" i="7" s="1"/>
  <c r="J2320" i="7"/>
  <c r="K2320" i="7" s="1"/>
  <c r="J2335" i="7"/>
  <c r="K2335" i="7" s="1"/>
  <c r="J2547" i="7"/>
  <c r="K2547" i="7" s="1"/>
  <c r="J2592" i="7"/>
  <c r="K2592" i="7" s="1"/>
  <c r="J2667" i="7"/>
  <c r="K2667" i="7" s="1"/>
  <c r="J2712" i="7"/>
  <c r="K2712" i="7" s="1"/>
  <c r="J2787" i="7"/>
  <c r="K2787" i="7" s="1"/>
  <c r="J1346" i="7"/>
  <c r="K1346" i="7" s="1"/>
  <c r="O4256" i="7"/>
  <c r="P4256" i="7" s="1"/>
  <c r="O774" i="7"/>
  <c r="P774" i="7" s="1"/>
  <c r="O990" i="7"/>
  <c r="P990" i="7" s="1"/>
  <c r="O41" i="7"/>
  <c r="P41" i="7" s="1"/>
  <c r="P44" i="7" s="1"/>
  <c r="O976" i="7"/>
  <c r="P976" i="7" s="1"/>
  <c r="O6" i="15"/>
  <c r="P6" i="15" s="1"/>
  <c r="O10" i="16"/>
  <c r="P10" i="16" s="1"/>
  <c r="O6" i="16"/>
  <c r="P6" i="16" s="1"/>
  <c r="O1551" i="7"/>
  <c r="P1551" i="7" s="1"/>
  <c r="O1611" i="7"/>
  <c r="P1611" i="7" s="1"/>
  <c r="H30" i="8"/>
  <c r="O1563" i="7"/>
  <c r="P1563" i="7" s="1"/>
  <c r="O1599" i="7"/>
  <c r="P1599" i="7" s="1"/>
  <c r="G312" i="12"/>
  <c r="O670" i="7"/>
  <c r="P670" i="7" s="1"/>
  <c r="P676" i="7" s="1"/>
  <c r="O685" i="7"/>
  <c r="P685" i="7" s="1"/>
  <c r="P691" i="7" s="1"/>
  <c r="O557" i="7"/>
  <c r="P557" i="7" s="1"/>
  <c r="P559" i="7" s="1"/>
  <c r="O534" i="7"/>
  <c r="P534" i="7" s="1"/>
  <c r="O522" i="7"/>
  <c r="P522" i="7" s="1"/>
  <c r="P524" i="7" s="1"/>
  <c r="O366" i="7"/>
  <c r="P366" i="7" s="1"/>
  <c r="O378" i="7"/>
  <c r="P378" i="7" s="1"/>
  <c r="H36" i="8"/>
  <c r="O788" i="7"/>
  <c r="P788" i="7" s="1"/>
  <c r="O813" i="7"/>
  <c r="P813" i="7" s="1"/>
  <c r="O828" i="7"/>
  <c r="P828" i="7" s="1"/>
  <c r="O916" i="7"/>
  <c r="P916" i="7" s="1"/>
  <c r="O1003" i="7"/>
  <c r="P1003" i="7" s="1"/>
  <c r="O1108" i="7"/>
  <c r="P1108" i="7" s="1"/>
  <c r="O1231" i="7"/>
  <c r="P1231" i="7" s="1"/>
  <c r="O1669" i="7"/>
  <c r="P1669" i="7" s="1"/>
  <c r="O4115" i="7"/>
  <c r="P4115" i="7" s="1"/>
  <c r="O4116" i="7"/>
  <c r="P4116" i="7" s="1"/>
  <c r="O284" i="7"/>
  <c r="P284" i="7" s="1"/>
  <c r="O799" i="7"/>
  <c r="P799" i="7" s="1"/>
  <c r="O1016" i="7"/>
  <c r="P1016" i="7" s="1"/>
  <c r="O1029" i="7"/>
  <c r="P1029" i="7" s="1"/>
  <c r="O365" i="7"/>
  <c r="P365" i="7" s="1"/>
  <c r="O31" i="7"/>
  <c r="P31" i="7" s="1"/>
  <c r="P32" i="7" s="1"/>
  <c r="K33" i="7" s="1"/>
  <c r="F6" i="9"/>
  <c r="F8" i="9"/>
  <c r="G303" i="12"/>
  <c r="G313" i="12"/>
  <c r="O533" i="7"/>
  <c r="P533" i="7" s="1"/>
  <c r="G335" i="12"/>
  <c r="J9" i="17"/>
  <c r="K9" i="17" s="1"/>
  <c r="J3502" i="7"/>
  <c r="K3502" i="7" s="1"/>
  <c r="F10" i="9"/>
  <c r="G62" i="4" s="1"/>
  <c r="F327" i="2"/>
  <c r="F305" i="2"/>
  <c r="F126" i="2"/>
  <c r="F124" i="2"/>
  <c r="F12" i="9"/>
  <c r="G101" i="12"/>
  <c r="G120" i="12"/>
  <c r="O4244" i="7"/>
  <c r="P4244" i="7" s="1"/>
  <c r="O4279" i="7"/>
  <c r="P4279" i="7" s="1"/>
  <c r="O801" i="7"/>
  <c r="P801" i="7" s="1"/>
  <c r="O776" i="7"/>
  <c r="P776" i="7" s="1"/>
  <c r="O3959" i="7"/>
  <c r="P3959" i="7" s="1"/>
  <c r="O3948" i="7"/>
  <c r="P3948" i="7" s="1"/>
  <c r="O4139" i="7"/>
  <c r="P4139" i="7" s="1"/>
  <c r="P4141" i="7" s="1"/>
  <c r="O751" i="7"/>
  <c r="P751" i="7" s="1"/>
  <c r="P753" i="7" s="1"/>
  <c r="O762" i="7"/>
  <c r="P762" i="7" s="1"/>
  <c r="P764" i="7" s="1"/>
  <c r="O400" i="7"/>
  <c r="P400" i="7" s="1"/>
  <c r="P402" i="7" s="1"/>
  <c r="O389" i="7"/>
  <c r="P389" i="7" s="1"/>
  <c r="P391" i="7" s="1"/>
  <c r="O2086" i="7"/>
  <c r="P2086" i="7" s="1"/>
  <c r="O2722" i="7"/>
  <c r="P2722" i="7" s="1"/>
  <c r="O2271" i="7"/>
  <c r="P2271" i="7" s="1"/>
  <c r="O2767" i="7"/>
  <c r="P2767" i="7" s="1"/>
  <c r="O2752" i="7"/>
  <c r="P2752" i="7" s="1"/>
  <c r="F13" i="16"/>
  <c r="F16" i="9"/>
  <c r="F122" i="2"/>
  <c r="F98" i="2"/>
  <c r="G37" i="12"/>
  <c r="G125" i="12"/>
  <c r="G326" i="12"/>
  <c r="G330" i="12"/>
  <c r="G334" i="12"/>
  <c r="O510" i="7"/>
  <c r="P510" i="7" s="1"/>
  <c r="O1164" i="7"/>
  <c r="P1164" i="7" s="1"/>
  <c r="O1573" i="7"/>
  <c r="P1573" i="7" s="1"/>
  <c r="O1621" i="7"/>
  <c r="P1621" i="7" s="1"/>
  <c r="F120" i="2"/>
  <c r="F157" i="2"/>
  <c r="H14" i="8"/>
  <c r="H26" i="8"/>
  <c r="H46" i="8"/>
  <c r="D19" i="9"/>
  <c r="F19" i="9" s="1"/>
  <c r="D22" i="9"/>
  <c r="F22" i="9" s="1"/>
  <c r="F5" i="9"/>
  <c r="F7" i="9"/>
  <c r="F9" i="9"/>
  <c r="G336" i="12"/>
  <c r="F14" i="9"/>
  <c r="F21" i="9"/>
  <c r="G333" i="12"/>
  <c r="O1585" i="7"/>
  <c r="P1585" i="7" s="1"/>
  <c r="O4216" i="7"/>
  <c r="P4216" i="7" s="1"/>
  <c r="F15" i="9"/>
  <c r="G111" i="4" s="1"/>
  <c r="F15" i="14"/>
  <c r="H15" i="14" s="1"/>
  <c r="G97" i="12"/>
  <c r="F304" i="2"/>
  <c r="F127" i="2"/>
  <c r="I195" i="18"/>
  <c r="I196" i="18" s="1"/>
  <c r="O196" i="18" s="1"/>
  <c r="K12" i="18"/>
  <c r="F158" i="18"/>
  <c r="K43" i="18"/>
  <c r="F1540" i="7"/>
  <c r="F1304" i="7"/>
  <c r="K1503" i="7"/>
  <c r="P1503" i="7" s="1"/>
  <c r="F1859" i="7"/>
  <c r="F1903" i="7"/>
  <c r="F4067" i="7"/>
  <c r="F4270" i="7"/>
  <c r="P4269" i="7" s="1"/>
  <c r="J124" i="7"/>
  <c r="K124" i="7" s="1"/>
  <c r="K112" i="7"/>
  <c r="F1006" i="7"/>
  <c r="F1246" i="7"/>
  <c r="K1245" i="7" s="1"/>
  <c r="F1744" i="7"/>
  <c r="F1779" i="7"/>
  <c r="K1799" i="7"/>
  <c r="F1824" i="7"/>
  <c r="K1859" i="7"/>
  <c r="P1859" i="7" s="1"/>
  <c r="U1859" i="7" s="1"/>
  <c r="U1860" i="7" s="1"/>
  <c r="U2917" i="7"/>
  <c r="F3680" i="7"/>
  <c r="F1503" i="7"/>
  <c r="F1375" i="7"/>
  <c r="K1744" i="7"/>
  <c r="P1744" i="7" s="1"/>
  <c r="F4092" i="7"/>
  <c r="K4089" i="7" s="1"/>
  <c r="K3418" i="7"/>
  <c r="F3418" i="7"/>
  <c r="F115" i="7"/>
  <c r="P112" i="7" s="1"/>
  <c r="P115" i="7" s="1"/>
  <c r="F536" i="7"/>
  <c r="F1337" i="7"/>
  <c r="K1937" i="7"/>
  <c r="F2154" i="7"/>
  <c r="F3063" i="7"/>
  <c r="F3573" i="7"/>
  <c r="F3774" i="7"/>
  <c r="F3950" i="7"/>
  <c r="F3102" i="7"/>
  <c r="F3338" i="7"/>
  <c r="F273" i="7"/>
  <c r="F274" i="7" s="1"/>
  <c r="F1636" i="7"/>
  <c r="F3246" i="7"/>
  <c r="K62" i="4"/>
  <c r="O855" i="7"/>
  <c r="P855" i="7" s="1"/>
  <c r="P857" i="7" s="1"/>
  <c r="O843" i="7"/>
  <c r="P843" i="7" s="1"/>
  <c r="O775" i="7"/>
  <c r="P775" i="7" s="1"/>
  <c r="O800" i="7"/>
  <c r="P800" i="7" s="1"/>
  <c r="O2632" i="7"/>
  <c r="P2632" i="7" s="1"/>
  <c r="O3689" i="7"/>
  <c r="P3689" i="7" s="1"/>
  <c r="P3694" i="7" s="1"/>
  <c r="O3661" i="7"/>
  <c r="P3661" i="7" s="1"/>
  <c r="P3666" i="7" s="1"/>
  <c r="O3500" i="7"/>
  <c r="P3500" i="7" s="1"/>
  <c r="O2737" i="7"/>
  <c r="P2737" i="7" s="1"/>
  <c r="O2662" i="7"/>
  <c r="P2662" i="7" s="1"/>
  <c r="O2587" i="7"/>
  <c r="P2587" i="7" s="1"/>
  <c r="O2572" i="7"/>
  <c r="P2572" i="7" s="1"/>
  <c r="O2557" i="7"/>
  <c r="P2557" i="7" s="1"/>
  <c r="O1996" i="7"/>
  <c r="P1996" i="7" s="1"/>
  <c r="O3856" i="7"/>
  <c r="P3856" i="7" s="1"/>
  <c r="P3860" i="7" s="1"/>
  <c r="O3745" i="7"/>
  <c r="P3745" i="7" s="1"/>
  <c r="P3750" i="7" s="1"/>
  <c r="O3717" i="7"/>
  <c r="P3717" i="7" s="1"/>
  <c r="P3722" i="7" s="1"/>
  <c r="O3468" i="7"/>
  <c r="P3468" i="7" s="1"/>
  <c r="O2812" i="7"/>
  <c r="P2812" i="7" s="1"/>
  <c r="O2677" i="7"/>
  <c r="P2677" i="7" s="1"/>
  <c r="O2617" i="7"/>
  <c r="P2617" i="7" s="1"/>
  <c r="O2602" i="7"/>
  <c r="P2602" i="7" s="1"/>
  <c r="O2527" i="7"/>
  <c r="P2527" i="7" s="1"/>
  <c r="O2513" i="7"/>
  <c r="P2513" i="7" s="1"/>
  <c r="O3869" i="7"/>
  <c r="P3869" i="7" s="1"/>
  <c r="P3873" i="7" s="1"/>
  <c r="O3819" i="7"/>
  <c r="P3819" i="7" s="1"/>
  <c r="P3822" i="7" s="1"/>
  <c r="O3795" i="7"/>
  <c r="P3795" i="7" s="1"/>
  <c r="P3798" i="7" s="1"/>
  <c r="O3634" i="7"/>
  <c r="P3634" i="7" s="1"/>
  <c r="P3638" i="7" s="1"/>
  <c r="O3608" i="7"/>
  <c r="P3608" i="7" s="1"/>
  <c r="P3612" i="7" s="1"/>
  <c r="O2797" i="7"/>
  <c r="P2797" i="7" s="1"/>
  <c r="O2499" i="7"/>
  <c r="P2499" i="7" s="1"/>
  <c r="O2485" i="7"/>
  <c r="P2485" i="7" s="1"/>
  <c r="O2471" i="7"/>
  <c r="P2471" i="7" s="1"/>
  <c r="O2457" i="7"/>
  <c r="P2457" i="7" s="1"/>
  <c r="O2375" i="7"/>
  <c r="P2375" i="7" s="1"/>
  <c r="O2243" i="7"/>
  <c r="P2243" i="7" s="1"/>
  <c r="O2211" i="7"/>
  <c r="P2211" i="7" s="1"/>
  <c r="O2071" i="7"/>
  <c r="P2071" i="7" s="1"/>
  <c r="O2026" i="7"/>
  <c r="P2026" i="7" s="1"/>
  <c r="O1126" i="7"/>
  <c r="P1126" i="7" s="1"/>
  <c r="P1129" i="7" s="1"/>
  <c r="O3783" i="7"/>
  <c r="P3783" i="7" s="1"/>
  <c r="P3786" i="7" s="1"/>
  <c r="O3582" i="7"/>
  <c r="P3582" i="7" s="1"/>
  <c r="P3586" i="7" s="1"/>
  <c r="O2827" i="7"/>
  <c r="P2827" i="7" s="1"/>
  <c r="O2782" i="7"/>
  <c r="P2782" i="7" s="1"/>
  <c r="O2429" i="7"/>
  <c r="P2429" i="7" s="1"/>
  <c r="O2415" i="7"/>
  <c r="P2415" i="7" s="1"/>
  <c r="O2360" i="7"/>
  <c r="P2360" i="7" s="1"/>
  <c r="O2330" i="7"/>
  <c r="P2330" i="7" s="1"/>
  <c r="P2336" i="7" s="1"/>
  <c r="O2300" i="7"/>
  <c r="P2300" i="7" s="1"/>
  <c r="O2179" i="7"/>
  <c r="P2179" i="7" s="1"/>
  <c r="O2147" i="7"/>
  <c r="P2147" i="7" s="1"/>
  <c r="O2116" i="7"/>
  <c r="P2116" i="7" s="1"/>
  <c r="O2101" i="7"/>
  <c r="P2101" i="7" s="1"/>
  <c r="O1165" i="7"/>
  <c r="P1165" i="7" s="1"/>
  <c r="O3040" i="7"/>
  <c r="P3040" i="7" s="1"/>
  <c r="O2964" i="7"/>
  <c r="P2964" i="7" s="1"/>
  <c r="O2869" i="7"/>
  <c r="P2869" i="7" s="1"/>
  <c r="O3021" i="7"/>
  <c r="P3021" i="7" s="1"/>
  <c r="O3002" i="7"/>
  <c r="P3002" i="7" s="1"/>
  <c r="O2983" i="7"/>
  <c r="P2983" i="7" s="1"/>
  <c r="O2926" i="7"/>
  <c r="P2926" i="7" s="1"/>
  <c r="O2907" i="7"/>
  <c r="P2907" i="7" s="1"/>
  <c r="O2888" i="7"/>
  <c r="P2888" i="7" s="1"/>
  <c r="O1622" i="7"/>
  <c r="P1622" i="7" s="1"/>
  <c r="O1574" i="7"/>
  <c r="P1574" i="7" s="1"/>
  <c r="O1610" i="7"/>
  <c r="P1610" i="7" s="1"/>
  <c r="O1562" i="7"/>
  <c r="P1562" i="7" s="1"/>
  <c r="O3469" i="7"/>
  <c r="P3469" i="7" s="1"/>
  <c r="O3501" i="7"/>
  <c r="P3501" i="7" s="1"/>
  <c r="O1645" i="7"/>
  <c r="P1645" i="7" s="1"/>
  <c r="O1609" i="7"/>
  <c r="P1609" i="7" s="1"/>
  <c r="O1561" i="7"/>
  <c r="P1561" i="7" s="1"/>
  <c r="O1670" i="7"/>
  <c r="P1670" i="7" s="1"/>
  <c r="O1657" i="7"/>
  <c r="P1657" i="7" s="1"/>
  <c r="O1597" i="7"/>
  <c r="P1597" i="7" s="1"/>
  <c r="O1549" i="7"/>
  <c r="P1549" i="7" s="1"/>
  <c r="J1788" i="7"/>
  <c r="K1788" i="7" s="1"/>
  <c r="J1878" i="7"/>
  <c r="K1878" i="7" s="1"/>
  <c r="O4231" i="7"/>
  <c r="P4231" i="7" s="1"/>
  <c r="O4202" i="7"/>
  <c r="P4202" i="7" s="1"/>
  <c r="O4217" i="7"/>
  <c r="P4217" i="7" s="1"/>
  <c r="O11" i="17"/>
  <c r="P11" i="17" s="1"/>
  <c r="O27" i="20"/>
  <c r="P27" i="20" s="1"/>
  <c r="O9" i="20"/>
  <c r="P9" i="20" s="1"/>
  <c r="O9" i="15"/>
  <c r="P9" i="15" s="1"/>
  <c r="O9" i="16"/>
  <c r="P9" i="16" s="1"/>
  <c r="O4153" i="7"/>
  <c r="P4153" i="7" s="1"/>
  <c r="O1058" i="7"/>
  <c r="P1058" i="7" s="1"/>
  <c r="O8" i="17"/>
  <c r="P8" i="17" s="1"/>
  <c r="O26" i="20"/>
  <c r="P26" i="20" s="1"/>
  <c r="O8" i="20"/>
  <c r="P8" i="20" s="1"/>
  <c r="O2087" i="7"/>
  <c r="P2087" i="7" s="1"/>
  <c r="O2678" i="7"/>
  <c r="P2678" i="7" s="1"/>
  <c r="O2618" i="7"/>
  <c r="P2618" i="7" s="1"/>
  <c r="O2603" i="7"/>
  <c r="P2603" i="7" s="1"/>
  <c r="O2528" i="7"/>
  <c r="P2528" i="7" s="1"/>
  <c r="O2514" i="7"/>
  <c r="P2514" i="7" s="1"/>
  <c r="O3960" i="7"/>
  <c r="P3960" i="7" s="1"/>
  <c r="O3949" i="7"/>
  <c r="P3949" i="7" s="1"/>
  <c r="O2828" i="7"/>
  <c r="P2828" i="7" s="1"/>
  <c r="O2753" i="7"/>
  <c r="P2753" i="7" s="1"/>
  <c r="O2723" i="7"/>
  <c r="P2723" i="7" s="1"/>
  <c r="O2708" i="7"/>
  <c r="P2708" i="7" s="1"/>
  <c r="O2693" i="7"/>
  <c r="P2693" i="7" s="1"/>
  <c r="O2500" i="7"/>
  <c r="P2500" i="7" s="1"/>
  <c r="O2486" i="7"/>
  <c r="P2486" i="7" s="1"/>
  <c r="O2472" i="7"/>
  <c r="P2472" i="7" s="1"/>
  <c r="O2458" i="7"/>
  <c r="P2458" i="7" s="1"/>
  <c r="O1997" i="7"/>
  <c r="P1997" i="7" s="1"/>
  <c r="O2042" i="7"/>
  <c r="P2042" i="7" s="1"/>
  <c r="O2573" i="7"/>
  <c r="P2573" i="7" s="1"/>
  <c r="O2543" i="7"/>
  <c r="P2543" i="7" s="1"/>
  <c r="O2391" i="7"/>
  <c r="P2391" i="7" s="1"/>
  <c r="O2346" i="7"/>
  <c r="P2346" i="7" s="1"/>
  <c r="O2316" i="7"/>
  <c r="P2316" i="7" s="1"/>
  <c r="O2286" i="7"/>
  <c r="P2286" i="7" s="1"/>
  <c r="O2272" i="7"/>
  <c r="P2272" i="7" s="1"/>
  <c r="O2196" i="7"/>
  <c r="P2196" i="7" s="1"/>
  <c r="O2164" i="7"/>
  <c r="P2164" i="7" s="1"/>
  <c r="O2133" i="7"/>
  <c r="P2133" i="7" s="1"/>
  <c r="O8" i="16"/>
  <c r="P8" i="16" s="1"/>
  <c r="O8" i="15"/>
  <c r="P8" i="15" s="1"/>
  <c r="O2798" i="7"/>
  <c r="P2798" i="7" s="1"/>
  <c r="O2738" i="7"/>
  <c r="P2738" i="7" s="1"/>
  <c r="O2663" i="7"/>
  <c r="P2663" i="7" s="1"/>
  <c r="O2558" i="7"/>
  <c r="P2558" i="7" s="1"/>
  <c r="O2376" i="7"/>
  <c r="P2376" i="7" s="1"/>
  <c r="O2258" i="7"/>
  <c r="P2258" i="7" s="1"/>
  <c r="O2244" i="7"/>
  <c r="P2244" i="7" s="1"/>
  <c r="O2212" i="7"/>
  <c r="P2212" i="7" s="1"/>
  <c r="O2072" i="7"/>
  <c r="P2072" i="7" s="1"/>
  <c r="O2027" i="7"/>
  <c r="P2027" i="7" s="1"/>
  <c r="O4219" i="7"/>
  <c r="P4219" i="7" s="1"/>
  <c r="L9" i="10"/>
  <c r="O4233" i="7"/>
  <c r="P4233" i="7" s="1"/>
  <c r="F339" i="2"/>
  <c r="F337" i="2"/>
  <c r="F335" i="2"/>
  <c r="F333" i="2"/>
  <c r="F331" i="2"/>
  <c r="F329" i="2"/>
  <c r="F313" i="2"/>
  <c r="F104" i="2"/>
  <c r="F102" i="2"/>
  <c r="H33" i="8"/>
  <c r="H43" i="8"/>
  <c r="G126" i="12"/>
  <c r="G316" i="12"/>
  <c r="G327" i="12"/>
  <c r="G338" i="12"/>
  <c r="O282" i="7"/>
  <c r="P282" i="7" s="1"/>
  <c r="O377" i="7"/>
  <c r="P377" i="7" s="1"/>
  <c r="O700" i="7"/>
  <c r="P700" i="7" s="1"/>
  <c r="O842" i="7"/>
  <c r="P842" i="7" s="1"/>
  <c r="F845" i="7"/>
  <c r="O932" i="7"/>
  <c r="P932" i="7" s="1"/>
  <c r="O965" i="7"/>
  <c r="P965" i="7" s="1"/>
  <c r="O1040" i="7"/>
  <c r="P1040" i="7" s="1"/>
  <c r="O1068" i="7"/>
  <c r="P1068" i="7" s="1"/>
  <c r="O1082" i="7"/>
  <c r="P1082" i="7" s="1"/>
  <c r="O1970" i="7"/>
  <c r="P1970" i="7" s="1"/>
  <c r="O2132" i="7"/>
  <c r="P2132" i="7" s="1"/>
  <c r="O2163" i="7"/>
  <c r="P2163" i="7" s="1"/>
  <c r="O2345" i="7"/>
  <c r="P2345" i="7" s="1"/>
  <c r="O2842" i="7"/>
  <c r="P2842" i="7" s="1"/>
  <c r="O2945" i="7"/>
  <c r="P2945" i="7" s="1"/>
  <c r="O9" i="17"/>
  <c r="P9" i="17" s="1"/>
  <c r="O10" i="20"/>
  <c r="P10" i="20" s="1"/>
  <c r="O28" i="20"/>
  <c r="P28" i="20" s="1"/>
  <c r="O4205" i="7"/>
  <c r="P4205" i="7" s="1"/>
  <c r="O1071" i="7"/>
  <c r="P1071" i="7" s="1"/>
  <c r="O992" i="7"/>
  <c r="P992" i="7" s="1"/>
  <c r="F5" i="8"/>
  <c r="H12" i="8"/>
  <c r="H16" i="8"/>
  <c r="H20" i="8"/>
  <c r="H28" i="8"/>
  <c r="H32" i="8"/>
  <c r="H38" i="8"/>
  <c r="H42" i="8"/>
  <c r="H48" i="8"/>
  <c r="H52" i="8"/>
  <c r="D20" i="9"/>
  <c r="F20" i="9" s="1"/>
  <c r="J79" i="9"/>
  <c r="D26" i="9" s="1"/>
  <c r="F26" i="9" s="1"/>
  <c r="G14" i="12"/>
  <c r="G103" i="12"/>
  <c r="G118" i="12"/>
  <c r="G145" i="12"/>
  <c r="G156" i="12"/>
  <c r="G328" i="12"/>
  <c r="G332" i="12"/>
  <c r="O75" i="7"/>
  <c r="P75" i="7" s="1"/>
  <c r="O512" i="7"/>
  <c r="P512" i="7" s="1"/>
  <c r="F513" i="7"/>
  <c r="F790" i="7"/>
  <c r="O802" i="7"/>
  <c r="P802" i="7" s="1"/>
  <c r="O815" i="7"/>
  <c r="P815" i="7" s="1"/>
  <c r="O830" i="7"/>
  <c r="P830" i="7" s="1"/>
  <c r="O871" i="7"/>
  <c r="P871" i="7" s="1"/>
  <c r="O943" i="7"/>
  <c r="P943" i="7" s="1"/>
  <c r="O954" i="7"/>
  <c r="P954" i="7" s="1"/>
  <c r="F967" i="7"/>
  <c r="O1004" i="7"/>
  <c r="P1004" i="7" s="1"/>
  <c r="O1041" i="7"/>
  <c r="P1041" i="7" s="1"/>
  <c r="O1055" i="7"/>
  <c r="P1055" i="7" s="1"/>
  <c r="O1069" i="7"/>
  <c r="P1069" i="7" s="1"/>
  <c r="O1083" i="7"/>
  <c r="P1083" i="7" s="1"/>
  <c r="O1232" i="7"/>
  <c r="P1232" i="7" s="1"/>
  <c r="O1346" i="7"/>
  <c r="P1346" i="7" s="1"/>
  <c r="O1550" i="7"/>
  <c r="P1550" i="7" s="1"/>
  <c r="O1586" i="7"/>
  <c r="P1586" i="7" s="1"/>
  <c r="O1598" i="7"/>
  <c r="P1598" i="7" s="1"/>
  <c r="O1634" i="7"/>
  <c r="P1634" i="7" s="1"/>
  <c r="O1646" i="7"/>
  <c r="P1646" i="7" s="1"/>
  <c r="O1658" i="7"/>
  <c r="P1658" i="7" s="1"/>
  <c r="J1867" i="7"/>
  <c r="K1867" i="7" s="1"/>
  <c r="F1880" i="7"/>
  <c r="J1889" i="7"/>
  <c r="K1889" i="7" s="1"/>
  <c r="O1971" i="7"/>
  <c r="P1971" i="7" s="1"/>
  <c r="O2102" i="7"/>
  <c r="P2102" i="7" s="1"/>
  <c r="O2148" i="7"/>
  <c r="P2148" i="7" s="1"/>
  <c r="O2227" i="7"/>
  <c r="P2227" i="7" s="1"/>
  <c r="O2257" i="7"/>
  <c r="P2257" i="7" s="1"/>
  <c r="O2285" i="7"/>
  <c r="P2285" i="7" s="1"/>
  <c r="O2315" i="7"/>
  <c r="P2315" i="7" s="1"/>
  <c r="O2390" i="7"/>
  <c r="P2390" i="7" s="1"/>
  <c r="O2542" i="7"/>
  <c r="P2542" i="7" s="1"/>
  <c r="O2692" i="7"/>
  <c r="P2692" i="7" s="1"/>
  <c r="O2813" i="7"/>
  <c r="P2813" i="7" s="1"/>
  <c r="O2843" i="7"/>
  <c r="P2843" i="7" s="1"/>
  <c r="O1635" i="7"/>
  <c r="P1635" i="7" s="1"/>
  <c r="O1587" i="7"/>
  <c r="P1587" i="7" s="1"/>
  <c r="O1659" i="7"/>
  <c r="P1659" i="7" s="1"/>
  <c r="O1623" i="7"/>
  <c r="P1623" i="7" s="1"/>
  <c r="O1575" i="7"/>
  <c r="P1575" i="7" s="1"/>
  <c r="O4267" i="7"/>
  <c r="P4267" i="7" s="1"/>
  <c r="O4291" i="7"/>
  <c r="P4291" i="7" s="1"/>
  <c r="O1110" i="7"/>
  <c r="P1110" i="7" s="1"/>
  <c r="O4175" i="7"/>
  <c r="P4175" i="7" s="1"/>
  <c r="O4431" i="7"/>
  <c r="P4431" i="7" s="1"/>
  <c r="P4436" i="7" s="1"/>
  <c r="O4006" i="7"/>
  <c r="P4006" i="7" s="1"/>
  <c r="P4009" i="7" s="1"/>
  <c r="O3982" i="7"/>
  <c r="P3982" i="7" s="1"/>
  <c r="P3985" i="7" s="1"/>
  <c r="O1347" i="7"/>
  <c r="P1347" i="7" s="1"/>
  <c r="O4415" i="7"/>
  <c r="P4415" i="7" s="1"/>
  <c r="P4422" i="7" s="1"/>
  <c r="O3994" i="7"/>
  <c r="P3994" i="7" s="1"/>
  <c r="P3997" i="7" s="1"/>
  <c r="O1336" i="7"/>
  <c r="P1336" i="7" s="1"/>
  <c r="P1337" i="7" s="1"/>
  <c r="O1215" i="7"/>
  <c r="P1215" i="7" s="1"/>
  <c r="P1222" i="7" s="1"/>
  <c r="O7" i="20"/>
  <c r="P7" i="20" s="1"/>
  <c r="O7" i="17"/>
  <c r="P7" i="17" s="1"/>
  <c r="O25" i="20"/>
  <c r="P25" i="20" s="1"/>
  <c r="O7" i="16"/>
  <c r="P7" i="16" s="1"/>
  <c r="O7" i="15"/>
  <c r="P7" i="15" s="1"/>
  <c r="O1084" i="7"/>
  <c r="P1084" i="7" s="1"/>
  <c r="O1042" i="7"/>
  <c r="P1042" i="7" s="1"/>
  <c r="O978" i="7"/>
  <c r="P978" i="7" s="1"/>
  <c r="H29" i="8"/>
  <c r="H39" i="8"/>
  <c r="G102" i="12"/>
  <c r="G121" i="12"/>
  <c r="G304" i="12"/>
  <c r="G331" i="12"/>
  <c r="F326" i="2"/>
  <c r="F319" i="2"/>
  <c r="F271" i="2"/>
  <c r="F166" i="2"/>
  <c r="F125" i="2"/>
  <c r="F121" i="2"/>
  <c r="F119" i="2"/>
  <c r="F338" i="2"/>
  <c r="F336" i="2"/>
  <c r="F334" i="2"/>
  <c r="F332" i="2"/>
  <c r="F330" i="2"/>
  <c r="F328" i="2"/>
  <c r="F317" i="2"/>
  <c r="F314" i="2"/>
  <c r="F291" i="2"/>
  <c r="F198" i="2"/>
  <c r="F146" i="2"/>
  <c r="F105" i="2"/>
  <c r="F103" i="2"/>
  <c r="F38" i="2"/>
  <c r="F15" i="2"/>
  <c r="F342" i="2" s="1"/>
  <c r="O4118" i="7"/>
  <c r="P4118" i="7" s="1"/>
  <c r="F8" i="8"/>
  <c r="H15" i="8"/>
  <c r="H19" i="8"/>
  <c r="H27" i="8"/>
  <c r="H31" i="8"/>
  <c r="H37" i="8"/>
  <c r="H41" i="8"/>
  <c r="H47" i="8"/>
  <c r="D17" i="9"/>
  <c r="F17" i="9" s="1"/>
  <c r="J78" i="9"/>
  <c r="D25" i="9" s="1"/>
  <c r="F25" i="9" s="1"/>
  <c r="G104" i="12"/>
  <c r="G119" i="12"/>
  <c r="G123" i="12"/>
  <c r="F139" i="7"/>
  <c r="P136" i="7" s="1"/>
  <c r="P139" i="7" s="1"/>
  <c r="F524" i="7"/>
  <c r="F570" i="7"/>
  <c r="O727" i="7"/>
  <c r="P727" i="7" s="1"/>
  <c r="P742" i="7" s="1"/>
  <c r="O868" i="7"/>
  <c r="P868" i="7" s="1"/>
  <c r="O918" i="7"/>
  <c r="P918" i="7" s="1"/>
  <c r="O977" i="7"/>
  <c r="P977" i="7" s="1"/>
  <c r="O1017" i="7"/>
  <c r="P1017" i="7" s="1"/>
  <c r="F1405" i="7"/>
  <c r="J1810" i="7"/>
  <c r="K1810" i="7" s="1"/>
  <c r="O2055" i="7"/>
  <c r="P2055" i="7" s="1"/>
  <c r="O2195" i="7"/>
  <c r="P2195" i="7" s="1"/>
  <c r="O2228" i="7"/>
  <c r="P2228" i="7" s="1"/>
  <c r="O2647" i="7"/>
  <c r="P2647" i="7" s="1"/>
  <c r="P2653" i="7" s="1"/>
  <c r="O2707" i="7"/>
  <c r="P2707" i="7" s="1"/>
  <c r="O2633" i="7"/>
  <c r="P2633" i="7" s="1"/>
  <c r="O4204" i="7"/>
  <c r="P4204" i="7" s="1"/>
  <c r="O2041" i="7"/>
  <c r="P2041" i="7" s="1"/>
  <c r="J77" i="9"/>
  <c r="D24" i="9" s="1"/>
  <c r="F24" i="9" s="1"/>
  <c r="O12" i="17"/>
  <c r="P12" i="17" s="1"/>
  <c r="O29" i="20"/>
  <c r="P29" i="20" s="1"/>
  <c r="O11" i="20"/>
  <c r="P11" i="20" s="1"/>
  <c r="O4243" i="7"/>
  <c r="P4243" i="7" s="1"/>
  <c r="O4229" i="7"/>
  <c r="P4229" i="7" s="1"/>
  <c r="O4215" i="7"/>
  <c r="P4215" i="7" s="1"/>
  <c r="O11" i="15"/>
  <c r="P11" i="15" s="1"/>
  <c r="O4255" i="7"/>
  <c r="P4255" i="7" s="1"/>
  <c r="F1179" i="7"/>
  <c r="F3325" i="7"/>
  <c r="F3638" i="7"/>
  <c r="O4230" i="7"/>
  <c r="P4230" i="7" s="1"/>
  <c r="O4173" i="7"/>
  <c r="P4173" i="7" s="1"/>
  <c r="O4150" i="7"/>
  <c r="P4150" i="7" s="1"/>
  <c r="O4201" i="7"/>
  <c r="P4201" i="7" s="1"/>
  <c r="O4053" i="7"/>
  <c r="P4053" i="7" s="1"/>
  <c r="P4055" i="7" s="1"/>
  <c r="J27" i="20"/>
  <c r="K27" i="20" s="1"/>
  <c r="J9" i="20"/>
  <c r="K9" i="20" s="1"/>
  <c r="J10" i="17"/>
  <c r="K10" i="17" s="1"/>
  <c r="J9" i="16"/>
  <c r="K9" i="16" s="1"/>
  <c r="J9" i="15"/>
  <c r="K9" i="15" s="1"/>
  <c r="J2634" i="7"/>
  <c r="K2634" i="7" s="1"/>
  <c r="K3503" i="7"/>
  <c r="J2574" i="7"/>
  <c r="K2574" i="7" s="1"/>
  <c r="J2559" i="7"/>
  <c r="K2559" i="7" s="1"/>
  <c r="J2544" i="7"/>
  <c r="K2544" i="7" s="1"/>
  <c r="J2515" i="7"/>
  <c r="K2515" i="7" s="1"/>
  <c r="J3519" i="7"/>
  <c r="K3519" i="7" s="1"/>
  <c r="J1070" i="7"/>
  <c r="K1070" i="7" s="1"/>
  <c r="J3487" i="7"/>
  <c r="K3487" i="7" s="1"/>
  <c r="J3471" i="7"/>
  <c r="K3471" i="7" s="1"/>
  <c r="J2814" i="7"/>
  <c r="K2814" i="7" s="1"/>
  <c r="J2739" i="7"/>
  <c r="K2739" i="7" s="1"/>
  <c r="J2679" i="7"/>
  <c r="K2679" i="7" s="1"/>
  <c r="J2664" i="7"/>
  <c r="K2664" i="7" s="1"/>
  <c r="J2619" i="7"/>
  <c r="K2619" i="7" s="1"/>
  <c r="J2604" i="7"/>
  <c r="K2604" i="7" s="1"/>
  <c r="J2589" i="7"/>
  <c r="K2589" i="7" s="1"/>
  <c r="J2501" i="7"/>
  <c r="K2501" i="7" s="1"/>
  <c r="J2487" i="7"/>
  <c r="K2487" i="7" s="1"/>
  <c r="J2473" i="7"/>
  <c r="K2473" i="7" s="1"/>
  <c r="J2459" i="7"/>
  <c r="K2459" i="7" s="1"/>
  <c r="F1836" i="7"/>
  <c r="F4105" i="7"/>
  <c r="K4103" i="7" s="1"/>
  <c r="F4206" i="7"/>
  <c r="J3518" i="7"/>
  <c r="K3518" i="7" s="1"/>
  <c r="F29" i="18"/>
  <c r="E43" i="18"/>
  <c r="F43" i="18" s="1"/>
  <c r="K29" i="18"/>
  <c r="F1564" i="7"/>
  <c r="F1915" i="7"/>
  <c r="F2202" i="7"/>
  <c r="F2504" i="7"/>
  <c r="F2758" i="7"/>
  <c r="F4282" i="7"/>
  <c r="P4281" i="7" s="1"/>
  <c r="F2002" i="7"/>
  <c r="F1418" i="7"/>
  <c r="K1417" i="7" s="1"/>
  <c r="F2818" i="7"/>
  <c r="F3285" i="7"/>
  <c r="F3534" i="7"/>
  <c r="F4358" i="7"/>
  <c r="F547" i="7"/>
  <c r="F1848" i="7"/>
  <c r="F3475" i="7"/>
  <c r="F3962" i="7"/>
  <c r="F4258" i="7"/>
  <c r="F857" i="7"/>
  <c r="F1019" i="7"/>
  <c r="F91" i="7"/>
  <c r="P88" i="7" s="1"/>
  <c r="P91" i="7" s="1"/>
  <c r="F891" i="7"/>
  <c r="F2490" i="7"/>
  <c r="F2803" i="7"/>
  <c r="F3547" i="7"/>
  <c r="F3722" i="7"/>
  <c r="F203" i="7"/>
  <c r="P199" i="7" s="1"/>
  <c r="P203" i="7" s="1"/>
  <c r="F332" i="7"/>
  <c r="F343" i="7"/>
  <c r="F344" i="7" s="1"/>
  <c r="F742" i="7"/>
  <c r="F945" i="7"/>
  <c r="F1709" i="7"/>
  <c r="F2062" i="7"/>
  <c r="F2123" i="7"/>
  <c r="F2218" i="7"/>
  <c r="F2366" i="7"/>
  <c r="F2833" i="7"/>
  <c r="F3312" i="7"/>
  <c r="F3459" i="7"/>
  <c r="F3834" i="7"/>
  <c r="E28" i="18"/>
  <c r="E125" i="18" s="1"/>
  <c r="F125" i="18" s="1"/>
  <c r="F134" i="18" s="1"/>
  <c r="J45" i="18"/>
  <c r="K45" i="18" s="1"/>
  <c r="K31" i="18"/>
  <c r="E31" i="14"/>
  <c r="F31" i="14" s="1"/>
  <c r="H31" i="14" s="1"/>
  <c r="K70" i="18"/>
  <c r="J146" i="18"/>
  <c r="K146" i="18" s="1"/>
  <c r="K147" i="18" s="1"/>
  <c r="J44" i="18"/>
  <c r="K44" i="18" s="1"/>
  <c r="F1697" i="7"/>
  <c r="F993" i="7"/>
  <c r="F1576" i="7"/>
  <c r="F1648" i="7"/>
  <c r="F1974" i="7"/>
  <c r="F2170" i="7"/>
  <c r="F2608" i="7"/>
  <c r="F2728" i="7"/>
  <c r="F3364" i="7"/>
  <c r="F3798" i="7"/>
  <c r="F3860" i="7"/>
  <c r="F3925" i="7"/>
  <c r="F4220" i="7"/>
  <c r="F262" i="7"/>
  <c r="P260" i="7" s="1"/>
  <c r="P262" i="7" s="1"/>
  <c r="F263" i="7" s="1"/>
  <c r="F391" i="7"/>
  <c r="F803" i="7"/>
  <c r="F818" i="7"/>
  <c r="F1588" i="7"/>
  <c r="F2077" i="7"/>
  <c r="F2593" i="7"/>
  <c r="F3586" i="7"/>
  <c r="F3810" i="7"/>
  <c r="F4031" i="7"/>
  <c r="F4422" i="7"/>
  <c r="F240" i="7"/>
  <c r="P238" i="7" s="1"/>
  <c r="P240" i="7" s="1"/>
  <c r="F241" i="7" s="1"/>
  <c r="F2518" i="7"/>
  <c r="F55" i="7"/>
  <c r="F66" i="7"/>
  <c r="F164" i="7"/>
  <c r="P160" i="7" s="1"/>
  <c r="P164" i="7" s="1"/>
  <c r="F1600" i="7"/>
  <c r="F1926" i="7"/>
  <c r="F2713" i="7"/>
  <c r="F4055" i="7"/>
  <c r="F4079" i="7"/>
  <c r="F4306" i="7"/>
  <c r="P4304" i="7" s="1"/>
  <c r="F4330" i="7"/>
  <c r="P4329" i="7" s="1"/>
  <c r="F4395" i="7"/>
  <c r="F380" i="7"/>
  <c r="F501" i="7"/>
  <c r="F1282" i="7"/>
  <c r="K1281" i="7" s="1"/>
  <c r="K1282" i="7" s="1"/>
  <c r="F1283" i="7" s="1"/>
  <c r="F1492" i="7"/>
  <c r="F1612" i="7"/>
  <c r="F3507" i="7"/>
  <c r="F3762" i="7"/>
  <c r="F2638" i="7"/>
  <c r="F151" i="7"/>
  <c r="P148" i="7" s="1"/>
  <c r="P151" i="7" s="1"/>
  <c r="F2653" i="7"/>
  <c r="F3448" i="7"/>
  <c r="F3973" i="7"/>
  <c r="F4009" i="7"/>
  <c r="F435" i="7"/>
  <c r="F559" i="7"/>
  <c r="F676" i="7"/>
  <c r="F3272" i="7"/>
  <c r="F3612" i="7"/>
  <c r="F3652" i="7"/>
  <c r="F764" i="7"/>
  <c r="F12" i="7"/>
  <c r="F103" i="7"/>
  <c r="P100" i="7" s="1"/>
  <c r="P103" i="7" s="1"/>
  <c r="F1448" i="7"/>
  <c r="F1479" i="7"/>
  <c r="F717" i="7"/>
  <c r="F1359" i="7"/>
  <c r="F3750" i="7"/>
  <c r="F704" i="7"/>
  <c r="F1045" i="7"/>
  <c r="F1129" i="7"/>
  <c r="F1168" i="7"/>
  <c r="F1190" i="7"/>
  <c r="F1391" i="7"/>
  <c r="F1433" i="7"/>
  <c r="F1812" i="7"/>
  <c r="F2993" i="7"/>
  <c r="F79" i="7"/>
  <c r="P78" i="7" s="1"/>
  <c r="F177" i="7"/>
  <c r="P173" i="7" s="1"/>
  <c r="P177" i="7" s="1"/>
  <c r="F299" i="7"/>
  <c r="P295" i="7" s="1"/>
  <c r="P299" i="7" s="1"/>
  <c r="F1348" i="7"/>
  <c r="F490" i="7"/>
  <c r="F190" i="7"/>
  <c r="P186" i="7" s="1"/>
  <c r="P190" i="7" s="1"/>
  <c r="F1087" i="7"/>
  <c r="F1326" i="7"/>
  <c r="F354" i="7"/>
  <c r="F923" i="7"/>
  <c r="F1624" i="7"/>
  <c r="F1116" i="7"/>
  <c r="F1234" i="7"/>
  <c r="F1660" i="7"/>
  <c r="F1869" i="7"/>
  <c r="F3599" i="7"/>
  <c r="F4342" i="7"/>
  <c r="P4341" i="7" s="1"/>
  <c r="F1891" i="7"/>
  <c r="F1937" i="7"/>
  <c r="F2138" i="7"/>
  <c r="F3491" i="7"/>
  <c r="F127" i="7"/>
  <c r="P124" i="7" s="1"/>
  <c r="P127" i="7" s="1"/>
  <c r="F216" i="7"/>
  <c r="P212" i="7" s="1"/>
  <c r="P216" i="7" s="1"/>
  <c r="F1073" i="7"/>
  <c r="F1465" i="7"/>
  <c r="F1801" i="7"/>
  <c r="F1987" i="7"/>
  <c r="F2351" i="7"/>
  <c r="F2396" i="7"/>
  <c r="F2898" i="7"/>
  <c r="F2186" i="7"/>
  <c r="F3220" i="7"/>
  <c r="F3847" i="7"/>
  <c r="F3886" i="7"/>
  <c r="P3882" i="7" s="1"/>
  <c r="P3886" i="7" s="1"/>
  <c r="F286" i="7"/>
  <c r="F446" i="7"/>
  <c r="F2248" i="7"/>
  <c r="F2381" i="7"/>
  <c r="F2668" i="7"/>
  <c r="F3666" i="7"/>
  <c r="F3625" i="7"/>
  <c r="F2276" i="7"/>
  <c r="F2336" i="7"/>
  <c r="F3377" i="7"/>
  <c r="F3822" i="7"/>
  <c r="F4294" i="7"/>
  <c r="F4234" i="7"/>
  <c r="F2462" i="7"/>
  <c r="F2533" i="7"/>
  <c r="F2563" i="7"/>
  <c r="F2683" i="7"/>
  <c r="F2698" i="7"/>
  <c r="F2743" i="7"/>
  <c r="F2773" i="7"/>
  <c r="F2788" i="7"/>
  <c r="F2917" i="7"/>
  <c r="F3089" i="7"/>
  <c r="F3233" i="7"/>
  <c r="F3351" i="7"/>
  <c r="F3873" i="7"/>
  <c r="F4246" i="7"/>
  <c r="F2476" i="7"/>
  <c r="F4119" i="7"/>
  <c r="P4114" i="7" s="1"/>
  <c r="F4436" i="7"/>
  <c r="F424" i="7"/>
  <c r="P422" i="7" s="1"/>
  <c r="P424" i="7" s="1"/>
  <c r="K425" i="7" s="1"/>
  <c r="F2848" i="7"/>
  <c r="F3736" i="7"/>
  <c r="F3985" i="7"/>
  <c r="F4447" i="7"/>
  <c r="F4406" i="7"/>
  <c r="F3708" i="7"/>
  <c r="F229" i="7"/>
  <c r="F321" i="7"/>
  <c r="F402" i="7"/>
  <c r="F479" i="7"/>
  <c r="F44" i="7"/>
  <c r="F368" i="7"/>
  <c r="F753" i="7"/>
  <c r="F457" i="7"/>
  <c r="F934" i="7"/>
  <c r="F1059" i="7"/>
  <c r="F1315" i="7"/>
  <c r="F1552" i="7"/>
  <c r="F833" i="7"/>
  <c r="F956" i="7"/>
  <c r="F778" i="7"/>
  <c r="F874" i="7"/>
  <c r="F1142" i="7"/>
  <c r="F1961" i="7"/>
  <c r="F468" i="7"/>
  <c r="F691" i="7"/>
  <c r="F907" i="7"/>
  <c r="F980" i="7"/>
  <c r="F1031" i="7"/>
  <c r="F1258" i="7"/>
  <c r="F1518" i="7"/>
  <c r="F1767" i="7"/>
  <c r="F2017" i="7"/>
  <c r="F1790" i="7"/>
  <c r="F2291" i="7"/>
  <c r="F1721" i="7"/>
  <c r="F1754" i="7"/>
  <c r="F2032" i="7"/>
  <c r="F1206" i="7"/>
  <c r="F1684" i="7"/>
  <c r="F1733" i="7"/>
  <c r="F1948" i="7"/>
  <c r="F1222" i="7"/>
  <c r="F1529" i="7"/>
  <c r="F1671" i="7"/>
  <c r="F2262" i="7"/>
  <c r="F1098" i="7"/>
  <c r="F1155" i="7"/>
  <c r="F1293" i="7"/>
  <c r="F2306" i="7"/>
  <c r="F2234" i="7"/>
  <c r="F2107" i="7"/>
  <c r="F2448" i="7"/>
  <c r="F2974" i="7"/>
  <c r="F3259" i="7"/>
  <c r="F2434" i="7"/>
  <c r="F2578" i="7"/>
  <c r="F2623" i="7"/>
  <c r="F2321" i="7"/>
  <c r="F2420" i="7"/>
  <c r="F2548" i="7"/>
  <c r="F3076" i="7"/>
  <c r="F2879" i="7"/>
  <c r="F2936" i="7"/>
  <c r="F3298" i="7"/>
  <c r="F3031" i="7"/>
  <c r="F3012" i="7"/>
  <c r="F3560" i="7"/>
  <c r="F2955" i="7"/>
  <c r="F3050" i="7"/>
  <c r="F3786" i="7"/>
  <c r="F4163" i="7"/>
  <c r="F4044" i="7"/>
  <c r="F4141" i="7"/>
  <c r="F3694" i="7"/>
  <c r="F4130" i="7"/>
  <c r="F2092" i="7"/>
  <c r="F4318" i="7"/>
  <c r="F2046" i="7"/>
  <c r="F310" i="7"/>
  <c r="F251" i="7"/>
  <c r="F3523" i="7"/>
  <c r="F1270" i="7"/>
  <c r="F413" i="7"/>
  <c r="F2407" i="7"/>
  <c r="F3997" i="7"/>
  <c r="F4020" i="7"/>
  <c r="F4373" i="7"/>
  <c r="F4384" i="7"/>
  <c r="J129" i="18"/>
  <c r="K129" i="18" s="1"/>
  <c r="J23" i="19"/>
  <c r="F14" i="14"/>
  <c r="H14" i="14" s="1"/>
  <c r="J42" i="18"/>
  <c r="K42" i="18" s="1"/>
  <c r="E57" i="18"/>
  <c r="E69" i="18" s="1"/>
  <c r="E80" i="18" s="1"/>
  <c r="K128" i="18"/>
  <c r="J80" i="18"/>
  <c r="J93" i="18" s="1"/>
  <c r="K93" i="18" s="1"/>
  <c r="F13" i="14"/>
  <c r="H13" i="14" s="1"/>
  <c r="F32" i="14"/>
  <c r="H32" i="14" s="1"/>
  <c r="H21" i="19"/>
  <c r="H23" i="19" s="1"/>
  <c r="F18" i="18"/>
  <c r="K158" i="18"/>
  <c r="I159" i="18" s="1"/>
  <c r="I160" i="18" s="1"/>
  <c r="J46" i="18"/>
  <c r="K46" i="18" s="1"/>
  <c r="K32" i="18"/>
  <c r="K82" i="18"/>
  <c r="J95" i="18"/>
  <c r="K95" i="18" s="1"/>
  <c r="O167" i="18"/>
  <c r="O168" i="18" s="1"/>
  <c r="I169" i="18" s="1"/>
  <c r="J94" i="18"/>
  <c r="K81" i="18"/>
  <c r="O177" i="18"/>
  <c r="O178" i="18" s="1"/>
  <c r="I179" i="18" s="1"/>
  <c r="L21" i="19"/>
  <c r="L23" i="19" s="1"/>
  <c r="F147" i="18"/>
  <c r="F16" i="14"/>
  <c r="H16" i="14" s="1"/>
  <c r="K58" i="18"/>
  <c r="K59" i="18" s="1"/>
  <c r="K16" i="18"/>
  <c r="K18" i="18" s="1"/>
  <c r="K30" i="18"/>
  <c r="K104" i="18"/>
  <c r="P446" i="7" l="1"/>
  <c r="P704" i="7"/>
  <c r="P2123" i="7"/>
  <c r="F21" i="19"/>
  <c r="F23" i="19" s="1"/>
  <c r="Q40" i="19"/>
  <c r="F41" i="19" s="1"/>
  <c r="Q41" i="19" s="1"/>
  <c r="T41" i="19" s="1"/>
  <c r="L314" i="6" s="1"/>
  <c r="M314" i="6" s="1"/>
  <c r="P2434" i="7"/>
  <c r="P956" i="7"/>
  <c r="P661" i="7"/>
  <c r="P945" i="7"/>
  <c r="P627" i="7"/>
  <c r="P1006" i="7"/>
  <c r="P649" i="7"/>
  <c r="F67" i="7"/>
  <c r="P967" i="7"/>
  <c r="P2306" i="7"/>
  <c r="P2366" i="7"/>
  <c r="P616" i="7"/>
  <c r="P638" i="7"/>
  <c r="P934" i="7"/>
  <c r="K935" i="7" s="1"/>
  <c r="P2186" i="7"/>
  <c r="P2420" i="7"/>
  <c r="P2062" i="7"/>
  <c r="P2788" i="7"/>
  <c r="P2593" i="7"/>
  <c r="P891" i="7"/>
  <c r="F56" i="7"/>
  <c r="P907" i="7"/>
  <c r="K333" i="7"/>
  <c r="P333" i="7" s="1"/>
  <c r="U333" i="7" s="1"/>
  <c r="U334" i="7" s="1"/>
  <c r="L33" i="6" s="1"/>
  <c r="M33" i="6" s="1"/>
  <c r="F33" i="7"/>
  <c r="K355" i="7"/>
  <c r="P355" i="7" s="1"/>
  <c r="U355" i="7" s="1"/>
  <c r="U356" i="7" s="1"/>
  <c r="L35" i="6" s="1"/>
  <c r="M35" i="6" s="1"/>
  <c r="P1019" i="7"/>
  <c r="P4119" i="7"/>
  <c r="P2728" i="7"/>
  <c r="P3962" i="7"/>
  <c r="P2773" i="7"/>
  <c r="F502" i="7"/>
  <c r="P536" i="7"/>
  <c r="P2202" i="7"/>
  <c r="P2758" i="7"/>
  <c r="P1671" i="7"/>
  <c r="P993" i="7"/>
  <c r="P2092" i="7"/>
  <c r="P923" i="7"/>
  <c r="P13" i="15"/>
  <c r="P2548" i="7"/>
  <c r="P2262" i="7"/>
  <c r="P2276" i="7"/>
  <c r="P368" i="7"/>
  <c r="P4282" i="7"/>
  <c r="P1116" i="7"/>
  <c r="K274" i="7"/>
  <c r="P274" i="7" s="1"/>
  <c r="U274" i="7" s="1"/>
  <c r="U275" i="7" s="1"/>
  <c r="L29" i="6" s="1"/>
  <c r="M29" i="6" s="1"/>
  <c r="P3950" i="7"/>
  <c r="P818" i="7"/>
  <c r="P513" i="7"/>
  <c r="K514" i="7" s="1"/>
  <c r="P514" i="7" s="1"/>
  <c r="U514" i="7" s="1"/>
  <c r="U515" i="7" s="1"/>
  <c r="L49" i="6" s="1"/>
  <c r="M49" i="6" s="1"/>
  <c r="P778" i="7"/>
  <c r="F333" i="7"/>
  <c r="P286" i="7"/>
  <c r="P1234" i="7"/>
  <c r="P380" i="7"/>
  <c r="P833" i="7"/>
  <c r="P1168" i="7"/>
  <c r="P4270" i="7"/>
  <c r="P2698" i="7"/>
  <c r="P1576" i="7"/>
  <c r="K4090" i="7"/>
  <c r="P874" i="7"/>
  <c r="P2170" i="7"/>
  <c r="P2248" i="7"/>
  <c r="P3507" i="7"/>
  <c r="P4089" i="7"/>
  <c r="K4091" i="7"/>
  <c r="P1624" i="7"/>
  <c r="P1552" i="7"/>
  <c r="P2578" i="7"/>
  <c r="J136" i="7"/>
  <c r="J148" i="7" s="1"/>
  <c r="P2683" i="7"/>
  <c r="K4104" i="7"/>
  <c r="P4088" i="7"/>
  <c r="K4088" i="7"/>
  <c r="P2396" i="7"/>
  <c r="P1073" i="7"/>
  <c r="P2138" i="7"/>
  <c r="P1564" i="7"/>
  <c r="P2533" i="7"/>
  <c r="K4101" i="7"/>
  <c r="P4340" i="7"/>
  <c r="P4342" i="7" s="1"/>
  <c r="F4343" i="7" s="1"/>
  <c r="K56" i="7"/>
  <c r="P56" i="7" s="1"/>
  <c r="P2713" i="7"/>
  <c r="P980" i="7"/>
  <c r="P1588" i="7"/>
  <c r="P2291" i="7"/>
  <c r="P1600" i="7"/>
  <c r="P2518" i="7"/>
  <c r="P2107" i="7"/>
  <c r="P2743" i="7"/>
  <c r="P4328" i="7"/>
  <c r="P4330" i="7" s="1"/>
  <c r="P2638" i="7"/>
  <c r="P4102" i="7"/>
  <c r="P4101" i="7"/>
  <c r="P79" i="7"/>
  <c r="P4177" i="7"/>
  <c r="P4234" i="7"/>
  <c r="P1087" i="7"/>
  <c r="P2321" i="7"/>
  <c r="P1636" i="7"/>
  <c r="P1348" i="7"/>
  <c r="P1059" i="7"/>
  <c r="P2848" i="7"/>
  <c r="P1974" i="7"/>
  <c r="P2218" i="7"/>
  <c r="P2563" i="7"/>
  <c r="P2351" i="7"/>
  <c r="P2490" i="7"/>
  <c r="P2623" i="7"/>
  <c r="P1648" i="7"/>
  <c r="P2462" i="7"/>
  <c r="P2608" i="7"/>
  <c r="P3475" i="7"/>
  <c r="P2002" i="7"/>
  <c r="P2668" i="7"/>
  <c r="U1744" i="7"/>
  <c r="U1745" i="7" s="1"/>
  <c r="K4102" i="7"/>
  <c r="P4220" i="7"/>
  <c r="P1045" i="7"/>
  <c r="P845" i="7"/>
  <c r="P2833" i="7"/>
  <c r="P2032" i="7"/>
  <c r="P2504" i="7"/>
  <c r="P803" i="7"/>
  <c r="U1503" i="7"/>
  <c r="U1504" i="7" s="1"/>
  <c r="K344" i="7"/>
  <c r="P344" i="7" s="1"/>
  <c r="U344" i="7" s="1"/>
  <c r="U345" i="7" s="1"/>
  <c r="L34" i="6" s="1"/>
  <c r="P1660" i="7"/>
  <c r="K67" i="7"/>
  <c r="P67" i="7" s="1"/>
  <c r="U67" i="7" s="1"/>
  <c r="U68" i="7" s="1"/>
  <c r="L12" i="6" s="1"/>
  <c r="M12" i="6" s="1"/>
  <c r="P2154" i="7"/>
  <c r="P4206" i="7"/>
  <c r="P2234" i="7"/>
  <c r="P2077" i="7"/>
  <c r="P1612" i="7"/>
  <c r="P2381" i="7"/>
  <c r="P2818" i="7"/>
  <c r="K136" i="7"/>
  <c r="P3418" i="7"/>
  <c r="U3418" i="7" s="1"/>
  <c r="U3419" i="7" s="1"/>
  <c r="L249" i="6" s="1"/>
  <c r="M249" i="6" s="1"/>
  <c r="F4010" i="7"/>
  <c r="P2046" i="7"/>
  <c r="P4305" i="7"/>
  <c r="P4306" i="7" s="1"/>
  <c r="F4307" i="7" s="1"/>
  <c r="K4010" i="7"/>
  <c r="P4010" i="7" s="1"/>
  <c r="U4010" i="7" s="1"/>
  <c r="U4011" i="7" s="1"/>
  <c r="L294" i="6" s="1"/>
  <c r="L129" i="10"/>
  <c r="E111" i="4" s="1"/>
  <c r="L24" i="10"/>
  <c r="E17" i="4" s="1"/>
  <c r="F17" i="4" s="1"/>
  <c r="L17" i="4" s="1"/>
  <c r="L91" i="10"/>
  <c r="L65" i="10"/>
  <c r="E73" i="4" s="1"/>
  <c r="F73" i="4" s="1"/>
  <c r="L73" i="4" s="1"/>
  <c r="L146" i="10"/>
  <c r="E129" i="4" s="1"/>
  <c r="L83" i="10"/>
  <c r="E83" i="4" s="1"/>
  <c r="F83" i="4" s="1"/>
  <c r="L83" i="4" s="1"/>
  <c r="L148" i="10"/>
  <c r="E114" i="4" s="1"/>
  <c r="L54" i="10"/>
  <c r="E41" i="4" s="1"/>
  <c r="F41" i="4" s="1"/>
  <c r="L90" i="10"/>
  <c r="L38" i="10"/>
  <c r="E30" i="4" s="1"/>
  <c r="F30" i="4" s="1"/>
  <c r="L30" i="4" s="1"/>
  <c r="J4382" i="7" s="1"/>
  <c r="K4382" i="7" s="1"/>
  <c r="K4384" i="7" s="1"/>
  <c r="K4385" i="7" s="1"/>
  <c r="L34" i="10"/>
  <c r="E124" i="4" s="1"/>
  <c r="L28" i="10"/>
  <c r="E20" i="4" s="1"/>
  <c r="F20" i="4" s="1"/>
  <c r="L20" i="4" s="1"/>
  <c r="J4139" i="7" s="1"/>
  <c r="K4139" i="7" s="1"/>
  <c r="K4141" i="7" s="1"/>
  <c r="F4142" i="7" s="1"/>
  <c r="L27" i="10"/>
  <c r="E19" i="4" s="1"/>
  <c r="F19" i="4" s="1"/>
  <c r="L19" i="4" s="1"/>
  <c r="J4116" i="7" s="1"/>
  <c r="K4116" i="7" s="1"/>
  <c r="L52" i="10"/>
  <c r="E39" i="4" s="1"/>
  <c r="F39" i="4" s="1"/>
  <c r="L39" i="4" s="1"/>
  <c r="L73" i="10"/>
  <c r="E88" i="4" s="1"/>
  <c r="F88" i="4" s="1"/>
  <c r="L88" i="4" s="1"/>
  <c r="L113" i="10"/>
  <c r="E90" i="4" s="1"/>
  <c r="F90" i="4" s="1"/>
  <c r="L90" i="4" s="1"/>
  <c r="J3971" i="7" s="1"/>
  <c r="K3971" i="7" s="1"/>
  <c r="L114" i="10"/>
  <c r="E67" i="4" s="1"/>
  <c r="F67" i="4" s="1"/>
  <c r="L67" i="4" s="1"/>
  <c r="J3532" i="7" s="1"/>
  <c r="K3532" i="7" s="1"/>
  <c r="K3534" i="7" s="1"/>
  <c r="F3535" i="7" s="1"/>
  <c r="L67" i="10"/>
  <c r="E44" i="4" s="1"/>
  <c r="F44" i="4" s="1"/>
  <c r="L44" i="4" s="1"/>
  <c r="J3396" i="7" s="1"/>
  <c r="K3396" i="7" s="1"/>
  <c r="K3397" i="7" s="1"/>
  <c r="L69" i="10"/>
  <c r="E45" i="4" s="1"/>
  <c r="F45" i="4" s="1"/>
  <c r="L45" i="4" s="1"/>
  <c r="J3386" i="7" s="1"/>
  <c r="K3386" i="7" s="1"/>
  <c r="K3387" i="7" s="1"/>
  <c r="L95" i="10"/>
  <c r="E47" i="4" s="1"/>
  <c r="F47" i="4" s="1"/>
  <c r="L47" i="4" s="1"/>
  <c r="L33" i="10"/>
  <c r="E25" i="4" s="1"/>
  <c r="F25" i="4" s="1"/>
  <c r="L25" i="4" s="1"/>
  <c r="L41" i="10"/>
  <c r="E108" i="4" s="1"/>
  <c r="F108" i="4" s="1"/>
  <c r="G108" i="4" s="1"/>
  <c r="J568" i="7" s="1"/>
  <c r="L135" i="10"/>
  <c r="E82" i="4" s="1"/>
  <c r="F82" i="4" s="1"/>
  <c r="L82" i="4" s="1"/>
  <c r="L89" i="10"/>
  <c r="E9" i="4" s="1"/>
  <c r="F9" i="4" s="1"/>
  <c r="L88" i="10"/>
  <c r="J9" i="4" s="1"/>
  <c r="I9" i="4" s="1"/>
  <c r="L37" i="10"/>
  <c r="E27" i="4" s="1"/>
  <c r="F27" i="4" s="1"/>
  <c r="L27" i="4" s="1"/>
  <c r="J4393" i="7" s="1"/>
  <c r="K4393" i="7" s="1"/>
  <c r="K4395" i="7" s="1"/>
  <c r="F4396" i="7" s="1"/>
  <c r="L39" i="10"/>
  <c r="E31" i="4" s="1"/>
  <c r="F31" i="4" s="1"/>
  <c r="L31" i="4" s="1"/>
  <c r="J4367" i="7" s="1"/>
  <c r="K4367" i="7" s="1"/>
  <c r="L56" i="10"/>
  <c r="E58" i="4" s="1"/>
  <c r="F58" i="4" s="1"/>
  <c r="L58" i="4" s="1"/>
  <c r="J4369" i="7" s="1"/>
  <c r="K4369" i="7" s="1"/>
  <c r="L82" i="10"/>
  <c r="E80" i="4" s="1"/>
  <c r="F80" i="4" s="1"/>
  <c r="L80" i="4" s="1"/>
  <c r="J4352" i="7" s="1"/>
  <c r="K4352" i="7" s="1"/>
  <c r="L110" i="10"/>
  <c r="E87" i="4" s="1"/>
  <c r="F87" i="4" s="1"/>
  <c r="L87" i="4" s="1"/>
  <c r="L51" i="10"/>
  <c r="E38" i="4" s="1"/>
  <c r="F38" i="4" s="1"/>
  <c r="L38" i="4" s="1"/>
  <c r="L36" i="10"/>
  <c r="E4" i="4" s="1"/>
  <c r="F4" i="4" s="1"/>
  <c r="L30" i="10"/>
  <c r="E22" i="4" s="1"/>
  <c r="F22" i="4" s="1"/>
  <c r="L22" i="4" s="1"/>
  <c r="L61" i="10"/>
  <c r="E57" i="4" s="1"/>
  <c r="F57" i="4" s="1"/>
  <c r="L57" i="4" s="1"/>
  <c r="L70" i="10"/>
  <c r="E43" i="4" s="1"/>
  <c r="F43" i="4" s="1"/>
  <c r="L43" i="4" s="1"/>
  <c r="J3406" i="7" s="1"/>
  <c r="K3406" i="7" s="1"/>
  <c r="K3407" i="7" s="1"/>
  <c r="L64" i="10"/>
  <c r="E64" i="4" s="1"/>
  <c r="F64" i="4" s="1"/>
  <c r="L64" i="4" s="1"/>
  <c r="J2443" i="7" s="1"/>
  <c r="K2443" i="7" s="1"/>
  <c r="L87" i="10"/>
  <c r="E6" i="4" s="1"/>
  <c r="F6" i="4" s="1"/>
  <c r="L112" i="10"/>
  <c r="E89" i="4" s="1"/>
  <c r="F89" i="4" s="1"/>
  <c r="L89" i="4" s="1"/>
  <c r="L59" i="10"/>
  <c r="E53" i="4" s="1"/>
  <c r="F53" i="4" s="1"/>
  <c r="L53" i="4" s="1"/>
  <c r="J4370" i="7" s="1"/>
  <c r="K4370" i="7" s="1"/>
  <c r="L17" i="10"/>
  <c r="E5" i="4" s="1"/>
  <c r="F5" i="4" s="1"/>
  <c r="L123" i="10"/>
  <c r="E96" i="4" s="1"/>
  <c r="L145" i="10"/>
  <c r="E110" i="4" s="1"/>
  <c r="L23" i="10"/>
  <c r="E16" i="4" s="1"/>
  <c r="F16" i="4" s="1"/>
  <c r="L16" i="4" s="1"/>
  <c r="L125" i="10"/>
  <c r="E107" i="4" s="1"/>
  <c r="L75" i="10"/>
  <c r="E50" i="4" s="1"/>
  <c r="F50" i="4" s="1"/>
  <c r="L50" i="4" s="1"/>
  <c r="L76" i="10"/>
  <c r="E52" i="4" s="1"/>
  <c r="F52" i="4" s="1"/>
  <c r="L52" i="4" s="1"/>
  <c r="J1427" i="7" s="1"/>
  <c r="K1427" i="7" s="1"/>
  <c r="L127" i="10"/>
  <c r="E61" i="4" s="1"/>
  <c r="F61" i="4" s="1"/>
  <c r="L61" i="4" s="1"/>
  <c r="L66" i="10"/>
  <c r="E112" i="4" s="1"/>
  <c r="L136" i="10"/>
  <c r="E115" i="4" s="1"/>
  <c r="L122" i="10"/>
  <c r="E28" i="4" s="1"/>
  <c r="F28" i="4" s="1"/>
  <c r="L28" i="4" s="1"/>
  <c r="J1138" i="7" s="1"/>
  <c r="K1138" i="7" s="1"/>
  <c r="L25" i="10"/>
  <c r="E18" i="4" s="1"/>
  <c r="F18" i="4" s="1"/>
  <c r="L18" i="4" s="1"/>
  <c r="L47" i="10"/>
  <c r="E33" i="4" s="1"/>
  <c r="F33" i="4" s="1"/>
  <c r="L33" i="4" s="1"/>
  <c r="L51" i="5" s="1"/>
  <c r="L128" i="10"/>
  <c r="J111" i="4" s="1"/>
  <c r="I111" i="4" s="1"/>
  <c r="K111" i="4" s="1"/>
  <c r="L120" i="10"/>
  <c r="E97" i="4" s="1"/>
  <c r="L57" i="10"/>
  <c r="E59" i="4" s="1"/>
  <c r="F59" i="4" s="1"/>
  <c r="L59" i="4" s="1"/>
  <c r="J4368" i="7" s="1"/>
  <c r="K4368" i="7" s="1"/>
  <c r="L53" i="10"/>
  <c r="E40" i="4" s="1"/>
  <c r="F40" i="4" s="1"/>
  <c r="L40" i="4" s="1"/>
  <c r="L15" i="10"/>
  <c r="E3" i="4" s="1"/>
  <c r="F3" i="4" s="1"/>
  <c r="L68" i="10"/>
  <c r="E46" i="4" s="1"/>
  <c r="F46" i="4" s="1"/>
  <c r="L46" i="4" s="1"/>
  <c r="L130" i="10"/>
  <c r="E60" i="4" s="1"/>
  <c r="F60" i="4" s="1"/>
  <c r="L60" i="4" s="1"/>
  <c r="L142" i="10"/>
  <c r="E117" i="4" s="1"/>
  <c r="L109" i="10"/>
  <c r="E86" i="4" s="1"/>
  <c r="F86" i="4" s="1"/>
  <c r="L86" i="4" s="1"/>
  <c r="L117" i="10"/>
  <c r="E93" i="4" s="1"/>
  <c r="F93" i="4" s="1"/>
  <c r="L93" i="4" s="1"/>
  <c r="J1764" i="7" s="1"/>
  <c r="K1764" i="7" s="1"/>
  <c r="L116" i="10"/>
  <c r="E92" i="4" s="1"/>
  <c r="F92" i="4" s="1"/>
  <c r="L92" i="4" s="1"/>
  <c r="L134" i="10"/>
  <c r="E116" i="4" s="1"/>
  <c r="L133" i="10"/>
  <c r="E113" i="4" s="1"/>
  <c r="L32" i="10"/>
  <c r="E24" i="4" s="1"/>
  <c r="F24" i="4" s="1"/>
  <c r="L24" i="4" s="1"/>
  <c r="J1357" i="7" s="1"/>
  <c r="K1357" i="7" s="1"/>
  <c r="L20" i="10"/>
  <c r="E13" i="4" s="1"/>
  <c r="F13" i="4" s="1"/>
  <c r="L13" i="4" s="1"/>
  <c r="J1243" i="7" s="1"/>
  <c r="K1243" i="7" s="1"/>
  <c r="K1246" i="7" s="1"/>
  <c r="F1247" i="7" s="1"/>
  <c r="L43" i="10"/>
  <c r="E10" i="4" s="1"/>
  <c r="F10" i="4" s="1"/>
  <c r="L42" i="10"/>
  <c r="J10" i="4" s="1"/>
  <c r="I10" i="4" s="1"/>
  <c r="L119" i="10"/>
  <c r="E95" i="4" s="1"/>
  <c r="L46" i="10"/>
  <c r="E32" i="4" s="1"/>
  <c r="F32" i="4" s="1"/>
  <c r="L32" i="4" s="1"/>
  <c r="L40" i="10"/>
  <c r="J108" i="4" s="1"/>
  <c r="I108" i="4" s="1"/>
  <c r="L96" i="10"/>
  <c r="E78" i="4" s="1"/>
  <c r="F78" i="4" s="1"/>
  <c r="L78" i="4" s="1"/>
  <c r="L72" i="10"/>
  <c r="E65" i="4" s="1"/>
  <c r="F65" i="4" s="1"/>
  <c r="L65" i="4" s="1"/>
  <c r="L143" i="10"/>
  <c r="E84" i="4" s="1"/>
  <c r="F84" i="4" s="1"/>
  <c r="L84" i="4" s="1"/>
  <c r="L71" i="10"/>
  <c r="E48" i="4" s="1"/>
  <c r="F48" i="4" s="1"/>
  <c r="L48" i="4" s="1"/>
  <c r="L137" i="10"/>
  <c r="E118" i="4" s="1"/>
  <c r="L35" i="10"/>
  <c r="E26" i="4" s="1"/>
  <c r="F26" i="4" s="1"/>
  <c r="L26" i="4" s="1"/>
  <c r="L139" i="10"/>
  <c r="E120" i="4" s="1"/>
  <c r="L131" i="10"/>
  <c r="E127" i="4" s="1"/>
  <c r="L29" i="10"/>
  <c r="E21" i="4" s="1"/>
  <c r="F21" i="4" s="1"/>
  <c r="L21" i="4" s="1"/>
  <c r="L31" i="10"/>
  <c r="E23" i="4" s="1"/>
  <c r="F23" i="4" s="1"/>
  <c r="L23" i="4" s="1"/>
  <c r="J523" i="7" s="1"/>
  <c r="K523" i="7" s="1"/>
  <c r="L60" i="10"/>
  <c r="E56" i="4" s="1"/>
  <c r="F56" i="4" s="1"/>
  <c r="L56" i="4" s="1"/>
  <c r="L55" i="10"/>
  <c r="E42" i="4" s="1"/>
  <c r="F42" i="4" s="1"/>
  <c r="L42" i="4" s="1"/>
  <c r="J297" i="7" s="1"/>
  <c r="K297" i="7" s="1"/>
  <c r="L98" i="10"/>
  <c r="E102" i="4" s="1"/>
  <c r="L107" i="10"/>
  <c r="E71" i="4" s="1"/>
  <c r="F71" i="4" s="1"/>
  <c r="L71" i="4" s="1"/>
  <c r="L99" i="10"/>
  <c r="E103" i="4" s="1"/>
  <c r="L19" i="10"/>
  <c r="L45" i="10"/>
  <c r="E8" i="4" s="1"/>
  <c r="F8" i="4" s="1"/>
  <c r="L118" i="10"/>
  <c r="E94" i="4" s="1"/>
  <c r="F94" i="4" s="1"/>
  <c r="L94" i="4" s="1"/>
  <c r="L132" i="10"/>
  <c r="E81" i="4" s="1"/>
  <c r="F81" i="4" s="1"/>
  <c r="L81" i="4" s="1"/>
  <c r="J1474" i="7" s="1"/>
  <c r="K1474" i="7" s="1"/>
  <c r="L138" i="10"/>
  <c r="E119" i="4" s="1"/>
  <c r="L74" i="10"/>
  <c r="E125" i="4" s="1"/>
  <c r="L14" i="10"/>
  <c r="E85" i="4" s="1"/>
  <c r="F85" i="4" s="1"/>
  <c r="L85" i="4" s="1"/>
  <c r="L81" i="10"/>
  <c r="E75" i="4" s="1"/>
  <c r="F75" i="4" s="1"/>
  <c r="L75" i="4" s="1"/>
  <c r="L144" i="10"/>
  <c r="E126" i="4" s="1"/>
  <c r="L97" i="10"/>
  <c r="E101" i="4" s="1"/>
  <c r="L102" i="10"/>
  <c r="E106" i="4" s="1"/>
  <c r="L106" i="10"/>
  <c r="E70" i="4" s="1"/>
  <c r="F70" i="4" s="1"/>
  <c r="L70" i="4" s="1"/>
  <c r="L124" i="10"/>
  <c r="E98" i="4" s="1"/>
  <c r="L115" i="10"/>
  <c r="E91" i="4" s="1"/>
  <c r="F91" i="4" s="1"/>
  <c r="L91" i="4" s="1"/>
  <c r="L79" i="10"/>
  <c r="E74" i="4" s="1"/>
  <c r="F74" i="4" s="1"/>
  <c r="L74" i="4" s="1"/>
  <c r="L84" i="10"/>
  <c r="E77" i="4" s="1"/>
  <c r="F77" i="4" s="1"/>
  <c r="L77" i="4" s="1"/>
  <c r="J4353" i="7" s="1"/>
  <c r="K4353" i="7" s="1"/>
  <c r="L147" i="10"/>
  <c r="E130" i="4" s="1"/>
  <c r="L85" i="10"/>
  <c r="E79" i="4" s="1"/>
  <c r="F79" i="4" s="1"/>
  <c r="L79" i="4" s="1"/>
  <c r="J2444" i="7" s="1"/>
  <c r="K2444" i="7" s="1"/>
  <c r="L58" i="10"/>
  <c r="E49" i="4" s="1"/>
  <c r="F49" i="4" s="1"/>
  <c r="L49" i="4" s="1"/>
  <c r="J1957" i="7" s="1"/>
  <c r="K1957" i="7" s="1"/>
  <c r="L48" i="10"/>
  <c r="E34" i="4" s="1"/>
  <c r="F34" i="4" s="1"/>
  <c r="L34" i="4" s="1"/>
  <c r="J1924" i="7" s="1"/>
  <c r="K1924" i="7" s="1"/>
  <c r="K1925" i="7" s="1"/>
  <c r="K1926" i="7" s="1"/>
  <c r="F1927" i="7" s="1"/>
  <c r="L126" i="10"/>
  <c r="E100" i="4" s="1"/>
  <c r="L22" i="10"/>
  <c r="E128" i="4" s="1"/>
  <c r="L77" i="10"/>
  <c r="E51" i="4" s="1"/>
  <c r="F51" i="4" s="1"/>
  <c r="L51" i="4" s="1"/>
  <c r="J1442" i="7" s="1"/>
  <c r="K1442" i="7" s="1"/>
  <c r="L21" i="10"/>
  <c r="E55" i="4" s="1"/>
  <c r="F55" i="4" s="1"/>
  <c r="L55" i="4" s="1"/>
  <c r="J1231" i="7" s="1"/>
  <c r="K1231" i="7" s="1"/>
  <c r="L121" i="10"/>
  <c r="E29" i="4" s="1"/>
  <c r="F29" i="4" s="1"/>
  <c r="L29" i="4" s="1"/>
  <c r="J1125" i="7" s="1"/>
  <c r="K1125" i="7" s="1"/>
  <c r="L93" i="10"/>
  <c r="E11" i="4" s="1"/>
  <c r="F11" i="4" s="1"/>
  <c r="L92" i="10"/>
  <c r="J11" i="4" s="1"/>
  <c r="I11" i="4" s="1"/>
  <c r="L140" i="10"/>
  <c r="E122" i="4" s="1"/>
  <c r="L94" i="10"/>
  <c r="E15" i="4" s="1"/>
  <c r="F15" i="4" s="1"/>
  <c r="L15" i="4" s="1"/>
  <c r="J659" i="7" s="1"/>
  <c r="K659" i="7" s="1"/>
  <c r="L141" i="10"/>
  <c r="E121" i="4" s="1"/>
  <c r="L49" i="10"/>
  <c r="E35" i="4" s="1"/>
  <c r="F35" i="4" s="1"/>
  <c r="L35" i="4" s="1"/>
  <c r="L104" i="10"/>
  <c r="E68" i="4" s="1"/>
  <c r="F68" i="4" s="1"/>
  <c r="L68" i="4" s="1"/>
  <c r="L101" i="10"/>
  <c r="E105" i="4" s="1"/>
  <c r="L105" i="10"/>
  <c r="E69" i="4" s="1"/>
  <c r="F69" i="4" s="1"/>
  <c r="L69" i="4" s="1"/>
  <c r="L63" i="10"/>
  <c r="E63" i="4" s="1"/>
  <c r="F63" i="4" s="1"/>
  <c r="L63" i="4" s="1"/>
  <c r="J75" i="7" s="1"/>
  <c r="K75" i="7" s="1"/>
  <c r="K79" i="7" s="1"/>
  <c r="L18" i="10"/>
  <c r="L78" i="10"/>
  <c r="E54" i="4" s="1"/>
  <c r="F54" i="4" s="1"/>
  <c r="L54" i="4" s="1"/>
  <c r="L16" i="10"/>
  <c r="E14" i="4" s="1"/>
  <c r="F14" i="4" s="1"/>
  <c r="L111" i="10"/>
  <c r="E99" i="4" s="1"/>
  <c r="L62" i="10"/>
  <c r="E62" i="4" s="1"/>
  <c r="F62" i="4" s="1"/>
  <c r="L62" i="4" s="1"/>
  <c r="L103" i="10"/>
  <c r="E66" i="4" s="1"/>
  <c r="F66" i="4" s="1"/>
  <c r="L66" i="4" s="1"/>
  <c r="L108" i="10"/>
  <c r="E72" i="4" s="1"/>
  <c r="F72" i="4" s="1"/>
  <c r="L72" i="4" s="1"/>
  <c r="L100" i="10"/>
  <c r="E104" i="4" s="1"/>
  <c r="L80" i="10"/>
  <c r="E76" i="4" s="1"/>
  <c r="F76" i="4" s="1"/>
  <c r="L76" i="4" s="1"/>
  <c r="L50" i="10"/>
  <c r="E36" i="4" s="1"/>
  <c r="F36" i="4" s="1"/>
  <c r="L36" i="4" s="1"/>
  <c r="L86" i="10"/>
  <c r="J6" i="4" s="1"/>
  <c r="I6" i="4" s="1"/>
  <c r="L26" i="10"/>
  <c r="E37" i="4" s="1"/>
  <c r="F37" i="4" s="1"/>
  <c r="L37" i="4" s="1"/>
  <c r="L44" i="10"/>
  <c r="J8" i="4" s="1"/>
  <c r="I8" i="4" s="1"/>
  <c r="K502" i="7"/>
  <c r="P502" i="7" s="1"/>
  <c r="U502" i="7" s="1"/>
  <c r="U503" i="7" s="1"/>
  <c r="L48" i="6" s="1"/>
  <c r="M48" i="6" s="1"/>
  <c r="P13" i="20"/>
  <c r="P2803" i="7"/>
  <c r="G6" i="4"/>
  <c r="G8" i="4"/>
  <c r="G9" i="4"/>
  <c r="G7" i="4"/>
  <c r="G10" i="4"/>
  <c r="G11" i="4"/>
  <c r="G12" i="4"/>
  <c r="P14" i="17"/>
  <c r="P31" i="20"/>
  <c r="P13" i="16"/>
  <c r="P2476" i="7"/>
  <c r="F69" i="18"/>
  <c r="F28" i="18"/>
  <c r="F33" i="18" s="1"/>
  <c r="F57" i="18"/>
  <c r="I20" i="18"/>
  <c r="I21" i="18" s="1"/>
  <c r="I22" i="18" s="1"/>
  <c r="O22" i="18" s="1"/>
  <c r="K134" i="18"/>
  <c r="O125" i="18" s="1"/>
  <c r="O134" i="18" s="1"/>
  <c r="I135" i="18" s="1"/>
  <c r="K47" i="18"/>
  <c r="F355" i="7"/>
  <c r="F447" i="7"/>
  <c r="F24" i="19"/>
  <c r="T16" i="19" s="1"/>
  <c r="T23" i="19" s="1"/>
  <c r="T24" i="19" s="1"/>
  <c r="H33" i="14"/>
  <c r="H34" i="14" s="1"/>
  <c r="E56" i="18"/>
  <c r="E42" i="18"/>
  <c r="F42" i="18" s="1"/>
  <c r="F47" i="18" s="1"/>
  <c r="K33" i="18"/>
  <c r="I161" i="18"/>
  <c r="O161" i="18" s="1"/>
  <c r="L310" i="6" s="1"/>
  <c r="M310" i="6" s="1"/>
  <c r="I148" i="18"/>
  <c r="I149" i="18" s="1"/>
  <c r="K491" i="7"/>
  <c r="F491" i="7"/>
  <c r="K13" i="7"/>
  <c r="F13" i="7"/>
  <c r="K447" i="7"/>
  <c r="P447" i="7" s="1"/>
  <c r="K263" i="7"/>
  <c r="P263" i="7" s="1"/>
  <c r="U263" i="7" s="1"/>
  <c r="U264" i="7" s="1"/>
  <c r="L28" i="6" s="1"/>
  <c r="M28" i="6" s="1"/>
  <c r="P4293" i="7"/>
  <c r="P4294" i="7" s="1"/>
  <c r="K3986" i="7"/>
  <c r="P3986" i="7" s="1"/>
  <c r="U3986" i="7" s="1"/>
  <c r="U3987" i="7" s="1"/>
  <c r="L292" i="6" s="1"/>
  <c r="M292" i="6" s="1"/>
  <c r="F3986" i="7"/>
  <c r="P3843" i="7"/>
  <c r="P3847" i="7" s="1"/>
  <c r="K1938" i="7"/>
  <c r="F1938" i="7"/>
  <c r="P425" i="7"/>
  <c r="U425" i="7" s="1"/>
  <c r="U426" i="7" s="1"/>
  <c r="L41" i="6" s="1"/>
  <c r="M41" i="6" s="1"/>
  <c r="F425" i="7"/>
  <c r="K458" i="7"/>
  <c r="F458" i="7"/>
  <c r="P4316" i="7"/>
  <c r="P4317" i="7"/>
  <c r="P1096" i="7"/>
  <c r="P1098" i="7" s="1"/>
  <c r="K1099" i="7" s="1"/>
  <c r="K1257" i="7"/>
  <c r="K1256" i="7"/>
  <c r="F322" i="7"/>
  <c r="K322" i="7"/>
  <c r="P225" i="7"/>
  <c r="P229" i="7" s="1"/>
  <c r="K3998" i="7"/>
  <c r="F3998" i="7"/>
  <c r="K1530" i="7"/>
  <c r="F1530" i="7"/>
  <c r="K469" i="7"/>
  <c r="F469" i="7"/>
  <c r="P411" i="7"/>
  <c r="P413" i="7" s="1"/>
  <c r="K1283" i="7"/>
  <c r="K1269" i="7"/>
  <c r="K1270" i="7" s="1"/>
  <c r="F1271" i="7" s="1"/>
  <c r="P33" i="7"/>
  <c r="U33" i="7" s="1"/>
  <c r="U34" i="7" s="1"/>
  <c r="L9" i="6" s="1"/>
  <c r="M9" i="6" s="1"/>
  <c r="K4131" i="7"/>
  <c r="F4131" i="7"/>
  <c r="K252" i="7"/>
  <c r="F252" i="7"/>
  <c r="K311" i="7"/>
  <c r="F311" i="7"/>
  <c r="K241" i="7"/>
  <c r="K45" i="7"/>
  <c r="F45" i="7"/>
  <c r="P477" i="7"/>
  <c r="P479" i="7" s="1"/>
  <c r="K480" i="7" s="1"/>
  <c r="Q24" i="19"/>
  <c r="K80" i="18"/>
  <c r="K83" i="18" s="1"/>
  <c r="H17" i="14"/>
  <c r="H18" i="14" s="1"/>
  <c r="I170" i="18"/>
  <c r="I171" i="18" s="1"/>
  <c r="O171" i="18" s="1"/>
  <c r="L311" i="6" s="1"/>
  <c r="M311" i="6" s="1"/>
  <c r="K94" i="18"/>
  <c r="K96" i="18" s="1"/>
  <c r="J105" i="18"/>
  <c r="E93" i="18"/>
  <c r="F80" i="18"/>
  <c r="I180" i="18"/>
  <c r="I181" i="18" s="1"/>
  <c r="O181" i="18" s="1"/>
  <c r="L312" i="6" s="1"/>
  <c r="M312" i="6" s="1"/>
  <c r="K568" i="7" l="1"/>
  <c r="K570" i="7" s="1"/>
  <c r="K571" i="7" s="1"/>
  <c r="P571" i="7" s="1"/>
  <c r="U571" i="7" s="1"/>
  <c r="U572" i="7" s="1"/>
  <c r="L54" i="6" s="1"/>
  <c r="J590" i="7"/>
  <c r="K590" i="7" s="1"/>
  <c r="K592" i="7" s="1"/>
  <c r="F935" i="7"/>
  <c r="J3152" i="7"/>
  <c r="K3152" i="7" s="1"/>
  <c r="J3205" i="7"/>
  <c r="K3205" i="7" s="1"/>
  <c r="J3139" i="7"/>
  <c r="K3139" i="7" s="1"/>
  <c r="J3113" i="7"/>
  <c r="K3113" i="7" s="1"/>
  <c r="J3126" i="7"/>
  <c r="K3126" i="7" s="1"/>
  <c r="J3166" i="7"/>
  <c r="K3166" i="7" s="1"/>
  <c r="J3179" i="7"/>
  <c r="K3179" i="7" s="1"/>
  <c r="J3192" i="7"/>
  <c r="K3192" i="7" s="1"/>
  <c r="J3111" i="7"/>
  <c r="K3111" i="7" s="1"/>
  <c r="J3164" i="7"/>
  <c r="K3164" i="7" s="1"/>
  <c r="J3124" i="7"/>
  <c r="K3124" i="7" s="1"/>
  <c r="J3150" i="7"/>
  <c r="K3150" i="7" s="1"/>
  <c r="J3203" i="7"/>
  <c r="K3203" i="7" s="1"/>
  <c r="J3137" i="7"/>
  <c r="K3137" i="7" s="1"/>
  <c r="J3190" i="7"/>
  <c r="K3190" i="7" s="1"/>
  <c r="J3177" i="7"/>
  <c r="K3177" i="7" s="1"/>
  <c r="P4092" i="7"/>
  <c r="J3138" i="7"/>
  <c r="K3138" i="7" s="1"/>
  <c r="J3151" i="7"/>
  <c r="K3151" i="7" s="1"/>
  <c r="J3165" i="7"/>
  <c r="K3165" i="7" s="1"/>
  <c r="J3178" i="7"/>
  <c r="K3178" i="7" s="1"/>
  <c r="J3191" i="7"/>
  <c r="K3191" i="7" s="1"/>
  <c r="J3204" i="7"/>
  <c r="K3204" i="7" s="1"/>
  <c r="J3112" i="7"/>
  <c r="K3112" i="7" s="1"/>
  <c r="J3125" i="7"/>
  <c r="K3125" i="7" s="1"/>
  <c r="K9" i="4"/>
  <c r="J658" i="7"/>
  <c r="K658" i="7" s="1"/>
  <c r="J3896" i="7"/>
  <c r="K3896" i="7" s="1"/>
  <c r="J3909" i="7"/>
  <c r="K3909" i="7" s="1"/>
  <c r="E40" i="12"/>
  <c r="G40" i="12" s="1"/>
  <c r="K25" i="13"/>
  <c r="E41" i="2"/>
  <c r="F41" i="2" s="1"/>
  <c r="U56" i="7"/>
  <c r="U57" i="7" s="1"/>
  <c r="L11" i="6" s="1"/>
  <c r="K7" i="13" s="1"/>
  <c r="F514" i="7"/>
  <c r="K30" i="13"/>
  <c r="E35" i="12"/>
  <c r="G35" i="12" s="1"/>
  <c r="E36" i="2"/>
  <c r="F36" i="2" s="1"/>
  <c r="E308" i="2"/>
  <c r="F308" i="2" s="1"/>
  <c r="M294" i="6"/>
  <c r="E41" i="12"/>
  <c r="G41" i="12" s="1"/>
  <c r="M34" i="6"/>
  <c r="K108" i="4"/>
  <c r="L108" i="4" s="1"/>
  <c r="K31" i="13"/>
  <c r="K10" i="4"/>
  <c r="K6" i="4"/>
  <c r="F80" i="7"/>
  <c r="J4485" i="7"/>
  <c r="K4485" i="7" s="1"/>
  <c r="K4489" i="7" s="1"/>
  <c r="K4490" i="7" s="1"/>
  <c r="P4490" i="7" s="1"/>
  <c r="U4490" i="7" s="1"/>
  <c r="U4491" i="7" s="1"/>
  <c r="U4492" i="7" s="1"/>
  <c r="L252" i="6" s="1"/>
  <c r="M252" i="6" s="1"/>
  <c r="F121" i="4"/>
  <c r="L121" i="4" s="1"/>
  <c r="F128" i="4"/>
  <c r="L128" i="4" s="1"/>
  <c r="F101" i="4"/>
  <c r="L101" i="4" s="1"/>
  <c r="F102" i="4"/>
  <c r="L102" i="4" s="1"/>
  <c r="F118" i="4"/>
  <c r="L118" i="4" s="1"/>
  <c r="F113" i="4"/>
  <c r="L113" i="4" s="1"/>
  <c r="J1460" i="7" s="1"/>
  <c r="K1460" i="7" s="1"/>
  <c r="F115" i="4"/>
  <c r="L115" i="4" s="1"/>
  <c r="J1151" i="7" s="1"/>
  <c r="K1151" i="7" s="1"/>
  <c r="F96" i="4"/>
  <c r="L96" i="4" s="1"/>
  <c r="J1959" i="7" s="1"/>
  <c r="K1959" i="7" s="1"/>
  <c r="F129" i="4"/>
  <c r="L129" i="4" s="1"/>
  <c r="F111" i="4"/>
  <c r="L111" i="4" s="1"/>
  <c r="F104" i="4"/>
  <c r="L104" i="4" s="1"/>
  <c r="F99" i="4"/>
  <c r="L99" i="4" s="1"/>
  <c r="F106" i="4"/>
  <c r="L106" i="4" s="1"/>
  <c r="J1730" i="7"/>
  <c r="K1730" i="7" s="1"/>
  <c r="J1718" i="7"/>
  <c r="K1718" i="7" s="1"/>
  <c r="J1706" i="7"/>
  <c r="K1706" i="7" s="1"/>
  <c r="F95" i="4"/>
  <c r="L95" i="4" s="1"/>
  <c r="J1114" i="7" s="1"/>
  <c r="K1114" i="7" s="1"/>
  <c r="F97" i="4"/>
  <c r="L97" i="4" s="1"/>
  <c r="F122" i="4"/>
  <c r="L122" i="4" s="1"/>
  <c r="F103" i="4"/>
  <c r="L103" i="4" s="1"/>
  <c r="F120" i="4"/>
  <c r="L120" i="4" s="1"/>
  <c r="F124" i="4"/>
  <c r="L124" i="4" s="1"/>
  <c r="F114" i="4"/>
  <c r="L114" i="4" s="1"/>
  <c r="F105" i="4"/>
  <c r="L105" i="4" s="1"/>
  <c r="F100" i="4"/>
  <c r="L100" i="4" s="1"/>
  <c r="F130" i="4"/>
  <c r="L130" i="4" s="1"/>
  <c r="J3972" i="7" s="1"/>
  <c r="K3972" i="7" s="1"/>
  <c r="K3973" i="7" s="1"/>
  <c r="F98" i="4"/>
  <c r="L98" i="4" s="1"/>
  <c r="F126" i="4"/>
  <c r="L126" i="4" s="1"/>
  <c r="J738" i="7" s="1"/>
  <c r="K738" i="7" s="1"/>
  <c r="F119" i="4"/>
  <c r="L119" i="4" s="1"/>
  <c r="J1458" i="7" s="1"/>
  <c r="K1458" i="7" s="1"/>
  <c r="F127" i="4"/>
  <c r="L127" i="4" s="1"/>
  <c r="J1512" i="7" s="1"/>
  <c r="K1512" i="7" s="1"/>
  <c r="F116" i="4"/>
  <c r="L116" i="4" s="1"/>
  <c r="J1511" i="7" s="1"/>
  <c r="K1511" i="7" s="1"/>
  <c r="F117" i="4"/>
  <c r="L117" i="4" s="1"/>
  <c r="J1946" i="7" s="1"/>
  <c r="K1946" i="7" s="1"/>
  <c r="K1948" i="7" s="1"/>
  <c r="F112" i="4"/>
  <c r="L112" i="4" s="1"/>
  <c r="F107" i="4"/>
  <c r="L107" i="4" s="1"/>
  <c r="J1457" i="7" s="1"/>
  <c r="K1457" i="7" s="1"/>
  <c r="K4105" i="7"/>
  <c r="K4092" i="7"/>
  <c r="F4093" i="7" s="1"/>
  <c r="K1927" i="7"/>
  <c r="P1927" i="7" s="1"/>
  <c r="U1927" i="7" s="1"/>
  <c r="U1928" i="7" s="1"/>
  <c r="L146" i="6" s="1"/>
  <c r="M146" i="6" s="1"/>
  <c r="K3535" i="7"/>
  <c r="P3535" i="7" s="1"/>
  <c r="U3535" i="7" s="1"/>
  <c r="U3536" i="7" s="1"/>
  <c r="E42" i="2"/>
  <c r="F42" i="2" s="1"/>
  <c r="I48" i="18"/>
  <c r="I49" i="18" s="1"/>
  <c r="I50" i="18" s="1"/>
  <c r="O50" i="18" s="1"/>
  <c r="F4385" i="7"/>
  <c r="P4105" i="7"/>
  <c r="K297" i="13"/>
  <c r="K4142" i="7"/>
  <c r="P4142" i="7" s="1"/>
  <c r="U4142" i="7" s="1"/>
  <c r="U4143" i="7" s="1"/>
  <c r="K251" i="13"/>
  <c r="E261" i="12"/>
  <c r="G261" i="12" s="1"/>
  <c r="E262" i="2"/>
  <c r="F262" i="2" s="1"/>
  <c r="K4343" i="7"/>
  <c r="P4343" i="7" s="1"/>
  <c r="U4343" i="7" s="1"/>
  <c r="U4344" i="7" s="1"/>
  <c r="K4371" i="7"/>
  <c r="K4373" i="7" s="1"/>
  <c r="K4374" i="7" s="1"/>
  <c r="P4374" i="7" s="1"/>
  <c r="U4374" i="7" s="1"/>
  <c r="U4375" i="7" s="1"/>
  <c r="J160" i="7"/>
  <c r="K148" i="7"/>
  <c r="E307" i="12"/>
  <c r="G307" i="12" s="1"/>
  <c r="J188" i="7"/>
  <c r="K188" i="7" s="1"/>
  <c r="J114" i="7"/>
  <c r="K114" i="7" s="1"/>
  <c r="J1834" i="7"/>
  <c r="K1834" i="7" s="1"/>
  <c r="J1901" i="7"/>
  <c r="K1901" i="7" s="1"/>
  <c r="J1846" i="7"/>
  <c r="K1846" i="7" s="1"/>
  <c r="J1695" i="7"/>
  <c r="K1695" i="7" s="1"/>
  <c r="J1913" i="7"/>
  <c r="K1913" i="7" s="1"/>
  <c r="J1822" i="7"/>
  <c r="K1822" i="7" s="1"/>
  <c r="J4065" i="7"/>
  <c r="K4065" i="7" s="1"/>
  <c r="J4077" i="7"/>
  <c r="K4077" i="7" s="1"/>
  <c r="K1358" i="7"/>
  <c r="K1359" i="7" s="1"/>
  <c r="J3426" i="7"/>
  <c r="K3426" i="7" s="1"/>
  <c r="K3427" i="7" s="1"/>
  <c r="J3436" i="7"/>
  <c r="K3436" i="7" s="1"/>
  <c r="K3437" i="7" s="1"/>
  <c r="J1324" i="7"/>
  <c r="K1324" i="7" s="1"/>
  <c r="K1326" i="7" s="1"/>
  <c r="J1538" i="7"/>
  <c r="K1538" i="7" s="1"/>
  <c r="K1540" i="7" s="1"/>
  <c r="J1291" i="7"/>
  <c r="K1291" i="7" s="1"/>
  <c r="K1293" i="7" s="1"/>
  <c r="J1313" i="7"/>
  <c r="K1313" i="7" s="1"/>
  <c r="K1315" i="7" s="1"/>
  <c r="J1302" i="7"/>
  <c r="K1302" i="7" s="1"/>
  <c r="K1304" i="7" s="1"/>
  <c r="J4354" i="7"/>
  <c r="K4354" i="7" s="1"/>
  <c r="J4042" i="7"/>
  <c r="K4042" i="7" s="1"/>
  <c r="J1823" i="7"/>
  <c r="K1823" i="7" s="1"/>
  <c r="J1778" i="7"/>
  <c r="K1778" i="7" s="1"/>
  <c r="J1835" i="7"/>
  <c r="K1835" i="7" s="1"/>
  <c r="J1847" i="7"/>
  <c r="K1847" i="7" s="1"/>
  <c r="J1696" i="7"/>
  <c r="K1696" i="7" s="1"/>
  <c r="J1914" i="7"/>
  <c r="K1914" i="7" s="1"/>
  <c r="J1902" i="7"/>
  <c r="K1902" i="7" s="1"/>
  <c r="J2406" i="7"/>
  <c r="K2406" i="7" s="1"/>
  <c r="J3375" i="7"/>
  <c r="K3375" i="7" s="1"/>
  <c r="J3257" i="7"/>
  <c r="K3257" i="7" s="1"/>
  <c r="J3362" i="7"/>
  <c r="K3362" i="7" s="1"/>
  <c r="J3336" i="7"/>
  <c r="K3336" i="7" s="1"/>
  <c r="J3310" i="7"/>
  <c r="K3310" i="7" s="1"/>
  <c r="J3283" i="7"/>
  <c r="K3283" i="7" s="1"/>
  <c r="J3231" i="7"/>
  <c r="K3231" i="7" s="1"/>
  <c r="J3087" i="7"/>
  <c r="K3087" i="7" s="1"/>
  <c r="J3074" i="7"/>
  <c r="K3074" i="7" s="1"/>
  <c r="J3061" i="7"/>
  <c r="K3061" i="7" s="1"/>
  <c r="J3244" i="7"/>
  <c r="K3244" i="7" s="1"/>
  <c r="J3218" i="7"/>
  <c r="K3218" i="7" s="1"/>
  <c r="J3323" i="7"/>
  <c r="K3323" i="7" s="1"/>
  <c r="J3270" i="7"/>
  <c r="K3270" i="7" s="1"/>
  <c r="J4446" i="7"/>
  <c r="K4446" i="7" s="1"/>
  <c r="J3349" i="7"/>
  <c r="K3349" i="7" s="1"/>
  <c r="J3296" i="7"/>
  <c r="K3296" i="7" s="1"/>
  <c r="J3100" i="7"/>
  <c r="K3100" i="7" s="1"/>
  <c r="J175" i="7"/>
  <c r="K175" i="7" s="1"/>
  <c r="J102" i="7"/>
  <c r="K102" i="7" s="1"/>
  <c r="J1055" i="7"/>
  <c r="K1055" i="7" s="1"/>
  <c r="J1041" i="7"/>
  <c r="K1041" i="7" s="1"/>
  <c r="J1069" i="7"/>
  <c r="K1069" i="7" s="1"/>
  <c r="J556" i="7"/>
  <c r="K556" i="7" s="1"/>
  <c r="J1112" i="7"/>
  <c r="K1112" i="7" s="1"/>
  <c r="J1083" i="7"/>
  <c r="K1083" i="7" s="1"/>
  <c r="J3348" i="7"/>
  <c r="K3348" i="7" s="1"/>
  <c r="J3322" i="7"/>
  <c r="K3322" i="7" s="1"/>
  <c r="J3295" i="7"/>
  <c r="K3295" i="7" s="1"/>
  <c r="J3269" i="7"/>
  <c r="K3269" i="7" s="1"/>
  <c r="J3217" i="7"/>
  <c r="K3217" i="7" s="1"/>
  <c r="J3099" i="7"/>
  <c r="K3099" i="7" s="1"/>
  <c r="J3060" i="7"/>
  <c r="K3060" i="7" s="1"/>
  <c r="J3361" i="7"/>
  <c r="K3361" i="7" s="1"/>
  <c r="J3335" i="7"/>
  <c r="K3335" i="7" s="1"/>
  <c r="J3309" i="7"/>
  <c r="K3309" i="7" s="1"/>
  <c r="J3282" i="7"/>
  <c r="K3282" i="7" s="1"/>
  <c r="J3256" i="7"/>
  <c r="K3256" i="7" s="1"/>
  <c r="J3243" i="7"/>
  <c r="K3243" i="7" s="1"/>
  <c r="J3086" i="7"/>
  <c r="K3086" i="7" s="1"/>
  <c r="J3230" i="7"/>
  <c r="K3230" i="7" s="1"/>
  <c r="J3374" i="7"/>
  <c r="K3374" i="7" s="1"/>
  <c r="J3073" i="7"/>
  <c r="K3073" i="7" s="1"/>
  <c r="J6" i="20"/>
  <c r="K6" i="20" s="1"/>
  <c r="J6" i="17"/>
  <c r="K6" i="17" s="1"/>
  <c r="J24" i="20"/>
  <c r="K24" i="20" s="1"/>
  <c r="J4175" i="7"/>
  <c r="K4175" i="7" s="1"/>
  <c r="J4176" i="7"/>
  <c r="K4176" i="7" s="1"/>
  <c r="J4279" i="7"/>
  <c r="K4279" i="7" s="1"/>
  <c r="J4156" i="7"/>
  <c r="K4156" i="7" s="1"/>
  <c r="J6" i="15"/>
  <c r="K6" i="15" s="1"/>
  <c r="K13" i="15" s="1"/>
  <c r="J4291" i="7"/>
  <c r="K4291" i="7" s="1"/>
  <c r="J4267" i="7"/>
  <c r="K4267" i="7" s="1"/>
  <c r="J1110" i="7"/>
  <c r="K1110" i="7" s="1"/>
  <c r="J976" i="7"/>
  <c r="K976" i="7" s="1"/>
  <c r="J866" i="7"/>
  <c r="K866" i="7" s="1"/>
  <c r="J854" i="7"/>
  <c r="K854" i="7" s="1"/>
  <c r="K857" i="7" s="1"/>
  <c r="J842" i="7"/>
  <c r="K842" i="7" s="1"/>
  <c r="K845" i="7" s="1"/>
  <c r="J812" i="7"/>
  <c r="K812" i="7" s="1"/>
  <c r="J799" i="7"/>
  <c r="K799" i="7" s="1"/>
  <c r="K803" i="7" s="1"/>
  <c r="J6" i="16"/>
  <c r="K6" i="16" s="1"/>
  <c r="J1115" i="7"/>
  <c r="K1115" i="7" s="1"/>
  <c r="J900" i="7"/>
  <c r="K900" i="7" s="1"/>
  <c r="J883" i="7"/>
  <c r="K883" i="7" s="1"/>
  <c r="J827" i="7"/>
  <c r="K827" i="7" s="1"/>
  <c r="J916" i="7"/>
  <c r="K916" i="7" s="1"/>
  <c r="J1657" i="7"/>
  <c r="K1657" i="7" s="1"/>
  <c r="K1660" i="7" s="1"/>
  <c r="J1597" i="7"/>
  <c r="K1597" i="7" s="1"/>
  <c r="K1600" i="7" s="1"/>
  <c r="J1549" i="7"/>
  <c r="K1549" i="7" s="1"/>
  <c r="K1552" i="7" s="1"/>
  <c r="J1633" i="7"/>
  <c r="K1633" i="7" s="1"/>
  <c r="K1636" i="7" s="1"/>
  <c r="J1585" i="7"/>
  <c r="K1585" i="7" s="1"/>
  <c r="K1588" i="7" s="1"/>
  <c r="J1609" i="7"/>
  <c r="K1609" i="7" s="1"/>
  <c r="K1612" i="7" s="1"/>
  <c r="J1561" i="7"/>
  <c r="K1561" i="7" s="1"/>
  <c r="K1564" i="7" s="1"/>
  <c r="J1645" i="7"/>
  <c r="K1645" i="7" s="1"/>
  <c r="K1648" i="7" s="1"/>
  <c r="J1621" i="7"/>
  <c r="K1621" i="7" s="1"/>
  <c r="K1624" i="7" s="1"/>
  <c r="J1573" i="7"/>
  <c r="K1573" i="7" s="1"/>
  <c r="K1576" i="7" s="1"/>
  <c r="J4431" i="7"/>
  <c r="K4431" i="7" s="1"/>
  <c r="J4415" i="7"/>
  <c r="K4415" i="7" s="1"/>
  <c r="J4078" i="7"/>
  <c r="K4078" i="7" s="1"/>
  <c r="J4066" i="7"/>
  <c r="K4066" i="7" s="1"/>
  <c r="E7" i="4"/>
  <c r="F7" i="4" s="1"/>
  <c r="L7" i="4" s="1"/>
  <c r="J3504" i="7" s="1"/>
  <c r="E12" i="4"/>
  <c r="J214" i="7"/>
  <c r="K214" i="7" s="1"/>
  <c r="J138" i="7"/>
  <c r="K138" i="7" s="1"/>
  <c r="J1444" i="7"/>
  <c r="K1444" i="7" s="1"/>
  <c r="J1429" i="7"/>
  <c r="K1429" i="7" s="1"/>
  <c r="J51" i="5"/>
  <c r="O714" i="7" s="1"/>
  <c r="P714" i="7" s="1"/>
  <c r="P717" i="7" s="1"/>
  <c r="L18" i="5"/>
  <c r="J18" i="5" s="1"/>
  <c r="J3373" i="7"/>
  <c r="K3373" i="7" s="1"/>
  <c r="J3242" i="7"/>
  <c r="K3242" i="7" s="1"/>
  <c r="J3229" i="7"/>
  <c r="K3229" i="7" s="1"/>
  <c r="J3347" i="7"/>
  <c r="K3347" i="7" s="1"/>
  <c r="J3321" i="7"/>
  <c r="K3321" i="7" s="1"/>
  <c r="J3294" i="7"/>
  <c r="K3294" i="7" s="1"/>
  <c r="J3268" i="7"/>
  <c r="K3268" i="7" s="1"/>
  <c r="J3216" i="7"/>
  <c r="K3216" i="7" s="1"/>
  <c r="J3098" i="7"/>
  <c r="K3098" i="7" s="1"/>
  <c r="J3072" i="7"/>
  <c r="K3072" i="7" s="1"/>
  <c r="J3059" i="7"/>
  <c r="K3059" i="7" s="1"/>
  <c r="J3334" i="7"/>
  <c r="K3334" i="7" s="1"/>
  <c r="J3281" i="7"/>
  <c r="K3281" i="7" s="1"/>
  <c r="J3085" i="7"/>
  <c r="K3085" i="7" s="1"/>
  <c r="J3360" i="7"/>
  <c r="K3360" i="7" s="1"/>
  <c r="J3308" i="7"/>
  <c r="K3308" i="7" s="1"/>
  <c r="J3255" i="7"/>
  <c r="K3255" i="7" s="1"/>
  <c r="K41" i="4"/>
  <c r="L41" i="4"/>
  <c r="J2405" i="7"/>
  <c r="K2405" i="7" s="1"/>
  <c r="J4445" i="7"/>
  <c r="K4445" i="7" s="1"/>
  <c r="J1401" i="7"/>
  <c r="K1401" i="7" s="1"/>
  <c r="J1386" i="7"/>
  <c r="K1386" i="7" s="1"/>
  <c r="J1370" i="7"/>
  <c r="K1370" i="7" s="1"/>
  <c r="J1415" i="7"/>
  <c r="K1415" i="7" s="1"/>
  <c r="F1099" i="7"/>
  <c r="K80" i="7"/>
  <c r="P80" i="7" s="1"/>
  <c r="U80" i="7" s="1"/>
  <c r="U81" i="7" s="1"/>
  <c r="L13" i="6" s="1"/>
  <c r="K4396" i="7"/>
  <c r="P4396" i="7" s="1"/>
  <c r="U4396" i="7" s="1"/>
  <c r="U4397" i="7" s="1"/>
  <c r="K11" i="4"/>
  <c r="K8" i="4"/>
  <c r="J4229" i="7"/>
  <c r="K4229" i="7" s="1"/>
  <c r="J4215" i="7"/>
  <c r="K4215" i="7" s="1"/>
  <c r="J4243" i="7"/>
  <c r="K4243" i="7" s="1"/>
  <c r="K4246" i="7" s="1"/>
  <c r="J4255" i="7"/>
  <c r="K4255" i="7" s="1"/>
  <c r="J4151" i="7"/>
  <c r="K4151" i="7" s="1"/>
  <c r="J4117" i="7"/>
  <c r="K4117" i="7" s="1"/>
  <c r="J1028" i="7"/>
  <c r="K1028" i="7" s="1"/>
  <c r="K1031" i="7" s="1"/>
  <c r="J1054" i="7"/>
  <c r="K1054" i="7" s="1"/>
  <c r="J1040" i="7"/>
  <c r="K1040" i="7" s="1"/>
  <c r="J1015" i="7"/>
  <c r="K1015" i="7" s="1"/>
  <c r="J4152" i="7"/>
  <c r="K4152" i="7" s="1"/>
  <c r="J1002" i="7"/>
  <c r="K1002" i="7" s="1"/>
  <c r="J989" i="7"/>
  <c r="K989" i="7" s="1"/>
  <c r="J787" i="7"/>
  <c r="K787" i="7" s="1"/>
  <c r="J4200" i="7"/>
  <c r="K4200" i="7" s="1"/>
  <c r="J283" i="7"/>
  <c r="K283" i="7" s="1"/>
  <c r="J296" i="7"/>
  <c r="K296" i="7" s="1"/>
  <c r="J1205" i="7"/>
  <c r="K1205" i="7" s="1"/>
  <c r="J1220" i="7"/>
  <c r="K1220" i="7" s="1"/>
  <c r="J3457" i="7"/>
  <c r="K3457" i="7" s="1"/>
  <c r="K3459" i="7" s="1"/>
  <c r="J3446" i="7"/>
  <c r="K3446" i="7" s="1"/>
  <c r="K3448" i="7" s="1"/>
  <c r="K3398" i="7"/>
  <c r="F3398" i="7"/>
  <c r="J4076" i="7"/>
  <c r="K4076" i="7" s="1"/>
  <c r="J4064" i="7"/>
  <c r="K4064" i="7" s="1"/>
  <c r="J1821" i="7"/>
  <c r="K1821" i="7" s="1"/>
  <c r="J1833" i="7"/>
  <c r="K1833" i="7" s="1"/>
  <c r="J1900" i="7"/>
  <c r="K1900" i="7" s="1"/>
  <c r="J1845" i="7"/>
  <c r="K1845" i="7" s="1"/>
  <c r="J1912" i="7"/>
  <c r="K1912" i="7" s="1"/>
  <c r="J1694" i="7"/>
  <c r="K1694" i="7" s="1"/>
  <c r="J150" i="7"/>
  <c r="K150" i="7" s="1"/>
  <c r="J227" i="7"/>
  <c r="K227" i="7" s="1"/>
  <c r="K1232" i="7"/>
  <c r="K1233" i="7"/>
  <c r="J295" i="7"/>
  <c r="K295" i="7" s="1"/>
  <c r="J282" i="7"/>
  <c r="K282" i="7" s="1"/>
  <c r="J4041" i="7"/>
  <c r="K4041" i="7" s="1"/>
  <c r="J1489" i="7"/>
  <c r="K1489" i="7" s="1"/>
  <c r="J1475" i="7"/>
  <c r="K1475" i="7" s="1"/>
  <c r="J1693" i="7"/>
  <c r="K1693" i="7" s="1"/>
  <c r="J1476" i="7"/>
  <c r="K1476" i="7" s="1"/>
  <c r="J1459" i="7"/>
  <c r="K1459" i="7" s="1"/>
  <c r="J1777" i="7"/>
  <c r="K1777" i="7" s="1"/>
  <c r="J1082" i="7"/>
  <c r="K1082" i="7" s="1"/>
  <c r="J1068" i="7"/>
  <c r="K1068" i="7" s="1"/>
  <c r="J773" i="7"/>
  <c r="K773" i="7" s="1"/>
  <c r="J1752" i="7"/>
  <c r="K1752" i="7" s="1"/>
  <c r="J1680" i="7"/>
  <c r="K1680" i="7" s="1"/>
  <c r="J1347" i="7"/>
  <c r="K1347" i="7" s="1"/>
  <c r="K1348" i="7" s="1"/>
  <c r="J1336" i="7"/>
  <c r="K1336" i="7" s="1"/>
  <c r="K1337" i="7" s="1"/>
  <c r="K3408" i="7"/>
  <c r="P3408" i="7" s="1"/>
  <c r="U3408" i="7" s="1"/>
  <c r="U3409" i="7" s="1"/>
  <c r="L248" i="6" s="1"/>
  <c r="M248" i="6" s="1"/>
  <c r="F3408" i="7"/>
  <c r="K3388" i="7"/>
  <c r="P3388" i="7" s="1"/>
  <c r="U3388" i="7" s="1"/>
  <c r="U3389" i="7" s="1"/>
  <c r="L246" i="6" s="1"/>
  <c r="M246" i="6" s="1"/>
  <c r="F3388" i="7"/>
  <c r="J126" i="7"/>
  <c r="K126" i="7" s="1"/>
  <c r="J201" i="7"/>
  <c r="K201" i="7" s="1"/>
  <c r="J90" i="7"/>
  <c r="K90" i="7" s="1"/>
  <c r="J162" i="7"/>
  <c r="K162" i="7" s="1"/>
  <c r="J1188" i="7"/>
  <c r="K1188" i="7" s="1"/>
  <c r="J1177" i="7"/>
  <c r="K1177" i="7" s="1"/>
  <c r="J4040" i="7"/>
  <c r="K4040" i="7" s="1"/>
  <c r="J4416" i="7"/>
  <c r="K4416" i="7" s="1"/>
  <c r="K4417" i="7" s="1"/>
  <c r="J4351" i="7"/>
  <c r="K4351" i="7" s="1"/>
  <c r="J1868" i="7"/>
  <c r="K1868" i="7" s="1"/>
  <c r="K1869" i="7" s="1"/>
  <c r="J1800" i="7"/>
  <c r="K1800" i="7" s="1"/>
  <c r="K1801" i="7" s="1"/>
  <c r="J1766" i="7"/>
  <c r="K1766" i="7" s="1"/>
  <c r="K1767" i="7" s="1"/>
  <c r="J1732" i="7"/>
  <c r="K1732" i="7" s="1"/>
  <c r="J1890" i="7"/>
  <c r="K1890" i="7" s="1"/>
  <c r="K1891" i="7" s="1"/>
  <c r="J1789" i="7"/>
  <c r="K1789" i="7" s="1"/>
  <c r="K1790" i="7" s="1"/>
  <c r="J1708" i="7"/>
  <c r="K1708" i="7" s="1"/>
  <c r="J1720" i="7"/>
  <c r="K1720" i="7" s="1"/>
  <c r="J1753" i="7"/>
  <c r="K1753" i="7" s="1"/>
  <c r="J1879" i="7"/>
  <c r="K1879" i="7" s="1"/>
  <c r="K1880" i="7" s="1"/>
  <c r="J1682" i="7"/>
  <c r="K1682" i="7" s="1"/>
  <c r="J1811" i="7"/>
  <c r="K1811" i="7" s="1"/>
  <c r="K1812" i="7" s="1"/>
  <c r="J1443" i="7"/>
  <c r="K1443" i="7" s="1"/>
  <c r="J1428" i="7"/>
  <c r="K1428" i="7" s="1"/>
  <c r="J3689" i="7"/>
  <c r="K3689" i="7" s="1"/>
  <c r="J3661" i="7"/>
  <c r="K3661" i="7" s="1"/>
  <c r="J3569" i="7"/>
  <c r="K3569" i="7" s="1"/>
  <c r="J3543" i="7"/>
  <c r="K3543" i="7" s="1"/>
  <c r="J3745" i="7"/>
  <c r="K3745" i="7" s="1"/>
  <c r="J3717" i="7"/>
  <c r="K3717" i="7" s="1"/>
  <c r="J3621" i="7"/>
  <c r="K3621" i="7" s="1"/>
  <c r="J3595" i="7"/>
  <c r="K3595" i="7" s="1"/>
  <c r="J3703" i="7"/>
  <c r="K3703" i="7" s="1"/>
  <c r="J3731" i="7"/>
  <c r="K3731" i="7" s="1"/>
  <c r="J3582" i="7"/>
  <c r="K3582" i="7" s="1"/>
  <c r="J3647" i="7"/>
  <c r="K3647" i="7" s="1"/>
  <c r="J3634" i="7"/>
  <c r="K3634" i="7" s="1"/>
  <c r="J3556" i="7"/>
  <c r="K3556" i="7" s="1"/>
  <c r="J3675" i="7"/>
  <c r="K3675" i="7" s="1"/>
  <c r="J3608" i="7"/>
  <c r="K3608" i="7" s="1"/>
  <c r="J3936" i="7"/>
  <c r="K3936" i="7" s="1"/>
  <c r="J2086" i="7"/>
  <c r="K2086" i="7" s="1"/>
  <c r="J3922" i="7"/>
  <c r="K3922" i="7" s="1"/>
  <c r="J3857" i="7"/>
  <c r="K3857" i="7" s="1"/>
  <c r="J3807" i="7"/>
  <c r="K3807" i="7" s="1"/>
  <c r="J3771" i="7"/>
  <c r="K3771" i="7" s="1"/>
  <c r="J3746" i="7"/>
  <c r="K3746" i="7" s="1"/>
  <c r="J3718" i="7"/>
  <c r="K3718" i="7" s="1"/>
  <c r="J3622" i="7"/>
  <c r="K3622" i="7" s="1"/>
  <c r="J3596" i="7"/>
  <c r="K3596" i="7" s="1"/>
  <c r="J2827" i="7"/>
  <c r="K2827" i="7" s="1"/>
  <c r="J2737" i="7"/>
  <c r="K2737" i="7" s="1"/>
  <c r="J2722" i="7"/>
  <c r="K2722" i="7" s="1"/>
  <c r="J2707" i="7"/>
  <c r="K2707" i="7" s="1"/>
  <c r="J2692" i="7"/>
  <c r="K2692" i="7" s="1"/>
  <c r="J2677" i="7"/>
  <c r="K2677" i="7" s="1"/>
  <c r="J2527" i="7"/>
  <c r="K2527" i="7" s="1"/>
  <c r="J2485" i="7"/>
  <c r="K2485" i="7" s="1"/>
  <c r="J3516" i="7"/>
  <c r="K3516" i="7" s="1"/>
  <c r="J1996" i="7"/>
  <c r="K1996" i="7" s="1"/>
  <c r="J2041" i="7"/>
  <c r="K2041" i="7" s="1"/>
  <c r="J3883" i="7"/>
  <c r="K3883" i="7" s="1"/>
  <c r="J3819" i="7"/>
  <c r="K3819" i="7" s="1"/>
  <c r="J3783" i="7"/>
  <c r="K3783" i="7" s="1"/>
  <c r="J3676" i="7"/>
  <c r="K3676" i="7" s="1"/>
  <c r="J3648" i="7"/>
  <c r="K3648" i="7" s="1"/>
  <c r="J3557" i="7"/>
  <c r="K3557" i="7" s="1"/>
  <c r="J2842" i="7"/>
  <c r="K2842" i="7" s="1"/>
  <c r="J2782" i="7"/>
  <c r="K2782" i="7" s="1"/>
  <c r="J2767" i="7"/>
  <c r="K2767" i="7" s="1"/>
  <c r="J2752" i="7"/>
  <c r="K2752" i="7" s="1"/>
  <c r="J2647" i="7"/>
  <c r="K2647" i="7" s="1"/>
  <c r="J2446" i="7"/>
  <c r="K2446" i="7" s="1"/>
  <c r="J2632" i="7"/>
  <c r="K2632" i="7" s="1"/>
  <c r="J3959" i="7"/>
  <c r="K3959" i="7" s="1"/>
  <c r="J3831" i="7"/>
  <c r="K3831" i="7" s="1"/>
  <c r="J3690" i="7"/>
  <c r="K3690" i="7" s="1"/>
  <c r="J3544" i="7"/>
  <c r="K3544" i="7" s="1"/>
  <c r="J3468" i="7"/>
  <c r="K3468" i="7" s="1"/>
  <c r="J2797" i="7"/>
  <c r="K2797" i="7" s="1"/>
  <c r="J2662" i="7"/>
  <c r="K2662" i="7" s="1"/>
  <c r="J2572" i="7"/>
  <c r="K2572" i="7" s="1"/>
  <c r="J2390" i="7"/>
  <c r="K2390" i="7" s="1"/>
  <c r="J2315" i="7"/>
  <c r="K2315" i="7" s="1"/>
  <c r="J2285" i="7"/>
  <c r="K2285" i="7" s="1"/>
  <c r="J2163" i="7"/>
  <c r="K2163" i="7" s="1"/>
  <c r="J1972" i="7"/>
  <c r="K1972" i="7" s="1"/>
  <c r="J3948" i="7"/>
  <c r="K3948" i="7" s="1"/>
  <c r="K3949" i="7" s="1"/>
  <c r="K3950" i="7" s="1"/>
  <c r="J3704" i="7"/>
  <c r="K3704" i="7" s="1"/>
  <c r="J2557" i="7"/>
  <c r="K2557" i="7" s="1"/>
  <c r="J2499" i="7"/>
  <c r="K2499" i="7" s="1"/>
  <c r="J2471" i="7"/>
  <c r="K2471" i="7" s="1"/>
  <c r="J2457" i="7"/>
  <c r="K2457" i="7" s="1"/>
  <c r="J2345" i="7"/>
  <c r="K2345" i="7" s="1"/>
  <c r="J2211" i="7"/>
  <c r="K2211" i="7" s="1"/>
  <c r="J2132" i="7"/>
  <c r="K2132" i="7" s="1"/>
  <c r="J2071" i="7"/>
  <c r="K2071" i="7" s="1"/>
  <c r="J1127" i="7"/>
  <c r="K1127" i="7" s="1"/>
  <c r="J3870" i="7"/>
  <c r="K3870" i="7" s="1"/>
  <c r="J3662" i="7"/>
  <c r="K3662" i="7" s="1"/>
  <c r="J2812" i="7"/>
  <c r="K2812" i="7" s="1"/>
  <c r="J2617" i="7"/>
  <c r="K2617" i="7" s="1"/>
  <c r="J2195" i="7"/>
  <c r="K2195" i="7" s="1"/>
  <c r="J2147" i="7"/>
  <c r="K2147" i="7" s="1"/>
  <c r="J2026" i="7"/>
  <c r="K2026" i="7" s="1"/>
  <c r="J1985" i="7"/>
  <c r="K1985" i="7" s="1"/>
  <c r="J161" i="7"/>
  <c r="K161" i="7" s="1"/>
  <c r="J137" i="7"/>
  <c r="K137" i="7" s="1"/>
  <c r="J3795" i="7"/>
  <c r="K3795" i="7" s="1"/>
  <c r="J3635" i="7"/>
  <c r="K3635" i="7" s="1"/>
  <c r="J3570" i="7"/>
  <c r="K3570" i="7" s="1"/>
  <c r="J3484" i="7"/>
  <c r="K3484" i="7" s="1"/>
  <c r="J2602" i="7"/>
  <c r="K2602" i="7" s="1"/>
  <c r="J2542" i="7"/>
  <c r="K2542" i="7" s="1"/>
  <c r="J2513" i="7"/>
  <c r="K2513" i="7" s="1"/>
  <c r="J2360" i="7"/>
  <c r="K2360" i="7" s="1"/>
  <c r="J2257" i="7"/>
  <c r="K2257" i="7" s="1"/>
  <c r="J733" i="7"/>
  <c r="K733" i="7" s="1"/>
  <c r="J226" i="7"/>
  <c r="K226" i="7" s="1"/>
  <c r="J213" i="7"/>
  <c r="K213" i="7" s="1"/>
  <c r="J149" i="7"/>
  <c r="K149" i="7" s="1"/>
  <c r="J3759" i="7"/>
  <c r="K3759" i="7" s="1"/>
  <c r="J3609" i="7"/>
  <c r="K3609" i="7" s="1"/>
  <c r="J3500" i="7"/>
  <c r="K3500" i="7" s="1"/>
  <c r="J2587" i="7"/>
  <c r="K2587" i="7" s="1"/>
  <c r="J2415" i="7"/>
  <c r="K2415" i="7" s="1"/>
  <c r="J2227" i="7"/>
  <c r="K2227" i="7" s="1"/>
  <c r="J2179" i="7"/>
  <c r="K2179" i="7" s="1"/>
  <c r="J2101" i="7"/>
  <c r="K2101" i="7" s="1"/>
  <c r="J2055" i="7"/>
  <c r="K2055" i="7" s="1"/>
  <c r="J2011" i="7"/>
  <c r="K2011" i="7" s="1"/>
  <c r="J200" i="7"/>
  <c r="K200" i="7" s="1"/>
  <c r="J187" i="7"/>
  <c r="K187" i="7" s="1"/>
  <c r="J89" i="7"/>
  <c r="K89" i="7" s="1"/>
  <c r="J3844" i="7"/>
  <c r="K3844" i="7" s="1"/>
  <c r="J3732" i="7"/>
  <c r="K3732" i="7" s="1"/>
  <c r="J3583" i="7"/>
  <c r="K3583" i="7" s="1"/>
  <c r="J2429" i="7"/>
  <c r="K2429" i="7" s="1"/>
  <c r="J2375" i="7"/>
  <c r="K2375" i="7" s="1"/>
  <c r="J2330" i="7"/>
  <c r="K2330" i="7" s="1"/>
  <c r="J2300" i="7"/>
  <c r="K2300" i="7" s="1"/>
  <c r="J2271" i="7"/>
  <c r="K2271" i="7" s="1"/>
  <c r="J2243" i="7"/>
  <c r="K2243" i="7" s="1"/>
  <c r="J2116" i="7"/>
  <c r="K2116" i="7" s="1"/>
  <c r="J1166" i="7"/>
  <c r="K1166" i="7" s="1"/>
  <c r="J1153" i="7"/>
  <c r="K1153" i="7" s="1"/>
  <c r="J1140" i="7"/>
  <c r="K1140" i="7" s="1"/>
  <c r="J736" i="7"/>
  <c r="K736" i="7" s="1"/>
  <c r="J174" i="7"/>
  <c r="K174" i="7" s="1"/>
  <c r="J125" i="7"/>
  <c r="K125" i="7" s="1"/>
  <c r="J113" i="7"/>
  <c r="K113" i="7" s="1"/>
  <c r="J101" i="7"/>
  <c r="K101" i="7" s="1"/>
  <c r="J7" i="4"/>
  <c r="I7" i="4" s="1"/>
  <c r="K7" i="4" s="1"/>
  <c r="J12" i="4"/>
  <c r="I12" i="4" s="1"/>
  <c r="K12" i="4" s="1"/>
  <c r="K1247" i="7"/>
  <c r="P1247" i="7" s="1"/>
  <c r="U1247" i="7" s="1"/>
  <c r="U1248" i="7" s="1"/>
  <c r="I34" i="18"/>
  <c r="I35" i="18" s="1"/>
  <c r="I36" i="18" s="1"/>
  <c r="O36" i="18" s="1"/>
  <c r="K4307" i="7"/>
  <c r="P4307" i="7" s="1"/>
  <c r="U4307" i="7" s="1"/>
  <c r="U4308" i="7" s="1"/>
  <c r="I150" i="18"/>
  <c r="O150" i="18" s="1"/>
  <c r="F56" i="18"/>
  <c r="F59" i="18" s="1"/>
  <c r="I60" i="18" s="1"/>
  <c r="I61" i="18" s="1"/>
  <c r="I62" i="18" s="1"/>
  <c r="O62" i="18" s="1"/>
  <c r="E68" i="18"/>
  <c r="U447" i="7"/>
  <c r="U448" i="7" s="1"/>
  <c r="L43" i="6" s="1"/>
  <c r="P491" i="7"/>
  <c r="U491" i="7" s="1"/>
  <c r="U492" i="7" s="1"/>
  <c r="L47" i="6" s="1"/>
  <c r="M47" i="6" s="1"/>
  <c r="F480" i="7"/>
  <c r="P13" i="7"/>
  <c r="U13" i="7" s="1"/>
  <c r="U14" i="7" s="1"/>
  <c r="L8" i="6" s="1"/>
  <c r="M8" i="6" s="1"/>
  <c r="J21" i="7"/>
  <c r="K21" i="7" s="1"/>
  <c r="K22" i="7" s="1"/>
  <c r="K1271" i="7"/>
  <c r="J4421" i="7" s="1"/>
  <c r="K4421" i="7" s="1"/>
  <c r="K295" i="13"/>
  <c r="E306" i="2"/>
  <c r="F306" i="2" s="1"/>
  <c r="E305" i="12"/>
  <c r="G305" i="12" s="1"/>
  <c r="P1938" i="7"/>
  <c r="U1938" i="7" s="1"/>
  <c r="U1939" i="7" s="1"/>
  <c r="L147" i="6" s="1"/>
  <c r="M147" i="6" s="1"/>
  <c r="P1099" i="7"/>
  <c r="U1099" i="7" s="1"/>
  <c r="U1100" i="7" s="1"/>
  <c r="L94" i="6" s="1"/>
  <c r="M94" i="6" s="1"/>
  <c r="E42" i="12"/>
  <c r="G42" i="12" s="1"/>
  <c r="K32" i="13"/>
  <c r="E43" i="2"/>
  <c r="F43" i="2" s="1"/>
  <c r="P480" i="7"/>
  <c r="U480" i="7" s="1"/>
  <c r="U481" i="7" s="1"/>
  <c r="L46" i="6" s="1"/>
  <c r="M46" i="6" s="1"/>
  <c r="K44" i="13"/>
  <c r="E54" i="12"/>
  <c r="G54" i="12" s="1"/>
  <c r="E55" i="2"/>
  <c r="F55" i="2" s="1"/>
  <c r="K43" i="13"/>
  <c r="E53" i="12"/>
  <c r="G53" i="12" s="1"/>
  <c r="E54" i="2"/>
  <c r="F54" i="2" s="1"/>
  <c r="P4318" i="7"/>
  <c r="P4385" i="7"/>
  <c r="U4385" i="7" s="1"/>
  <c r="U4386" i="7" s="1"/>
  <c r="K8" i="13"/>
  <c r="E18" i="12"/>
  <c r="G18" i="12" s="1"/>
  <c r="E19" i="2"/>
  <c r="F19" i="2" s="1"/>
  <c r="K5" i="13"/>
  <c r="E16" i="2"/>
  <c r="F16" i="2" s="1"/>
  <c r="E15" i="12"/>
  <c r="G15" i="12" s="1"/>
  <c r="P469" i="7"/>
  <c r="U469" i="7" s="1"/>
  <c r="U470" i="7" s="1"/>
  <c r="L45" i="6" s="1"/>
  <c r="M45" i="6" s="1"/>
  <c r="P3998" i="7"/>
  <c r="U3998" i="7" s="1"/>
  <c r="U3999" i="7" s="1"/>
  <c r="L293" i="6" s="1"/>
  <c r="M293" i="6" s="1"/>
  <c r="P935" i="7"/>
  <c r="U935" i="7" s="1"/>
  <c r="U936" i="7" s="1"/>
  <c r="L81" i="6" s="1"/>
  <c r="M81" i="6" s="1"/>
  <c r="P1530" i="7"/>
  <c r="U1530" i="7" s="1"/>
  <c r="U1531" i="7" s="1"/>
  <c r="L114" i="6" s="1"/>
  <c r="M114" i="6" s="1"/>
  <c r="K4331" i="7"/>
  <c r="F4331" i="7"/>
  <c r="P322" i="7"/>
  <c r="U322" i="7" s="1"/>
  <c r="U323" i="7" s="1"/>
  <c r="L32" i="6" s="1"/>
  <c r="M32" i="6" s="1"/>
  <c r="P241" i="7"/>
  <c r="U241" i="7" s="1"/>
  <c r="U242" i="7" s="1"/>
  <c r="L26" i="6" s="1"/>
  <c r="M26" i="6" s="1"/>
  <c r="J4418" i="7"/>
  <c r="K4418" i="7" s="1"/>
  <c r="J4432" i="7"/>
  <c r="K4432" i="7" s="1"/>
  <c r="J1431" i="7"/>
  <c r="K1431" i="7" s="1"/>
  <c r="J1446" i="7"/>
  <c r="K1446" i="7" s="1"/>
  <c r="J1215" i="7"/>
  <c r="K1215" i="7" s="1"/>
  <c r="J1387" i="7"/>
  <c r="K1387" i="7" s="1"/>
  <c r="J1402" i="7"/>
  <c r="K1402" i="7" s="1"/>
  <c r="J1199" i="7"/>
  <c r="K1199" i="7" s="1"/>
  <c r="J1371" i="7"/>
  <c r="K1371" i="7" s="1"/>
  <c r="P311" i="7"/>
  <c r="U311" i="7" s="1"/>
  <c r="U312" i="7" s="1"/>
  <c r="L31" i="6" s="1"/>
  <c r="M31" i="6" s="1"/>
  <c r="J1462" i="7"/>
  <c r="K1462" i="7" s="1"/>
  <c r="K1258" i="7"/>
  <c r="P458" i="7"/>
  <c r="U458" i="7" s="1"/>
  <c r="U459" i="7" s="1"/>
  <c r="L44" i="6" s="1"/>
  <c r="M44" i="6" s="1"/>
  <c r="P252" i="7"/>
  <c r="U252" i="7" s="1"/>
  <c r="U253" i="7" s="1"/>
  <c r="K24" i="13"/>
  <c r="E34" i="12"/>
  <c r="G34" i="12" s="1"/>
  <c r="E35" i="2"/>
  <c r="F35" i="2" s="1"/>
  <c r="P45" i="7"/>
  <c r="U45" i="7" s="1"/>
  <c r="U46" i="7" s="1"/>
  <c r="L10" i="6" s="1"/>
  <c r="M10" i="6" s="1"/>
  <c r="P4131" i="7"/>
  <c r="U4131" i="7" s="1"/>
  <c r="U4132" i="7" s="1"/>
  <c r="L301" i="6" s="1"/>
  <c r="M301" i="6" s="1"/>
  <c r="P1283" i="7"/>
  <c r="U1283" i="7" s="1"/>
  <c r="U1284" i="7" s="1"/>
  <c r="L103" i="6" s="1"/>
  <c r="M103" i="6" s="1"/>
  <c r="F25" i="19"/>
  <c r="Q25" i="19" s="1"/>
  <c r="T25" i="19" s="1"/>
  <c r="L313" i="6" s="1"/>
  <c r="M313" i="6" s="1"/>
  <c r="F93" i="18"/>
  <c r="E105" i="18"/>
  <c r="K105" i="18"/>
  <c r="K107" i="18" s="1"/>
  <c r="J116" i="18"/>
  <c r="I136" i="18"/>
  <c r="I137" i="18" s="1"/>
  <c r="N137" i="18" s="1"/>
  <c r="F571" i="7" l="1"/>
  <c r="K593" i="7"/>
  <c r="P593" i="7" s="1"/>
  <c r="U593" i="7" s="1"/>
  <c r="U594" i="7" s="1"/>
  <c r="L56" i="6" s="1"/>
  <c r="M56" i="6" s="1"/>
  <c r="F593" i="7"/>
  <c r="K3141" i="7"/>
  <c r="K3142" i="7" s="1"/>
  <c r="P3142" i="7" s="1"/>
  <c r="U3142" i="7" s="1"/>
  <c r="U3143" i="7" s="1"/>
  <c r="L226" i="6" s="1"/>
  <c r="M226" i="6" s="1"/>
  <c r="K4093" i="7"/>
  <c r="P4093" i="7" s="1"/>
  <c r="U4093" i="7" s="1"/>
  <c r="U4094" i="7" s="1"/>
  <c r="L299" i="6" s="1"/>
  <c r="M299" i="6" s="1"/>
  <c r="K3154" i="7"/>
  <c r="J2813" i="7"/>
  <c r="K2813" i="7" s="1"/>
  <c r="J3897" i="7"/>
  <c r="K3897" i="7" s="1"/>
  <c r="J3910" i="7"/>
  <c r="K3910" i="7" s="1"/>
  <c r="K3128" i="7"/>
  <c r="J3911" i="7"/>
  <c r="K3911" i="7" s="1"/>
  <c r="J3898" i="7"/>
  <c r="K3898" i="7" s="1"/>
  <c r="J3908" i="7"/>
  <c r="K3908" i="7" s="1"/>
  <c r="J3180" i="7"/>
  <c r="K3180" i="7" s="1"/>
  <c r="K3181" i="7" s="1"/>
  <c r="J3167" i="7"/>
  <c r="K3167" i="7" s="1"/>
  <c r="K3168" i="7" s="1"/>
  <c r="J3193" i="7"/>
  <c r="K3193" i="7" s="1"/>
  <c r="K3194" i="7" s="1"/>
  <c r="J3206" i="7"/>
  <c r="K3206" i="7" s="1"/>
  <c r="K3207" i="7" s="1"/>
  <c r="K3115" i="7"/>
  <c r="J660" i="7"/>
  <c r="K660" i="7" s="1"/>
  <c r="K661" i="7" s="1"/>
  <c r="K662" i="7" s="1"/>
  <c r="P662" i="7" s="1"/>
  <c r="U662" i="7" s="1"/>
  <c r="U663" i="7" s="1"/>
  <c r="L62" i="6" s="1"/>
  <c r="M62" i="6" s="1"/>
  <c r="J647" i="7"/>
  <c r="K647" i="7" s="1"/>
  <c r="J636" i="7"/>
  <c r="K636" i="7" s="1"/>
  <c r="J625" i="7"/>
  <c r="K625" i="7" s="1"/>
  <c r="J614" i="7"/>
  <c r="K614" i="7" s="1"/>
  <c r="K646" i="7"/>
  <c r="J613" i="7"/>
  <c r="K613" i="7" s="1"/>
  <c r="K635" i="7"/>
  <c r="J624" i="7"/>
  <c r="K624" i="7" s="1"/>
  <c r="E17" i="12"/>
  <c r="G17" i="12" s="1"/>
  <c r="E18" i="2"/>
  <c r="F18" i="2" s="1"/>
  <c r="M11" i="6"/>
  <c r="J2072" i="7"/>
  <c r="K2072" i="7" s="1"/>
  <c r="J702" i="7"/>
  <c r="K702" i="7" s="1"/>
  <c r="J2633" i="7"/>
  <c r="K2633" i="7" s="1"/>
  <c r="J4230" i="7"/>
  <c r="K4230" i="7" s="1"/>
  <c r="J2376" i="7"/>
  <c r="K2376" i="7" s="1"/>
  <c r="J2258" i="7"/>
  <c r="K2258" i="7" s="1"/>
  <c r="J2117" i="7"/>
  <c r="K2117" i="7" s="1"/>
  <c r="J2027" i="7"/>
  <c r="K2027" i="7" s="1"/>
  <c r="J4217" i="7"/>
  <c r="K4217" i="7" s="1"/>
  <c r="J2286" i="7"/>
  <c r="K2286" i="7" s="1"/>
  <c r="J2331" i="7"/>
  <c r="K2331" i="7" s="1"/>
  <c r="J2500" i="7"/>
  <c r="K2500" i="7" s="1"/>
  <c r="J2486" i="7"/>
  <c r="K2486" i="7" s="1"/>
  <c r="J2678" i="7"/>
  <c r="K2678" i="7" s="1"/>
  <c r="J2693" i="7"/>
  <c r="K2693" i="7" s="1"/>
  <c r="J3882" i="7"/>
  <c r="K3882" i="7" s="1"/>
  <c r="J3311" i="7"/>
  <c r="K3311" i="7" s="1"/>
  <c r="K3312" i="7" s="1"/>
  <c r="J3923" i="7"/>
  <c r="K3923" i="7" s="1"/>
  <c r="J2056" i="7"/>
  <c r="K2056" i="7" s="1"/>
  <c r="J1139" i="7"/>
  <c r="K1139" i="7" s="1"/>
  <c r="J1178" i="7"/>
  <c r="K1178" i="7" s="1"/>
  <c r="K1179" i="7" s="1"/>
  <c r="J3869" i="7"/>
  <c r="K3869" i="7" s="1"/>
  <c r="K38" i="13"/>
  <c r="M43" i="6"/>
  <c r="E19" i="12"/>
  <c r="G19" i="12" s="1"/>
  <c r="M13" i="6"/>
  <c r="E60" i="2"/>
  <c r="F60" i="2" s="1"/>
  <c r="M54" i="6"/>
  <c r="J3297" i="7"/>
  <c r="K3297" i="7" s="1"/>
  <c r="K3298" i="7" s="1"/>
  <c r="F3299" i="7" s="1"/>
  <c r="F4490" i="7"/>
  <c r="J3474" i="7"/>
  <c r="K3474" i="7" s="1"/>
  <c r="J3062" i="7"/>
  <c r="K3062" i="7" s="1"/>
  <c r="K3063" i="7" s="1"/>
  <c r="J3856" i="7"/>
  <c r="K3856" i="7" s="1"/>
  <c r="E59" i="12"/>
  <c r="G59" i="12" s="1"/>
  <c r="J3505" i="7"/>
  <c r="K3505" i="7" s="1"/>
  <c r="J29" i="20"/>
  <c r="K29" i="20" s="1"/>
  <c r="J4202" i="7"/>
  <c r="K4202" i="7" s="1"/>
  <c r="J3649" i="7"/>
  <c r="K3649" i="7" s="1"/>
  <c r="J2768" i="7"/>
  <c r="K2768" i="7" s="1"/>
  <c r="J888" i="7"/>
  <c r="K888" i="7" s="1"/>
  <c r="J3845" i="7"/>
  <c r="K3845" i="7" s="1"/>
  <c r="J3636" i="7"/>
  <c r="K3636" i="7" s="1"/>
  <c r="J2798" i="7"/>
  <c r="K2798" i="7" s="1"/>
  <c r="J2514" i="7"/>
  <c r="K2514" i="7" s="1"/>
  <c r="J3489" i="7"/>
  <c r="K3489" i="7" s="1"/>
  <c r="J2708" i="7"/>
  <c r="K2708" i="7" s="1"/>
  <c r="J2361" i="7"/>
  <c r="K2361" i="7" s="1"/>
  <c r="J2228" i="7"/>
  <c r="K2228" i="7" s="1"/>
  <c r="J1189" i="7"/>
  <c r="K1189" i="7" s="1"/>
  <c r="K1190" i="7" s="1"/>
  <c r="J2087" i="7"/>
  <c r="K2087" i="7" s="1"/>
  <c r="J2828" i="7"/>
  <c r="K2828" i="7" s="1"/>
  <c r="J2391" i="7"/>
  <c r="K2391" i="7" s="1"/>
  <c r="J1152" i="7"/>
  <c r="K1152" i="7" s="1"/>
  <c r="J3597" i="7"/>
  <c r="K3597" i="7" s="1"/>
  <c r="J2316" i="7"/>
  <c r="K2316" i="7" s="1"/>
  <c r="J735" i="7"/>
  <c r="K735" i="7" s="1"/>
  <c r="J2588" i="7"/>
  <c r="K2588" i="7" s="1"/>
  <c r="J2180" i="7"/>
  <c r="K2180" i="7" s="1"/>
  <c r="J4256" i="7"/>
  <c r="K4256" i="7" s="1"/>
  <c r="K4258" i="7" s="1"/>
  <c r="J3747" i="7"/>
  <c r="K3747" i="7" s="1"/>
  <c r="J2133" i="7"/>
  <c r="K2133" i="7" s="1"/>
  <c r="J225" i="7"/>
  <c r="K225" i="7" s="1"/>
  <c r="K229" i="7" s="1"/>
  <c r="F230" i="7" s="1"/>
  <c r="J2618" i="7"/>
  <c r="K2618" i="7" s="1"/>
  <c r="J2148" i="7"/>
  <c r="K2148" i="7" s="1"/>
  <c r="J905" i="7"/>
  <c r="K905" i="7" s="1"/>
  <c r="J3937" i="7"/>
  <c r="K3937" i="7" s="1"/>
  <c r="J2753" i="7"/>
  <c r="K2753" i="7" s="1"/>
  <c r="J2573" i="7"/>
  <c r="K2573" i="7" s="1"/>
  <c r="J3760" i="7"/>
  <c r="K3760" i="7" s="1"/>
  <c r="J4201" i="7"/>
  <c r="K4201" i="7" s="1"/>
  <c r="J11" i="20"/>
  <c r="K11" i="20" s="1"/>
  <c r="J3521" i="7"/>
  <c r="K3521" i="7" s="1"/>
  <c r="J3784" i="7"/>
  <c r="K3784" i="7" s="1"/>
  <c r="J2843" i="7"/>
  <c r="K2843" i="7" s="1"/>
  <c r="J2648" i="7"/>
  <c r="K2648" i="7" s="1"/>
  <c r="J3960" i="7"/>
  <c r="K3960" i="7" s="1"/>
  <c r="J3733" i="7"/>
  <c r="K3733" i="7" s="1"/>
  <c r="J3584" i="7"/>
  <c r="K3584" i="7" s="1"/>
  <c r="J2558" i="7"/>
  <c r="K2558" i="7" s="1"/>
  <c r="J872" i="7"/>
  <c r="K872" i="7" s="1"/>
  <c r="J3663" i="7"/>
  <c r="K3663" i="7" s="1"/>
  <c r="J2738" i="7"/>
  <c r="K2738" i="7" s="1"/>
  <c r="J2430" i="7"/>
  <c r="K2430" i="7" s="1"/>
  <c r="J2301" i="7"/>
  <c r="K2301" i="7" s="1"/>
  <c r="J2102" i="7"/>
  <c r="K2102" i="7" s="1"/>
  <c r="J1126" i="7"/>
  <c r="K1126" i="7" s="1"/>
  <c r="J3719" i="7"/>
  <c r="K3719" i="7" s="1"/>
  <c r="J2663" i="7"/>
  <c r="K2663" i="7" s="1"/>
  <c r="J2196" i="7"/>
  <c r="K2196" i="7" s="1"/>
  <c r="J11" i="15"/>
  <c r="K11" i="15" s="1"/>
  <c r="J3473" i="7"/>
  <c r="K3473" i="7" s="1"/>
  <c r="J1165" i="7"/>
  <c r="K1165" i="7" s="1"/>
  <c r="J3808" i="7"/>
  <c r="K3808" i="7" s="1"/>
  <c r="J2458" i="7"/>
  <c r="K2458" i="7" s="1"/>
  <c r="J2012" i="7"/>
  <c r="K2012" i="7" s="1"/>
  <c r="J4053" i="7"/>
  <c r="K4053" i="7" s="1"/>
  <c r="K4055" i="7" s="1"/>
  <c r="K4056" i="7" s="1"/>
  <c r="P4056" i="7" s="1"/>
  <c r="U4056" i="7" s="1"/>
  <c r="U4057" i="7" s="1"/>
  <c r="L298" i="6" s="1"/>
  <c r="M298" i="6" s="1"/>
  <c r="J2272" i="7"/>
  <c r="K2272" i="7" s="1"/>
  <c r="J990" i="7"/>
  <c r="K990" i="7" s="1"/>
  <c r="J3884" i="7"/>
  <c r="K3884" i="7" s="1"/>
  <c r="J2472" i="7"/>
  <c r="K2472" i="7" s="1"/>
  <c r="J1971" i="7"/>
  <c r="K1971" i="7" s="1"/>
  <c r="J4216" i="7"/>
  <c r="K4216" i="7" s="1"/>
  <c r="J3820" i="7"/>
  <c r="K3820" i="7" s="1"/>
  <c r="J3610" i="7"/>
  <c r="K3610" i="7" s="1"/>
  <c r="J11" i="16"/>
  <c r="K11" i="16" s="1"/>
  <c r="J12" i="17"/>
  <c r="K12" i="17" s="1"/>
  <c r="J1997" i="7"/>
  <c r="K1997" i="7" s="1"/>
  <c r="J3677" i="7"/>
  <c r="K3677" i="7" s="1"/>
  <c r="J2783" i="7"/>
  <c r="K2783" i="7" s="1"/>
  <c r="J921" i="7"/>
  <c r="K921" i="7" s="1"/>
  <c r="J3871" i="7"/>
  <c r="K3871" i="7" s="1"/>
  <c r="J3705" i="7"/>
  <c r="K3705" i="7" s="1"/>
  <c r="J3545" i="7"/>
  <c r="K3545" i="7" s="1"/>
  <c r="J2543" i="7"/>
  <c r="K2543" i="7" s="1"/>
  <c r="J4231" i="7"/>
  <c r="K4231" i="7" s="1"/>
  <c r="J3571" i="7"/>
  <c r="K3571" i="7" s="1"/>
  <c r="J2723" i="7"/>
  <c r="K2723" i="7" s="1"/>
  <c r="J2416" i="7"/>
  <c r="K2416" i="7" s="1"/>
  <c r="J2244" i="7"/>
  <c r="K2244" i="7" s="1"/>
  <c r="J1984" i="7"/>
  <c r="K1984" i="7" s="1"/>
  <c r="J2042" i="7"/>
  <c r="K2042" i="7" s="1"/>
  <c r="J3691" i="7"/>
  <c r="K3691" i="7" s="1"/>
  <c r="J2528" i="7"/>
  <c r="K2528" i="7" s="1"/>
  <c r="J2164" i="7"/>
  <c r="K2164" i="7" s="1"/>
  <c r="J3796" i="7"/>
  <c r="K3796" i="7" s="1"/>
  <c r="J2603" i="7"/>
  <c r="K2603" i="7" s="1"/>
  <c r="J1016" i="7"/>
  <c r="K1016" i="7" s="1"/>
  <c r="J3772" i="7"/>
  <c r="K3772" i="7" s="1"/>
  <c r="J2346" i="7"/>
  <c r="K2346" i="7" s="1"/>
  <c r="J1003" i="7"/>
  <c r="K1003" i="7" s="1"/>
  <c r="J3858" i="7"/>
  <c r="K3858" i="7" s="1"/>
  <c r="J2212" i="7"/>
  <c r="K2212" i="7" s="1"/>
  <c r="J732" i="7"/>
  <c r="K732" i="7" s="1"/>
  <c r="J3623" i="7"/>
  <c r="K3623" i="7" s="1"/>
  <c r="J2447" i="7"/>
  <c r="K2447" i="7" s="1"/>
  <c r="K2448" i="7" s="1"/>
  <c r="F2449" i="7" s="1"/>
  <c r="J715" i="7"/>
  <c r="K715" i="7" s="1"/>
  <c r="J3558" i="7"/>
  <c r="K3558" i="7" s="1"/>
  <c r="J3832" i="7"/>
  <c r="K3832" i="7" s="1"/>
  <c r="J2001" i="7"/>
  <c r="K2001" i="7" s="1"/>
  <c r="J3872" i="7"/>
  <c r="K3872" i="7" s="1"/>
  <c r="J3706" i="7"/>
  <c r="K3706" i="7" s="1"/>
  <c r="J2847" i="7"/>
  <c r="K2847" i="7" s="1"/>
  <c r="J2531" i="7"/>
  <c r="K2531" i="7" s="1"/>
  <c r="J3797" i="7"/>
  <c r="K3797" i="7" s="1"/>
  <c r="J3572" i="7"/>
  <c r="K3572" i="7" s="1"/>
  <c r="J2756" i="7"/>
  <c r="K2756" i="7" s="1"/>
  <c r="J3785" i="7"/>
  <c r="K3785" i="7" s="1"/>
  <c r="J3559" i="7"/>
  <c r="K3559" i="7" s="1"/>
  <c r="J2591" i="7"/>
  <c r="K2591" i="7" s="1"/>
  <c r="J2419" i="7"/>
  <c r="K2419" i="7" s="1"/>
  <c r="J1167" i="7"/>
  <c r="K1167" i="7" s="1"/>
  <c r="J2289" i="7"/>
  <c r="K2289" i="7" s="1"/>
  <c r="J1018" i="7"/>
  <c r="K1018" i="7" s="1"/>
  <c r="J3720" i="7"/>
  <c r="K3720" i="7" s="1"/>
  <c r="J2379" i="7"/>
  <c r="K2379" i="7" s="1"/>
  <c r="J2247" i="7"/>
  <c r="K2247" i="7" s="1"/>
  <c r="J533" i="7"/>
  <c r="K533" i="7" s="1"/>
  <c r="K536" i="7" s="1"/>
  <c r="K537" i="7" s="1"/>
  <c r="P537" i="7" s="1"/>
  <c r="U537" i="7" s="1"/>
  <c r="U538" i="7" s="1"/>
  <c r="L51" i="6" s="1"/>
  <c r="M51" i="6" s="1"/>
  <c r="J3748" i="7"/>
  <c r="K3748" i="7" s="1"/>
  <c r="J2016" i="7"/>
  <c r="K2016" i="7" s="1"/>
  <c r="J363" i="7"/>
  <c r="K363" i="7" s="1"/>
  <c r="J2817" i="7"/>
  <c r="K2817" i="7" s="1"/>
  <c r="J2475" i="7"/>
  <c r="K2475" i="7" s="1"/>
  <c r="J1141" i="7"/>
  <c r="K1141" i="7" s="1"/>
  <c r="J545" i="7"/>
  <c r="K545" i="7" s="1"/>
  <c r="K547" i="7" s="1"/>
  <c r="K548" i="7" s="1"/>
  <c r="J2561" i="7"/>
  <c r="K2561" i="7" s="1"/>
  <c r="J2105" i="7"/>
  <c r="K2105" i="7" s="1"/>
  <c r="J703" i="7"/>
  <c r="K703" i="7" s="1"/>
  <c r="J412" i="7"/>
  <c r="K412" i="7" s="1"/>
  <c r="K413" i="7" s="1"/>
  <c r="K414" i="7" s="1"/>
  <c r="P414" i="7" s="1"/>
  <c r="U414" i="7" s="1"/>
  <c r="U415" i="7" s="1"/>
  <c r="L40" i="6" s="1"/>
  <c r="M40" i="6" s="1"/>
  <c r="J3637" i="7"/>
  <c r="K3637" i="7" s="1"/>
  <c r="J3761" i="7"/>
  <c r="K3761" i="7" s="1"/>
  <c r="J2651" i="7"/>
  <c r="K2651" i="7" s="1"/>
  <c r="J2832" i="7"/>
  <c r="K2832" i="7" s="1"/>
  <c r="J2546" i="7"/>
  <c r="K2546" i="7" s="1"/>
  <c r="J2200" i="7"/>
  <c r="K2200" i="7" s="1"/>
  <c r="J2334" i="7"/>
  <c r="K2334" i="7" s="1"/>
  <c r="J401" i="7"/>
  <c r="K401" i="7" s="1"/>
  <c r="K402" i="7" s="1"/>
  <c r="K403" i="7" s="1"/>
  <c r="P403" i="7" s="1"/>
  <c r="U403" i="7" s="1"/>
  <c r="U404" i="7" s="1"/>
  <c r="L39" i="6" s="1"/>
  <c r="J557" i="7"/>
  <c r="K557" i="7" s="1"/>
  <c r="K559" i="7" s="1"/>
  <c r="J2364" i="7"/>
  <c r="K2364" i="7" s="1"/>
  <c r="J2216" i="7"/>
  <c r="K2216" i="7" s="1"/>
  <c r="J4232" i="7"/>
  <c r="K4232" i="7" s="1"/>
  <c r="J2394" i="7"/>
  <c r="K2394" i="7" s="1"/>
  <c r="J3650" i="7"/>
  <c r="K3650" i="7" s="1"/>
  <c r="J522" i="7"/>
  <c r="K522" i="7" s="1"/>
  <c r="K524" i="7" s="1"/>
  <c r="K525" i="7" s="1"/>
  <c r="J2045" i="7"/>
  <c r="K2045" i="7" s="1"/>
  <c r="J3833" i="7"/>
  <c r="K3833" i="7" s="1"/>
  <c r="J3611" i="7"/>
  <c r="K3611" i="7" s="1"/>
  <c r="J2711" i="7"/>
  <c r="K2711" i="7" s="1"/>
  <c r="J4218" i="7"/>
  <c r="K4218" i="7" s="1"/>
  <c r="J3692" i="7"/>
  <c r="K3692" i="7" s="1"/>
  <c r="J2786" i="7"/>
  <c r="K2786" i="7" s="1"/>
  <c r="J4203" i="7"/>
  <c r="K4203" i="7" s="1"/>
  <c r="J3678" i="7"/>
  <c r="K3678" i="7" s="1"/>
  <c r="J2621" i="7"/>
  <c r="K2621" i="7" s="1"/>
  <c r="J2517" i="7"/>
  <c r="K2517" i="7" s="1"/>
  <c r="J2121" i="7"/>
  <c r="K2121" i="7" s="1"/>
  <c r="J2349" i="7"/>
  <c r="K2349" i="7" s="1"/>
  <c r="J2168" i="7"/>
  <c r="K2168" i="7" s="1"/>
  <c r="J992" i="7"/>
  <c r="K992" i="7" s="1"/>
  <c r="J2489" i="7"/>
  <c r="K2489" i="7" s="1"/>
  <c r="J2304" i="7"/>
  <c r="K2304" i="7" s="1"/>
  <c r="J774" i="7"/>
  <c r="K774" i="7" s="1"/>
  <c r="K778" i="7" s="1"/>
  <c r="J390" i="7"/>
  <c r="K390" i="7" s="1"/>
  <c r="K391" i="7" s="1"/>
  <c r="F392" i="7" s="1"/>
  <c r="J2666" i="7"/>
  <c r="K2666" i="7" s="1"/>
  <c r="J716" i="7"/>
  <c r="K716" i="7" s="1"/>
  <c r="J434" i="7"/>
  <c r="K434" i="7" s="1"/>
  <c r="K435" i="7" s="1"/>
  <c r="K436" i="7" s="1"/>
  <c r="P436" i="7" s="1"/>
  <c r="U436" i="7" s="1"/>
  <c r="U437" i="7" s="1"/>
  <c r="L42" i="6" s="1"/>
  <c r="M42" i="6" s="1"/>
  <c r="J3924" i="7"/>
  <c r="K3924" i="7" s="1"/>
  <c r="J2576" i="7"/>
  <c r="K2576" i="7" s="1"/>
  <c r="J2261" i="7"/>
  <c r="K2261" i="7" s="1"/>
  <c r="J751" i="7"/>
  <c r="K751" i="7" s="1"/>
  <c r="K753" i="7" s="1"/>
  <c r="F754" i="7" s="1"/>
  <c r="J3821" i="7"/>
  <c r="K3821" i="7" s="1"/>
  <c r="J2152" i="7"/>
  <c r="K2152" i="7" s="1"/>
  <c r="J1986" i="7"/>
  <c r="K1986" i="7" s="1"/>
  <c r="J2681" i="7"/>
  <c r="K2681" i="7" s="1"/>
  <c r="J2741" i="7"/>
  <c r="K2741" i="7" s="1"/>
  <c r="J2031" i="7"/>
  <c r="K2031" i="7" s="1"/>
  <c r="J3938" i="7"/>
  <c r="K3938" i="7" s="1"/>
  <c r="J2090" i="7"/>
  <c r="K2090" i="7" s="1"/>
  <c r="J3734" i="7"/>
  <c r="K3734" i="7" s="1"/>
  <c r="J3546" i="7"/>
  <c r="K3546" i="7" s="1"/>
  <c r="J2696" i="7"/>
  <c r="K2696" i="7" s="1"/>
  <c r="J3664" i="7"/>
  <c r="K3664" i="7" s="1"/>
  <c r="J2771" i="7"/>
  <c r="K2771" i="7" s="1"/>
  <c r="J3885" i="7"/>
  <c r="K3885" i="7" s="1"/>
  <c r="J3585" i="7"/>
  <c r="K3585" i="7" s="1"/>
  <c r="J2606" i="7"/>
  <c r="K2606" i="7" s="1"/>
  <c r="J2433" i="7"/>
  <c r="K2433" i="7" s="1"/>
  <c r="J2060" i="7"/>
  <c r="K2060" i="7" s="1"/>
  <c r="J2319" i="7"/>
  <c r="K2319" i="7" s="1"/>
  <c r="J1973" i="7"/>
  <c r="K1973" i="7" s="1"/>
  <c r="J3809" i="7"/>
  <c r="K3809" i="7" s="1"/>
  <c r="J2461" i="7"/>
  <c r="K2461" i="7" s="1"/>
  <c r="J2275" i="7"/>
  <c r="K2275" i="7" s="1"/>
  <c r="J3859" i="7"/>
  <c r="K3859" i="7" s="1"/>
  <c r="J2184" i="7"/>
  <c r="K2184" i="7" s="1"/>
  <c r="J690" i="7"/>
  <c r="K690" i="7" s="1"/>
  <c r="J377" i="7"/>
  <c r="K377" i="7" s="1"/>
  <c r="K380" i="7" s="1"/>
  <c r="F381" i="7" s="1"/>
  <c r="J3624" i="7"/>
  <c r="K3624" i="7" s="1"/>
  <c r="J2503" i="7"/>
  <c r="K2503" i="7" s="1"/>
  <c r="J1154" i="7"/>
  <c r="K1154" i="7" s="1"/>
  <c r="J741" i="7"/>
  <c r="K741" i="7" s="1"/>
  <c r="J3598" i="7"/>
  <c r="K3598" i="7" s="1"/>
  <c r="J2137" i="7"/>
  <c r="K2137" i="7" s="1"/>
  <c r="J1128" i="7"/>
  <c r="K1128" i="7" s="1"/>
  <c r="J3846" i="7"/>
  <c r="K3846" i="7" s="1"/>
  <c r="J2726" i="7"/>
  <c r="K2726" i="7" s="1"/>
  <c r="J2801" i="7"/>
  <c r="K2801" i="7" s="1"/>
  <c r="J3773" i="7"/>
  <c r="K3773" i="7" s="1"/>
  <c r="J2232" i="7"/>
  <c r="K2232" i="7" s="1"/>
  <c r="J1005" i="7"/>
  <c r="K1005" i="7" s="1"/>
  <c r="J2075" i="7"/>
  <c r="K2075" i="7" s="1"/>
  <c r="J763" i="7"/>
  <c r="K763" i="7" s="1"/>
  <c r="J2636" i="7"/>
  <c r="K2636" i="7" s="1"/>
  <c r="J788" i="7"/>
  <c r="K788" i="7" s="1"/>
  <c r="K790" i="7" s="1"/>
  <c r="J675" i="7"/>
  <c r="K675" i="7" s="1"/>
  <c r="J2869" i="7"/>
  <c r="K2869" i="7" s="1"/>
  <c r="P2870" i="7" s="1"/>
  <c r="P2879" i="7" s="1"/>
  <c r="J1669" i="7"/>
  <c r="K1669" i="7" s="1"/>
  <c r="K1671" i="7" s="1"/>
  <c r="F1672" i="7" s="1"/>
  <c r="J2926" i="7"/>
  <c r="K2926" i="7" s="1"/>
  <c r="P2927" i="7" s="1"/>
  <c r="P2936" i="7" s="1"/>
  <c r="J3021" i="7"/>
  <c r="K3021" i="7" s="1"/>
  <c r="K3023" i="7" s="1"/>
  <c r="J2888" i="7"/>
  <c r="K2888" i="7" s="1"/>
  <c r="K2889" i="7" s="1"/>
  <c r="J3002" i="7"/>
  <c r="K3002" i="7" s="1"/>
  <c r="K3005" i="7" s="1"/>
  <c r="J3040" i="7"/>
  <c r="K3040" i="7" s="1"/>
  <c r="K3042" i="7" s="1"/>
  <c r="J2983" i="7"/>
  <c r="K2983" i="7" s="1"/>
  <c r="P2984" i="7" s="1"/>
  <c r="P2993" i="7" s="1"/>
  <c r="J2964" i="7"/>
  <c r="K2964" i="7" s="1"/>
  <c r="P2965" i="7" s="1"/>
  <c r="P2974" i="7" s="1"/>
  <c r="J2945" i="7"/>
  <c r="K2945" i="7" s="1"/>
  <c r="K2948" i="7" s="1"/>
  <c r="J2907" i="7"/>
  <c r="K2907" i="7" s="1"/>
  <c r="K2909" i="7" s="1"/>
  <c r="K1960" i="7"/>
  <c r="K1961" i="7" s="1"/>
  <c r="K49" i="13"/>
  <c r="K1432" i="7"/>
  <c r="K1433" i="7" s="1"/>
  <c r="F1434" i="7" s="1"/>
  <c r="K1513" i="7"/>
  <c r="J30" i="20"/>
  <c r="K30" i="20" s="1"/>
  <c r="J1004" i="7"/>
  <c r="K1004" i="7" s="1"/>
  <c r="J906" i="7"/>
  <c r="K906" i="7" s="1"/>
  <c r="J12" i="20"/>
  <c r="K12" i="20" s="1"/>
  <c r="J12" i="15"/>
  <c r="K12" i="15" s="1"/>
  <c r="J991" i="7"/>
  <c r="K991" i="7" s="1"/>
  <c r="J873" i="7"/>
  <c r="K873" i="7" s="1"/>
  <c r="J13" i="17"/>
  <c r="K13" i="17" s="1"/>
  <c r="J12" i="16"/>
  <c r="K12" i="16" s="1"/>
  <c r="J1111" i="7"/>
  <c r="K1111" i="7" s="1"/>
  <c r="K1116" i="7" s="1"/>
  <c r="J922" i="7"/>
  <c r="K922" i="7" s="1"/>
  <c r="J4187" i="7"/>
  <c r="K4187" i="7" s="1"/>
  <c r="K4190" i="7" s="1"/>
  <c r="F4191" i="7" s="1"/>
  <c r="K4191" i="7" s="1"/>
  <c r="P4191" i="7" s="1"/>
  <c r="U4191" i="7" s="1"/>
  <c r="U4192" i="7" s="1"/>
  <c r="L304" i="6" s="1"/>
  <c r="M304" i="6" s="1"/>
  <c r="J1017" i="7"/>
  <c r="K1017" i="7" s="1"/>
  <c r="J889" i="7"/>
  <c r="K889" i="7" s="1"/>
  <c r="J727" i="7"/>
  <c r="K727" i="7" s="1"/>
  <c r="J728" i="7"/>
  <c r="K728" i="7" s="1"/>
  <c r="J729" i="7"/>
  <c r="K729" i="7" s="1"/>
  <c r="K1949" i="7"/>
  <c r="P1949" i="7" s="1"/>
  <c r="U1949" i="7" s="1"/>
  <c r="U1950" i="7" s="1"/>
  <c r="L148" i="6" s="1"/>
  <c r="F1949" i="7"/>
  <c r="J4404" i="7"/>
  <c r="K4404" i="7" s="1"/>
  <c r="K4406" i="7" s="1"/>
  <c r="F4407" i="7" s="1"/>
  <c r="J1416" i="7"/>
  <c r="K1416" i="7" s="1"/>
  <c r="K1418" i="7" s="1"/>
  <c r="J1221" i="7"/>
  <c r="K1221" i="7" s="1"/>
  <c r="K1222" i="7" s="1"/>
  <c r="F1223" i="7" s="1"/>
  <c r="J1202" i="7"/>
  <c r="K1202" i="7" s="1"/>
  <c r="J1707" i="7"/>
  <c r="K1707" i="7" s="1"/>
  <c r="K1709" i="7" s="1"/>
  <c r="F1710" i="7" s="1"/>
  <c r="J1731" i="7"/>
  <c r="K1731" i="7" s="1"/>
  <c r="K1733" i="7" s="1"/>
  <c r="J1681" i="7"/>
  <c r="K1681" i="7" s="1"/>
  <c r="K1684" i="7" s="1"/>
  <c r="K1685" i="7" s="1"/>
  <c r="P1685" i="7" s="1"/>
  <c r="U1685" i="7" s="1"/>
  <c r="U1686" i="7" s="1"/>
  <c r="L127" i="6" s="1"/>
  <c r="M127" i="6" s="1"/>
  <c r="J1719" i="7"/>
  <c r="K1719" i="7" s="1"/>
  <c r="K1721" i="7" s="1"/>
  <c r="J1488" i="7"/>
  <c r="K1488" i="7" s="1"/>
  <c r="K1490" i="7" s="1"/>
  <c r="J1203" i="7"/>
  <c r="K1203" i="7" s="1"/>
  <c r="K1204" i="7" s="1"/>
  <c r="J4280" i="7"/>
  <c r="K4280" i="7" s="1"/>
  <c r="K4282" i="7" s="1"/>
  <c r="F4283" i="7" s="1"/>
  <c r="J4292" i="7"/>
  <c r="K4292" i="7" s="1"/>
  <c r="K4294" i="7" s="1"/>
  <c r="J4268" i="7"/>
  <c r="K4268" i="7" s="1"/>
  <c r="K4270" i="7" s="1"/>
  <c r="K4271" i="7" s="1"/>
  <c r="K1463" i="7"/>
  <c r="F12" i="4"/>
  <c r="L12" i="4" s="1"/>
  <c r="J3843" i="7"/>
  <c r="K3843" i="7" s="1"/>
  <c r="J298" i="7"/>
  <c r="K298" i="7" s="1"/>
  <c r="K299" i="7" s="1"/>
  <c r="F300" i="7" s="1"/>
  <c r="J3219" i="7"/>
  <c r="K3219" i="7" s="1"/>
  <c r="K3220" i="7" s="1"/>
  <c r="J3490" i="7"/>
  <c r="K3490" i="7" s="1"/>
  <c r="J3271" i="7"/>
  <c r="K3271" i="7" s="1"/>
  <c r="K3272" i="7" s="1"/>
  <c r="J3376" i="7"/>
  <c r="K3376" i="7" s="1"/>
  <c r="K3377" i="7" s="1"/>
  <c r="J3506" i="7"/>
  <c r="K3506" i="7" s="1"/>
  <c r="J3088" i="7"/>
  <c r="K3088" i="7" s="1"/>
  <c r="K3089" i="7" s="1"/>
  <c r="J3284" i="7"/>
  <c r="K3284" i="7" s="1"/>
  <c r="K3285" i="7" s="1"/>
  <c r="F3286" i="7" s="1"/>
  <c r="J285" i="7"/>
  <c r="K285" i="7" s="1"/>
  <c r="K286" i="7" s="1"/>
  <c r="J3258" i="7"/>
  <c r="K3258" i="7" s="1"/>
  <c r="K3259" i="7" s="1"/>
  <c r="K3260" i="7" s="1"/>
  <c r="P3260" i="7" s="1"/>
  <c r="U3260" i="7" s="1"/>
  <c r="U3261" i="7" s="1"/>
  <c r="L236" i="6" s="1"/>
  <c r="M236" i="6" s="1"/>
  <c r="J3350" i="7"/>
  <c r="K3350" i="7" s="1"/>
  <c r="K3351" i="7" s="1"/>
  <c r="J3522" i="7"/>
  <c r="K3522" i="7" s="1"/>
  <c r="J3245" i="7"/>
  <c r="K3245" i="7" s="1"/>
  <c r="K3246" i="7" s="1"/>
  <c r="J3363" i="7"/>
  <c r="K3363" i="7" s="1"/>
  <c r="K3364" i="7" s="1"/>
  <c r="K127" i="7"/>
  <c r="F128" i="7" s="1"/>
  <c r="J3101" i="7"/>
  <c r="K3101" i="7" s="1"/>
  <c r="K3102" i="7" s="1"/>
  <c r="J3324" i="7"/>
  <c r="K3324" i="7" s="1"/>
  <c r="K3325" i="7" s="1"/>
  <c r="J3075" i="7"/>
  <c r="K3075" i="7" s="1"/>
  <c r="K3076" i="7" s="1"/>
  <c r="F3077" i="7" s="1"/>
  <c r="J3921" i="7"/>
  <c r="K3921" i="7" s="1"/>
  <c r="J3232" i="7"/>
  <c r="K3232" i="7" s="1"/>
  <c r="K3233" i="7" s="1"/>
  <c r="F3234" i="7" s="1"/>
  <c r="J3337" i="7"/>
  <c r="K3337" i="7" s="1"/>
  <c r="K3338" i="7" s="1"/>
  <c r="K4106" i="7"/>
  <c r="P4106" i="7" s="1"/>
  <c r="U4106" i="7" s="1"/>
  <c r="U4107" i="7" s="1"/>
  <c r="L300" i="6" s="1"/>
  <c r="M300" i="6" s="1"/>
  <c r="F4106" i="7"/>
  <c r="J4435" i="7"/>
  <c r="K4435" i="7" s="1"/>
  <c r="K4447" i="7"/>
  <c r="F4448" i="7" s="1"/>
  <c r="K4043" i="7"/>
  <c r="K4044" i="7" s="1"/>
  <c r="K4045" i="7" s="1"/>
  <c r="P4045" i="7" s="1"/>
  <c r="U4045" i="7" s="1"/>
  <c r="U4046" i="7" s="1"/>
  <c r="L297" i="6" s="1"/>
  <c r="P1271" i="7"/>
  <c r="U1271" i="7" s="1"/>
  <c r="U1272" i="7" s="1"/>
  <c r="L102" i="6" s="1"/>
  <c r="K1234" i="7"/>
  <c r="F1235" i="7" s="1"/>
  <c r="F4374" i="7"/>
  <c r="J1517" i="7"/>
  <c r="K1517" i="7" s="1"/>
  <c r="J1478" i="7"/>
  <c r="K1478" i="7" s="1"/>
  <c r="J1515" i="7"/>
  <c r="K1515" i="7" s="1"/>
  <c r="J4420" i="7"/>
  <c r="K4420" i="7" s="1"/>
  <c r="J1464" i="7"/>
  <c r="K1464" i="7" s="1"/>
  <c r="K151" i="7"/>
  <c r="K152" i="7" s="1"/>
  <c r="P152" i="7" s="1"/>
  <c r="U152" i="7" s="1"/>
  <c r="U153" i="7" s="1"/>
  <c r="L19" i="6" s="1"/>
  <c r="M19" i="6" s="1"/>
  <c r="K1848" i="7"/>
  <c r="K1849" i="7" s="1"/>
  <c r="P1849" i="7" s="1"/>
  <c r="U1849" i="7" s="1"/>
  <c r="U1850" i="7" s="1"/>
  <c r="L140" i="6" s="1"/>
  <c r="M140" i="6" s="1"/>
  <c r="K4067" i="7"/>
  <c r="K4068" i="7" s="1"/>
  <c r="P4068" i="7" s="1"/>
  <c r="U4068" i="7" s="1"/>
  <c r="U4069" i="7" s="1"/>
  <c r="K103" i="7"/>
  <c r="F104" i="7" s="1"/>
  <c r="K1779" i="7"/>
  <c r="K1780" i="7" s="1"/>
  <c r="P1780" i="7" s="1"/>
  <c r="U1780" i="7" s="1"/>
  <c r="U1781" i="7" s="1"/>
  <c r="L134" i="6" s="1"/>
  <c r="M134" i="6" s="1"/>
  <c r="K1915" i="7"/>
  <c r="K1916" i="7" s="1"/>
  <c r="P1916" i="7" s="1"/>
  <c r="U1916" i="7" s="1"/>
  <c r="U1917" i="7" s="1"/>
  <c r="L145" i="6" s="1"/>
  <c r="M145" i="6" s="1"/>
  <c r="K139" i="7"/>
  <c r="K140" i="7" s="1"/>
  <c r="P140" i="7" s="1"/>
  <c r="U140" i="7" s="1"/>
  <c r="U141" i="7" s="1"/>
  <c r="L18" i="6" s="1"/>
  <c r="M18" i="6" s="1"/>
  <c r="K1754" i="7"/>
  <c r="F1755" i="7" s="1"/>
  <c r="K1477" i="7"/>
  <c r="K1903" i="7"/>
  <c r="F1904" i="7" s="1"/>
  <c r="J173" i="7"/>
  <c r="K160" i="7"/>
  <c r="K164" i="7" s="1"/>
  <c r="F165" i="7" s="1"/>
  <c r="K9" i="13"/>
  <c r="E20" i="2"/>
  <c r="F20" i="2" s="1"/>
  <c r="K1447" i="7"/>
  <c r="K1448" i="7" s="1"/>
  <c r="K4357" i="7"/>
  <c r="K4356" i="7"/>
  <c r="K4355" i="7"/>
  <c r="K1589" i="7"/>
  <c r="P1589" i="7" s="1"/>
  <c r="U1589" i="7" s="1"/>
  <c r="U1590" i="7" s="1"/>
  <c r="L119" i="6" s="1"/>
  <c r="M119" i="6" s="1"/>
  <c r="F1589" i="7"/>
  <c r="K14" i="15"/>
  <c r="F14" i="15"/>
  <c r="K3438" i="7"/>
  <c r="P3438" i="7" s="1"/>
  <c r="U3438" i="7" s="1"/>
  <c r="U3439" i="7" s="1"/>
  <c r="L251" i="6" s="1"/>
  <c r="M251" i="6" s="1"/>
  <c r="F3438" i="7"/>
  <c r="K3449" i="7"/>
  <c r="F3449" i="7"/>
  <c r="K1360" i="7"/>
  <c r="P1360" i="7" s="1"/>
  <c r="U1360" i="7" s="1"/>
  <c r="U1361" i="7" s="1"/>
  <c r="L110" i="6" s="1"/>
  <c r="F1360" i="7"/>
  <c r="F1813" i="7"/>
  <c r="K1813" i="7"/>
  <c r="P1813" i="7" s="1"/>
  <c r="U1813" i="7" s="1"/>
  <c r="U1814" i="7" s="1"/>
  <c r="L137" i="6" s="1"/>
  <c r="K2928" i="7"/>
  <c r="E260" i="12"/>
  <c r="G260" i="12" s="1"/>
  <c r="E261" i="2"/>
  <c r="F261" i="2" s="1"/>
  <c r="K250" i="13"/>
  <c r="J11" i="17"/>
  <c r="K11" i="17" s="1"/>
  <c r="J4173" i="7"/>
  <c r="K4173" i="7" s="1"/>
  <c r="J3520" i="7"/>
  <c r="K3520" i="7" s="1"/>
  <c r="J954" i="7"/>
  <c r="K954" i="7" s="1"/>
  <c r="K956" i="7" s="1"/>
  <c r="J3488" i="7"/>
  <c r="K3488" i="7" s="1"/>
  <c r="J3472" i="7"/>
  <c r="K3472" i="7" s="1"/>
  <c r="J2815" i="7"/>
  <c r="K2815" i="7" s="1"/>
  <c r="J2740" i="7"/>
  <c r="K2740" i="7" s="1"/>
  <c r="J2680" i="7"/>
  <c r="K2680" i="7" s="1"/>
  <c r="J2620" i="7"/>
  <c r="K2620" i="7" s="1"/>
  <c r="J2605" i="7"/>
  <c r="K2605" i="7" s="1"/>
  <c r="J2590" i="7"/>
  <c r="K2590" i="7" s="1"/>
  <c r="J2502" i="7"/>
  <c r="K2502" i="7" s="1"/>
  <c r="J2488" i="7"/>
  <c r="K2488" i="7" s="1"/>
  <c r="J2474" i="7"/>
  <c r="K2474" i="7" s="1"/>
  <c r="J2460" i="7"/>
  <c r="K2460" i="7" s="1"/>
  <c r="J2000" i="7"/>
  <c r="K2000" i="7" s="1"/>
  <c r="J2044" i="7"/>
  <c r="K2044" i="7" s="1"/>
  <c r="J4162" i="7"/>
  <c r="K4162" i="7" s="1"/>
  <c r="K4163" i="7" s="1"/>
  <c r="J2089" i="7"/>
  <c r="K2089" i="7" s="1"/>
  <c r="J2846" i="7"/>
  <c r="K2846" i="7" s="1"/>
  <c r="J2830" i="7"/>
  <c r="K2830" i="7" s="1"/>
  <c r="J2725" i="7"/>
  <c r="K2725" i="7" s="1"/>
  <c r="J2710" i="7"/>
  <c r="K2710" i="7" s="1"/>
  <c r="J2695" i="7"/>
  <c r="K2695" i="7" s="1"/>
  <c r="J2530" i="7"/>
  <c r="K2530" i="7" s="1"/>
  <c r="J943" i="7"/>
  <c r="K943" i="7" s="1"/>
  <c r="K945" i="7" s="1"/>
  <c r="J2770" i="7"/>
  <c r="K2770" i="7" s="1"/>
  <c r="J2650" i="7"/>
  <c r="K2650" i="7" s="1"/>
  <c r="J2393" i="7"/>
  <c r="K2393" i="7" s="1"/>
  <c r="J2348" i="7"/>
  <c r="K2348" i="7" s="1"/>
  <c r="J2318" i="7"/>
  <c r="K2318" i="7" s="1"/>
  <c r="J2288" i="7"/>
  <c r="K2288" i="7" s="1"/>
  <c r="J2199" i="7"/>
  <c r="K2199" i="7" s="1"/>
  <c r="J2167" i="7"/>
  <c r="K2167" i="7" s="1"/>
  <c r="J2074" i="7"/>
  <c r="K2074" i="7" s="1"/>
  <c r="J4115" i="7"/>
  <c r="K4115" i="7" s="1"/>
  <c r="K4119" i="7" s="1"/>
  <c r="K3504" i="7"/>
  <c r="J2755" i="7"/>
  <c r="K2755" i="7" s="1"/>
  <c r="J2575" i="7"/>
  <c r="K2575" i="7" s="1"/>
  <c r="J2378" i="7"/>
  <c r="K2378" i="7" s="1"/>
  <c r="J2274" i="7"/>
  <c r="K2274" i="7" s="1"/>
  <c r="J2260" i="7"/>
  <c r="K2260" i="7" s="1"/>
  <c r="J2215" i="7"/>
  <c r="K2215" i="7" s="1"/>
  <c r="J2136" i="7"/>
  <c r="K2136" i="7" s="1"/>
  <c r="J1043" i="7"/>
  <c r="K1043" i="7" s="1"/>
  <c r="J2785" i="7"/>
  <c r="K2785" i="7" s="1"/>
  <c r="J2560" i="7"/>
  <c r="K2560" i="7" s="1"/>
  <c r="J2545" i="7"/>
  <c r="K2545" i="7" s="1"/>
  <c r="J2516" i="7"/>
  <c r="K2516" i="7" s="1"/>
  <c r="J2432" i="7"/>
  <c r="K2432" i="7" s="1"/>
  <c r="J2151" i="7"/>
  <c r="K2151" i="7" s="1"/>
  <c r="J2120" i="7"/>
  <c r="K2120" i="7" s="1"/>
  <c r="J2104" i="7"/>
  <c r="K2104" i="7" s="1"/>
  <c r="J2030" i="7"/>
  <c r="K2030" i="7" s="1"/>
  <c r="J830" i="7"/>
  <c r="K830" i="7" s="1"/>
  <c r="J2333" i="7"/>
  <c r="K2333" i="7" s="1"/>
  <c r="J2303" i="7"/>
  <c r="K2303" i="7" s="1"/>
  <c r="J2246" i="7"/>
  <c r="K2246" i="7" s="1"/>
  <c r="J871" i="7"/>
  <c r="K871" i="7" s="1"/>
  <c r="J817" i="7"/>
  <c r="K817" i="7" s="1"/>
  <c r="J2665" i="7"/>
  <c r="K2665" i="7" s="1"/>
  <c r="J2183" i="7"/>
  <c r="K2183" i="7" s="1"/>
  <c r="J2059" i="7"/>
  <c r="K2059" i="7" s="1"/>
  <c r="J2015" i="7"/>
  <c r="K2015" i="7" s="1"/>
  <c r="J816" i="7"/>
  <c r="K816" i="7" s="1"/>
  <c r="J2635" i="7"/>
  <c r="K2635" i="7" s="1"/>
  <c r="J2800" i="7"/>
  <c r="K2800" i="7" s="1"/>
  <c r="J2418" i="7"/>
  <c r="K2418" i="7" s="1"/>
  <c r="J2363" i="7"/>
  <c r="K2363" i="7" s="1"/>
  <c r="J2231" i="7"/>
  <c r="K2231" i="7" s="1"/>
  <c r="J1071" i="7"/>
  <c r="K1071" i="7" s="1"/>
  <c r="J831" i="7"/>
  <c r="K831" i="7" s="1"/>
  <c r="K1625" i="7"/>
  <c r="P1625" i="7" s="1"/>
  <c r="U1625" i="7" s="1"/>
  <c r="U1626" i="7" s="1"/>
  <c r="L122" i="6" s="1"/>
  <c r="F1625" i="7"/>
  <c r="K1661" i="7"/>
  <c r="P1661" i="7" s="1"/>
  <c r="U1661" i="7" s="1"/>
  <c r="U1662" i="7" s="1"/>
  <c r="L125" i="6" s="1"/>
  <c r="M125" i="6" s="1"/>
  <c r="F1661" i="7"/>
  <c r="F1316" i="7"/>
  <c r="K1316" i="7"/>
  <c r="P1316" i="7" s="1"/>
  <c r="U1316" i="7" s="1"/>
  <c r="U1317" i="7" s="1"/>
  <c r="L106" i="6" s="1"/>
  <c r="F1870" i="7"/>
  <c r="K1870" i="7"/>
  <c r="P1870" i="7" s="1"/>
  <c r="U1870" i="7" s="1"/>
  <c r="U1871" i="7" s="1"/>
  <c r="L141" i="6" s="1"/>
  <c r="F1613" i="7"/>
  <c r="K1613" i="7"/>
  <c r="P1613" i="7" s="1"/>
  <c r="U1613" i="7" s="1"/>
  <c r="U1614" i="7" s="1"/>
  <c r="L121" i="6" s="1"/>
  <c r="M121" i="6" s="1"/>
  <c r="K3951" i="7"/>
  <c r="P3951" i="7" s="1"/>
  <c r="U3951" i="7" s="1"/>
  <c r="U3952" i="7" s="1"/>
  <c r="L290" i="6" s="1"/>
  <c r="F3951" i="7"/>
  <c r="F1338" i="7"/>
  <c r="K1338" i="7"/>
  <c r="P1338" i="7" s="1"/>
  <c r="U1338" i="7" s="1"/>
  <c r="U1339" i="7" s="1"/>
  <c r="L108" i="6" s="1"/>
  <c r="M108" i="6" s="1"/>
  <c r="K3460" i="7"/>
  <c r="P3460" i="7" s="1"/>
  <c r="U3460" i="7" s="1"/>
  <c r="U3461" i="7" s="1"/>
  <c r="L254" i="6" s="1"/>
  <c r="M254" i="6" s="1"/>
  <c r="F3460" i="7"/>
  <c r="O4257" i="7"/>
  <c r="P4257" i="7" s="1"/>
  <c r="P4258" i="7" s="1"/>
  <c r="O4245" i="7"/>
  <c r="P4245" i="7" s="1"/>
  <c r="P4246" i="7" s="1"/>
  <c r="F4247" i="7" s="1"/>
  <c r="O4151" i="7"/>
  <c r="P4151" i="7" s="1"/>
  <c r="P4163" i="7" s="1"/>
  <c r="O1030" i="7"/>
  <c r="P1030" i="7" s="1"/>
  <c r="P1031" i="7" s="1"/>
  <c r="K1032" i="7" s="1"/>
  <c r="P1032" i="7" s="1"/>
  <c r="U1032" i="7" s="1"/>
  <c r="U1033" i="7" s="1"/>
  <c r="L89" i="6" s="1"/>
  <c r="M89" i="6" s="1"/>
  <c r="O789" i="7"/>
  <c r="P789" i="7" s="1"/>
  <c r="P790" i="7" s="1"/>
  <c r="F1649" i="7"/>
  <c r="K1649" i="7"/>
  <c r="P1649" i="7" s="1"/>
  <c r="U1649" i="7" s="1"/>
  <c r="U1650" i="7" s="1"/>
  <c r="L124" i="6" s="1"/>
  <c r="K1637" i="7"/>
  <c r="P1637" i="7" s="1"/>
  <c r="U1637" i="7" s="1"/>
  <c r="U1638" i="7" s="1"/>
  <c r="L123" i="6" s="1"/>
  <c r="M123" i="6" s="1"/>
  <c r="F1637" i="7"/>
  <c r="K846" i="7"/>
  <c r="P846" i="7" s="1"/>
  <c r="U846" i="7" s="1"/>
  <c r="U847" i="7" s="1"/>
  <c r="L75" i="6" s="1"/>
  <c r="F846" i="7"/>
  <c r="K1294" i="7"/>
  <c r="P1294" i="7" s="1"/>
  <c r="U1294" i="7" s="1"/>
  <c r="U1295" i="7" s="1"/>
  <c r="L104" i="6" s="1"/>
  <c r="F1294" i="7"/>
  <c r="K3428" i="7"/>
  <c r="P3428" i="7" s="1"/>
  <c r="U3428" i="7" s="1"/>
  <c r="U3429" i="7" s="1"/>
  <c r="L250" i="6" s="1"/>
  <c r="M250" i="6" s="1"/>
  <c r="F3428" i="7"/>
  <c r="K2407" i="7"/>
  <c r="K115" i="7"/>
  <c r="K4079" i="7"/>
  <c r="K1768" i="7"/>
  <c r="P1768" i="7" s="1"/>
  <c r="U1768" i="7" s="1"/>
  <c r="U1769" i="7" s="1"/>
  <c r="L133" i="6" s="1"/>
  <c r="F1768" i="7"/>
  <c r="K1892" i="7"/>
  <c r="P1892" i="7" s="1"/>
  <c r="U1892" i="7" s="1"/>
  <c r="U1893" i="7" s="1"/>
  <c r="L143" i="6" s="1"/>
  <c r="M143" i="6" s="1"/>
  <c r="F1892" i="7"/>
  <c r="P3398" i="7"/>
  <c r="U3398" i="7" s="1"/>
  <c r="U3399" i="7" s="1"/>
  <c r="L247" i="6" s="1"/>
  <c r="M247" i="6" s="1"/>
  <c r="F3974" i="7"/>
  <c r="K3974" i="7"/>
  <c r="P3974" i="7" s="1"/>
  <c r="U3974" i="7" s="1"/>
  <c r="U3975" i="7" s="1"/>
  <c r="F1577" i="7"/>
  <c r="K1577" i="7"/>
  <c r="P1577" i="7" s="1"/>
  <c r="U1577" i="7" s="1"/>
  <c r="U1578" i="7" s="1"/>
  <c r="L118" i="6" s="1"/>
  <c r="M118" i="6" s="1"/>
  <c r="F1601" i="7"/>
  <c r="K1601" i="7"/>
  <c r="P1601" i="7" s="1"/>
  <c r="U1601" i="7" s="1"/>
  <c r="U1602" i="7" s="1"/>
  <c r="L120" i="6" s="1"/>
  <c r="M120" i="6" s="1"/>
  <c r="F804" i="7"/>
  <c r="K804" i="7"/>
  <c r="P804" i="7" s="1"/>
  <c r="U804" i="7" s="1"/>
  <c r="U805" i="7" s="1"/>
  <c r="L72" i="6" s="1"/>
  <c r="M72" i="6" s="1"/>
  <c r="F1305" i="7"/>
  <c r="K1305" i="7"/>
  <c r="P1305" i="7" s="1"/>
  <c r="U1305" i="7" s="1"/>
  <c r="U1306" i="7" s="1"/>
  <c r="L105" i="6" s="1"/>
  <c r="M105" i="6" s="1"/>
  <c r="K1327" i="7"/>
  <c r="P1327" i="7" s="1"/>
  <c r="U1327" i="7" s="1"/>
  <c r="U1328" i="7" s="1"/>
  <c r="L107" i="6" s="1"/>
  <c r="M107" i="6" s="1"/>
  <c r="F1327" i="7"/>
  <c r="K3961" i="7"/>
  <c r="F1881" i="7"/>
  <c r="K1881" i="7"/>
  <c r="P1881" i="7" s="1"/>
  <c r="U1881" i="7" s="1"/>
  <c r="U1882" i="7" s="1"/>
  <c r="L142" i="6" s="1"/>
  <c r="M142" i="6" s="1"/>
  <c r="F1791" i="7"/>
  <c r="K1791" i="7"/>
  <c r="P1791" i="7" s="1"/>
  <c r="U1791" i="7" s="1"/>
  <c r="U1792" i="7" s="1"/>
  <c r="L135" i="6" s="1"/>
  <c r="K1802" i="7"/>
  <c r="P1802" i="7" s="1"/>
  <c r="U1802" i="7" s="1"/>
  <c r="U1803" i="7" s="1"/>
  <c r="L136" i="6" s="1"/>
  <c r="M136" i="6" s="1"/>
  <c r="F1802" i="7"/>
  <c r="E257" i="12"/>
  <c r="G257" i="12" s="1"/>
  <c r="E258" i="2"/>
  <c r="F258" i="2" s="1"/>
  <c r="K247" i="13"/>
  <c r="K1349" i="7"/>
  <c r="P1349" i="7" s="1"/>
  <c r="U1349" i="7" s="1"/>
  <c r="U1350" i="7" s="1"/>
  <c r="L109" i="6" s="1"/>
  <c r="F1349" i="7"/>
  <c r="K1565" i="7"/>
  <c r="P1565" i="7" s="1"/>
  <c r="U1565" i="7" s="1"/>
  <c r="U1566" i="7" s="1"/>
  <c r="L117" i="6" s="1"/>
  <c r="M117" i="6" s="1"/>
  <c r="F1565" i="7"/>
  <c r="F1553" i="7"/>
  <c r="K1553" i="7"/>
  <c r="P1553" i="7" s="1"/>
  <c r="U1553" i="7" s="1"/>
  <c r="U1554" i="7" s="1"/>
  <c r="L116" i="6" s="1"/>
  <c r="K858" i="7"/>
  <c r="P858" i="7" s="1"/>
  <c r="U858" i="7" s="1"/>
  <c r="U859" i="7" s="1"/>
  <c r="L76" i="6" s="1"/>
  <c r="F858" i="7"/>
  <c r="K1541" i="7"/>
  <c r="F1541" i="7"/>
  <c r="K1697" i="7"/>
  <c r="K1824" i="7"/>
  <c r="K91" i="7"/>
  <c r="K1836" i="7"/>
  <c r="E79" i="18"/>
  <c r="F68" i="18"/>
  <c r="F70" i="18" s="1"/>
  <c r="I71" i="18" s="1"/>
  <c r="E49" i="2"/>
  <c r="F49" i="2" s="1"/>
  <c r="E48" i="12"/>
  <c r="G48" i="12" s="1"/>
  <c r="K152" i="13"/>
  <c r="E162" i="12"/>
  <c r="G162" i="12" s="1"/>
  <c r="E163" i="2"/>
  <c r="F163" i="2" s="1"/>
  <c r="K42" i="13"/>
  <c r="E52" i="12"/>
  <c r="G52" i="12" s="1"/>
  <c r="E53" i="2"/>
  <c r="F53" i="2" s="1"/>
  <c r="K3" i="13"/>
  <c r="E14" i="2"/>
  <c r="F14" i="2" s="1"/>
  <c r="F341" i="2" s="1"/>
  <c r="E13" i="12"/>
  <c r="G13" i="12" s="1"/>
  <c r="K153" i="13"/>
  <c r="E163" i="12"/>
  <c r="G163" i="12" s="1"/>
  <c r="E164" i="2"/>
  <c r="F164" i="2" s="1"/>
  <c r="F23" i="7"/>
  <c r="K23" i="7"/>
  <c r="P23" i="7" s="1"/>
  <c r="U23" i="7" s="1"/>
  <c r="K6" i="13"/>
  <c r="E16" i="12"/>
  <c r="G16" i="12" s="1"/>
  <c r="E17" i="2"/>
  <c r="F17" i="2" s="1"/>
  <c r="K41" i="13"/>
  <c r="E51" i="12"/>
  <c r="G51" i="12" s="1"/>
  <c r="E52" i="2"/>
  <c r="F52" i="2" s="1"/>
  <c r="K83" i="13"/>
  <c r="E93" i="12"/>
  <c r="G93" i="12" s="1"/>
  <c r="E94" i="2"/>
  <c r="F94" i="2" s="1"/>
  <c r="K304" i="13"/>
  <c r="E314" i="12"/>
  <c r="G314" i="12" s="1"/>
  <c r="E315" i="2"/>
  <c r="F315" i="2" s="1"/>
  <c r="K296" i="13"/>
  <c r="E306" i="12"/>
  <c r="G306" i="12" s="1"/>
  <c r="E307" i="2"/>
  <c r="F307" i="2" s="1"/>
  <c r="K4319" i="7"/>
  <c r="F4319" i="7"/>
  <c r="P4331" i="7"/>
  <c r="U4331" i="7" s="1"/>
  <c r="U4332" i="7" s="1"/>
  <c r="K307" i="13"/>
  <c r="E317" i="12"/>
  <c r="G317" i="12" s="1"/>
  <c r="E318" i="2"/>
  <c r="F318" i="2" s="1"/>
  <c r="K29" i="13"/>
  <c r="E39" i="12"/>
  <c r="G39" i="12" s="1"/>
  <c r="E40" i="2"/>
  <c r="F40" i="2" s="1"/>
  <c r="K39" i="13"/>
  <c r="E50" i="2"/>
  <c r="F50" i="2" s="1"/>
  <c r="E49" i="12"/>
  <c r="G49" i="12" s="1"/>
  <c r="K1259" i="7"/>
  <c r="F1259" i="7"/>
  <c r="K22" i="13"/>
  <c r="E32" i="12"/>
  <c r="G32" i="12" s="1"/>
  <c r="E33" i="2"/>
  <c r="F33" i="2" s="1"/>
  <c r="K70" i="13"/>
  <c r="E80" i="12"/>
  <c r="G80" i="12" s="1"/>
  <c r="E81" i="2"/>
  <c r="F81" i="2" s="1"/>
  <c r="K97" i="13"/>
  <c r="E107" i="12"/>
  <c r="G107" i="12" s="1"/>
  <c r="E108" i="2"/>
  <c r="F108" i="2" s="1"/>
  <c r="J364" i="7"/>
  <c r="L27" i="6"/>
  <c r="M27" i="6" s="1"/>
  <c r="K40" i="13"/>
  <c r="E50" i="12"/>
  <c r="G50" i="12" s="1"/>
  <c r="E51" i="2"/>
  <c r="F51" i="2" s="1"/>
  <c r="K28" i="13"/>
  <c r="E38" i="12"/>
  <c r="G38" i="12" s="1"/>
  <c r="E39" i="2"/>
  <c r="F39" i="2" s="1"/>
  <c r="K117" i="13"/>
  <c r="E127" i="12"/>
  <c r="G127" i="12" s="1"/>
  <c r="E128" i="2"/>
  <c r="F128" i="2" s="1"/>
  <c r="E116" i="18"/>
  <c r="F116" i="18" s="1"/>
  <c r="F105" i="18"/>
  <c r="P3041" i="7" l="1"/>
  <c r="P3050" i="7" s="1"/>
  <c r="F3142" i="7"/>
  <c r="P2908" i="7"/>
  <c r="P2917" i="7" s="1"/>
  <c r="K3899" i="7"/>
  <c r="K3900" i="7" s="1"/>
  <c r="P3900" i="7" s="1"/>
  <c r="U3900" i="7" s="1"/>
  <c r="U3901" i="7" s="1"/>
  <c r="L286" i="6" s="1"/>
  <c r="M286" i="6" s="1"/>
  <c r="K4407" i="7"/>
  <c r="P4407" i="7" s="1"/>
  <c r="U4407" i="7" s="1"/>
  <c r="U4408" i="7" s="1"/>
  <c r="K3912" i="7"/>
  <c r="K3913" i="7" s="1"/>
  <c r="P3913" i="7" s="1"/>
  <c r="U3913" i="7" s="1"/>
  <c r="U3914" i="7" s="1"/>
  <c r="L287" i="6" s="1"/>
  <c r="M287" i="6" s="1"/>
  <c r="F3169" i="7"/>
  <c r="K3169" i="7"/>
  <c r="P3169" i="7" s="1"/>
  <c r="U3169" i="7" s="1"/>
  <c r="U3170" i="7" s="1"/>
  <c r="L229" i="6" s="1"/>
  <c r="M229" i="6" s="1"/>
  <c r="K3182" i="7"/>
  <c r="P3182" i="7" s="1"/>
  <c r="U3182" i="7" s="1"/>
  <c r="U3183" i="7" s="1"/>
  <c r="L230" i="6" s="1"/>
  <c r="M230" i="6" s="1"/>
  <c r="F3182" i="7"/>
  <c r="K3208" i="7"/>
  <c r="P3208" i="7" s="1"/>
  <c r="U3208" i="7" s="1"/>
  <c r="U3209" i="7" s="1"/>
  <c r="L232" i="6" s="1"/>
  <c r="M232" i="6" s="1"/>
  <c r="F3208" i="7"/>
  <c r="K3155" i="7"/>
  <c r="P3155" i="7" s="1"/>
  <c r="U3155" i="7" s="1"/>
  <c r="U3156" i="7" s="1"/>
  <c r="L227" i="6" s="1"/>
  <c r="F3155" i="7"/>
  <c r="K2291" i="7"/>
  <c r="F2292" i="7" s="1"/>
  <c r="U2286" i="7" s="1"/>
  <c r="U2291" i="7" s="1"/>
  <c r="K2292" i="7" s="1"/>
  <c r="P2292" i="7" s="1"/>
  <c r="U2292" i="7" s="1"/>
  <c r="U2293" i="7" s="1"/>
  <c r="L170" i="6" s="1"/>
  <c r="E187" i="12" s="1"/>
  <c r="G187" i="12" s="1"/>
  <c r="F3913" i="7"/>
  <c r="K3116" i="7"/>
  <c r="P3116" i="7" s="1"/>
  <c r="U3116" i="7" s="1"/>
  <c r="U3117" i="7" s="1"/>
  <c r="L224" i="6" s="1"/>
  <c r="M224" i="6" s="1"/>
  <c r="F3116" i="7"/>
  <c r="K3195" i="7"/>
  <c r="P3195" i="7" s="1"/>
  <c r="U3195" i="7" s="1"/>
  <c r="U3196" i="7" s="1"/>
  <c r="L231" i="6" s="1"/>
  <c r="M231" i="6" s="1"/>
  <c r="F3195" i="7"/>
  <c r="K616" i="7"/>
  <c r="K617" i="7" s="1"/>
  <c r="P617" i="7" s="1"/>
  <c r="U617" i="7" s="1"/>
  <c r="U618" i="7" s="1"/>
  <c r="L58" i="6" s="1"/>
  <c r="M58" i="6" s="1"/>
  <c r="F3129" i="7"/>
  <c r="K3129" i="7"/>
  <c r="P3129" i="7" s="1"/>
  <c r="U3129" i="7" s="1"/>
  <c r="U3130" i="7" s="1"/>
  <c r="L225" i="6" s="1"/>
  <c r="M225" i="6" s="1"/>
  <c r="K649" i="7"/>
  <c r="F650" i="7" s="1"/>
  <c r="K638" i="7"/>
  <c r="F639" i="7" s="1"/>
  <c r="K3004" i="7"/>
  <c r="F662" i="7"/>
  <c r="K627" i="7"/>
  <c r="F617" i="7"/>
  <c r="K2017" i="7"/>
  <c r="F2018" i="7" s="1"/>
  <c r="U2011" i="7" s="1"/>
  <c r="U2017" i="7" s="1"/>
  <c r="K2018" i="7" s="1"/>
  <c r="P2018" i="7" s="1"/>
  <c r="U2018" i="7" s="1"/>
  <c r="U2019" i="7" s="1"/>
  <c r="L152" i="6" s="1"/>
  <c r="M152" i="6" s="1"/>
  <c r="K2381" i="7"/>
  <c r="F2382" i="7" s="1"/>
  <c r="U2376" i="7" s="1"/>
  <c r="U2381" i="7" s="1"/>
  <c r="K2382" i="7" s="1"/>
  <c r="P2382" i="7" s="1"/>
  <c r="U2382" i="7" s="1"/>
  <c r="U2383" i="7" s="1"/>
  <c r="L176" i="6" s="1"/>
  <c r="M176" i="6" s="1"/>
  <c r="K2653" i="7"/>
  <c r="F2654" i="7" s="1"/>
  <c r="U2647" i="7" s="1"/>
  <c r="U2653" i="7" s="1"/>
  <c r="K2654" i="7" s="1"/>
  <c r="P2654" i="7" s="1"/>
  <c r="U2654" i="7" s="1"/>
  <c r="U2655" i="7" s="1"/>
  <c r="L194" i="6" s="1"/>
  <c r="E211" i="12" s="1"/>
  <c r="G211" i="12" s="1"/>
  <c r="K2002" i="7"/>
  <c r="F2003" i="7" s="1"/>
  <c r="U1996" i="7" s="1"/>
  <c r="U2002" i="7" s="1"/>
  <c r="K2003" i="7" s="1"/>
  <c r="J4419" i="7" s="1"/>
  <c r="K4419" i="7" s="1"/>
  <c r="K4422" i="7" s="1"/>
  <c r="K3798" i="7"/>
  <c r="K3799" i="7" s="1"/>
  <c r="P3799" i="7" s="1"/>
  <c r="U3799" i="7" s="1"/>
  <c r="U3800" i="7" s="1"/>
  <c r="L278" i="6" s="1"/>
  <c r="M278" i="6" s="1"/>
  <c r="K3043" i="7"/>
  <c r="F4056" i="7"/>
  <c r="F525" i="7"/>
  <c r="K2910" i="7"/>
  <c r="K704" i="7"/>
  <c r="F705" i="7" s="1"/>
  <c r="K3041" i="7"/>
  <c r="K3962" i="7"/>
  <c r="F3963" i="7" s="1"/>
  <c r="K2908" i="7"/>
  <c r="K2668" i="7"/>
  <c r="F2669" i="7" s="1"/>
  <c r="U2662" i="7" s="1"/>
  <c r="U2668" i="7" s="1"/>
  <c r="K2669" i="7" s="1"/>
  <c r="P2669" i="7" s="1"/>
  <c r="U2669" i="7" s="1"/>
  <c r="U2670" i="7" s="1"/>
  <c r="L195" i="6" s="1"/>
  <c r="M195" i="6" s="1"/>
  <c r="K2154" i="7"/>
  <c r="F2155" i="7" s="1"/>
  <c r="U2148" i="7" s="1"/>
  <c r="U2154" i="7" s="1"/>
  <c r="K2155" i="7" s="1"/>
  <c r="P2155" i="7" s="1"/>
  <c r="U2155" i="7" s="1"/>
  <c r="U2156" i="7" s="1"/>
  <c r="L161" i="6" s="1"/>
  <c r="M161" i="6" s="1"/>
  <c r="K2218" i="7"/>
  <c r="F2219" i="7" s="1"/>
  <c r="U2213" i="7" s="1"/>
  <c r="K2578" i="7"/>
  <c r="F2579" i="7" s="1"/>
  <c r="U2572" i="7" s="1"/>
  <c r="U2578" i="7" s="1"/>
  <c r="K2579" i="7" s="1"/>
  <c r="P2579" i="7" s="1"/>
  <c r="U2579" i="7" s="1"/>
  <c r="U2580" i="7" s="1"/>
  <c r="L189" i="6" s="1"/>
  <c r="M189" i="6" s="1"/>
  <c r="K2490" i="7"/>
  <c r="F2491" i="7" s="1"/>
  <c r="U2485" i="7" s="1"/>
  <c r="U2490" i="7" s="1"/>
  <c r="K2491" i="7" s="1"/>
  <c r="P2491" i="7" s="1"/>
  <c r="U2491" i="7" s="1"/>
  <c r="U2492" i="7" s="1"/>
  <c r="L183" i="6" s="1"/>
  <c r="M183" i="6" s="1"/>
  <c r="K2929" i="7"/>
  <c r="K1987" i="7"/>
  <c r="F1988" i="7" s="1"/>
  <c r="K717" i="7"/>
  <c r="F718" i="7" s="1"/>
  <c r="K3679" i="7"/>
  <c r="K3680" i="7" s="1"/>
  <c r="F3681" i="7" s="1"/>
  <c r="K3573" i="7"/>
  <c r="K3574" i="7" s="1"/>
  <c r="P3574" i="7" s="1"/>
  <c r="U3574" i="7" s="1"/>
  <c r="U3575" i="7" s="1"/>
  <c r="L261" i="6" s="1"/>
  <c r="M261" i="6" s="1"/>
  <c r="K3707" i="7"/>
  <c r="K3708" i="7" s="1"/>
  <c r="K3709" i="7" s="1"/>
  <c r="P3709" i="7" s="1"/>
  <c r="U3709" i="7" s="1"/>
  <c r="U3710" i="7" s="1"/>
  <c r="L271" i="6" s="1"/>
  <c r="M271" i="6" s="1"/>
  <c r="K3560" i="7"/>
  <c r="F3561" i="7" s="1"/>
  <c r="K3547" i="7"/>
  <c r="F3548" i="7" s="1"/>
  <c r="K3762" i="7"/>
  <c r="K3763" i="7" s="1"/>
  <c r="P3763" i="7" s="1"/>
  <c r="U3763" i="7" s="1"/>
  <c r="U3764" i="7" s="1"/>
  <c r="L275" i="6" s="1"/>
  <c r="M275" i="6" s="1"/>
  <c r="K3651" i="7"/>
  <c r="K3652" i="7" s="1"/>
  <c r="K3653" i="7" s="1"/>
  <c r="P3653" i="7" s="1"/>
  <c r="U3653" i="7" s="1"/>
  <c r="U3654" i="7" s="1"/>
  <c r="L267" i="6" s="1"/>
  <c r="M267" i="6" s="1"/>
  <c r="K3939" i="7"/>
  <c r="F3940" i="7" s="1"/>
  <c r="K3940" i="7" s="1"/>
  <c r="K4220" i="7"/>
  <c r="F4221" i="7" s="1"/>
  <c r="K4234" i="7"/>
  <c r="K4235" i="7" s="1"/>
  <c r="P4235" i="7" s="1"/>
  <c r="U4235" i="7" s="1"/>
  <c r="U4236" i="7" s="1"/>
  <c r="L307" i="6" s="1"/>
  <c r="M307" i="6" s="1"/>
  <c r="K2985" i="7"/>
  <c r="K2947" i="7"/>
  <c r="K1142" i="7"/>
  <c r="K1143" i="7" s="1"/>
  <c r="P1143" i="7" s="1"/>
  <c r="U1143" i="7" s="1"/>
  <c r="U1144" i="7" s="1"/>
  <c r="L97" i="6" s="1"/>
  <c r="M97" i="6" s="1"/>
  <c r="K1904" i="7"/>
  <c r="P1904" i="7" s="1"/>
  <c r="U1904" i="7" s="1"/>
  <c r="U1905" i="7" s="1"/>
  <c r="L144" i="6" s="1"/>
  <c r="M144" i="6" s="1"/>
  <c r="K3022" i="7"/>
  <c r="K2032" i="7"/>
  <c r="F2033" i="7" s="1"/>
  <c r="U2026" i="7" s="1"/>
  <c r="U2032" i="7" s="1"/>
  <c r="K2033" i="7" s="1"/>
  <c r="P2033" i="7" s="1"/>
  <c r="U2033" i="7" s="1"/>
  <c r="U2034" i="7" s="1"/>
  <c r="L153" i="6" s="1"/>
  <c r="M153" i="6" s="1"/>
  <c r="K2262" i="7"/>
  <c r="F2263" i="7" s="1"/>
  <c r="U2258" i="7" s="1"/>
  <c r="K2351" i="7"/>
  <c r="F2352" i="7" s="1"/>
  <c r="U2347" i="7" s="1"/>
  <c r="F403" i="7"/>
  <c r="F414" i="7"/>
  <c r="K13" i="16"/>
  <c r="F14" i="16" s="1"/>
  <c r="K14" i="16" s="1"/>
  <c r="P14" i="16" s="1"/>
  <c r="U14" i="16" s="1"/>
  <c r="U15" i="16" s="1"/>
  <c r="K2336" i="7"/>
  <c r="F2337" i="7" s="1"/>
  <c r="U2331" i="7" s="1"/>
  <c r="U2336" i="7" s="1"/>
  <c r="K2337" i="7" s="1"/>
  <c r="P2337" i="7" s="1"/>
  <c r="U2337" i="7" s="1"/>
  <c r="U2338" i="7" s="1"/>
  <c r="L173" i="6" s="1"/>
  <c r="M173" i="6" s="1"/>
  <c r="K2123" i="7"/>
  <c r="F2124" i="7" s="1"/>
  <c r="U2116" i="7" s="1"/>
  <c r="U2123" i="7" s="1"/>
  <c r="K2124" i="7" s="1"/>
  <c r="P2124" i="7" s="1"/>
  <c r="U2124" i="7" s="1"/>
  <c r="U2125" i="7" s="1"/>
  <c r="L159" i="6" s="1"/>
  <c r="M159" i="6" s="1"/>
  <c r="F1916" i="7"/>
  <c r="F548" i="7"/>
  <c r="K2986" i="7"/>
  <c r="K3024" i="7"/>
  <c r="K2306" i="7"/>
  <c r="F2307" i="7" s="1"/>
  <c r="U2302" i="7" s="1"/>
  <c r="K2046" i="7"/>
  <c r="F2047" i="7" s="1"/>
  <c r="U2041" i="7" s="1"/>
  <c r="U2046" i="7" s="1"/>
  <c r="K2047" i="7" s="1"/>
  <c r="P2047" i="7" s="1"/>
  <c r="U2047" i="7" s="1"/>
  <c r="U2048" i="7" s="1"/>
  <c r="L154" i="6" s="1"/>
  <c r="M154" i="6" s="1"/>
  <c r="K3810" i="7"/>
  <c r="F3811" i="7" s="1"/>
  <c r="K2984" i="7"/>
  <c r="P3022" i="7"/>
  <c r="P3031" i="7" s="1"/>
  <c r="K2138" i="7"/>
  <c r="F2139" i="7" s="1"/>
  <c r="U2133" i="7" s="1"/>
  <c r="U2138" i="7" s="1"/>
  <c r="K2139" i="7" s="1"/>
  <c r="P2139" i="7" s="1"/>
  <c r="U2139" i="7" s="1"/>
  <c r="U2140" i="7" s="1"/>
  <c r="L160" i="6" s="1"/>
  <c r="M160" i="6" s="1"/>
  <c r="K2698" i="7"/>
  <c r="F2699" i="7" s="1"/>
  <c r="U2692" i="7" s="1"/>
  <c r="U2698" i="7" s="1"/>
  <c r="K2699" i="7" s="1"/>
  <c r="P2699" i="7" s="1"/>
  <c r="U2699" i="7" s="1"/>
  <c r="U2700" i="7" s="1"/>
  <c r="L197" i="6" s="1"/>
  <c r="M197" i="6" s="1"/>
  <c r="K2504" i="7"/>
  <c r="F2505" i="7" s="1"/>
  <c r="U2499" i="7" s="1"/>
  <c r="U2504" i="7" s="1"/>
  <c r="K2505" i="7" s="1"/>
  <c r="P2505" i="7" s="1"/>
  <c r="U2505" i="7" s="1"/>
  <c r="U2506" i="7" s="1"/>
  <c r="L184" i="6" s="1"/>
  <c r="M184" i="6" s="1"/>
  <c r="F537" i="7"/>
  <c r="K1206" i="7"/>
  <c r="K1207" i="7" s="1"/>
  <c r="P1207" i="7" s="1"/>
  <c r="U1207" i="7" s="1"/>
  <c r="U1208" i="7" s="1"/>
  <c r="K1974" i="7"/>
  <c r="K1975" i="7" s="1"/>
  <c r="P1975" i="7" s="1"/>
  <c r="U1975" i="7" s="1"/>
  <c r="U1976" i="7" s="1"/>
  <c r="L149" i="6" s="1"/>
  <c r="K156" i="13" s="1"/>
  <c r="K3665" i="7"/>
  <c r="K3666" i="7" s="1"/>
  <c r="F3667" i="7" s="1"/>
  <c r="K3735" i="7"/>
  <c r="K3736" i="7" s="1"/>
  <c r="K3737" i="7" s="1"/>
  <c r="P3737" i="7" s="1"/>
  <c r="U3737" i="7" s="1"/>
  <c r="U3738" i="7" s="1"/>
  <c r="L273" i="6" s="1"/>
  <c r="M273" i="6" s="1"/>
  <c r="K3786" i="7"/>
  <c r="F3787" i="7" s="1"/>
  <c r="K2062" i="7"/>
  <c r="F2063" i="7" s="1"/>
  <c r="U2055" i="7" s="1"/>
  <c r="U2062" i="7" s="1"/>
  <c r="K2063" i="7" s="1"/>
  <c r="P2063" i="7" s="1"/>
  <c r="U2063" i="7" s="1"/>
  <c r="U2064" i="7" s="1"/>
  <c r="L155" i="6" s="1"/>
  <c r="M155" i="6" s="1"/>
  <c r="K2077" i="7"/>
  <c r="F2078" i="7" s="1"/>
  <c r="U2071" i="7" s="1"/>
  <c r="U2077" i="7" s="1"/>
  <c r="K2078" i="7" s="1"/>
  <c r="P2078" i="7" s="1"/>
  <c r="U2078" i="7" s="1"/>
  <c r="U2079" i="7" s="1"/>
  <c r="L156" i="6" s="1"/>
  <c r="M156" i="6" s="1"/>
  <c r="K2593" i="7"/>
  <c r="F2594" i="7" s="1"/>
  <c r="U2587" i="7" s="1"/>
  <c r="U2593" i="7" s="1"/>
  <c r="K2594" i="7" s="1"/>
  <c r="P2594" i="7" s="1"/>
  <c r="U2594" i="7" s="1"/>
  <c r="U2595" i="7" s="1"/>
  <c r="L190" i="6" s="1"/>
  <c r="M190" i="6" s="1"/>
  <c r="K1465" i="7"/>
  <c r="F1466" i="7" s="1"/>
  <c r="K1155" i="7"/>
  <c r="F1156" i="7" s="1"/>
  <c r="K3638" i="7"/>
  <c r="F3639" i="7" s="1"/>
  <c r="K742" i="7"/>
  <c r="F743" i="7" s="1"/>
  <c r="K3612" i="7"/>
  <c r="K3613" i="7" s="1"/>
  <c r="P3613" i="7" s="1"/>
  <c r="U3613" i="7" s="1"/>
  <c r="U3614" i="7" s="1"/>
  <c r="L264" i="6" s="1"/>
  <c r="M264" i="6" s="1"/>
  <c r="K1168" i="7"/>
  <c r="F1169" i="7" s="1"/>
  <c r="K1019" i="7"/>
  <c r="K1020" i="7" s="1"/>
  <c r="P1020" i="7" s="1"/>
  <c r="U1020" i="7" s="1"/>
  <c r="U1021" i="7" s="1"/>
  <c r="L88" i="6" s="1"/>
  <c r="M88" i="6" s="1"/>
  <c r="K3873" i="7"/>
  <c r="K3874" i="7" s="1"/>
  <c r="P3874" i="7" s="1"/>
  <c r="U3874" i="7" s="1"/>
  <c r="U3875" i="7" s="1"/>
  <c r="L284" i="6" s="1"/>
  <c r="M284" i="6" s="1"/>
  <c r="K3822" i="7"/>
  <c r="F3823" i="7" s="1"/>
  <c r="P2946" i="7"/>
  <c r="P2955" i="7" s="1"/>
  <c r="P3003" i="7"/>
  <c r="P3012" i="7" s="1"/>
  <c r="K874" i="7"/>
  <c r="K875" i="7" s="1"/>
  <c r="K2927" i="7"/>
  <c r="K3774" i="7"/>
  <c r="F3775" i="7" s="1"/>
  <c r="K3749" i="7"/>
  <c r="K3750" i="7" s="1"/>
  <c r="F3751" i="7" s="1"/>
  <c r="K3721" i="7"/>
  <c r="K3722" i="7" s="1"/>
  <c r="K3723" i="7" s="1"/>
  <c r="P3723" i="7" s="1"/>
  <c r="U3723" i="7" s="1"/>
  <c r="U3724" i="7" s="1"/>
  <c r="L272" i="6" s="1"/>
  <c r="M272" i="6" s="1"/>
  <c r="J28" i="20"/>
  <c r="K28" i="20" s="1"/>
  <c r="K31" i="20" s="1"/>
  <c r="F32" i="20" s="1"/>
  <c r="K392" i="7"/>
  <c r="P392" i="7" s="1"/>
  <c r="U392" i="7" s="1"/>
  <c r="U393" i="7" s="1"/>
  <c r="L38" i="6" s="1"/>
  <c r="M38" i="6" s="1"/>
  <c r="K2946" i="7"/>
  <c r="K381" i="7"/>
  <c r="P381" i="7" s="1"/>
  <c r="U381" i="7" s="1"/>
  <c r="U382" i="7" s="1"/>
  <c r="L37" i="6" s="1"/>
  <c r="M37" i="6" s="1"/>
  <c r="K3003" i="7"/>
  <c r="K2234" i="7"/>
  <c r="F2235" i="7" s="1"/>
  <c r="U2229" i="7" s="1"/>
  <c r="K2638" i="7"/>
  <c r="K2639" i="7" s="1"/>
  <c r="P2639" i="7" s="1"/>
  <c r="U2639" i="7" s="1"/>
  <c r="U2640" i="7" s="1"/>
  <c r="L193" i="6" s="1"/>
  <c r="M193" i="6" s="1"/>
  <c r="K2248" i="7"/>
  <c r="F2249" i="7" s="1"/>
  <c r="U2244" i="7" s="1"/>
  <c r="U2248" i="7" s="1"/>
  <c r="K2249" i="7" s="1"/>
  <c r="P2249" i="7" s="1"/>
  <c r="U2249" i="7" s="1"/>
  <c r="U2250" i="7" s="1"/>
  <c r="L167" i="6" s="1"/>
  <c r="M167" i="6" s="1"/>
  <c r="K2434" i="7"/>
  <c r="F2435" i="7" s="1"/>
  <c r="U2429" i="7" s="1"/>
  <c r="U2434" i="7" s="1"/>
  <c r="K2435" i="7" s="1"/>
  <c r="P2435" i="7" s="1"/>
  <c r="U2435" i="7" s="1"/>
  <c r="U2436" i="7" s="1"/>
  <c r="L180" i="6" s="1"/>
  <c r="M180" i="6" s="1"/>
  <c r="K2788" i="7"/>
  <c r="F2789" i="7" s="1"/>
  <c r="U2782" i="7" s="1"/>
  <c r="U2788" i="7" s="1"/>
  <c r="K2789" i="7" s="1"/>
  <c r="P2789" i="7" s="1"/>
  <c r="U2789" i="7" s="1"/>
  <c r="U2790" i="7" s="1"/>
  <c r="L203" i="6" s="1"/>
  <c r="M203" i="6" s="1"/>
  <c r="K2728" i="7"/>
  <c r="F2729" i="7" s="1"/>
  <c r="U2722" i="7" s="1"/>
  <c r="U2728" i="7" s="1"/>
  <c r="K2729" i="7" s="1"/>
  <c r="P2729" i="7" s="1"/>
  <c r="U2729" i="7" s="1"/>
  <c r="U2730" i="7" s="1"/>
  <c r="L199" i="6" s="1"/>
  <c r="M199" i="6" s="1"/>
  <c r="K2476" i="7"/>
  <c r="F2477" i="7" s="1"/>
  <c r="U2471" i="7" s="1"/>
  <c r="U2476" i="7" s="1"/>
  <c r="K2477" i="7" s="1"/>
  <c r="P2477" i="7" s="1"/>
  <c r="U2477" i="7" s="1"/>
  <c r="U2478" i="7" s="1"/>
  <c r="L182" i="6" s="1"/>
  <c r="M182" i="6" s="1"/>
  <c r="K1672" i="7"/>
  <c r="P1672" i="7" s="1"/>
  <c r="U1672" i="7" s="1"/>
  <c r="U1673" i="7" s="1"/>
  <c r="L126" i="6" s="1"/>
  <c r="M126" i="6" s="1"/>
  <c r="K2366" i="7"/>
  <c r="F2367" i="7" s="1"/>
  <c r="U2362" i="7" s="1"/>
  <c r="K2107" i="7"/>
  <c r="F2108" i="7" s="1"/>
  <c r="U2101" i="7" s="1"/>
  <c r="U2107" i="7" s="1"/>
  <c r="K2108" i="7" s="1"/>
  <c r="P2108" i="7" s="1"/>
  <c r="U2108" i="7" s="1"/>
  <c r="U2109" i="7" s="1"/>
  <c r="L158" i="6" s="1"/>
  <c r="K165" i="13" s="1"/>
  <c r="K2518" i="7"/>
  <c r="F2519" i="7" s="1"/>
  <c r="U2513" i="7" s="1"/>
  <c r="U2518" i="7" s="1"/>
  <c r="K2519" i="7" s="1"/>
  <c r="P2519" i="7" s="1"/>
  <c r="U2519" i="7" s="1"/>
  <c r="U2520" i="7" s="1"/>
  <c r="L185" i="6" s="1"/>
  <c r="M185" i="6" s="1"/>
  <c r="K2202" i="7"/>
  <c r="F2203" i="7" s="1"/>
  <c r="U2196" i="7" s="1"/>
  <c r="U2202" i="7" s="1"/>
  <c r="K2203" i="7" s="1"/>
  <c r="P2203" i="7" s="1"/>
  <c r="U2203" i="7" s="1"/>
  <c r="U2204" i="7" s="1"/>
  <c r="L164" i="6" s="1"/>
  <c r="M164" i="6" s="1"/>
  <c r="K2533" i="7"/>
  <c r="K2534" i="7" s="1"/>
  <c r="P2534" i="7" s="1"/>
  <c r="U2534" i="7" s="1"/>
  <c r="U2535" i="7" s="1"/>
  <c r="L186" i="6" s="1"/>
  <c r="M186" i="6" s="1"/>
  <c r="K2833" i="7"/>
  <c r="K2834" i="7" s="1"/>
  <c r="P2834" i="7" s="1"/>
  <c r="U2834" i="7" s="1"/>
  <c r="U2835" i="7" s="1"/>
  <c r="L206" i="6" s="1"/>
  <c r="M206" i="6" s="1"/>
  <c r="K3475" i="7"/>
  <c r="K3925" i="7"/>
  <c r="F3926" i="7" s="1"/>
  <c r="K3847" i="7"/>
  <c r="K3848" i="7" s="1"/>
  <c r="P3848" i="7" s="1"/>
  <c r="U3848" i="7" s="1"/>
  <c r="U3849" i="7" s="1"/>
  <c r="L282" i="6" s="1"/>
  <c r="M282" i="6" s="1"/>
  <c r="K2276" i="7"/>
  <c r="F2277" i="7" s="1"/>
  <c r="U2272" i="7" s="1"/>
  <c r="K2396" i="7"/>
  <c r="F2397" i="7" s="1"/>
  <c r="U2391" i="7" s="1"/>
  <c r="K2623" i="7"/>
  <c r="F2624" i="7" s="1"/>
  <c r="U2617" i="7" s="1"/>
  <c r="U2623" i="7" s="1"/>
  <c r="K2624" i="7" s="1"/>
  <c r="P2624" i="7" s="1"/>
  <c r="U2624" i="7" s="1"/>
  <c r="U2625" i="7" s="1"/>
  <c r="L192" i="6" s="1"/>
  <c r="M192" i="6" s="1"/>
  <c r="F436" i="7"/>
  <c r="K2891" i="7"/>
  <c r="K2967" i="7"/>
  <c r="K2758" i="7"/>
  <c r="F2759" i="7" s="1"/>
  <c r="U2752" i="7" s="1"/>
  <c r="U2758" i="7" s="1"/>
  <c r="K2759" i="7" s="1"/>
  <c r="P2759" i="7" s="1"/>
  <c r="U2759" i="7" s="1"/>
  <c r="U2760" i="7" s="1"/>
  <c r="L201" i="6" s="1"/>
  <c r="M201" i="6" s="1"/>
  <c r="K2170" i="7"/>
  <c r="F2171" i="7" s="1"/>
  <c r="U2165" i="7" s="1"/>
  <c r="K2818" i="7"/>
  <c r="F2819" i="7" s="1"/>
  <c r="U2812" i="7" s="1"/>
  <c r="U2818" i="7" s="1"/>
  <c r="K2819" i="7" s="1"/>
  <c r="P2819" i="7" s="1"/>
  <c r="U2819" i="7" s="1"/>
  <c r="U2820" i="7" s="1"/>
  <c r="L205" i="6" s="1"/>
  <c r="M205" i="6" s="1"/>
  <c r="K3886" i="7"/>
  <c r="K3887" i="7" s="1"/>
  <c r="P3887" i="7" s="1"/>
  <c r="U3887" i="7" s="1"/>
  <c r="U3888" i="7" s="1"/>
  <c r="L285" i="6" s="1"/>
  <c r="M285" i="6" s="1"/>
  <c r="K754" i="7"/>
  <c r="P754" i="7" s="1"/>
  <c r="U754" i="7" s="1"/>
  <c r="U755" i="7" s="1"/>
  <c r="L68" i="6" s="1"/>
  <c r="M68" i="6" s="1"/>
  <c r="K2683" i="7"/>
  <c r="F2684" i="7" s="1"/>
  <c r="U2677" i="7" s="1"/>
  <c r="U2683" i="7" s="1"/>
  <c r="K2684" i="7" s="1"/>
  <c r="P2684" i="7" s="1"/>
  <c r="U2684" i="7" s="1"/>
  <c r="U2685" i="7" s="1"/>
  <c r="L196" i="6" s="1"/>
  <c r="M196" i="6" s="1"/>
  <c r="K2871" i="7"/>
  <c r="K2803" i="7"/>
  <c r="F2804" i="7" s="1"/>
  <c r="U2797" i="7" s="1"/>
  <c r="U2803" i="7" s="1"/>
  <c r="K2804" i="7" s="1"/>
  <c r="K2563" i="7"/>
  <c r="F2564" i="7" s="1"/>
  <c r="U2557" i="7" s="1"/>
  <c r="U2563" i="7" s="1"/>
  <c r="K2564" i="7" s="1"/>
  <c r="P2564" i="7" s="1"/>
  <c r="U2564" i="7" s="1"/>
  <c r="U2565" i="7" s="1"/>
  <c r="L188" i="6" s="1"/>
  <c r="M188" i="6" s="1"/>
  <c r="K2321" i="7"/>
  <c r="F2322" i="7" s="1"/>
  <c r="U2317" i="7" s="1"/>
  <c r="K2773" i="7"/>
  <c r="F2774" i="7" s="1"/>
  <c r="U2767" i="7" s="1"/>
  <c r="U2773" i="7" s="1"/>
  <c r="K2774" i="7" s="1"/>
  <c r="P2774" i="7" s="1"/>
  <c r="U2774" i="7" s="1"/>
  <c r="U2775" i="7" s="1"/>
  <c r="L202" i="6" s="1"/>
  <c r="M202" i="6" s="1"/>
  <c r="K2713" i="7"/>
  <c r="F2714" i="7" s="1"/>
  <c r="U2707" i="7" s="1"/>
  <c r="U2713" i="7" s="1"/>
  <c r="K2714" i="7" s="1"/>
  <c r="P2714" i="7" s="1"/>
  <c r="U2714" i="7" s="1"/>
  <c r="U2715" i="7" s="1"/>
  <c r="L198" i="6" s="1"/>
  <c r="M198" i="6" s="1"/>
  <c r="K2092" i="7"/>
  <c r="F2093" i="7" s="1"/>
  <c r="U2086" i="7" s="1"/>
  <c r="U2092" i="7" s="1"/>
  <c r="K2093" i="7" s="1"/>
  <c r="J4018" i="7" s="1"/>
  <c r="K4018" i="7" s="1"/>
  <c r="K4020" i="7" s="1"/>
  <c r="K2462" i="7"/>
  <c r="F2463" i="7" s="1"/>
  <c r="U2457" i="7" s="1"/>
  <c r="U2462" i="7" s="1"/>
  <c r="K2463" i="7" s="1"/>
  <c r="P2463" i="7" s="1"/>
  <c r="U2463" i="7" s="1"/>
  <c r="U2464" i="7" s="1"/>
  <c r="L181" i="6" s="1"/>
  <c r="M181" i="6" s="1"/>
  <c r="K2743" i="7"/>
  <c r="K2744" i="7" s="1"/>
  <c r="P2744" i="7" s="1"/>
  <c r="U2744" i="7" s="1"/>
  <c r="U2745" i="7" s="1"/>
  <c r="L200" i="6" s="1"/>
  <c r="M200" i="6" s="1"/>
  <c r="K3834" i="7"/>
  <c r="F3835" i="7" s="1"/>
  <c r="K3625" i="7"/>
  <c r="F3626" i="7" s="1"/>
  <c r="K1006" i="7"/>
  <c r="K1007" i="7" s="1"/>
  <c r="P1007" i="7" s="1"/>
  <c r="U1007" i="7" s="1"/>
  <c r="U1008" i="7" s="1"/>
  <c r="L87" i="6" s="1"/>
  <c r="M87" i="6" s="1"/>
  <c r="K3693" i="7"/>
  <c r="K3694" i="7" s="1"/>
  <c r="F3695" i="7" s="1"/>
  <c r="K993" i="7"/>
  <c r="K994" i="7" s="1"/>
  <c r="P994" i="7" s="1"/>
  <c r="U994" i="7" s="1"/>
  <c r="U995" i="7" s="1"/>
  <c r="L86" i="6" s="1"/>
  <c r="M86" i="6" s="1"/>
  <c r="K1129" i="7"/>
  <c r="K1130" i="7" s="1"/>
  <c r="P1130" i="7" s="1"/>
  <c r="U1130" i="7" s="1"/>
  <c r="U1131" i="7" s="1"/>
  <c r="L96" i="6" s="1"/>
  <c r="M96" i="6" s="1"/>
  <c r="K3586" i="7"/>
  <c r="K3587" i="7" s="1"/>
  <c r="P3587" i="7" s="1"/>
  <c r="U3587" i="7" s="1"/>
  <c r="U3588" i="7" s="1"/>
  <c r="L262" i="6" s="1"/>
  <c r="M262" i="6" s="1"/>
  <c r="K4206" i="7"/>
  <c r="F4207" i="7" s="1"/>
  <c r="K3599" i="7"/>
  <c r="F3600" i="7" s="1"/>
  <c r="F152" i="7"/>
  <c r="K104" i="7"/>
  <c r="P104" i="7" s="1"/>
  <c r="U104" i="7" s="1"/>
  <c r="U105" i="7" s="1"/>
  <c r="L15" i="6" s="1"/>
  <c r="M15" i="6" s="1"/>
  <c r="F140" i="7"/>
  <c r="K139" i="13"/>
  <c r="M135" i="6"/>
  <c r="E151" i="12"/>
  <c r="G151" i="12" s="1"/>
  <c r="M137" i="6"/>
  <c r="E114" i="12"/>
  <c r="G114" i="12" s="1"/>
  <c r="M110" i="6"/>
  <c r="E130" i="2"/>
  <c r="F130" i="2" s="1"/>
  <c r="M116" i="6"/>
  <c r="E148" i="2"/>
  <c r="F148" i="2" s="1"/>
  <c r="M133" i="6"/>
  <c r="E138" i="2"/>
  <c r="F138" i="2" s="1"/>
  <c r="M124" i="6"/>
  <c r="K147" i="13"/>
  <c r="M141" i="6"/>
  <c r="K100" i="13"/>
  <c r="M106" i="6"/>
  <c r="K300" i="13"/>
  <c r="M297" i="6"/>
  <c r="E46" i="12"/>
  <c r="G46" i="12" s="1"/>
  <c r="M39" i="6"/>
  <c r="E109" i="2"/>
  <c r="F109" i="2" s="1"/>
  <c r="M104" i="6"/>
  <c r="E114" i="2"/>
  <c r="F114" i="2" s="1"/>
  <c r="M109" i="6"/>
  <c r="E75" i="2"/>
  <c r="F75" i="2" s="1"/>
  <c r="M75" i="6"/>
  <c r="K125" i="13"/>
  <c r="M122" i="6"/>
  <c r="K154" i="13"/>
  <c r="M148" i="6"/>
  <c r="E75" i="12"/>
  <c r="G75" i="12" s="1"/>
  <c r="M76" i="6"/>
  <c r="K96" i="13"/>
  <c r="M102" i="6"/>
  <c r="E301" i="12"/>
  <c r="G301" i="12" s="1"/>
  <c r="M290" i="6"/>
  <c r="E165" i="2"/>
  <c r="F165" i="2" s="1"/>
  <c r="E164" i="12"/>
  <c r="G164" i="12" s="1"/>
  <c r="K2890" i="7"/>
  <c r="K2966" i="7"/>
  <c r="K2872" i="7"/>
  <c r="P2889" i="7"/>
  <c r="P2898" i="7" s="1"/>
  <c r="K2965" i="7"/>
  <c r="K2870" i="7"/>
  <c r="K2186" i="7"/>
  <c r="F2187" i="7" s="1"/>
  <c r="U2181" i="7" s="1"/>
  <c r="K2608" i="7"/>
  <c r="F2609" i="7" s="1"/>
  <c r="U2602" i="7" s="1"/>
  <c r="U2608" i="7" s="1"/>
  <c r="K2609" i="7" s="1"/>
  <c r="P2609" i="7" s="1"/>
  <c r="U2609" i="7" s="1"/>
  <c r="U2610" i="7" s="1"/>
  <c r="L191" i="6" s="1"/>
  <c r="M191" i="6" s="1"/>
  <c r="K2420" i="7"/>
  <c r="F2421" i="7" s="1"/>
  <c r="K2548" i="7"/>
  <c r="F2549" i="7" s="1"/>
  <c r="U2542" i="7" s="1"/>
  <c r="U2548" i="7" s="1"/>
  <c r="K2549" i="7" s="1"/>
  <c r="P2549" i="7" s="1"/>
  <c r="U2549" i="7" s="1"/>
  <c r="U2550" i="7" s="1"/>
  <c r="L187" i="6" s="1"/>
  <c r="K2848" i="7"/>
  <c r="K2849" i="7" s="1"/>
  <c r="K14" i="17"/>
  <c r="F15" i="17" s="1"/>
  <c r="K3860" i="7"/>
  <c r="K3861" i="7" s="1"/>
  <c r="P3861" i="7" s="1"/>
  <c r="U3861" i="7" s="1"/>
  <c r="U3862" i="7" s="1"/>
  <c r="L283" i="6" s="1"/>
  <c r="M283" i="6" s="1"/>
  <c r="E107" i="2"/>
  <c r="F107" i="2" s="1"/>
  <c r="K1479" i="7"/>
  <c r="K1480" i="7" s="1"/>
  <c r="P1480" i="7" s="1"/>
  <c r="U1480" i="7" s="1"/>
  <c r="U1481" i="7" s="1"/>
  <c r="E76" i="2"/>
  <c r="F76" i="2" s="1"/>
  <c r="E106" i="12"/>
  <c r="G106" i="12" s="1"/>
  <c r="F1962" i="7"/>
  <c r="K1962" i="7"/>
  <c r="P1962" i="7" s="1"/>
  <c r="U1962" i="7" s="1"/>
  <c r="U1963" i="7" s="1"/>
  <c r="F287" i="7"/>
  <c r="K287" i="7"/>
  <c r="P287" i="7" s="1"/>
  <c r="U287" i="7" s="1"/>
  <c r="U288" i="7" s="1"/>
  <c r="L30" i="6" s="1"/>
  <c r="K3507" i="7"/>
  <c r="J887" i="7"/>
  <c r="K887" i="7" s="1"/>
  <c r="K891" i="7" s="1"/>
  <c r="K892" i="7" s="1"/>
  <c r="P892" i="7" s="1"/>
  <c r="U892" i="7" s="1"/>
  <c r="U893" i="7" s="1"/>
  <c r="L78" i="6" s="1"/>
  <c r="M78" i="6" s="1"/>
  <c r="J689" i="7"/>
  <c r="K689" i="7" s="1"/>
  <c r="X685" i="7" s="1"/>
  <c r="X686" i="7" s="1"/>
  <c r="J904" i="7"/>
  <c r="J10" i="20" s="1"/>
  <c r="K10" i="20" s="1"/>
  <c r="K13" i="20" s="1"/>
  <c r="J920" i="7"/>
  <c r="K920" i="7" s="1"/>
  <c r="K923" i="7" s="1"/>
  <c r="K924" i="7" s="1"/>
  <c r="P924" i="7" s="1"/>
  <c r="U924" i="7" s="1"/>
  <c r="U925" i="7" s="1"/>
  <c r="J1044" i="7"/>
  <c r="K1044" i="7" s="1"/>
  <c r="K1045" i="7" s="1"/>
  <c r="F1046" i="7" s="1"/>
  <c r="J977" i="7"/>
  <c r="K977" i="7" s="1"/>
  <c r="K980" i="7" s="1"/>
  <c r="F981" i="7" s="1"/>
  <c r="J1058" i="7"/>
  <c r="K1058" i="7" s="1"/>
  <c r="K1059" i="7" s="1"/>
  <c r="F1060" i="7" s="1"/>
  <c r="J674" i="7"/>
  <c r="K674" i="7" s="1"/>
  <c r="K676" i="7" s="1"/>
  <c r="K677" i="7" s="1"/>
  <c r="P677" i="7" s="1"/>
  <c r="U677" i="7" s="1"/>
  <c r="U678" i="7" s="1"/>
  <c r="L63" i="6" s="1"/>
  <c r="M63" i="6" s="1"/>
  <c r="J1086" i="7"/>
  <c r="K1086" i="7" s="1"/>
  <c r="K1087" i="7" s="1"/>
  <c r="F1088" i="7" s="1"/>
  <c r="J4174" i="7"/>
  <c r="K4174" i="7" s="1"/>
  <c r="K4177" i="7" s="1"/>
  <c r="F4178" i="7" s="1"/>
  <c r="K4178" i="7" s="1"/>
  <c r="P4178" i="7" s="1"/>
  <c r="U4178" i="7" s="1"/>
  <c r="U4179" i="7" s="1"/>
  <c r="L303" i="6" s="1"/>
  <c r="M303" i="6" s="1"/>
  <c r="J965" i="7"/>
  <c r="K965" i="7" s="1"/>
  <c r="K967" i="7" s="1"/>
  <c r="F968" i="7" s="1"/>
  <c r="J1072" i="7"/>
  <c r="K1072" i="7" s="1"/>
  <c r="K1073" i="7" s="1"/>
  <c r="F1074" i="7" s="1"/>
  <c r="K3299" i="7"/>
  <c r="P3299" i="7" s="1"/>
  <c r="U3299" i="7" s="1"/>
  <c r="U3300" i="7" s="1"/>
  <c r="L239" i="6" s="1"/>
  <c r="K128" i="7"/>
  <c r="P128" i="7" s="1"/>
  <c r="U128" i="7" s="1"/>
  <c r="U129" i="7" s="1"/>
  <c r="L17" i="6" s="1"/>
  <c r="K3523" i="7"/>
  <c r="K3234" i="7"/>
  <c r="P3234" i="7" s="1"/>
  <c r="U3234" i="7" s="1"/>
  <c r="U3235" i="7" s="1"/>
  <c r="L234" i="6" s="1"/>
  <c r="E149" i="12"/>
  <c r="G149" i="12" s="1"/>
  <c r="F4045" i="7"/>
  <c r="K3491" i="7"/>
  <c r="E150" i="2"/>
  <c r="F150" i="2" s="1"/>
  <c r="K1518" i="7"/>
  <c r="F1519" i="7" s="1"/>
  <c r="F4271" i="7"/>
  <c r="K65" i="13"/>
  <c r="E311" i="2"/>
  <c r="F311" i="2" s="1"/>
  <c r="K4283" i="7"/>
  <c r="P4283" i="7" s="1"/>
  <c r="U4283" i="7" s="1"/>
  <c r="U4284" i="7" s="1"/>
  <c r="K4448" i="7"/>
  <c r="P4448" i="7" s="1"/>
  <c r="U4448" i="7" s="1"/>
  <c r="U4449" i="7" s="1"/>
  <c r="E136" i="2"/>
  <c r="F136" i="2" s="1"/>
  <c r="K818" i="7"/>
  <c r="F819" i="7" s="1"/>
  <c r="K98" i="13"/>
  <c r="E135" i="12"/>
  <c r="G135" i="12" s="1"/>
  <c r="E108" i="12"/>
  <c r="G108" i="12" s="1"/>
  <c r="K36" i="13"/>
  <c r="E47" i="2"/>
  <c r="F47" i="2" s="1"/>
  <c r="K230" i="7"/>
  <c r="P230" i="7" s="1"/>
  <c r="U230" i="7" s="1"/>
  <c r="U231" i="7" s="1"/>
  <c r="L25" i="6" s="1"/>
  <c r="K1235" i="7"/>
  <c r="P1235" i="7" s="1"/>
  <c r="U1235" i="7" s="1"/>
  <c r="U1236" i="7" s="1"/>
  <c r="K64" i="13"/>
  <c r="K127" i="13"/>
  <c r="F1780" i="7"/>
  <c r="F1849" i="7"/>
  <c r="E157" i="12"/>
  <c r="G157" i="12" s="1"/>
  <c r="K1223" i="7"/>
  <c r="P1223" i="7" s="1"/>
  <c r="U1223" i="7" s="1"/>
  <c r="U1224" i="7" s="1"/>
  <c r="K137" i="13"/>
  <c r="K1710" i="7"/>
  <c r="P1710" i="7" s="1"/>
  <c r="U1710" i="7" s="1"/>
  <c r="U1711" i="7" s="1"/>
  <c r="L129" i="6" s="1"/>
  <c r="K1755" i="7"/>
  <c r="P1755" i="7" s="1"/>
  <c r="U1755" i="7" s="1"/>
  <c r="U1756" i="7" s="1"/>
  <c r="L132" i="6" s="1"/>
  <c r="E147" i="12"/>
  <c r="G147" i="12" s="1"/>
  <c r="K119" i="13"/>
  <c r="K2449" i="7"/>
  <c r="P2449" i="7" s="1"/>
  <c r="U2449" i="7" s="1"/>
  <c r="U2450" i="7" s="1"/>
  <c r="E141" i="2"/>
  <c r="F141" i="2" s="1"/>
  <c r="E140" i="12"/>
  <c r="G140" i="12" s="1"/>
  <c r="K130" i="13"/>
  <c r="E115" i="2"/>
  <c r="F115" i="2" s="1"/>
  <c r="E129" i="12"/>
  <c r="G129" i="12" s="1"/>
  <c r="E152" i="2"/>
  <c r="F152" i="2" s="1"/>
  <c r="K103" i="13"/>
  <c r="F1685" i="7"/>
  <c r="K165" i="7"/>
  <c r="P165" i="7" s="1"/>
  <c r="U165" i="7" s="1"/>
  <c r="U166" i="7" s="1"/>
  <c r="L20" i="6" s="1"/>
  <c r="K300" i="7"/>
  <c r="P300" i="7" s="1"/>
  <c r="U300" i="7" s="1"/>
  <c r="U301" i="7" s="1"/>
  <c r="F4068" i="7"/>
  <c r="K3077" i="7"/>
  <c r="P3077" i="7" s="1"/>
  <c r="U3077" i="7" s="1"/>
  <c r="U3078" i="7" s="1"/>
  <c r="L220" i="6" s="1"/>
  <c r="K4358" i="7"/>
  <c r="F4359" i="7" s="1"/>
  <c r="F1032" i="7"/>
  <c r="E248" i="2"/>
  <c r="F248" i="2" s="1"/>
  <c r="E247" i="12"/>
  <c r="G247" i="12" s="1"/>
  <c r="K237" i="13"/>
  <c r="E161" i="12"/>
  <c r="G161" i="12" s="1"/>
  <c r="E162" i="2"/>
  <c r="F162" i="2" s="1"/>
  <c r="F1449" i="7"/>
  <c r="K1449" i="7"/>
  <c r="P1449" i="7" s="1"/>
  <c r="U1449" i="7" s="1"/>
  <c r="U1450" i="7" s="1"/>
  <c r="E88" i="12"/>
  <c r="G88" i="12" s="1"/>
  <c r="K78" i="13"/>
  <c r="K1434" i="7"/>
  <c r="P1434" i="7" s="1"/>
  <c r="U1434" i="7" s="1"/>
  <c r="U1435" i="7" s="1"/>
  <c r="F3260" i="7"/>
  <c r="E110" i="12"/>
  <c r="G110" i="12" s="1"/>
  <c r="K141" i="13"/>
  <c r="E310" i="12"/>
  <c r="G310" i="12" s="1"/>
  <c r="E111" i="2"/>
  <c r="F111" i="2" s="1"/>
  <c r="E302" i="2"/>
  <c r="F302" i="2" s="1"/>
  <c r="K3286" i="7"/>
  <c r="J186" i="7"/>
  <c r="K173" i="7"/>
  <c r="K177" i="7" s="1"/>
  <c r="K178" i="7" s="1"/>
  <c r="P178" i="7" s="1"/>
  <c r="U178" i="7" s="1"/>
  <c r="U179" i="7" s="1"/>
  <c r="L21" i="6" s="1"/>
  <c r="M21" i="6" s="1"/>
  <c r="K833" i="7"/>
  <c r="K834" i="7" s="1"/>
  <c r="P834" i="7" s="1"/>
  <c r="U834" i="7" s="1"/>
  <c r="U835" i="7" s="1"/>
  <c r="L74" i="6" s="1"/>
  <c r="M74" i="6" s="1"/>
  <c r="E259" i="2"/>
  <c r="F259" i="2" s="1"/>
  <c r="K248" i="13"/>
  <c r="E258" i="12"/>
  <c r="G258" i="12" s="1"/>
  <c r="F3221" i="7"/>
  <c r="K3221" i="7"/>
  <c r="P3221" i="7" s="1"/>
  <c r="U3221" i="7" s="1"/>
  <c r="U3222" i="7" s="1"/>
  <c r="L233" i="6" s="1"/>
  <c r="M233" i="6" s="1"/>
  <c r="K1837" i="7"/>
  <c r="P1837" i="7" s="1"/>
  <c r="U1837" i="7" s="1"/>
  <c r="U1838" i="7" s="1"/>
  <c r="L139" i="6" s="1"/>
  <c r="M139" i="6" s="1"/>
  <c r="F1837" i="7"/>
  <c r="P4271" i="7"/>
  <c r="U4271" i="7" s="1"/>
  <c r="U4272" i="7" s="1"/>
  <c r="P525" i="7"/>
  <c r="U525" i="7" s="1"/>
  <c r="U526" i="7" s="1"/>
  <c r="L50" i="6" s="1"/>
  <c r="M50" i="6" s="1"/>
  <c r="K116" i="7"/>
  <c r="P116" i="7" s="1"/>
  <c r="U116" i="7" s="1"/>
  <c r="U117" i="7" s="1"/>
  <c r="L16" i="6" s="1"/>
  <c r="M16" i="6" s="1"/>
  <c r="F116" i="7"/>
  <c r="K252" i="13"/>
  <c r="E263" i="2"/>
  <c r="F263" i="2" s="1"/>
  <c r="E262" i="12"/>
  <c r="G262" i="12" s="1"/>
  <c r="P548" i="7"/>
  <c r="U548" i="7" s="1"/>
  <c r="U549" i="7" s="1"/>
  <c r="L52" i="6" s="1"/>
  <c r="M52" i="6" s="1"/>
  <c r="K122" i="13"/>
  <c r="E132" i="12"/>
  <c r="G132" i="12" s="1"/>
  <c r="E133" i="2"/>
  <c r="F133" i="2" s="1"/>
  <c r="F560" i="7"/>
  <c r="K560" i="7"/>
  <c r="P560" i="7" s="1"/>
  <c r="U560" i="7" s="1"/>
  <c r="U561" i="7" s="1"/>
  <c r="L53" i="6" s="1"/>
  <c r="M53" i="6" s="1"/>
  <c r="K4259" i="7"/>
  <c r="P4259" i="7" s="1"/>
  <c r="U4259" i="7" s="1"/>
  <c r="U4260" i="7" s="1"/>
  <c r="L309" i="6" s="1"/>
  <c r="M309" i="6" s="1"/>
  <c r="F4259" i="7"/>
  <c r="F1191" i="7"/>
  <c r="K1191" i="7"/>
  <c r="P1191" i="7" s="1"/>
  <c r="U1191" i="7" s="1"/>
  <c r="U1192" i="7" s="1"/>
  <c r="L100" i="6" s="1"/>
  <c r="M100" i="6" s="1"/>
  <c r="P1541" i="7"/>
  <c r="U1541" i="7" s="1"/>
  <c r="U1542" i="7" s="1"/>
  <c r="L115" i="6" s="1"/>
  <c r="M115" i="6" s="1"/>
  <c r="E159" i="2"/>
  <c r="F159" i="2" s="1"/>
  <c r="E158" i="12"/>
  <c r="G158" i="12" s="1"/>
  <c r="K148" i="13"/>
  <c r="K99" i="13"/>
  <c r="E109" i="12"/>
  <c r="G109" i="12" s="1"/>
  <c r="E110" i="2"/>
  <c r="F110" i="2" s="1"/>
  <c r="K121" i="13"/>
  <c r="E131" i="12"/>
  <c r="G131" i="12" s="1"/>
  <c r="E132" i="2"/>
  <c r="F132" i="2" s="1"/>
  <c r="F3103" i="7"/>
  <c r="K3103" i="7"/>
  <c r="P3103" i="7" s="1"/>
  <c r="U3103" i="7" s="1"/>
  <c r="U3104" i="7" s="1"/>
  <c r="L222" i="6" s="1"/>
  <c r="M222" i="6" s="1"/>
  <c r="E265" i="12"/>
  <c r="G265" i="12" s="1"/>
  <c r="K255" i="13"/>
  <c r="E266" i="2"/>
  <c r="F266" i="2" s="1"/>
  <c r="K3378" i="7"/>
  <c r="P3378" i="7" s="1"/>
  <c r="U3378" i="7" s="1"/>
  <c r="U3379" i="7" s="1"/>
  <c r="L245" i="6" s="1"/>
  <c r="M245" i="6" s="1"/>
  <c r="F3378" i="7"/>
  <c r="F1180" i="7"/>
  <c r="K1180" i="7"/>
  <c r="P1180" i="7" s="1"/>
  <c r="U1180" i="7" s="1"/>
  <c r="U1181" i="7" s="1"/>
  <c r="L99" i="6" s="1"/>
  <c r="M99" i="6" s="1"/>
  <c r="F1698" i="7"/>
  <c r="K1698" i="7"/>
  <c r="P1698" i="7" s="1"/>
  <c r="U1698" i="7" s="1"/>
  <c r="U1699" i="7" s="1"/>
  <c r="L128" i="6" s="1"/>
  <c r="M128" i="6" s="1"/>
  <c r="E312" i="2"/>
  <c r="F312" i="2" s="1"/>
  <c r="E311" i="12"/>
  <c r="G311" i="12" s="1"/>
  <c r="K301" i="13"/>
  <c r="E111" i="12"/>
  <c r="G111" i="12" s="1"/>
  <c r="K101" i="13"/>
  <c r="E112" i="2"/>
  <c r="F112" i="2" s="1"/>
  <c r="F3326" i="7"/>
  <c r="K3326" i="7"/>
  <c r="P3326" i="7" s="1"/>
  <c r="U3326" i="7" s="1"/>
  <c r="U3327" i="7" s="1"/>
  <c r="L241" i="6" s="1"/>
  <c r="M241" i="6" s="1"/>
  <c r="K779" i="7"/>
  <c r="P779" i="7" s="1"/>
  <c r="U779" i="7" s="1"/>
  <c r="U780" i="7" s="1"/>
  <c r="L70" i="6" s="1"/>
  <c r="M70" i="6" s="1"/>
  <c r="F779" i="7"/>
  <c r="F3090" i="7"/>
  <c r="K3090" i="7"/>
  <c r="P3090" i="7" s="1"/>
  <c r="U3090" i="7" s="1"/>
  <c r="U3091" i="7" s="1"/>
  <c r="L221" i="6" s="1"/>
  <c r="M221" i="6" s="1"/>
  <c r="E136" i="12"/>
  <c r="G136" i="12" s="1"/>
  <c r="E137" i="2"/>
  <c r="F137" i="2" s="1"/>
  <c r="K126" i="13"/>
  <c r="K102" i="13"/>
  <c r="E112" i="12"/>
  <c r="G112" i="12" s="1"/>
  <c r="E113" i="2"/>
  <c r="F113" i="2" s="1"/>
  <c r="F946" i="7"/>
  <c r="K946" i="7"/>
  <c r="P946" i="7" s="1"/>
  <c r="U946" i="7" s="1"/>
  <c r="U947" i="7" s="1"/>
  <c r="L82" i="6" s="1"/>
  <c r="M82" i="6" s="1"/>
  <c r="P3449" i="7"/>
  <c r="U3449" i="7" s="1"/>
  <c r="U3450" i="7" s="1"/>
  <c r="L253" i="6" s="1"/>
  <c r="M253" i="6" s="1"/>
  <c r="K253" i="13"/>
  <c r="E264" i="2"/>
  <c r="F264" i="2" s="1"/>
  <c r="E263" i="12"/>
  <c r="G263" i="12" s="1"/>
  <c r="P14" i="15"/>
  <c r="U14" i="15" s="1"/>
  <c r="U15" i="15" s="1"/>
  <c r="E24" i="12"/>
  <c r="G24" i="12" s="1"/>
  <c r="E25" i="2"/>
  <c r="F25" i="2" s="1"/>
  <c r="K14" i="13"/>
  <c r="K46" i="13"/>
  <c r="E56" i="12"/>
  <c r="G56" i="12" s="1"/>
  <c r="E57" i="2"/>
  <c r="F57" i="2" s="1"/>
  <c r="K4247" i="7"/>
  <c r="P4247" i="7" s="1"/>
  <c r="U4247" i="7" s="1"/>
  <c r="U4248" i="7" s="1"/>
  <c r="L308" i="6" s="1"/>
  <c r="M308" i="6" s="1"/>
  <c r="E74" i="12"/>
  <c r="G74" i="12" s="1"/>
  <c r="K104" i="13"/>
  <c r="E137" i="12"/>
  <c r="G137" i="12" s="1"/>
  <c r="K151" i="13"/>
  <c r="E113" i="12"/>
  <c r="G113" i="12" s="1"/>
  <c r="K291" i="13"/>
  <c r="F4295" i="7"/>
  <c r="K4295" i="7"/>
  <c r="P4295" i="7" s="1"/>
  <c r="U4295" i="7" s="1"/>
  <c r="U4296" i="7" s="1"/>
  <c r="E150" i="12"/>
  <c r="G150" i="12" s="1"/>
  <c r="E151" i="2"/>
  <c r="F151" i="2" s="1"/>
  <c r="K140" i="13"/>
  <c r="F3339" i="7"/>
  <c r="K3339" i="7"/>
  <c r="P3339" i="7" s="1"/>
  <c r="U3339" i="7" s="1"/>
  <c r="U3340" i="7" s="1"/>
  <c r="L242" i="6" s="1"/>
  <c r="M242" i="6" s="1"/>
  <c r="K791" i="7"/>
  <c r="P791" i="7" s="1"/>
  <c r="U791" i="7" s="1"/>
  <c r="U792" i="7" s="1"/>
  <c r="L71" i="6" s="1"/>
  <c r="M71" i="6" s="1"/>
  <c r="F791" i="7"/>
  <c r="F1722" i="7"/>
  <c r="K1722" i="7"/>
  <c r="P1722" i="7" s="1"/>
  <c r="U1722" i="7" s="1"/>
  <c r="U1723" i="7" s="1"/>
  <c r="L130" i="6" s="1"/>
  <c r="M130" i="6" s="1"/>
  <c r="K4120" i="7"/>
  <c r="P4120" i="7" s="1"/>
  <c r="U4120" i="7" s="1"/>
  <c r="U4121" i="7" s="1"/>
  <c r="F4120" i="7"/>
  <c r="F3352" i="7"/>
  <c r="K3352" i="7"/>
  <c r="P3352" i="7" s="1"/>
  <c r="U3352" i="7" s="1"/>
  <c r="U3353" i="7" s="1"/>
  <c r="L243" i="6" s="1"/>
  <c r="M243" i="6" s="1"/>
  <c r="K1419" i="7"/>
  <c r="P1419" i="7" s="1"/>
  <c r="U1419" i="7" s="1"/>
  <c r="U1420" i="7" s="1"/>
  <c r="F1419" i="7"/>
  <c r="K51" i="13"/>
  <c r="E61" i="12"/>
  <c r="G61" i="12" s="1"/>
  <c r="E62" i="2"/>
  <c r="F62" i="2" s="1"/>
  <c r="E71" i="12"/>
  <c r="G71" i="12" s="1"/>
  <c r="E72" i="2"/>
  <c r="F72" i="2" s="1"/>
  <c r="K61" i="13"/>
  <c r="E160" i="2"/>
  <c r="F160" i="2" s="1"/>
  <c r="K149" i="13"/>
  <c r="E159" i="12"/>
  <c r="G159" i="12" s="1"/>
  <c r="K1117" i="7"/>
  <c r="P1117" i="7" s="1"/>
  <c r="U1117" i="7" s="1"/>
  <c r="U1118" i="7" s="1"/>
  <c r="L95" i="6" s="1"/>
  <c r="M95" i="6" s="1"/>
  <c r="F1117" i="7"/>
  <c r="K2408" i="7"/>
  <c r="P2408" i="7" s="1"/>
  <c r="U2408" i="7" s="1"/>
  <c r="U2409" i="7" s="1"/>
  <c r="L178" i="6" s="1"/>
  <c r="M178" i="6" s="1"/>
  <c r="F2408" i="7"/>
  <c r="E149" i="2"/>
  <c r="F149" i="2" s="1"/>
  <c r="E148" i="12"/>
  <c r="G148" i="12" s="1"/>
  <c r="K138" i="13"/>
  <c r="K3365" i="7"/>
  <c r="P3365" i="7" s="1"/>
  <c r="U3365" i="7" s="1"/>
  <c r="U3366" i="7" s="1"/>
  <c r="L244" i="6" s="1"/>
  <c r="M244" i="6" s="1"/>
  <c r="F3365" i="7"/>
  <c r="K4164" i="7"/>
  <c r="P4164" i="7" s="1"/>
  <c r="U4164" i="7" s="1"/>
  <c r="U4165" i="7" s="1"/>
  <c r="L302" i="6" s="1"/>
  <c r="M302" i="6" s="1"/>
  <c r="F4164" i="7"/>
  <c r="F92" i="7"/>
  <c r="K92" i="7"/>
  <c r="P92" i="7" s="1"/>
  <c r="U92" i="7" s="1"/>
  <c r="U93" i="7" s="1"/>
  <c r="L14" i="6" s="1"/>
  <c r="M14" i="6" s="1"/>
  <c r="F3064" i="7"/>
  <c r="K3064" i="7"/>
  <c r="P3064" i="7" s="1"/>
  <c r="U3064" i="7" s="1"/>
  <c r="U3065" i="7" s="1"/>
  <c r="L219" i="6" s="1"/>
  <c r="F1825" i="7"/>
  <c r="K1825" i="7"/>
  <c r="P1825" i="7" s="1"/>
  <c r="U1825" i="7" s="1"/>
  <c r="U1826" i="7" s="1"/>
  <c r="L138" i="6" s="1"/>
  <c r="M138" i="6" s="1"/>
  <c r="E131" i="2"/>
  <c r="F131" i="2" s="1"/>
  <c r="E130" i="12"/>
  <c r="G130" i="12" s="1"/>
  <c r="K120" i="13"/>
  <c r="E47" i="12"/>
  <c r="G47" i="12" s="1"/>
  <c r="E48" i="2"/>
  <c r="F48" i="2" s="1"/>
  <c r="K37" i="13"/>
  <c r="K123" i="13"/>
  <c r="E133" i="12"/>
  <c r="G133" i="12" s="1"/>
  <c r="E134" i="2"/>
  <c r="F134" i="2" s="1"/>
  <c r="E25" i="12"/>
  <c r="G25" i="12" s="1"/>
  <c r="E26" i="2"/>
  <c r="F26" i="2" s="1"/>
  <c r="K15" i="13"/>
  <c r="F1734" i="7"/>
  <c r="K1734" i="7"/>
  <c r="P1734" i="7" s="1"/>
  <c r="U1734" i="7" s="1"/>
  <c r="U1735" i="7" s="1"/>
  <c r="L131" i="6" s="1"/>
  <c r="M131" i="6" s="1"/>
  <c r="F3247" i="7"/>
  <c r="K3247" i="7"/>
  <c r="P3247" i="7" s="1"/>
  <c r="U3247" i="7" s="1"/>
  <c r="U3248" i="7" s="1"/>
  <c r="L235" i="6" s="1"/>
  <c r="M235" i="6" s="1"/>
  <c r="K3313" i="7"/>
  <c r="F3313" i="7"/>
  <c r="F4080" i="7"/>
  <c r="K4080" i="7"/>
  <c r="P4080" i="7" s="1"/>
  <c r="U4080" i="7" s="1"/>
  <c r="U4081" i="7" s="1"/>
  <c r="F3273" i="7"/>
  <c r="K3273" i="7"/>
  <c r="P3273" i="7" s="1"/>
  <c r="U3273" i="7" s="1"/>
  <c r="U3274" i="7" s="1"/>
  <c r="L237" i="6" s="1"/>
  <c r="M237" i="6" s="1"/>
  <c r="E135" i="2"/>
  <c r="F135" i="2" s="1"/>
  <c r="E134" i="12"/>
  <c r="G134" i="12" s="1"/>
  <c r="K124" i="13"/>
  <c r="K128" i="13"/>
  <c r="E139" i="2"/>
  <c r="F139" i="2" s="1"/>
  <c r="E138" i="12"/>
  <c r="G138" i="12" s="1"/>
  <c r="K957" i="7"/>
  <c r="F957" i="7"/>
  <c r="K145" i="13"/>
  <c r="E155" i="12"/>
  <c r="G155" i="12" s="1"/>
  <c r="E156" i="2"/>
  <c r="F156" i="2" s="1"/>
  <c r="E158" i="2"/>
  <c r="F158" i="2" s="1"/>
  <c r="E89" i="2"/>
  <c r="F89" i="2" s="1"/>
  <c r="I72" i="18"/>
  <c r="I73" i="18" s="1"/>
  <c r="O73" i="18" s="1"/>
  <c r="F79" i="18"/>
  <c r="F83" i="18" s="1"/>
  <c r="I84" i="18" s="1"/>
  <c r="I85" i="18" s="1"/>
  <c r="I86" i="18" s="1"/>
  <c r="O86" i="18" s="1"/>
  <c r="E92" i="18"/>
  <c r="F347" i="2"/>
  <c r="F346" i="2"/>
  <c r="F344" i="2"/>
  <c r="F343" i="2"/>
  <c r="F345" i="2"/>
  <c r="P4319" i="7"/>
  <c r="U4319" i="7" s="1"/>
  <c r="U4320" i="7" s="1"/>
  <c r="J1403" i="7"/>
  <c r="K1403" i="7" s="1"/>
  <c r="J1388" i="7"/>
  <c r="K1388" i="7" s="1"/>
  <c r="K1391" i="7" s="1"/>
  <c r="J1372" i="7"/>
  <c r="K1372" i="7" s="1"/>
  <c r="K1375" i="7" s="1"/>
  <c r="J1491" i="7"/>
  <c r="K1491" i="7" s="1"/>
  <c r="K1492" i="7" s="1"/>
  <c r="P1259" i="7"/>
  <c r="U1259" i="7" s="1"/>
  <c r="U1260" i="7" s="1"/>
  <c r="L101" i="6" s="1"/>
  <c r="M101" i="6" s="1"/>
  <c r="K305" i="13"/>
  <c r="E315" i="12"/>
  <c r="G315" i="12" s="1"/>
  <c r="E316" i="2"/>
  <c r="F316" i="2" s="1"/>
  <c r="K23" i="13"/>
  <c r="E34" i="2"/>
  <c r="F34" i="2" s="1"/>
  <c r="E33" i="12"/>
  <c r="G33" i="12" s="1"/>
  <c r="J762" i="7"/>
  <c r="K762" i="7" s="1"/>
  <c r="K764" i="7" s="1"/>
  <c r="K364" i="7"/>
  <c r="K368" i="7" s="1"/>
  <c r="U2259" i="7" l="1"/>
  <c r="E188" i="2"/>
  <c r="F188" i="2" s="1"/>
  <c r="M227" i="6"/>
  <c r="L228" i="6"/>
  <c r="M228" i="6" s="1"/>
  <c r="M219" i="6"/>
  <c r="L223" i="6"/>
  <c r="F3900" i="7"/>
  <c r="K3823" i="7"/>
  <c r="P3823" i="7" s="1"/>
  <c r="U3823" i="7" s="1"/>
  <c r="U3824" i="7" s="1"/>
  <c r="L280" i="6" s="1"/>
  <c r="M280" i="6" s="1"/>
  <c r="K177" i="13"/>
  <c r="M170" i="6"/>
  <c r="P2003" i="7"/>
  <c r="U2003" i="7" s="1"/>
  <c r="U2004" i="7" s="1"/>
  <c r="L151" i="6" s="1"/>
  <c r="M151" i="6" s="1"/>
  <c r="K3012" i="7"/>
  <c r="K2955" i="7"/>
  <c r="K2956" i="7" s="1"/>
  <c r="P2956" i="7" s="1"/>
  <c r="U2956" i="7" s="1"/>
  <c r="U2957" i="7" s="1"/>
  <c r="L213" i="6" s="1"/>
  <c r="K2917" i="7"/>
  <c r="K2918" i="7" s="1"/>
  <c r="P2918" i="7" s="1"/>
  <c r="U2918" i="7" s="1"/>
  <c r="U2919" i="7" s="1"/>
  <c r="L211" i="6" s="1"/>
  <c r="M211" i="6" s="1"/>
  <c r="K650" i="7"/>
  <c r="P650" i="7" s="1"/>
  <c r="U650" i="7" s="1"/>
  <c r="U651" i="7" s="1"/>
  <c r="L61" i="6" s="1"/>
  <c r="M61" i="6" s="1"/>
  <c r="E60" i="12"/>
  <c r="G60" i="12" s="1"/>
  <c r="L80" i="6"/>
  <c r="E80" i="2" s="1"/>
  <c r="F80" i="2" s="1"/>
  <c r="E169" i="12"/>
  <c r="G169" i="12" s="1"/>
  <c r="K639" i="7"/>
  <c r="P639" i="7" s="1"/>
  <c r="U639" i="7" s="1"/>
  <c r="U640" i="7" s="1"/>
  <c r="L60" i="6" s="1"/>
  <c r="M60" i="6" s="1"/>
  <c r="K50" i="13"/>
  <c r="K201" i="13"/>
  <c r="K718" i="7"/>
  <c r="P718" i="7" s="1"/>
  <c r="U718" i="7" s="1"/>
  <c r="U719" i="7" s="1"/>
  <c r="L66" i="6" s="1"/>
  <c r="M66" i="6" s="1"/>
  <c r="K3548" i="7"/>
  <c r="P3548" i="7" s="1"/>
  <c r="U3548" i="7" s="1"/>
  <c r="U3549" i="7" s="1"/>
  <c r="L259" i="6" s="1"/>
  <c r="M259" i="6" s="1"/>
  <c r="F1143" i="7"/>
  <c r="E61" i="2"/>
  <c r="F61" i="2" s="1"/>
  <c r="E194" i="2"/>
  <c r="F194" i="2" s="1"/>
  <c r="E217" i="2"/>
  <c r="F217" i="2" s="1"/>
  <c r="F3799" i="7"/>
  <c r="K159" i="13"/>
  <c r="M194" i="6"/>
  <c r="K3751" i="7"/>
  <c r="P3751" i="7" s="1"/>
  <c r="U3751" i="7" s="1"/>
  <c r="U3752" i="7" s="1"/>
  <c r="L274" i="6" s="1"/>
  <c r="M274" i="6" s="1"/>
  <c r="E173" i="2"/>
  <c r="F173" i="2" s="1"/>
  <c r="F3574" i="7"/>
  <c r="F3763" i="7"/>
  <c r="E170" i="2"/>
  <c r="F170" i="2" s="1"/>
  <c r="E212" i="2"/>
  <c r="F212" i="2" s="1"/>
  <c r="K2936" i="7"/>
  <c r="F2937" i="7" s="1"/>
  <c r="K628" i="7"/>
  <c r="P628" i="7" s="1"/>
  <c r="U628" i="7" s="1"/>
  <c r="U629" i="7" s="1"/>
  <c r="L59" i="6" s="1"/>
  <c r="M59" i="6" s="1"/>
  <c r="F628" i="7"/>
  <c r="F3709" i="7"/>
  <c r="K3963" i="7"/>
  <c r="P3963" i="7" s="1"/>
  <c r="U3963" i="7" s="1"/>
  <c r="U3964" i="7" s="1"/>
  <c r="L291" i="6" s="1"/>
  <c r="M291" i="6" s="1"/>
  <c r="K3681" i="7"/>
  <c r="P3681" i="7" s="1"/>
  <c r="U3681" i="7" s="1"/>
  <c r="U3682" i="7" s="1"/>
  <c r="L269" i="6" s="1"/>
  <c r="M269" i="6" s="1"/>
  <c r="K183" i="13"/>
  <c r="K705" i="7"/>
  <c r="P705" i="7" s="1"/>
  <c r="U705" i="7" s="1"/>
  <c r="U706" i="7" s="1"/>
  <c r="L65" i="6" s="1"/>
  <c r="M65" i="6" s="1"/>
  <c r="U2212" i="7"/>
  <c r="U2218" i="7" s="1"/>
  <c r="K2219" i="7" s="1"/>
  <c r="P2219" i="7" s="1"/>
  <c r="U2219" i="7" s="1"/>
  <c r="U2220" i="7" s="1"/>
  <c r="L165" i="6" s="1"/>
  <c r="M165" i="6" s="1"/>
  <c r="J4433" i="7"/>
  <c r="K4433" i="7" s="1"/>
  <c r="E193" i="12"/>
  <c r="G193" i="12" s="1"/>
  <c r="F3737" i="7"/>
  <c r="K3561" i="7"/>
  <c r="P3561" i="7" s="1"/>
  <c r="U3561" i="7" s="1"/>
  <c r="U3562" i="7" s="1"/>
  <c r="L260" i="6" s="1"/>
  <c r="M260" i="6" s="1"/>
  <c r="K1988" i="7"/>
  <c r="P1988" i="7" s="1"/>
  <c r="U1988" i="7" s="1"/>
  <c r="U1989" i="7" s="1"/>
  <c r="L150" i="6" s="1"/>
  <c r="M150" i="6" s="1"/>
  <c r="E222" i="12"/>
  <c r="G222" i="12" s="1"/>
  <c r="F2834" i="7"/>
  <c r="K743" i="7"/>
  <c r="P743" i="7" s="1"/>
  <c r="U743" i="7" s="1"/>
  <c r="U744" i="7" s="1"/>
  <c r="L67" i="6" s="1"/>
  <c r="M67" i="6" s="1"/>
  <c r="K3626" i="7"/>
  <c r="P3626" i="7" s="1"/>
  <c r="U3626" i="7" s="1"/>
  <c r="U3627" i="7" s="1"/>
  <c r="L265" i="6" s="1"/>
  <c r="M265" i="6" s="1"/>
  <c r="E167" i="2"/>
  <c r="F167" i="2" s="1"/>
  <c r="F2639" i="7"/>
  <c r="F875" i="7"/>
  <c r="F3874" i="7"/>
  <c r="K1169" i="7"/>
  <c r="P1169" i="7" s="1"/>
  <c r="U1169" i="7" s="1"/>
  <c r="U1170" i="7" s="1"/>
  <c r="L98" i="6" s="1"/>
  <c r="M98" i="6" s="1"/>
  <c r="E200" i="12"/>
  <c r="G200" i="12" s="1"/>
  <c r="E171" i="2"/>
  <c r="F171" i="2" s="1"/>
  <c r="K2898" i="7"/>
  <c r="K2899" i="7" s="1"/>
  <c r="P2899" i="7" s="1"/>
  <c r="U2899" i="7" s="1"/>
  <c r="U2900" i="7" s="1"/>
  <c r="L210" i="6" s="1"/>
  <c r="M210" i="6" s="1"/>
  <c r="K4221" i="7"/>
  <c r="P4221" i="7" s="1"/>
  <c r="U4221" i="7" s="1"/>
  <c r="U4222" i="7" s="1"/>
  <c r="L306" i="6" s="1"/>
  <c r="M306" i="6" s="1"/>
  <c r="F1207" i="7"/>
  <c r="K3050" i="7"/>
  <c r="F3051" i="7" s="1"/>
  <c r="K3835" i="7"/>
  <c r="P3835" i="7" s="1"/>
  <c r="U3835" i="7" s="1"/>
  <c r="U3836" i="7" s="1"/>
  <c r="L281" i="6" s="1"/>
  <c r="M281" i="6" s="1"/>
  <c r="F892" i="7"/>
  <c r="K1466" i="7"/>
  <c r="P1466" i="7" s="1"/>
  <c r="U1466" i="7" s="1"/>
  <c r="U1467" i="7" s="1"/>
  <c r="F994" i="7"/>
  <c r="K3787" i="7"/>
  <c r="P3787" i="7" s="1"/>
  <c r="U3787" i="7" s="1"/>
  <c r="U3788" i="7" s="1"/>
  <c r="L277" i="6" s="1"/>
  <c r="M277" i="6" s="1"/>
  <c r="K3600" i="7"/>
  <c r="P3600" i="7" s="1"/>
  <c r="U3600" i="7" s="1"/>
  <c r="U3601" i="7" s="1"/>
  <c r="L263" i="6" s="1"/>
  <c r="M263" i="6" s="1"/>
  <c r="E178" i="12"/>
  <c r="G178" i="12" s="1"/>
  <c r="E207" i="2"/>
  <c r="F207" i="2" s="1"/>
  <c r="E44" i="12"/>
  <c r="G44" i="12" s="1"/>
  <c r="E179" i="2"/>
  <c r="F179" i="2" s="1"/>
  <c r="K168" i="13"/>
  <c r="E206" i="12"/>
  <c r="G206" i="12" s="1"/>
  <c r="K196" i="13"/>
  <c r="K4207" i="7"/>
  <c r="P4207" i="7" s="1"/>
  <c r="U4207" i="7" s="1"/>
  <c r="U4208" i="7" s="1"/>
  <c r="L305" i="6" s="1"/>
  <c r="M305" i="6" s="1"/>
  <c r="U2346" i="7"/>
  <c r="U2351" i="7" s="1"/>
  <c r="K2352" i="7" s="1"/>
  <c r="P2352" i="7" s="1"/>
  <c r="U2352" i="7" s="1"/>
  <c r="U2353" i="7" s="1"/>
  <c r="L174" i="6" s="1"/>
  <c r="M174" i="6" s="1"/>
  <c r="K212" i="13"/>
  <c r="E96" i="2"/>
  <c r="F96" i="2" s="1"/>
  <c r="E207" i="12"/>
  <c r="G207" i="12" s="1"/>
  <c r="F4235" i="7"/>
  <c r="U2301" i="7"/>
  <c r="U2306" i="7" s="1"/>
  <c r="K2307" i="7" s="1"/>
  <c r="K190" i="13"/>
  <c r="E201" i="2"/>
  <c r="F201" i="2" s="1"/>
  <c r="K1088" i="7"/>
  <c r="P1088" i="7" s="1"/>
  <c r="U1088" i="7" s="1"/>
  <c r="U1089" i="7" s="1"/>
  <c r="L93" i="6" s="1"/>
  <c r="M93" i="6" s="1"/>
  <c r="E170" i="12"/>
  <c r="G170" i="12" s="1"/>
  <c r="K160" i="13"/>
  <c r="M158" i="6"/>
  <c r="K2993" i="7"/>
  <c r="F2994" i="7" s="1"/>
  <c r="U2983" i="7" s="1"/>
  <c r="U2993" i="7" s="1"/>
  <c r="K2994" i="7" s="1"/>
  <c r="P2994" i="7" s="1"/>
  <c r="U2994" i="7" s="1"/>
  <c r="U2995" i="7" s="1"/>
  <c r="L215" i="6" s="1"/>
  <c r="M215" i="6" s="1"/>
  <c r="P2093" i="7"/>
  <c r="U2093" i="7" s="1"/>
  <c r="U2094" i="7" s="1"/>
  <c r="L157" i="6" s="1"/>
  <c r="M157" i="6" s="1"/>
  <c r="E218" i="12"/>
  <c r="G218" i="12" s="1"/>
  <c r="K195" i="13"/>
  <c r="J4029" i="7"/>
  <c r="K4029" i="7" s="1"/>
  <c r="U2228" i="7"/>
  <c r="U2234" i="7" s="1"/>
  <c r="K2235" i="7" s="1"/>
  <c r="P2235" i="7" s="1"/>
  <c r="U2235" i="7" s="1"/>
  <c r="U2236" i="7" s="1"/>
  <c r="L166" i="6" s="1"/>
  <c r="M166" i="6" s="1"/>
  <c r="F3587" i="7"/>
  <c r="E46" i="2"/>
  <c r="F46" i="2" s="1"/>
  <c r="E22" i="2"/>
  <c r="F22" i="2" s="1"/>
  <c r="F1007" i="7"/>
  <c r="F3653" i="7"/>
  <c r="K3031" i="7"/>
  <c r="F3032" i="7" s="1"/>
  <c r="U3021" i="7" s="1"/>
  <c r="U3031" i="7" s="1"/>
  <c r="K3032" i="7" s="1"/>
  <c r="P3032" i="7" s="1"/>
  <c r="U3032" i="7" s="1"/>
  <c r="U3033" i="7" s="1"/>
  <c r="L217" i="6" s="1"/>
  <c r="M217" i="6" s="1"/>
  <c r="F3848" i="7"/>
  <c r="F677" i="7"/>
  <c r="K3667" i="7"/>
  <c r="P3667" i="7" s="1"/>
  <c r="U3667" i="7" s="1"/>
  <c r="U3668" i="7" s="1"/>
  <c r="L268" i="6" s="1"/>
  <c r="E281" i="2" s="1"/>
  <c r="F281" i="2" s="1"/>
  <c r="E220" i="12"/>
  <c r="G220" i="12" s="1"/>
  <c r="F2534" i="7"/>
  <c r="F1020" i="7"/>
  <c r="K35" i="13"/>
  <c r="U2361" i="7"/>
  <c r="U2366" i="7" s="1"/>
  <c r="K2367" i="7" s="1"/>
  <c r="P2367" i="7" s="1"/>
  <c r="U2367" i="7" s="1"/>
  <c r="U2368" i="7" s="1"/>
  <c r="L175" i="6" s="1"/>
  <c r="K691" i="7"/>
  <c r="Y681" i="7" s="1"/>
  <c r="Y682" i="7" s="1"/>
  <c r="E95" i="12"/>
  <c r="G95" i="12" s="1"/>
  <c r="K968" i="7"/>
  <c r="P968" i="7" s="1"/>
  <c r="U968" i="7" s="1"/>
  <c r="U969" i="7" s="1"/>
  <c r="L84" i="6" s="1"/>
  <c r="M84" i="6" s="1"/>
  <c r="U2164" i="7"/>
  <c r="U2170" i="7" s="1"/>
  <c r="K2171" i="7" s="1"/>
  <c r="P2171" i="7" s="1"/>
  <c r="U2171" i="7" s="1"/>
  <c r="U2172" i="7" s="1"/>
  <c r="L162" i="6" s="1"/>
  <c r="K3639" i="7"/>
  <c r="P3639" i="7" s="1"/>
  <c r="U3639" i="7" s="1"/>
  <c r="U3640" i="7" s="1"/>
  <c r="L266" i="6" s="1"/>
  <c r="M266" i="6" s="1"/>
  <c r="E45" i="12"/>
  <c r="G45" i="12" s="1"/>
  <c r="E21" i="12"/>
  <c r="G21" i="12" s="1"/>
  <c r="E205" i="12"/>
  <c r="G205" i="12" s="1"/>
  <c r="K191" i="13"/>
  <c r="K203" i="13"/>
  <c r="F1130" i="7"/>
  <c r="E68" i="2"/>
  <c r="F68" i="2" s="1"/>
  <c r="E221" i="2"/>
  <c r="F221" i="2" s="1"/>
  <c r="E214" i="2"/>
  <c r="F214" i="2" s="1"/>
  <c r="U2180" i="7"/>
  <c r="U2186" i="7" s="1"/>
  <c r="K2187" i="7" s="1"/>
  <c r="P2187" i="7" s="1"/>
  <c r="U2187" i="7" s="1"/>
  <c r="U2188" i="7" s="1"/>
  <c r="L163" i="6" s="1"/>
  <c r="E202" i="2"/>
  <c r="F202" i="2" s="1"/>
  <c r="K85" i="13"/>
  <c r="K210" i="13"/>
  <c r="U2316" i="7"/>
  <c r="U2321" i="7" s="1"/>
  <c r="K2322" i="7" s="1"/>
  <c r="P2322" i="7" s="1"/>
  <c r="U2322" i="7" s="1"/>
  <c r="U2323" i="7" s="1"/>
  <c r="L172" i="6" s="1"/>
  <c r="K11" i="13"/>
  <c r="E206" i="2"/>
  <c r="F206" i="2" s="1"/>
  <c r="E201" i="12"/>
  <c r="G201" i="12" s="1"/>
  <c r="K180" i="13"/>
  <c r="K904" i="7"/>
  <c r="K907" i="7" s="1"/>
  <c r="F908" i="7" s="1"/>
  <c r="E190" i="12"/>
  <c r="G190" i="12" s="1"/>
  <c r="K32" i="20"/>
  <c r="P32" i="20" s="1"/>
  <c r="U32" i="20" s="1"/>
  <c r="U33" i="20" s="1"/>
  <c r="K3811" i="7"/>
  <c r="P3811" i="7" s="1"/>
  <c r="U3811" i="7" s="1"/>
  <c r="U3812" i="7" s="1"/>
  <c r="L279" i="6" s="1"/>
  <c r="K282" i="13" s="1"/>
  <c r="K1156" i="7"/>
  <c r="P1156" i="7" s="1"/>
  <c r="U1156" i="7" s="1"/>
  <c r="U1157" i="7" s="1"/>
  <c r="M149" i="6"/>
  <c r="K3775" i="7"/>
  <c r="P3775" i="7" s="1"/>
  <c r="U3775" i="7" s="1"/>
  <c r="U3776" i="7" s="1"/>
  <c r="L276" i="6" s="1"/>
  <c r="M276" i="6" s="1"/>
  <c r="K162" i="13"/>
  <c r="E209" i="12"/>
  <c r="G209" i="12" s="1"/>
  <c r="F2849" i="7"/>
  <c r="K3926" i="7"/>
  <c r="P3926" i="7" s="1"/>
  <c r="U3926" i="7" s="1"/>
  <c r="U3927" i="7" s="1"/>
  <c r="L288" i="6" s="1"/>
  <c r="M288" i="6" s="1"/>
  <c r="E166" i="12"/>
  <c r="G166" i="12" s="1"/>
  <c r="E172" i="12"/>
  <c r="G172" i="12" s="1"/>
  <c r="K208" i="13"/>
  <c r="E191" i="2"/>
  <c r="F191" i="2" s="1"/>
  <c r="E196" i="12"/>
  <c r="G196" i="12" s="1"/>
  <c r="F1975" i="7"/>
  <c r="F3013" i="7"/>
  <c r="U3002" i="7" s="1"/>
  <c r="U3012" i="7" s="1"/>
  <c r="K3013" i="7" s="1"/>
  <c r="P3013" i="7" s="1"/>
  <c r="U3013" i="7" s="1"/>
  <c r="U3014" i="7" s="1"/>
  <c r="L216" i="6" s="1"/>
  <c r="E233" i="12" s="1"/>
  <c r="G233" i="12" s="1"/>
  <c r="E185" i="2"/>
  <c r="F185" i="2" s="1"/>
  <c r="J4434" i="7"/>
  <c r="K4434" i="7" s="1"/>
  <c r="K197" i="13"/>
  <c r="E216" i="12"/>
  <c r="G216" i="12" s="1"/>
  <c r="U2273" i="7"/>
  <c r="U2276" i="7" s="1"/>
  <c r="K2277" i="7" s="1"/>
  <c r="P2277" i="7" s="1"/>
  <c r="U2277" i="7" s="1"/>
  <c r="U2278" i="7" s="1"/>
  <c r="L169" i="6" s="1"/>
  <c r="M169" i="6" s="1"/>
  <c r="E213" i="12"/>
  <c r="G213" i="12" s="1"/>
  <c r="E176" i="2"/>
  <c r="F176" i="2" s="1"/>
  <c r="E223" i="2"/>
  <c r="F223" i="2" s="1"/>
  <c r="E208" i="2"/>
  <c r="F208" i="2" s="1"/>
  <c r="K206" i="13"/>
  <c r="E175" i="12"/>
  <c r="G175" i="12" s="1"/>
  <c r="J2857" i="7"/>
  <c r="K2857" i="7" s="1"/>
  <c r="E178" i="2"/>
  <c r="F178" i="2" s="1"/>
  <c r="E299" i="2"/>
  <c r="F299" i="2" s="1"/>
  <c r="F3613" i="7"/>
  <c r="U2392" i="7"/>
  <c r="U2396" i="7" s="1"/>
  <c r="K2397" i="7" s="1"/>
  <c r="P2397" i="7" s="1"/>
  <c r="U2397" i="7" s="1"/>
  <c r="U2398" i="7" s="1"/>
  <c r="L177" i="6" s="1"/>
  <c r="E177" i="12"/>
  <c r="G177" i="12" s="1"/>
  <c r="K174" i="13"/>
  <c r="F2744" i="7"/>
  <c r="K167" i="13"/>
  <c r="K286" i="13"/>
  <c r="W3412" i="7"/>
  <c r="W3413" i="7" s="1"/>
  <c r="F3476" i="7"/>
  <c r="U3468" i="7" s="1"/>
  <c r="U3475" i="7" s="1"/>
  <c r="K3476" i="7" s="1"/>
  <c r="E219" i="2"/>
  <c r="F219" i="2" s="1"/>
  <c r="E210" i="2"/>
  <c r="F210" i="2" s="1"/>
  <c r="E197" i="2"/>
  <c r="F197" i="2" s="1"/>
  <c r="E139" i="12"/>
  <c r="G139" i="12" s="1"/>
  <c r="E140" i="2"/>
  <c r="F140" i="2" s="1"/>
  <c r="K2879" i="7"/>
  <c r="F2880" i="7" s="1"/>
  <c r="K2974" i="7"/>
  <c r="F2975" i="7" s="1"/>
  <c r="K199" i="13"/>
  <c r="E67" i="12"/>
  <c r="G67" i="12" s="1"/>
  <c r="K186" i="13"/>
  <c r="K129" i="13"/>
  <c r="E45" i="2"/>
  <c r="F45" i="2" s="1"/>
  <c r="E298" i="12"/>
  <c r="G298" i="12" s="1"/>
  <c r="K3695" i="7"/>
  <c r="P3695" i="7" s="1"/>
  <c r="U3695" i="7" s="1"/>
  <c r="U3696" i="7" s="1"/>
  <c r="L270" i="6" s="1"/>
  <c r="M270" i="6" s="1"/>
  <c r="E200" i="2"/>
  <c r="F200" i="2" s="1"/>
  <c r="K15" i="17"/>
  <c r="P15" i="17" s="1"/>
  <c r="U15" i="17" s="1"/>
  <c r="U16" i="17" s="1"/>
  <c r="E208" i="12"/>
  <c r="G208" i="12" s="1"/>
  <c r="F3887" i="7"/>
  <c r="F3723" i="7"/>
  <c r="E199" i="12"/>
  <c r="G199" i="12" s="1"/>
  <c r="K34" i="13"/>
  <c r="E184" i="12"/>
  <c r="G184" i="12" s="1"/>
  <c r="K189" i="13"/>
  <c r="K288" i="13"/>
  <c r="K819" i="7"/>
  <c r="P819" i="7" s="1"/>
  <c r="U819" i="7" s="1"/>
  <c r="U820" i="7" s="1"/>
  <c r="L73" i="6" s="1"/>
  <c r="M73" i="6" s="1"/>
  <c r="F1480" i="7"/>
  <c r="K2421" i="7"/>
  <c r="P2421" i="7" s="1"/>
  <c r="U2421" i="7" s="1"/>
  <c r="U2422" i="7" s="1"/>
  <c r="L179" i="6" s="1"/>
  <c r="M179" i="6" s="1"/>
  <c r="K57" i="13"/>
  <c r="F3861" i="7"/>
  <c r="E296" i="12"/>
  <c r="G296" i="12" s="1"/>
  <c r="E297" i="2"/>
  <c r="F297" i="2" s="1"/>
  <c r="E32" i="2"/>
  <c r="F32" i="2" s="1"/>
  <c r="M25" i="6"/>
  <c r="E245" i="12"/>
  <c r="G245" i="12" s="1"/>
  <c r="M234" i="6"/>
  <c r="E238" i="2"/>
  <c r="F238" i="2" s="1"/>
  <c r="M220" i="6"/>
  <c r="E143" i="2"/>
  <c r="F143" i="2" s="1"/>
  <c r="M129" i="6"/>
  <c r="K26" i="13"/>
  <c r="M30" i="6"/>
  <c r="E209" i="2"/>
  <c r="F209" i="2" s="1"/>
  <c r="K16" i="13"/>
  <c r="M20" i="6"/>
  <c r="E24" i="2"/>
  <c r="F24" i="2" s="1"/>
  <c r="M17" i="6"/>
  <c r="E205" i="2"/>
  <c r="F205" i="2" s="1"/>
  <c r="M187" i="6"/>
  <c r="K136" i="13"/>
  <c r="M132" i="6"/>
  <c r="E250" i="12"/>
  <c r="G250" i="12" s="1"/>
  <c r="M239" i="6"/>
  <c r="K198" i="13"/>
  <c r="K194" i="13"/>
  <c r="E204" i="12"/>
  <c r="G204" i="12" s="1"/>
  <c r="K981" i="7"/>
  <c r="P981" i="7" s="1"/>
  <c r="U981" i="7" s="1"/>
  <c r="U982" i="7" s="1"/>
  <c r="L85" i="6" s="1"/>
  <c r="M85" i="6" s="1"/>
  <c r="K1060" i="7"/>
  <c r="P1060" i="7" s="1"/>
  <c r="U1060" i="7" s="1"/>
  <c r="U1061" i="7" s="1"/>
  <c r="L91" i="6" s="1"/>
  <c r="M91" i="6" s="1"/>
  <c r="E23" i="12"/>
  <c r="G23" i="12" s="1"/>
  <c r="K13" i="13"/>
  <c r="K1519" i="7"/>
  <c r="P1519" i="7" s="1"/>
  <c r="U1519" i="7" s="1"/>
  <c r="U1520" i="7" s="1"/>
  <c r="E246" i="2"/>
  <c r="F246" i="2" s="1"/>
  <c r="K235" i="13"/>
  <c r="K240" i="13"/>
  <c r="E36" i="12"/>
  <c r="G36" i="12" s="1"/>
  <c r="F924" i="7"/>
  <c r="F3508" i="7"/>
  <c r="U3500" i="7" s="1"/>
  <c r="U3507" i="7" s="1"/>
  <c r="K3508" i="7" s="1"/>
  <c r="P3508" i="7" s="1"/>
  <c r="U3508" i="7" s="1"/>
  <c r="U3509" i="7" s="1"/>
  <c r="L257" i="6" s="1"/>
  <c r="E37" i="2"/>
  <c r="F37" i="2" s="1"/>
  <c r="M223" i="6"/>
  <c r="F3524" i="7"/>
  <c r="U3516" i="7" s="1"/>
  <c r="U3523" i="7" s="1"/>
  <c r="K3524" i="7" s="1"/>
  <c r="P3524" i="7" s="1"/>
  <c r="U3524" i="7" s="1"/>
  <c r="U3525" i="7" s="1"/>
  <c r="L258" i="6" s="1"/>
  <c r="F3492" i="7"/>
  <c r="U3484" i="7" s="1"/>
  <c r="U3491" i="7" s="1"/>
  <c r="K3492" i="7" s="1"/>
  <c r="P3492" i="7" s="1"/>
  <c r="U3492" i="7" s="1"/>
  <c r="U3493" i="7" s="1"/>
  <c r="L256" i="6" s="1"/>
  <c r="E31" i="12"/>
  <c r="G31" i="12" s="1"/>
  <c r="J4030" i="7"/>
  <c r="K4030" i="7" s="1"/>
  <c r="E251" i="2"/>
  <c r="F251" i="2" s="1"/>
  <c r="E147" i="2"/>
  <c r="F147" i="2" s="1"/>
  <c r="J2859" i="7"/>
  <c r="K2859" i="7" s="1"/>
  <c r="K21" i="13"/>
  <c r="K132" i="13"/>
  <c r="E237" i="12"/>
  <c r="G237" i="12" s="1"/>
  <c r="K1074" i="7"/>
  <c r="P1074" i="7" s="1"/>
  <c r="U1074" i="7" s="1"/>
  <c r="U1075" i="7" s="1"/>
  <c r="L92" i="6" s="1"/>
  <c r="F834" i="7"/>
  <c r="E146" i="12"/>
  <c r="G146" i="12" s="1"/>
  <c r="E142" i="12"/>
  <c r="G142" i="12" s="1"/>
  <c r="K1046" i="7"/>
  <c r="P1046" i="7" s="1"/>
  <c r="U1046" i="7" s="1"/>
  <c r="U1047" i="7" s="1"/>
  <c r="L90" i="6" s="1"/>
  <c r="K4359" i="7"/>
  <c r="P4359" i="7" s="1"/>
  <c r="U4359" i="7" s="1"/>
  <c r="U4360" i="7" s="1"/>
  <c r="E27" i="2"/>
  <c r="F27" i="2" s="1"/>
  <c r="E26" i="12"/>
  <c r="G26" i="12" s="1"/>
  <c r="F178" i="7"/>
  <c r="P3286" i="7"/>
  <c r="U3286" i="7" s="1"/>
  <c r="U3287" i="7" s="1"/>
  <c r="K227" i="13"/>
  <c r="U2262" i="7"/>
  <c r="K2263" i="7" s="1"/>
  <c r="P2263" i="7" s="1"/>
  <c r="U2263" i="7" s="1"/>
  <c r="U2264" i="7" s="1"/>
  <c r="L168" i="6" s="1"/>
  <c r="K186" i="7"/>
  <c r="K190" i="7" s="1"/>
  <c r="J199" i="7"/>
  <c r="E265" i="2"/>
  <c r="F265" i="2" s="1"/>
  <c r="K254" i="13"/>
  <c r="E264" i="12"/>
  <c r="G264" i="12" s="1"/>
  <c r="E182" i="2"/>
  <c r="F182" i="2" s="1"/>
  <c r="K171" i="13"/>
  <c r="E181" i="12"/>
  <c r="G181" i="12" s="1"/>
  <c r="K166" i="13"/>
  <c r="E176" i="12"/>
  <c r="G176" i="12" s="1"/>
  <c r="E177" i="2"/>
  <c r="F177" i="2" s="1"/>
  <c r="K47" i="13"/>
  <c r="E57" i="12"/>
  <c r="G57" i="12" s="1"/>
  <c r="E58" i="2"/>
  <c r="F58" i="2" s="1"/>
  <c r="E215" i="2"/>
  <c r="F215" i="2" s="1"/>
  <c r="E214" i="12"/>
  <c r="G214" i="12" s="1"/>
  <c r="K204" i="13"/>
  <c r="E243" i="12"/>
  <c r="G243" i="12" s="1"/>
  <c r="K233" i="13"/>
  <c r="E244" i="2"/>
  <c r="F244" i="2" s="1"/>
  <c r="P2804" i="7"/>
  <c r="U2804" i="7" s="1"/>
  <c r="U2805" i="7" s="1"/>
  <c r="L204" i="6" s="1"/>
  <c r="M204" i="6" s="1"/>
  <c r="E128" i="12"/>
  <c r="G128" i="12" s="1"/>
  <c r="K118" i="13"/>
  <c r="E129" i="2"/>
  <c r="F129" i="2" s="1"/>
  <c r="K192" i="13"/>
  <c r="E203" i="2"/>
  <c r="F203" i="2" s="1"/>
  <c r="E202" i="12"/>
  <c r="G202" i="12" s="1"/>
  <c r="K202" i="13"/>
  <c r="E213" i="2"/>
  <c r="F213" i="2" s="1"/>
  <c r="E212" i="12"/>
  <c r="G212" i="12" s="1"/>
  <c r="E279" i="12"/>
  <c r="G279" i="12" s="1"/>
  <c r="K269" i="13"/>
  <c r="E280" i="2"/>
  <c r="F280" i="2" s="1"/>
  <c r="E275" i="2"/>
  <c r="F275" i="2" s="1"/>
  <c r="K264" i="13"/>
  <c r="E274" i="12"/>
  <c r="G274" i="12" s="1"/>
  <c r="E96" i="12"/>
  <c r="G96" i="12" s="1"/>
  <c r="K86" i="13"/>
  <c r="E97" i="2"/>
  <c r="F97" i="2" s="1"/>
  <c r="K228" i="13"/>
  <c r="E239" i="2"/>
  <c r="F239" i="2" s="1"/>
  <c r="E238" i="12"/>
  <c r="G238" i="12" s="1"/>
  <c r="E70" i="2"/>
  <c r="F70" i="2" s="1"/>
  <c r="K59" i="13"/>
  <c r="E69" i="12"/>
  <c r="G69" i="12" s="1"/>
  <c r="E257" i="2"/>
  <c r="F257" i="2" s="1"/>
  <c r="E256" i="12"/>
  <c r="G256" i="12" s="1"/>
  <c r="K246" i="13"/>
  <c r="E155" i="2"/>
  <c r="F155" i="2" s="1"/>
  <c r="E154" i="12"/>
  <c r="G154" i="12" s="1"/>
  <c r="K144" i="13"/>
  <c r="P2849" i="7"/>
  <c r="U2849" i="7" s="1"/>
  <c r="U2850" i="7" s="1"/>
  <c r="L207" i="6" s="1"/>
  <c r="M207" i="6" s="1"/>
  <c r="E74" i="2"/>
  <c r="F74" i="2" s="1"/>
  <c r="E73" i="12"/>
  <c r="G73" i="12" s="1"/>
  <c r="K63" i="13"/>
  <c r="E174" i="2"/>
  <c r="F174" i="2" s="1"/>
  <c r="E173" i="12"/>
  <c r="G173" i="12" s="1"/>
  <c r="K163" i="13"/>
  <c r="E284" i="2"/>
  <c r="F284" i="2" s="1"/>
  <c r="E283" i="12"/>
  <c r="G283" i="12" s="1"/>
  <c r="K273" i="13"/>
  <c r="F14" i="20"/>
  <c r="K14" i="20"/>
  <c r="P14" i="20" s="1"/>
  <c r="U14" i="20" s="1"/>
  <c r="U15" i="20" s="1"/>
  <c r="E27" i="12"/>
  <c r="G27" i="12" s="1"/>
  <c r="K17" i="13"/>
  <c r="E28" i="2"/>
  <c r="F28" i="2" s="1"/>
  <c r="E237" i="2"/>
  <c r="F237" i="2" s="1"/>
  <c r="K226" i="13"/>
  <c r="E236" i="12"/>
  <c r="G236" i="12" s="1"/>
  <c r="E253" i="2"/>
  <c r="F253" i="2" s="1"/>
  <c r="E252" i="12"/>
  <c r="G252" i="12" s="1"/>
  <c r="K242" i="13"/>
  <c r="K131" i="13"/>
  <c r="E141" i="12"/>
  <c r="G141" i="12" s="1"/>
  <c r="E142" i="2"/>
  <c r="F142" i="2" s="1"/>
  <c r="E298" i="2"/>
  <c r="F298" i="2" s="1"/>
  <c r="K287" i="13"/>
  <c r="E297" i="12"/>
  <c r="G297" i="12" s="1"/>
  <c r="E293" i="12"/>
  <c r="G293" i="12" s="1"/>
  <c r="E100" i="2"/>
  <c r="F100" i="2" s="1"/>
  <c r="E99" i="12"/>
  <c r="G99" i="12" s="1"/>
  <c r="K89" i="13"/>
  <c r="E171" i="12"/>
  <c r="G171" i="12" s="1"/>
  <c r="K161" i="13"/>
  <c r="E172" i="2"/>
  <c r="F172" i="2" s="1"/>
  <c r="E101" i="2"/>
  <c r="F101" i="2" s="1"/>
  <c r="E100" i="12"/>
  <c r="G100" i="12" s="1"/>
  <c r="K90" i="13"/>
  <c r="K48" i="13"/>
  <c r="E59" i="2"/>
  <c r="F59" i="2" s="1"/>
  <c r="E58" i="12"/>
  <c r="G58" i="12" s="1"/>
  <c r="E86" i="12"/>
  <c r="G86" i="12" s="1"/>
  <c r="E87" i="2"/>
  <c r="F87" i="2" s="1"/>
  <c r="K76" i="13"/>
  <c r="E203" i="12"/>
  <c r="G203" i="12" s="1"/>
  <c r="E204" i="2"/>
  <c r="F204" i="2" s="1"/>
  <c r="K193" i="13"/>
  <c r="F4423" i="7"/>
  <c r="K4423" i="7"/>
  <c r="P4423" i="7" s="1"/>
  <c r="U4423" i="7" s="1"/>
  <c r="U4424" i="7" s="1"/>
  <c r="E319" i="12"/>
  <c r="G319" i="12" s="1"/>
  <c r="E320" i="2"/>
  <c r="F320" i="2" s="1"/>
  <c r="K309" i="13"/>
  <c r="E88" i="2"/>
  <c r="F88" i="2" s="1"/>
  <c r="K77" i="13"/>
  <c r="E87" i="12"/>
  <c r="G87" i="12" s="1"/>
  <c r="E224" i="2"/>
  <c r="F224" i="2" s="1"/>
  <c r="K213" i="13"/>
  <c r="E223" i="12"/>
  <c r="G223" i="12" s="1"/>
  <c r="E254" i="12"/>
  <c r="G254" i="12" s="1"/>
  <c r="E255" i="2"/>
  <c r="F255" i="2" s="1"/>
  <c r="K244" i="13"/>
  <c r="E285" i="2"/>
  <c r="F285" i="2" s="1"/>
  <c r="K274" i="13"/>
  <c r="E284" i="12"/>
  <c r="G284" i="12" s="1"/>
  <c r="K313" i="13"/>
  <c r="E323" i="12"/>
  <c r="G323" i="12" s="1"/>
  <c r="E324" i="2"/>
  <c r="F324" i="2" s="1"/>
  <c r="K281" i="13"/>
  <c r="E292" i="2"/>
  <c r="F292" i="2" s="1"/>
  <c r="E291" i="12"/>
  <c r="G291" i="12" s="1"/>
  <c r="P875" i="7"/>
  <c r="U875" i="7" s="1"/>
  <c r="U876" i="7" s="1"/>
  <c r="L77" i="6" s="1"/>
  <c r="M77" i="6" s="1"/>
  <c r="E277" i="2"/>
  <c r="F277" i="2" s="1"/>
  <c r="E276" i="12"/>
  <c r="G276" i="12" s="1"/>
  <c r="K266" i="13"/>
  <c r="E240" i="12"/>
  <c r="G240" i="12" s="1"/>
  <c r="K230" i="13"/>
  <c r="E241" i="2"/>
  <c r="F241" i="2" s="1"/>
  <c r="K314" i="13"/>
  <c r="E325" i="2"/>
  <c r="F325" i="2" s="1"/>
  <c r="E324" i="12"/>
  <c r="G324" i="12" s="1"/>
  <c r="K232" i="13"/>
  <c r="E243" i="2"/>
  <c r="F243" i="2" s="1"/>
  <c r="E242" i="12"/>
  <c r="G242" i="12" s="1"/>
  <c r="J1400" i="7"/>
  <c r="K1400" i="7" s="1"/>
  <c r="K1405" i="7" s="1"/>
  <c r="P3313" i="7"/>
  <c r="U3313" i="7" s="1"/>
  <c r="U3314" i="7" s="1"/>
  <c r="L240" i="6" s="1"/>
  <c r="M240" i="6" s="1"/>
  <c r="E255" i="12"/>
  <c r="G255" i="12" s="1"/>
  <c r="K245" i="13"/>
  <c r="E256" i="2"/>
  <c r="F256" i="2" s="1"/>
  <c r="E95" i="2"/>
  <c r="F95" i="2" s="1"/>
  <c r="E94" i="12"/>
  <c r="G94" i="12" s="1"/>
  <c r="K84" i="13"/>
  <c r="E160" i="12"/>
  <c r="G160" i="12" s="1"/>
  <c r="K150" i="13"/>
  <c r="E161" i="2"/>
  <c r="F161" i="2" s="1"/>
  <c r="E143" i="12"/>
  <c r="G143" i="12" s="1"/>
  <c r="K133" i="13"/>
  <c r="E144" i="2"/>
  <c r="F144" i="2" s="1"/>
  <c r="K243" i="13"/>
  <c r="E254" i="2"/>
  <c r="F254" i="2" s="1"/>
  <c r="E253" i="12"/>
  <c r="G253" i="12" s="1"/>
  <c r="E81" i="12"/>
  <c r="G81" i="12" s="1"/>
  <c r="K71" i="13"/>
  <c r="E82" i="2"/>
  <c r="F82" i="2" s="1"/>
  <c r="E211" i="2"/>
  <c r="F211" i="2" s="1"/>
  <c r="E210" i="12"/>
  <c r="G210" i="12" s="1"/>
  <c r="K200" i="13"/>
  <c r="K4021" i="7"/>
  <c r="P4021" i="7" s="1"/>
  <c r="U4021" i="7" s="1"/>
  <c r="U4022" i="7" s="1"/>
  <c r="L295" i="6" s="1"/>
  <c r="F4021" i="7"/>
  <c r="E145" i="2"/>
  <c r="F145" i="2" s="1"/>
  <c r="K134" i="13"/>
  <c r="E144" i="12"/>
  <c r="G144" i="12" s="1"/>
  <c r="E20" i="12"/>
  <c r="G20" i="12" s="1"/>
  <c r="K10" i="13"/>
  <c r="E21" i="2"/>
  <c r="F21" i="2" s="1"/>
  <c r="E86" i="2"/>
  <c r="F86" i="2" s="1"/>
  <c r="K75" i="13"/>
  <c r="E85" i="12"/>
  <c r="G85" i="12" s="1"/>
  <c r="K60" i="13"/>
  <c r="E70" i="12"/>
  <c r="G70" i="12" s="1"/>
  <c r="E71" i="2"/>
  <c r="F71" i="2" s="1"/>
  <c r="K312" i="13"/>
  <c r="E322" i="12"/>
  <c r="G322" i="12" s="1"/>
  <c r="E323" i="2"/>
  <c r="F323" i="2" s="1"/>
  <c r="K263" i="13"/>
  <c r="E273" i="12"/>
  <c r="G273" i="12" s="1"/>
  <c r="E274" i="2"/>
  <c r="F274" i="2" s="1"/>
  <c r="E285" i="12"/>
  <c r="G285" i="12" s="1"/>
  <c r="E286" i="2"/>
  <c r="F286" i="2" s="1"/>
  <c r="K275" i="13"/>
  <c r="P957" i="7"/>
  <c r="U957" i="7" s="1"/>
  <c r="U958" i="7" s="1"/>
  <c r="L83" i="6" s="1"/>
  <c r="M83" i="6" s="1"/>
  <c r="E198" i="12"/>
  <c r="G198" i="12" s="1"/>
  <c r="K188" i="13"/>
  <c r="E199" i="2"/>
  <c r="F199" i="2" s="1"/>
  <c r="E249" i="2"/>
  <c r="F249" i="2" s="1"/>
  <c r="K238" i="13"/>
  <c r="E248" i="12"/>
  <c r="G248" i="12" s="1"/>
  <c r="E246" i="12"/>
  <c r="G246" i="12" s="1"/>
  <c r="K236" i="13"/>
  <c r="E247" i="2"/>
  <c r="F247" i="2" s="1"/>
  <c r="E154" i="2"/>
  <c r="F154" i="2" s="1"/>
  <c r="K143" i="13"/>
  <c r="E153" i="12"/>
  <c r="G153" i="12" s="1"/>
  <c r="K285" i="13"/>
  <c r="E295" i="12"/>
  <c r="G295" i="12" s="1"/>
  <c r="E296" i="2"/>
  <c r="F296" i="2" s="1"/>
  <c r="K67" i="13"/>
  <c r="E78" i="2"/>
  <c r="F78" i="2" s="1"/>
  <c r="E77" i="12"/>
  <c r="G77" i="12" s="1"/>
  <c r="E63" i="2"/>
  <c r="F63" i="2" s="1"/>
  <c r="E62" i="12"/>
  <c r="G62" i="12" s="1"/>
  <c r="K52" i="13"/>
  <c r="E215" i="12"/>
  <c r="G215" i="12" s="1"/>
  <c r="K205" i="13"/>
  <c r="E216" i="2"/>
  <c r="F216" i="2" s="1"/>
  <c r="K231" i="13"/>
  <c r="E242" i="2"/>
  <c r="F242" i="2" s="1"/>
  <c r="E241" i="12"/>
  <c r="G241" i="12" s="1"/>
  <c r="E288" i="2"/>
  <c r="F288" i="2" s="1"/>
  <c r="K277" i="13"/>
  <c r="E287" i="12"/>
  <c r="G287" i="12" s="1"/>
  <c r="K289" i="13"/>
  <c r="E299" i="12"/>
  <c r="G299" i="12" s="1"/>
  <c r="E300" i="2"/>
  <c r="F300" i="2" s="1"/>
  <c r="E218" i="2"/>
  <c r="F218" i="2" s="1"/>
  <c r="E217" i="12"/>
  <c r="G217" i="12" s="1"/>
  <c r="K207" i="13"/>
  <c r="K229" i="13"/>
  <c r="E239" i="12"/>
  <c r="G239" i="12" s="1"/>
  <c r="E240" i="2"/>
  <c r="F240" i="2" s="1"/>
  <c r="E219" i="12"/>
  <c r="G219" i="12" s="1"/>
  <c r="K209" i="13"/>
  <c r="E220" i="2"/>
  <c r="F220" i="2" s="1"/>
  <c r="E23" i="2"/>
  <c r="F23" i="2" s="1"/>
  <c r="E22" i="12"/>
  <c r="G22" i="12" s="1"/>
  <c r="K12" i="13"/>
  <c r="E56" i="2"/>
  <c r="F56" i="2" s="1"/>
  <c r="E55" i="12"/>
  <c r="G55" i="12" s="1"/>
  <c r="K45" i="13"/>
  <c r="K234" i="13"/>
  <c r="E245" i="2"/>
  <c r="F245" i="2" s="1"/>
  <c r="E244" i="12"/>
  <c r="G244" i="12" s="1"/>
  <c r="E104" i="18"/>
  <c r="F92" i="18"/>
  <c r="F96" i="18" s="1"/>
  <c r="I97" i="18" s="1"/>
  <c r="I98" i="18" s="1"/>
  <c r="I99" i="18" s="1"/>
  <c r="O99" i="18" s="1"/>
  <c r="K95" i="13"/>
  <c r="E106" i="2"/>
  <c r="F106" i="2" s="1"/>
  <c r="E105" i="12"/>
  <c r="G105" i="12" s="1"/>
  <c r="F765" i="7"/>
  <c r="K765" i="7"/>
  <c r="F1392" i="7"/>
  <c r="K1392" i="7"/>
  <c r="K369" i="7"/>
  <c r="F369" i="7"/>
  <c r="F1493" i="7"/>
  <c r="K1493" i="7"/>
  <c r="F1376" i="7"/>
  <c r="K1376" i="7"/>
  <c r="K3051" i="7" l="1"/>
  <c r="P3051" i="7" s="1"/>
  <c r="U3051" i="7" s="1"/>
  <c r="U3052" i="7" s="1"/>
  <c r="L218" i="6" s="1"/>
  <c r="M218" i="6" s="1"/>
  <c r="K158" i="13"/>
  <c r="E168" i="12"/>
  <c r="G168" i="12" s="1"/>
  <c r="E169" i="2"/>
  <c r="F169" i="2" s="1"/>
  <c r="E99" i="2"/>
  <c r="F99" i="2" s="1"/>
  <c r="E294" i="2"/>
  <c r="F294" i="2" s="1"/>
  <c r="E229" i="2"/>
  <c r="F229" i="2" s="1"/>
  <c r="F2918" i="7"/>
  <c r="F2899" i="7"/>
  <c r="K283" i="13"/>
  <c r="F2956" i="7"/>
  <c r="K218" i="13"/>
  <c r="E228" i="12"/>
  <c r="G228" i="12" s="1"/>
  <c r="K69" i="13"/>
  <c r="E79" i="12"/>
  <c r="G79" i="12" s="1"/>
  <c r="K4436" i="7"/>
  <c r="K4437" i="7" s="1"/>
  <c r="P4437" i="7" s="1"/>
  <c r="U4437" i="7" s="1"/>
  <c r="U4438" i="7" s="1"/>
  <c r="E65" i="12"/>
  <c r="G65" i="12" s="1"/>
  <c r="K276" i="13"/>
  <c r="E322" i="2"/>
  <c r="F322" i="2" s="1"/>
  <c r="M80" i="6"/>
  <c r="E66" i="2"/>
  <c r="F66" i="2" s="1"/>
  <c r="K2937" i="7"/>
  <c r="P2937" i="7" s="1"/>
  <c r="U2937" i="7" s="1"/>
  <c r="U2938" i="7" s="1"/>
  <c r="L212" i="6" s="1"/>
  <c r="M212" i="6" s="1"/>
  <c r="K55" i="13"/>
  <c r="E66" i="12"/>
  <c r="G66" i="12" s="1"/>
  <c r="E303" i="2"/>
  <c r="F303" i="2" s="1"/>
  <c r="E64" i="12"/>
  <c r="G64" i="12" s="1"/>
  <c r="E287" i="2"/>
  <c r="F287" i="2" s="1"/>
  <c r="K310" i="13"/>
  <c r="E286" i="12"/>
  <c r="G286" i="12" s="1"/>
  <c r="E93" i="2"/>
  <c r="F93" i="2" s="1"/>
  <c r="E281" i="12"/>
  <c r="G281" i="12" s="1"/>
  <c r="E167" i="12"/>
  <c r="G167" i="12" s="1"/>
  <c r="K54" i="13"/>
  <c r="E278" i="2"/>
  <c r="F278" i="2" s="1"/>
  <c r="K271" i="13"/>
  <c r="E282" i="2"/>
  <c r="F282" i="2" s="1"/>
  <c r="K157" i="13"/>
  <c r="E168" i="2"/>
  <c r="F168" i="2" s="1"/>
  <c r="E289" i="12"/>
  <c r="G289" i="12" s="1"/>
  <c r="E65" i="2"/>
  <c r="F65" i="2" s="1"/>
  <c r="K267" i="13"/>
  <c r="E277" i="12"/>
  <c r="G277" i="12" s="1"/>
  <c r="E275" i="12"/>
  <c r="G275" i="12" s="1"/>
  <c r="K88" i="13"/>
  <c r="K311" i="13"/>
  <c r="E67" i="2"/>
  <c r="F67" i="2" s="1"/>
  <c r="K292" i="13"/>
  <c r="E302" i="12"/>
  <c r="G302" i="12" s="1"/>
  <c r="E272" i="12"/>
  <c r="G272" i="12" s="1"/>
  <c r="K265" i="13"/>
  <c r="E98" i="12"/>
  <c r="G98" i="12" s="1"/>
  <c r="E321" i="12"/>
  <c r="G321" i="12" s="1"/>
  <c r="K56" i="13"/>
  <c r="E83" i="12"/>
  <c r="G83" i="12" s="1"/>
  <c r="K262" i="13"/>
  <c r="E273" i="2"/>
  <c r="F273" i="2" s="1"/>
  <c r="K222" i="13"/>
  <c r="K279" i="13"/>
  <c r="E290" i="2"/>
  <c r="F290" i="2" s="1"/>
  <c r="E92" i="12"/>
  <c r="G92" i="12" s="1"/>
  <c r="E174" i="12"/>
  <c r="G174" i="12" s="1"/>
  <c r="E276" i="2"/>
  <c r="F276" i="2" s="1"/>
  <c r="K2975" i="7"/>
  <c r="P2975" i="7" s="1"/>
  <c r="U2975" i="7" s="1"/>
  <c r="U2976" i="7" s="1"/>
  <c r="L214" i="6" s="1"/>
  <c r="M214" i="6" s="1"/>
  <c r="K164" i="13"/>
  <c r="E292" i="12"/>
  <c r="G292" i="12" s="1"/>
  <c r="K270" i="13"/>
  <c r="E175" i="2"/>
  <c r="F175" i="2" s="1"/>
  <c r="K73" i="13"/>
  <c r="E84" i="2"/>
  <c r="F84" i="2" s="1"/>
  <c r="E320" i="12"/>
  <c r="G320" i="12" s="1"/>
  <c r="E321" i="2"/>
  <c r="F321" i="2" s="1"/>
  <c r="M268" i="6"/>
  <c r="E232" i="12"/>
  <c r="G232" i="12" s="1"/>
  <c r="E233" i="2"/>
  <c r="F233" i="2" s="1"/>
  <c r="K82" i="13"/>
  <c r="E283" i="2"/>
  <c r="F283" i="2" s="1"/>
  <c r="K278" i="13"/>
  <c r="E280" i="12"/>
  <c r="G280" i="12" s="1"/>
  <c r="M258" i="6"/>
  <c r="K259" i="13"/>
  <c r="E269" i="12"/>
  <c r="G269" i="12" s="1"/>
  <c r="E270" i="2"/>
  <c r="F270" i="2" s="1"/>
  <c r="M256" i="6"/>
  <c r="E268" i="2"/>
  <c r="F268" i="2" s="1"/>
  <c r="E267" i="12"/>
  <c r="G267" i="12" s="1"/>
  <c r="K257" i="13"/>
  <c r="M257" i="6"/>
  <c r="E268" i="12"/>
  <c r="G268" i="12" s="1"/>
  <c r="K258" i="13"/>
  <c r="E269" i="2"/>
  <c r="F269" i="2" s="1"/>
  <c r="K4031" i="7"/>
  <c r="F4032" i="7" s="1"/>
  <c r="E227" i="12"/>
  <c r="G227" i="12" s="1"/>
  <c r="K908" i="7"/>
  <c r="P908" i="7" s="1"/>
  <c r="U908" i="7" s="1"/>
  <c r="U909" i="7" s="1"/>
  <c r="E278" i="12"/>
  <c r="G278" i="12" s="1"/>
  <c r="E90" i="12"/>
  <c r="G90" i="12" s="1"/>
  <c r="E289" i="2"/>
  <c r="F289" i="2" s="1"/>
  <c r="K223" i="13"/>
  <c r="E300" i="12"/>
  <c r="G300" i="12" s="1"/>
  <c r="E234" i="2"/>
  <c r="F234" i="2" s="1"/>
  <c r="E301" i="2"/>
  <c r="F301" i="2" s="1"/>
  <c r="K290" i="13"/>
  <c r="K268" i="13"/>
  <c r="K692" i="7"/>
  <c r="P692" i="7" s="1"/>
  <c r="U692" i="7" s="1"/>
  <c r="U693" i="7" s="1"/>
  <c r="L64" i="6" s="1"/>
  <c r="M64" i="6" s="1"/>
  <c r="E279" i="2"/>
  <c r="F279" i="2" s="1"/>
  <c r="F692" i="7"/>
  <c r="E235" i="2"/>
  <c r="F235" i="2" s="1"/>
  <c r="M216" i="6"/>
  <c r="M279" i="6"/>
  <c r="K224" i="13"/>
  <c r="E234" i="12"/>
  <c r="G234" i="12" s="1"/>
  <c r="E288" i="12"/>
  <c r="G288" i="12" s="1"/>
  <c r="E293" i="2"/>
  <c r="F293" i="2" s="1"/>
  <c r="K217" i="13"/>
  <c r="E228" i="2"/>
  <c r="F228" i="2" s="1"/>
  <c r="E196" i="2"/>
  <c r="F196" i="2" s="1"/>
  <c r="K2860" i="7"/>
  <c r="K2861" i="7" s="1"/>
  <c r="E195" i="12"/>
  <c r="G195" i="12" s="1"/>
  <c r="K185" i="13"/>
  <c r="K272" i="13"/>
  <c r="E282" i="12"/>
  <c r="G282" i="12" s="1"/>
  <c r="E73" i="2"/>
  <c r="F73" i="2" s="1"/>
  <c r="K2880" i="7"/>
  <c r="P2880" i="7" s="1"/>
  <c r="U2880" i="7" s="1"/>
  <c r="U2881" i="7" s="1"/>
  <c r="L209" i="6" s="1"/>
  <c r="E227" i="2" s="1"/>
  <c r="F227" i="2" s="1"/>
  <c r="P3476" i="7"/>
  <c r="U3476" i="7" s="1"/>
  <c r="E72" i="12"/>
  <c r="G72" i="12" s="1"/>
  <c r="K62" i="13"/>
  <c r="K74" i="13"/>
  <c r="E85" i="2"/>
  <c r="F85" i="2" s="1"/>
  <c r="E84" i="12"/>
  <c r="G84" i="12" s="1"/>
  <c r="K170" i="13"/>
  <c r="M163" i="6"/>
  <c r="E185" i="12"/>
  <c r="G185" i="12" s="1"/>
  <c r="M168" i="6"/>
  <c r="E180" i="2"/>
  <c r="F180" i="2" s="1"/>
  <c r="M162" i="6"/>
  <c r="K184" i="13"/>
  <c r="M177" i="6"/>
  <c r="K182" i="13"/>
  <c r="M175" i="6"/>
  <c r="E91" i="2"/>
  <c r="F91" i="2" s="1"/>
  <c r="E230" i="2"/>
  <c r="F230" i="2" s="1"/>
  <c r="K220" i="13"/>
  <c r="M213" i="6"/>
  <c r="E309" i="2"/>
  <c r="F309" i="2" s="1"/>
  <c r="M295" i="6"/>
  <c r="K80" i="13"/>
  <c r="K179" i="13"/>
  <c r="M172" i="6"/>
  <c r="E90" i="2"/>
  <c r="F90" i="2" s="1"/>
  <c r="M90" i="6"/>
  <c r="E92" i="2"/>
  <c r="F92" i="2" s="1"/>
  <c r="M92" i="6"/>
  <c r="E231" i="2"/>
  <c r="F231" i="2" s="1"/>
  <c r="E179" i="12"/>
  <c r="G179" i="12" s="1"/>
  <c r="L238" i="6"/>
  <c r="U3301" i="7"/>
  <c r="E194" i="12"/>
  <c r="G194" i="12" s="1"/>
  <c r="K169" i="13"/>
  <c r="E230" i="12"/>
  <c r="G230" i="12" s="1"/>
  <c r="E195" i="2"/>
  <c r="F195" i="2" s="1"/>
  <c r="E91" i="12"/>
  <c r="G91" i="12" s="1"/>
  <c r="K79" i="13"/>
  <c r="E89" i="12"/>
  <c r="G89" i="12" s="1"/>
  <c r="E190" i="2"/>
  <c r="F190" i="2" s="1"/>
  <c r="K81" i="13"/>
  <c r="E181" i="2"/>
  <c r="F181" i="2" s="1"/>
  <c r="E193" i="2"/>
  <c r="F193" i="2" s="1"/>
  <c r="E308" i="12"/>
  <c r="G308" i="12" s="1"/>
  <c r="E180" i="12"/>
  <c r="G180" i="12" s="1"/>
  <c r="E189" i="12"/>
  <c r="G189" i="12" s="1"/>
  <c r="F1406" i="7"/>
  <c r="K1406" i="7"/>
  <c r="P1406" i="7" s="1"/>
  <c r="U1406" i="7" s="1"/>
  <c r="U1407" i="7" s="1"/>
  <c r="L113" i="6" s="1"/>
  <c r="M113" i="6" s="1"/>
  <c r="K298" i="13"/>
  <c r="K191" i="7"/>
  <c r="P191" i="7" s="1"/>
  <c r="U191" i="7" s="1"/>
  <c r="U192" i="7" s="1"/>
  <c r="L22" i="6" s="1"/>
  <c r="M22" i="6" s="1"/>
  <c r="F191" i="7"/>
  <c r="J212" i="7"/>
  <c r="K212" i="7" s="1"/>
  <c r="K216" i="7" s="1"/>
  <c r="K199" i="7"/>
  <c r="K203" i="7" s="1"/>
  <c r="E186" i="2"/>
  <c r="F186" i="2" s="1"/>
  <c r="K175" i="13"/>
  <c r="E83" i="2"/>
  <c r="F83" i="2" s="1"/>
  <c r="E82" i="12"/>
  <c r="G82" i="12" s="1"/>
  <c r="K72" i="13"/>
  <c r="E271" i="12"/>
  <c r="G271" i="12" s="1"/>
  <c r="K261" i="13"/>
  <c r="E272" i="2"/>
  <c r="F272" i="2" s="1"/>
  <c r="E186" i="12"/>
  <c r="G186" i="12" s="1"/>
  <c r="E187" i="2"/>
  <c r="F187" i="2" s="1"/>
  <c r="K176" i="13"/>
  <c r="E76" i="12"/>
  <c r="G76" i="12" s="1"/>
  <c r="K66" i="13"/>
  <c r="E77" i="2"/>
  <c r="F77" i="2" s="1"/>
  <c r="P2307" i="7"/>
  <c r="U2307" i="7" s="1"/>
  <c r="U2308" i="7" s="1"/>
  <c r="L171" i="6" s="1"/>
  <c r="M171" i="6" s="1"/>
  <c r="E192" i="2"/>
  <c r="F192" i="2" s="1"/>
  <c r="K181" i="13"/>
  <c r="E191" i="12"/>
  <c r="G191" i="12" s="1"/>
  <c r="K241" i="13"/>
  <c r="E252" i="2"/>
  <c r="F252" i="2" s="1"/>
  <c r="E251" i="12"/>
  <c r="G251" i="12" s="1"/>
  <c r="E224" i="12"/>
  <c r="G224" i="12" s="1"/>
  <c r="E225" i="2"/>
  <c r="F225" i="2" s="1"/>
  <c r="K214" i="13"/>
  <c r="E236" i="2"/>
  <c r="F236" i="2" s="1"/>
  <c r="E235" i="12"/>
  <c r="G235" i="12" s="1"/>
  <c r="K225" i="13"/>
  <c r="K172" i="13"/>
  <c r="E183" i="2"/>
  <c r="F183" i="2" s="1"/>
  <c r="E182" i="12"/>
  <c r="G182" i="12" s="1"/>
  <c r="E295" i="2"/>
  <c r="F295" i="2" s="1"/>
  <c r="K284" i="13"/>
  <c r="E294" i="12"/>
  <c r="G294" i="12" s="1"/>
  <c r="E184" i="2"/>
  <c r="F184" i="2" s="1"/>
  <c r="E183" i="12"/>
  <c r="G183" i="12" s="1"/>
  <c r="K173" i="13"/>
  <c r="K211" i="13"/>
  <c r="E221" i="12"/>
  <c r="G221" i="12" s="1"/>
  <c r="E222" i="2"/>
  <c r="F222" i="2" s="1"/>
  <c r="E192" i="12"/>
  <c r="G192" i="12" s="1"/>
  <c r="F104" i="18"/>
  <c r="F107" i="18" s="1"/>
  <c r="I108" i="18" s="1"/>
  <c r="I109" i="18" s="1"/>
  <c r="I110" i="18" s="1"/>
  <c r="O110" i="18" s="1"/>
  <c r="E115" i="18"/>
  <c r="F115" i="18" s="1"/>
  <c r="F117" i="18" s="1"/>
  <c r="I118" i="18" s="1"/>
  <c r="I119" i="18" s="1"/>
  <c r="I120" i="18" s="1"/>
  <c r="O120" i="18" s="1"/>
  <c r="P1493" i="7"/>
  <c r="U1493" i="7" s="1"/>
  <c r="U1494" i="7" s="1"/>
  <c r="P1392" i="7"/>
  <c r="U1392" i="7" s="1"/>
  <c r="U1393" i="7" s="1"/>
  <c r="L112" i="6" s="1"/>
  <c r="M112" i="6" s="1"/>
  <c r="P369" i="7"/>
  <c r="U369" i="7" s="1"/>
  <c r="U370" i="7" s="1"/>
  <c r="L36" i="6" s="1"/>
  <c r="M36" i="6" s="1"/>
  <c r="P1376" i="7"/>
  <c r="U1376" i="7" s="1"/>
  <c r="U1377" i="7" s="1"/>
  <c r="L111" i="6" s="1"/>
  <c r="M111" i="6" s="1"/>
  <c r="P765" i="7"/>
  <c r="U765" i="7" s="1"/>
  <c r="U766" i="7" s="1"/>
  <c r="L69" i="6" s="1"/>
  <c r="M69" i="6" s="1"/>
  <c r="E232" i="2" l="1"/>
  <c r="F232" i="2" s="1"/>
  <c r="E229" i="12"/>
  <c r="G229" i="12" s="1"/>
  <c r="F4437" i="7"/>
  <c r="K219" i="13"/>
  <c r="K53" i="13"/>
  <c r="K4032" i="7"/>
  <c r="P4032" i="7" s="1"/>
  <c r="U4032" i="7" s="1"/>
  <c r="U4033" i="7" s="1"/>
  <c r="L296" i="6" s="1"/>
  <c r="M296" i="6" s="1"/>
  <c r="L79" i="6"/>
  <c r="M79" i="6" s="1"/>
  <c r="K221" i="13"/>
  <c r="E231" i="12"/>
  <c r="G231" i="12" s="1"/>
  <c r="F2861" i="7"/>
  <c r="E64" i="2"/>
  <c r="F64" i="2" s="1"/>
  <c r="E63" i="12"/>
  <c r="G63" i="12" s="1"/>
  <c r="E226" i="12"/>
  <c r="G226" i="12" s="1"/>
  <c r="M209" i="6"/>
  <c r="K216" i="13"/>
  <c r="U3477" i="7"/>
  <c r="L255" i="6" s="1"/>
  <c r="K239" i="13"/>
  <c r="M238" i="6"/>
  <c r="E249" i="12"/>
  <c r="G249" i="12" s="1"/>
  <c r="E250" i="2"/>
  <c r="F250" i="2" s="1"/>
  <c r="K204" i="7"/>
  <c r="P204" i="7" s="1"/>
  <c r="U204" i="7" s="1"/>
  <c r="U205" i="7" s="1"/>
  <c r="L23" i="6" s="1"/>
  <c r="M23" i="6" s="1"/>
  <c r="F204" i="7"/>
  <c r="K217" i="7"/>
  <c r="P217" i="7" s="1"/>
  <c r="U217" i="7" s="1"/>
  <c r="U218" i="7" s="1"/>
  <c r="L24" i="6" s="1"/>
  <c r="M24" i="6" s="1"/>
  <c r="F217" i="7"/>
  <c r="E28" i="12"/>
  <c r="G28" i="12" s="1"/>
  <c r="K18" i="13"/>
  <c r="E29" i="2"/>
  <c r="F29" i="2" s="1"/>
  <c r="P2861" i="7"/>
  <c r="U2861" i="7" s="1"/>
  <c r="U2862" i="7" s="1"/>
  <c r="L208" i="6" s="1"/>
  <c r="M208" i="6" s="1"/>
  <c r="E189" i="2"/>
  <c r="F189" i="2" s="1"/>
  <c r="K178" i="13"/>
  <c r="E188" i="12"/>
  <c r="G188" i="12" s="1"/>
  <c r="K33" i="13"/>
  <c r="E43" i="12"/>
  <c r="G43" i="12" s="1"/>
  <c r="E44" i="2"/>
  <c r="F44" i="2" s="1"/>
  <c r="K105" i="13"/>
  <c r="E115" i="12"/>
  <c r="G115" i="12" s="1"/>
  <c r="E116" i="2"/>
  <c r="F116" i="2" s="1"/>
  <c r="K58" i="13"/>
  <c r="E68" i="12"/>
  <c r="G68" i="12" s="1"/>
  <c r="E69" i="2"/>
  <c r="F69" i="2" s="1"/>
  <c r="K107" i="13"/>
  <c r="E117" i="12"/>
  <c r="G117" i="12" s="1"/>
  <c r="E118" i="2"/>
  <c r="F118" i="2" s="1"/>
  <c r="K106" i="13"/>
  <c r="E116" i="12"/>
  <c r="G116" i="12" s="1"/>
  <c r="E117" i="2"/>
  <c r="F117" i="2" s="1"/>
  <c r="P3940" i="7"/>
  <c r="U3940" i="7" s="1"/>
  <c r="U3941" i="7" s="1"/>
  <c r="L289" i="6" s="1"/>
  <c r="M289" i="6" s="1"/>
  <c r="E309" i="12" l="1"/>
  <c r="G309" i="12" s="1"/>
  <c r="E310" i="2"/>
  <c r="F310" i="2" s="1"/>
  <c r="E79" i="2"/>
  <c r="F79" i="2" s="1"/>
  <c r="K68" i="13"/>
  <c r="E78" i="12"/>
  <c r="G78" i="12" s="1"/>
  <c r="K299" i="13"/>
  <c r="M255" i="6"/>
  <c r="K256" i="13"/>
  <c r="E267" i="2"/>
  <c r="F267" i="2" s="1"/>
  <c r="E266" i="12"/>
  <c r="G266" i="12" s="1"/>
  <c r="K19" i="13"/>
  <c r="E29" i="12"/>
  <c r="G29" i="12" s="1"/>
  <c r="E30" i="2"/>
  <c r="F30" i="2" s="1"/>
  <c r="K20" i="13"/>
  <c r="E30" i="12"/>
  <c r="G30" i="12" s="1"/>
  <c r="E31" i="2"/>
  <c r="F31" i="2" s="1"/>
  <c r="E225" i="12"/>
  <c r="G225" i="12" s="1"/>
  <c r="E226" i="2"/>
  <c r="F226" i="2" s="1"/>
  <c r="K215" i="13"/>
</calcChain>
</file>

<file path=xl/sharedStrings.xml><?xml version="1.0" encoding="utf-8"?>
<sst xmlns="http://schemas.openxmlformats.org/spreadsheetml/2006/main" count="24182" uniqueCount="2397">
  <si>
    <t>Government of Nepal</t>
  </si>
  <si>
    <t>Ministry of Physical Infrastructure &amp; Transport</t>
  </si>
  <si>
    <t>Department of Roads</t>
  </si>
  <si>
    <t>[Branch/Directorate/FHSMO]</t>
  </si>
  <si>
    <t>[Division/Project Office]</t>
  </si>
  <si>
    <t>Contract Identification No :</t>
  </si>
  <si>
    <t>BH No :</t>
  </si>
  <si>
    <t>Nature of the work :</t>
  </si>
  <si>
    <t>Name of Road :</t>
  </si>
  <si>
    <t>For Collection:
          Collection rate of 'Aggregate 13.2 mm' is taken as default for all types of AGGREGATE
          Collection rate of 'Collection, quarrying  and sieving sand  in local river' is taken as default for all types of SAND
          Collection rate of 'Gravel 5 mm - 70 mm' is taken as default for all types of GRAVEL</t>
  </si>
  <si>
    <t>For Loading and Unloading:
          Manual Loading is taken as default for AGGREGATES, SANDS, RUBBLES and WOODS</t>
  </si>
  <si>
    <t>Rate Analysis</t>
  </si>
  <si>
    <t>Description of Work:</t>
  </si>
  <si>
    <t>Spec. cl. No: 2014</t>
  </si>
  <si>
    <t>Providing and laying , fitting and placing HYSD bar reinforcement in super-structure complete as per drawing and technical specifications</t>
  </si>
  <si>
    <t>1 tonne</t>
  </si>
  <si>
    <t>Norms No.</t>
  </si>
  <si>
    <t>20.9</t>
  </si>
  <si>
    <t>Labour (A)</t>
  </si>
  <si>
    <t>Type</t>
  </si>
  <si>
    <t>Unit</t>
  </si>
  <si>
    <t>Quantity</t>
  </si>
  <si>
    <t>Rate</t>
  </si>
  <si>
    <t>Amount</t>
  </si>
  <si>
    <t>Material (B)</t>
  </si>
  <si>
    <t>Equipment (C)</t>
  </si>
  <si>
    <t>Formworks (D)</t>
  </si>
  <si>
    <t>Skilled (Blacksmith)</t>
  </si>
  <si>
    <t>day</t>
  </si>
  <si>
    <t>Unskilled</t>
  </si>
  <si>
    <t>Sub total of A =</t>
  </si>
  <si>
    <t>Sub total of B =</t>
  </si>
  <si>
    <t>Sub total of C =</t>
  </si>
  <si>
    <t>Sub total of A +B + C =</t>
  </si>
  <si>
    <t>HYSD Bar</t>
  </si>
  <si>
    <t>tonne</t>
  </si>
  <si>
    <t>Binding Wire</t>
  </si>
  <si>
    <t>Kg</t>
  </si>
  <si>
    <t>Sub total of D =</t>
  </si>
  <si>
    <t>Sub total of A + B + C + D=</t>
  </si>
  <si>
    <t>Contractor's overhead expenses 15% =</t>
  </si>
  <si>
    <t>Norms Rate =</t>
  </si>
  <si>
    <t>Unit Rate =</t>
  </si>
  <si>
    <t>Spec. cl. No: 110</t>
  </si>
  <si>
    <t>Providing and installation of project signboards with size of 1.8 x 1.2 m as per specification  and instruction of engineer.</t>
  </si>
  <si>
    <t>1 nos</t>
  </si>
  <si>
    <t>1.3</t>
  </si>
  <si>
    <t>Skilled</t>
  </si>
  <si>
    <t>Project signboards with size of 1.8 x 1.2 m having details of contract  in the format and wording as directed by the Engineer</t>
  </si>
  <si>
    <t>nos</t>
  </si>
  <si>
    <t xml:space="preserve">Spec. cl. No: </t>
  </si>
  <si>
    <t>Engineer's Facilities: Establishment and maintenance of office and site camp etc, and providing furniture and other facilities as directed by the Engineer.</t>
  </si>
  <si>
    <t xml:space="preserve"> PS</t>
  </si>
  <si>
    <t>Spec. cl. No: 201</t>
  </si>
  <si>
    <t>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t>
  </si>
  <si>
    <t>10000 sqm</t>
  </si>
  <si>
    <t>2.1.I.ii.A</t>
  </si>
  <si>
    <t>Dozer/Excavator</t>
  </si>
  <si>
    <t>hour</t>
  </si>
  <si>
    <t>Spec. cl. No: 202</t>
  </si>
  <si>
    <t>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Lime /Cement Concrete, By Mechanical Means, Cement Concrete Grade M-15 &amp; M-20</t>
  </si>
  <si>
    <t>10 cum</t>
  </si>
  <si>
    <t>2.4.i.II.A</t>
  </si>
  <si>
    <t>Air Compressor</t>
  </si>
  <si>
    <t>Drilling Machine With Bit and Accessories</t>
  </si>
  <si>
    <t>Tractor - Trolley</t>
  </si>
  <si>
    <t>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t>
  </si>
  <si>
    <t>2.4.ii.B</t>
  </si>
  <si>
    <t>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Stone Masonry, Rubble stone masonry in cement mortar.</t>
  </si>
  <si>
    <t>2.4.iii.B</t>
  </si>
  <si>
    <t>Spec. cl. No: 701</t>
  </si>
  <si>
    <t>Providing, jointing and laying HDPE pipes with or without collar etc. complete in place as per Drawing and Technical Specifications., a) 110 mm/125 mm outer dia.</t>
  </si>
  <si>
    <t>50 meter</t>
  </si>
  <si>
    <t>7.1.A</t>
  </si>
  <si>
    <t>HDPE pipe 110 mm dia.</t>
  </si>
  <si>
    <t>meter</t>
  </si>
  <si>
    <t>Generator</t>
  </si>
  <si>
    <t>Screw Jack</t>
  </si>
  <si>
    <t>Electric Heating Plate</t>
  </si>
  <si>
    <t>other T&amp;P</t>
  </si>
  <si>
    <t>Providing and Laying Reinforced cement concrete NP3 Flush jointed pipe for culverts including fixing with cement mortar 1:2 as per Drawing and Technical Specifications., 300 mm  internal dia.</t>
  </si>
  <si>
    <t>12.5 meter</t>
  </si>
  <si>
    <t>7.2.A</t>
  </si>
  <si>
    <t>Sand</t>
  </si>
  <si>
    <t>cum</t>
  </si>
  <si>
    <t>Cement</t>
  </si>
  <si>
    <t>NP3 RCC Pipe 300 mm dia</t>
  </si>
  <si>
    <t>Add 3 % of Labour cost for bellies, crow bars, chain pulley and other T&amp;P</t>
  </si>
  <si>
    <t>Providing and Laying Reinforced cement concrete NP3 Flush jointed pipe for culverts including fixing with cement mortar 1:2 as per Drawing and Technical Specifications., 450 mm  internal dia.</t>
  </si>
  <si>
    <t>7.2.B</t>
  </si>
  <si>
    <t>NP3 RCC Pipe 450 mm dia</t>
  </si>
  <si>
    <t>Providing and Laying Reinforced cement concrete NP3 Flush jointed pipe for culverts including fixing with cement mortar 1:2 as per Drawing and Technical Specifications., 600 mm  internal dia.</t>
  </si>
  <si>
    <t>7.2.C</t>
  </si>
  <si>
    <t>NP3 RCC Pipe 600 mm dia</t>
  </si>
  <si>
    <t>Providing and Laying Reinforced cement concrete NP3 Flush jointed pipe for culverts including fixing with cement mortar 1:2 as per Drawing and Technical Specifications., 900 mm  internal dia.</t>
  </si>
  <si>
    <t>7.2.D</t>
  </si>
  <si>
    <t>NP3 RCC Pipe 900 mm dia</t>
  </si>
  <si>
    <t>Providing and Laying Reinforced cement concrete NP3 Flush jointed pipe for culverts including fixing with cement mortar 1:2 as per Drawing and Technical Specifications., 1000 mm  internal dia.</t>
  </si>
  <si>
    <t>7.2.E</t>
  </si>
  <si>
    <t>NP3 RCC Pipe 1000 mm dia</t>
  </si>
  <si>
    <t>Providing and Laying Reinforced cement concrete NP3 Flush jointed pipe for culverts including fixing with cement mortar 1:2 as per Drawing and Technical Specifications., 1200 mm  internal dia.</t>
  </si>
  <si>
    <t>7.2.F</t>
  </si>
  <si>
    <t>NP3 RCC Pipe 1200 mm dia</t>
  </si>
  <si>
    <t>Providing and Laying Reinforced cement concrete NP3 Collar jointed pipe for culverts including fixing collar with cement mortar 1:2 as per Drawing and Technical Specifications., 300 mm internal dia.</t>
  </si>
  <si>
    <t>7.3.A</t>
  </si>
  <si>
    <t>NP3 RCC Collar 300 mm dia</t>
  </si>
  <si>
    <t>nos.</t>
  </si>
  <si>
    <t>Providing and Laying Reinforced cement concrete NP3 Collar jointed pipe for culverts including fixing collar with cement mortar 1:2 as per Drawing and Technical Specifications., 450 mm internal dia.</t>
  </si>
  <si>
    <t>7.3.B</t>
  </si>
  <si>
    <t>NP3 RCC Collar 450 mm dia</t>
  </si>
  <si>
    <t>Providing and Laying Reinforced cement concrete NP3 Collar jointed pipe for culverts including fixing collar with cement mortar 1:2 as per Drawing and Technical Specifications., 600 mm internal dia.</t>
  </si>
  <si>
    <t>7.3.C</t>
  </si>
  <si>
    <t>NP3 RCC Collar 600 mm dia</t>
  </si>
  <si>
    <t>Providing and Laying Reinforced cement concrete NP3 Collar jointed pipe for culverts including fixing collar with cement mortar 1:2 as per Drawing and Technical Specifications., 900 mm internal dia.</t>
  </si>
  <si>
    <t>7.3.D</t>
  </si>
  <si>
    <t>NP3 RCC Collar 900 mm dia</t>
  </si>
  <si>
    <t>Providing and Laying Reinforced cement concrete NP3 Collar jointed pipe for culverts including fixing collar with cement mortar 1:2 as per Drawing and Technical Specifications., 1000 mm internal dia.</t>
  </si>
  <si>
    <t>7.3.E</t>
  </si>
  <si>
    <t>NP3 RCC Collar 1000 mm dia</t>
  </si>
  <si>
    <t>Providing and Laying Reinforced cement concrete NP3 Collar jointed pipe for culverts including fixing collar with cement mortar 1:2 as per Drawing and Technical Specifications., 1200 mm internal dia.</t>
  </si>
  <si>
    <t>7.3.F</t>
  </si>
  <si>
    <t>NP3 RCC Collar 1200 mm dia</t>
  </si>
  <si>
    <t>Spec. cl. No: 905</t>
  </si>
  <si>
    <t>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t>
  </si>
  <si>
    <t>12 cum</t>
  </si>
  <si>
    <t>9.1.I.A</t>
  </si>
  <si>
    <t>Doko , Thunse etc.</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</si>
  <si>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</si>
  <si>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360 cum</t>
  </si>
  <si>
    <t>9.1.I.B</t>
  </si>
  <si>
    <t>Hydraulic Excavator</t>
  </si>
  <si>
    <t>Earthwork Excavation in Cutting., Roadway Excavation in ordinary rock  by Manual Means ., Roadway Excavation  in ordinary rock as per Drawing and Technical specification, including all lift and lead  as per Drawing and instruction of the Engineer.</t>
  </si>
  <si>
    <t>60 cum</t>
  </si>
  <si>
    <t>9.1.II.A</t>
  </si>
  <si>
    <t>Doko , Thunse etc.t</t>
  </si>
  <si>
    <t>Earthwork Excavation in Cutting., Roadway Excavation in ordinary rock by Mechanical  Means ., Roadway Excavation  in ordinary rock as per Drawing and Technical specification, including  all lift and lead  as per Drawing and instruction of the Engineer.</t>
  </si>
  <si>
    <t>120 cum</t>
  </si>
  <si>
    <t>9.1.II.B</t>
  </si>
  <si>
    <t>Earthwork Excavation in Cutting., Roadway Excavation in Hard Rock, mechanical Drilling, Roadway Excavation in hard rock with mechanical  drilling, including  blasting and breaking, and disposal of cut road within all lifts and leads  as per Drawing and instruction of the Engineer.</t>
  </si>
  <si>
    <t>90 cum</t>
  </si>
  <si>
    <t>9.1.III.A</t>
  </si>
  <si>
    <t>Driller</t>
  </si>
  <si>
    <t>Blaster</t>
  </si>
  <si>
    <t>Gelatin</t>
  </si>
  <si>
    <t>kg</t>
  </si>
  <si>
    <t>Electric Detonator</t>
  </si>
  <si>
    <t>Fuse Wire</t>
  </si>
  <si>
    <t>Credit for excavated rock  for use @ 50  per cent of excavated  ( if available rock is used, quantity = -45)</t>
  </si>
  <si>
    <t>Dozer</t>
  </si>
  <si>
    <t>Jack Hammer/Rock Drill</t>
  </si>
  <si>
    <t>Earthwork Excavation in Cutting., Excavation in Hard Rock, manual Drilling, Roadway  excavation in hard rock with manual drilling, blasting, breaking,   lifts and leads  all complete  as per Drawing and instruction of the Engineer.</t>
  </si>
  <si>
    <t>9.1.III.B</t>
  </si>
  <si>
    <t>Crow bar  and other T &amp; P</t>
  </si>
  <si>
    <t>Spec. cl. No: 907</t>
  </si>
  <si>
    <t>Excavation for Structures Foundation, Earth work in excavation of foundation of structures, including  construction of shoring and bracing, removal of stumps and other deleterious matter and backfilling with approved Material as per Drawing and Technical Specifications., Ordinary soil by Manual Means, Depth upto 3 m</t>
  </si>
  <si>
    <t>9.4.I.A.i</t>
  </si>
  <si>
    <t>Excavation for Structures Foundation, Earth work in excavation of foundation of structures, including  construction of shoring and bracing, removal of stumps and other deleterious matter and backfilling with approved Material as per Drawing and Technical Specifications., Ordinary soil by Mechanical Means, Depth upto 3 m</t>
  </si>
  <si>
    <t>240 cum</t>
  </si>
  <si>
    <t>9.4.I.B.i</t>
  </si>
  <si>
    <t>Excavation for Structures Foundation, Earth work in excavation of foundation of structures, including  construction of shoring and bracing, removal of stumps and other deleterious matter and backfilling with approved Material as per Drawing and Technical Specifications., Ordinary soil by Mechanical Means, Depth 3 m to 6 m</t>
  </si>
  <si>
    <t>210 cum</t>
  </si>
  <si>
    <t>9.4.I.B.ii</t>
  </si>
  <si>
    <t>Excavation for Structures Foundation, Earth work in excavation of foundation of structures, including  construction of shoring and bracing, removal of stumps and other deleterious matter and backfilling with approved Material as per Drawing and Technical Specifications., Ordinary soil by Mechanical Means, Depth above 6 m</t>
  </si>
  <si>
    <t>180 cum</t>
  </si>
  <si>
    <t>9.4.I.B.iii</t>
  </si>
  <si>
    <t>Excavation for Structures Foundation, Earth work in excavation of foundation of structures, including  construction of shoring and bracing, removal of stumps and other deleterious matter and backfilling with approved Material as per Drawing and Technical Specifications., Ordinary Rock (not requiring blasting) by Mechanical Means, Depth upto 3 m</t>
  </si>
  <si>
    <t>9.4.II.B</t>
  </si>
  <si>
    <t>Spec. cl. No: 909910</t>
  </si>
  <si>
    <t>Construction of Embankment  with Material obtained from Borrow pits, Providing, laying, spreading and compacting embankment with borrow material as per Drawing and Technical Specifications.</t>
  </si>
  <si>
    <t>300 cum</t>
  </si>
  <si>
    <t>9.8</t>
  </si>
  <si>
    <t>Water</t>
  </si>
  <si>
    <t>KL</t>
  </si>
  <si>
    <t>Borrowpit Material</t>
  </si>
  <si>
    <t>Tractor with Rotavator</t>
  </si>
  <si>
    <t>Mortar Grader</t>
  </si>
  <si>
    <t>Vibratory Road Roller</t>
  </si>
  <si>
    <t>Construction of Embankment with Material Deposited from Roadway Cutting, Providing, laying, spreading and compacting embankment with roadway cutting  material  and compact to the required density as per Drawing and Technical Specifications. (With machine)</t>
  </si>
  <si>
    <t>9.9.B</t>
  </si>
  <si>
    <t>Spec. cl. No: 908</t>
  </si>
  <si>
    <t>Providing suitable material and Back filling behind abutment, wing wall and return wall complete as per Drawing and Technical Specifications., Granular Material</t>
  </si>
  <si>
    <t>9.11.A</t>
  </si>
  <si>
    <t>Granular Material</t>
  </si>
  <si>
    <t>Plate Compactor</t>
  </si>
  <si>
    <t>2.5</t>
  </si>
  <si>
    <t>Providing suitable material and Back filling behind abutment, wing wall and return wall complete as per Drawing and Technical Specifications., Sandy Material</t>
  </si>
  <si>
    <t>9.11.B</t>
  </si>
  <si>
    <t>Providing and laying of Filter media with granular Material/stone crushed aggregates  to a thickness of not less than 600 mm with smaller size towards the soil and bigger size towards the wall and provided over the entire surface behind abutment, wing wall and return wall to the full height compacted to a firm condition complete as per drawing and Technical Specification.</t>
  </si>
  <si>
    <t>9.12</t>
  </si>
  <si>
    <t>Filter Media</t>
  </si>
  <si>
    <t>Spec. cl. No: 900</t>
  </si>
  <si>
    <t>Removal of Unserviceable Soil with Disposal upto 1000 meters, Removal of unserviceable soil including excavation, loading and disposal upto 1000 meters lead</t>
  </si>
  <si>
    <t>9.2</t>
  </si>
  <si>
    <t>Tipper</t>
  </si>
  <si>
    <t>Earthwork Excavation in Cutting., Excavation in Marshy Soil, Roadway Excavation  in marshy soil  as per Drawing and Technical Specifications</t>
  </si>
  <si>
    <t>9.1.V</t>
  </si>
  <si>
    <t>Providing and filling sand  in Foundation Trenches as per Drawing &amp; Technical Specification</t>
  </si>
  <si>
    <t>1 cum</t>
  </si>
  <si>
    <t>9.13</t>
  </si>
  <si>
    <t>Providing suitable material and Back filling behind abutment, wing wall and return wall complete as per Drawing and Technical Specifications., Locally available Material, with out watering and compaction by tamping rod</t>
  </si>
  <si>
    <t>9.11.D</t>
  </si>
  <si>
    <t>Locally Available Material</t>
  </si>
  <si>
    <t>Tamping</t>
  </si>
  <si>
    <t>Spec. cl. No: 1003</t>
  </si>
  <si>
    <t>Scarifying Existing road Surface to a depth of 50 mm by Mechanical Means, Scarifying the existing road surface to a depth of 50 mm and disposal of scarified Material with in all lifts and lead as per Drawing and Technical Specifications.</t>
  </si>
  <si>
    <t>600 sqm</t>
  </si>
  <si>
    <t>10.2.A</t>
  </si>
  <si>
    <t>Tractor with Ripper</t>
  </si>
  <si>
    <t>Scarifying Existing road Surface to a Depth of 50 mm by
Manual Means, Scarifying the existing road surface to a depth of 50 mm and disposal of scarified Material with all lifts and leads as per Drawing and Technical Specifications.</t>
  </si>
  <si>
    <t>10.1.A</t>
  </si>
  <si>
    <t>Scarifying Existing road Surface to a depth of 50 mm by Mechanical Means, Scarifying the existing bituminous road surface to a depth of 50 mm and disposal of scarified Material with in all lifts and lead as per Drawing and Technical Specifications.</t>
  </si>
  <si>
    <t>3000 sqm</t>
  </si>
  <si>
    <t>10.2.B</t>
  </si>
  <si>
    <t>Loader</t>
  </si>
  <si>
    <t>Spec. cl. No: 1004</t>
  </si>
  <si>
    <t>Construction of Subgrade and Earthen Shoulders with approved Material ( capping layer), Providing and laying sub-grade and earthen shoulders with approved Material obtained from borrow pits with all lifts &amp; leads as per Drawing and Technical Specifications.</t>
  </si>
  <si>
    <t>10.3.A</t>
  </si>
  <si>
    <t>Capping Layer Material</t>
  </si>
  <si>
    <t>Spec. cl. No: 1003, 1005</t>
  </si>
  <si>
    <t>Compacting Original Ground, Compacting original ground supporting sub-grade, Loosening of the ground upto a level of 500 mm below the sub-grade level, watered, graded and compacted in layers as per Drawing and Technical Specifications.</t>
  </si>
  <si>
    <t>10.4.I_a</t>
  </si>
  <si>
    <t>Compacting Original Ground, Compacting original ground supporting embankment, Loosening, leveling and Compacting original ground supporting embankment to facilitate placement of first layer of embankment, scarified to a depth of 150 mm, mixed with water at OMC and then compacted by rolling so as to achieve dry density as per Drawing and Technical Specifications.</t>
  </si>
  <si>
    <t>10.4.II_a</t>
  </si>
  <si>
    <t>Spec. cl. No: 1006</t>
  </si>
  <si>
    <t>Lime Stabilization for Improving Sub-grade, Providing , laying and spreading available soil with 3 per cent slaked lime having minimum content of 70 per cent of CaO, mixing, grading and compacting at OMC to the desired density to form a layer of sub grade as per Drawing and Technical Specifications., By Mechanical Means</t>
  </si>
  <si>
    <t>10.5.A</t>
  </si>
  <si>
    <t>Lime</t>
  </si>
  <si>
    <t>Tractor with Ripper and Rotator</t>
  </si>
  <si>
    <t>Spec. cl. No: N/A</t>
  </si>
  <si>
    <t>Providing and laying of hand pack Stone soling with 150 to 200 mm thick stones and packing with smaller stone on prepared surface as per Drawing and Technical Specifications.</t>
  </si>
  <si>
    <t>5 Cum</t>
  </si>
  <si>
    <t>10.8.</t>
  </si>
  <si>
    <t>Stone</t>
  </si>
  <si>
    <t>Providing and laying  granular sub-base   on prepared surface, mixing  at OMC, and compacting  to achieve the desired density, complete as per Drawing and Technical Specifications., By Mechanical means</t>
  </si>
  <si>
    <t>12.1.A</t>
  </si>
  <si>
    <t>Sub-base Material S1 type or S2 type</t>
  </si>
  <si>
    <t>Tractor / Loader</t>
  </si>
  <si>
    <t>Providing, laying and spreading Material on a prepared sub grade, adding the designed quantity of cement to the spread Material, mixing in place , grading and compacting  at OMC to achieve the desired unconfined compressive strength and to form a layer of sub-base/base as per Drawing and Technical Specifications.</t>
  </si>
  <si>
    <t>12.3</t>
  </si>
  <si>
    <t>Material for sub-base course/ base course as per grading requirement</t>
  </si>
  <si>
    <t>Providing and laying Crusher Run Macadam  on a prepared surface, spreading and mixing , watering and compacting  to  form a layer of sub-base/Base course as per Drawing and Technical Specifications., By Mix in Place Method</t>
  </si>
  <si>
    <t>12.7_a</t>
  </si>
  <si>
    <t>Aggregate at site</t>
  </si>
  <si>
    <t>For 53 mm maximum size</t>
  </si>
  <si>
    <t>Macadam Aggregate 63-45 mm</t>
  </si>
  <si>
    <t>Macadam Aggregate 22.4-5.6 mm</t>
  </si>
  <si>
    <t>Macadam Aggregate 5.6 mm and below</t>
  </si>
  <si>
    <t>12.7_b</t>
  </si>
  <si>
    <t>For 45 mm maximum size</t>
  </si>
  <si>
    <t>Macadam Aggregate 45-22.5 mm</t>
  </si>
  <si>
    <t>Providing, laying, spreading and compacting graded stone aggregate to wet mix macadam specification including premixing the Material with water at OMC laying in uniform layers  in sub- base / base course on well prepared surface and compacting  to achieve required density as per Drawing and Technical Specifications., Sub Base course with S1 material, Vibratory Road Roller</t>
  </si>
  <si>
    <t>225 cum</t>
  </si>
  <si>
    <t>12.14.C</t>
  </si>
  <si>
    <t>Macadam Aggregate 45-22.4 mm</t>
  </si>
  <si>
    <t>Macadam Aggregate 22.4-2.36 mm</t>
  </si>
  <si>
    <t>Macadam Aggregate 2.36 mm-75 micron</t>
  </si>
  <si>
    <t>Wet Mix Plant</t>
  </si>
  <si>
    <t>Electric Generator</t>
  </si>
  <si>
    <t>Paver Finisher</t>
  </si>
  <si>
    <t>Providing, laying, spreading and compacting graded stone aggregate to wet mix macadam specification including premixing the Material with water at OMC laying in uniform layers  in sub- base / base course on well prepared surface and compacting  to achieve required density as per Drawing and Technical Specifications., Sub Base course with S2 material, Vibratory Road Roller</t>
  </si>
  <si>
    <t>12.14.D</t>
  </si>
  <si>
    <t>Providing and making  footpath/separator  of  150 mm compacted granular sub base and 25 mm thick cement concrete grade M 15, over laid with pre-cast concrete tiles in cement mortar 1:3 including provision of all drainage arrangements but excluding Kerb channel as per Drawing and Technical Specifications.</t>
  </si>
  <si>
    <t>12.11</t>
  </si>
  <si>
    <t>For Granular sub base Material</t>
  </si>
  <si>
    <t>Sub base Material 53-26.5 mm</t>
  </si>
  <si>
    <t>Sub base Material 26.5-4.75 mm</t>
  </si>
  <si>
    <t>Sub base Material 2.36 mm and below</t>
  </si>
  <si>
    <t>For cement concrete grade M 15, ( 7.5 cum)</t>
  </si>
  <si>
    <t>Aggregate 12 mm</t>
  </si>
  <si>
    <t>For cement plaster 1:3</t>
  </si>
  <si>
    <t>Pre-cast cement concrete tiles</t>
  </si>
  <si>
    <t>Tiles size 300 x 300 mm and 25 mm thick</t>
  </si>
  <si>
    <t>each</t>
  </si>
  <si>
    <t>pipes for drainage</t>
  </si>
  <si>
    <t>PVC Pipes 200 mm dia.</t>
  </si>
  <si>
    <t>1.25</t>
  </si>
  <si>
    <t>Concrete Mixer</t>
  </si>
  <si>
    <t>Providing and laying  Median and Island above road level with approved Material deposited including compacted as per Drawing and Specifications. ( using material from Roadway excavation).</t>
  </si>
  <si>
    <t>21 cum</t>
  </si>
  <si>
    <t>12.8</t>
  </si>
  <si>
    <t>Providing and laying  Median and Island above road level with approved Material deposited including compacted as per Drawing and Specifications. ( using material from borrow area).</t>
  </si>
  <si>
    <t>12.9</t>
  </si>
  <si>
    <t>Soil / Borrowpit Material</t>
  </si>
  <si>
    <t>Spec. cl. No: 1302</t>
  </si>
  <si>
    <t>Prime Coat, Prime Coat, with MC 30 / 70  by Mechanical Means, Providing and applying prime coat with Hot Bitumen ( including cutter) on prepared surface of granular base including cleaning of road surface and spraying by mechanical means as per Technical Specification ., Bitumen ( cutback) MC 30 ( for stabilized soil base/ crusher run macadam)</t>
  </si>
  <si>
    <t>5000 lit</t>
  </si>
  <si>
    <t>13.1.A_b</t>
  </si>
  <si>
    <t>Cutback Bitumen MC 70</t>
  </si>
  <si>
    <t>Mechanical Broom</t>
  </si>
  <si>
    <t>Bitumen Distributor</t>
  </si>
  <si>
    <t>Boiler</t>
  </si>
  <si>
    <t xml:space="preserve">, Prime Coat,  with Emulsion by Mechanical Means, Providing and applying primer coat with Bitumen emulsion  on prepared surface of granular base including cleaning of road surface and spraying primer at  specified  rate  using mechanical means as per Technical Specification . </t>
  </si>
  <si>
    <t>13.1.C</t>
  </si>
  <si>
    <t>Bitumen Emulsion</t>
  </si>
  <si>
    <t>Bitumen Emulsion Pressure Distributor</t>
  </si>
  <si>
    <t>Tack Coat, Tack coat with Bitumen By Mechanical Means, Providing and applying tack coat with hot  Bitumen  at specified rate on the prepared non-bituminous surfaces including cleaning as per Technical Speciation .</t>
  </si>
  <si>
    <t>13.2.A</t>
  </si>
  <si>
    <t>Bitumen</t>
  </si>
  <si>
    <t>Spec. cl. No: 1307</t>
  </si>
  <si>
    <t>Bituminous Macadam, Providing and laying bituminous macadam with  hot mix plant  using crushed aggregates of  grading as per specification premixed with bituminous binder, laid over a previously prepared surface  as per Drawing and  Technical Specifications. , Grading I ( 40 mm nominal size ),  In case BM is laid over freshly laid tack coat</t>
  </si>
  <si>
    <t>102.5 cum</t>
  </si>
  <si>
    <t>13.3_i</t>
  </si>
  <si>
    <t>Grading I ( 40 mm nominal size )</t>
  </si>
  <si>
    <t>Aggregate 37.5 - 25 mm</t>
  </si>
  <si>
    <t>Aggregate 25 - 10 mm</t>
  </si>
  <si>
    <t>Aggregate 10 - 5 mm</t>
  </si>
  <si>
    <t>Aggregate 5 mm and below</t>
  </si>
  <si>
    <t>Batch mix HMP</t>
  </si>
  <si>
    <t>Pneumatic Roller</t>
  </si>
  <si>
    <t>Bituminous Macadam, Providing and laying bituminous macadam with  hot mix plant  using crushed aggregates of  grading as per specification premixed with bituminous binder, laid over a previously prepared surface  as per Drawing and  Technical Specifications. , Grading II(19 mm nominal size),  In case BM is laid over freshly laid tack coat</t>
  </si>
  <si>
    <t>13.3_a_i</t>
  </si>
  <si>
    <t>Grading II(19 mm nominal size)</t>
  </si>
  <si>
    <t>Spec. cl. No: 1304</t>
  </si>
  <si>
    <t>Bituminous Penetration Macadam, Providing and laying penetration macadam over prepared Base by providing a layer of compacted crushed coarse aggregate with applications of bituminous binder and key aggregates as per Drawing and Technical Specifications., 50 mm thick</t>
  </si>
  <si>
    <t>4500 sqm</t>
  </si>
  <si>
    <t>13.4.A</t>
  </si>
  <si>
    <t>Coarse Aggregate 45-2.8 mm</t>
  </si>
  <si>
    <t>Key Aggregate 22.4-2.8 mm</t>
  </si>
  <si>
    <t>Chip Spreader</t>
  </si>
  <si>
    <t>Bituminous Penetration Macadam, Providing and laying  penetration macadam over prepared Base by providing a layer of compacted crushed coarse aggregate  with  applications of bituminous binder and key aggregates as per Drawing and Technical Specifications., 75 mm thick</t>
  </si>
  <si>
    <t>13.4.B</t>
  </si>
  <si>
    <t>Coarse Aggregate 63-2.8 mm</t>
  </si>
  <si>
    <t>Key Aggregate 26.5-2.8 mm</t>
  </si>
  <si>
    <t>Spec. cl. No: 1308</t>
  </si>
  <si>
    <t>Dense Graded Bituminous Macadam, Providing and laying dense bituminous macadam  using crushed aggregates of specified grading, premixed with bituminous binder and filler as per Drawing and Technical Specifications., Grading - I 40 mm (Nominal Size),  In case DBM is laid over freshly laid tack coat</t>
  </si>
  <si>
    <t xml:space="preserve">97.5 cum </t>
  </si>
  <si>
    <t>13.5_i</t>
  </si>
  <si>
    <t>Aggregate</t>
  </si>
  <si>
    <t>Grading - I 40 mm (Nominal Size)</t>
  </si>
  <si>
    <t>Aggregate 10 - 4.75 mm</t>
  </si>
  <si>
    <t>Aggregate 4.75 mm and below</t>
  </si>
  <si>
    <t>Filler [stone_dust]</t>
  </si>
  <si>
    <t>Smooth Wheeled Roller</t>
  </si>
  <si>
    <t>Dense Graded Bituminous Macadam, Providing and laying dense bituminous macadam  using crushed aggregates of specified grading, premixed with bituminous binder and filler as per Drawing and Technical Specifications., Grading - II 19 mm (Nominal Size),  In case DBM is laid over freshly laid tack coat</t>
  </si>
  <si>
    <t>97.5 cum</t>
  </si>
  <si>
    <t>13.5_a_i</t>
  </si>
  <si>
    <t>Grading - II 19 mm (Nominal Size)</t>
  </si>
  <si>
    <t>Spec. cl. No: 1309</t>
  </si>
  <si>
    <t>Bituminous Concrete / Asphalt Concrete, Providing and laying Bituminous concrete/ Asphalt concrete   using crushed aggregates of specified grading, premixed with bituminous binder  and filler as per Drawing and Technical  Specifications, Grading - I-19 mm (Nominal Size), In case BC is laid over freshly laid tack coat</t>
  </si>
  <si>
    <t>95.5 cum</t>
  </si>
  <si>
    <t>13.6_i</t>
  </si>
  <si>
    <t>Grading - I-19 mm (Nominal Size)</t>
  </si>
  <si>
    <t>Aggregate 20 - 10 mm</t>
  </si>
  <si>
    <t>Bituminous Concrete / Asphalt Concrete, Providing and laying Bituminous concrete/ Asphalt concrete   using crushed aggregates of specified grading, premixed with bituminous binder  and filler as per Drawing and Technical  Specifications, Grading - II-13 mm (Nominal Size),  In case BC is laid over freshly laid tack coat</t>
  </si>
  <si>
    <t>13.6_a_i</t>
  </si>
  <si>
    <t>Grading - II-13 mm (Nominal Size)</t>
  </si>
  <si>
    <t>Aggregate 13.2 - 10 mm</t>
  </si>
  <si>
    <t>Spec. cl. No: 1303</t>
  </si>
  <si>
    <t>Surface Dressing, Providing and laying surface dressing as wearing course in single coat using gravel  of specified size on a recently applied layer of bituminous binder on prepared surface  as per Drawing and Technical Specifications., MECHANICAL MEANS, 19 mm nominal chipping size</t>
  </si>
  <si>
    <t>6000 sqm</t>
  </si>
  <si>
    <t>13.7.A.I</t>
  </si>
  <si>
    <t>Chips 19 mm</t>
  </si>
  <si>
    <t>Surface Dressing, Providing and laying surface dressing as wearing course in single coat using gravel  of specified size on a recently applied layer of bituminous binder on prepared surface  as per Drawing and Technical Specifications., MECHANICAL MEANS, 13 mm nominal size chipping</t>
  </si>
  <si>
    <t>7500 sqm</t>
  </si>
  <si>
    <t>13.7.A.II</t>
  </si>
  <si>
    <t>Crushed Stone Chipping 13 mm</t>
  </si>
  <si>
    <t>Surface Dressing, Providing and laying surface dressing as wearing course in single coat using gravel  of specified size on a recently applied layer of bituminous binder on prepared surface  as per Drawing and Technical Specifications., MECHANICAL MEANS, 10 mm nominal size chipping</t>
  </si>
  <si>
    <t>9000 sqm</t>
  </si>
  <si>
    <t>13.7.A.III</t>
  </si>
  <si>
    <t>Crushed Stone Chipping 10 mm</t>
  </si>
  <si>
    <t>Surface Dressing, Providing and laying surface dressing as wearing course in single coat using gravel  of specified size on a recently applied layer of bituminous binder on prepared surface  as per Drawing and Technical Specifications., MECHANICAL MEANS, 6.0 mm nominal size chipping</t>
  </si>
  <si>
    <t>13.7.A.IV</t>
  </si>
  <si>
    <t>Crushed Stone Chipping 6 mm</t>
  </si>
  <si>
    <t>Spec. cl. No: 1310</t>
  </si>
  <si>
    <t>Seal Surfacing, Providing and laying seal coat sealing the voids in a bituminous surface as per Drawing and Technical Specifications.</t>
  </si>
  <si>
    <t>7858 sqm</t>
  </si>
  <si>
    <t>13.11</t>
  </si>
  <si>
    <t>Crushed Stone Chipping</t>
  </si>
  <si>
    <t>HMP</t>
  </si>
  <si>
    <t>Roller</t>
  </si>
  <si>
    <t>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as per Drawing and Technical Specifications., 5 mm thickness</t>
  </si>
  <si>
    <t>16000 sqm</t>
  </si>
  <si>
    <t>13.12.i</t>
  </si>
  <si>
    <t>Binder</t>
  </si>
  <si>
    <t>Fine Aggregate 4.75 mm</t>
  </si>
  <si>
    <t>Filler</t>
  </si>
  <si>
    <t>Mobile Slurry Seal Equipment</t>
  </si>
  <si>
    <t>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as per Drawing and Technical Specifications., 3 mm thickness</t>
  </si>
  <si>
    <t>20000 sqm</t>
  </si>
  <si>
    <t>13.12.ii</t>
  </si>
  <si>
    <t>Fine Aggregate 3 mm and below</t>
  </si>
  <si>
    <t>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as per Drawing and Technical Specifications., 1.5 mm thickness</t>
  </si>
  <si>
    <t>24000 sqm</t>
  </si>
  <si>
    <t>13.12.iii</t>
  </si>
  <si>
    <t>Fine Aggregate 2.36 mm</t>
  </si>
  <si>
    <t>Fog Spray, Providing and applying low viscosity bitumen emulsion for sealing cracks less than 3 mm wide or incipient fretting or disintegration in an existing bituminous surfacing as per Drawing and Technical Specifications.</t>
  </si>
  <si>
    <t>10500 sqm</t>
  </si>
  <si>
    <t>13.13</t>
  </si>
  <si>
    <t>Spec. cl. No: 1313</t>
  </si>
  <si>
    <t xml:space="preserve">Bituminous Cold Mix ( Including Gravel Emulsion), Providing, laying and rolling of bituminous cold mix on prepared base consisting of a mixture of unheated mineral aggregate and emulsified or cutback bitumen, including mixing in a plant of suitable type as per Drawing and Technical Specifications., Using bitumen emulsion and 9.5 mm or 13.2 mm  size aggregate </t>
  </si>
  <si>
    <t>205 cum</t>
  </si>
  <si>
    <t>13.14.i</t>
  </si>
  <si>
    <t>Filler (Lime)</t>
  </si>
  <si>
    <t>Aggregate 19-9.5 mm</t>
  </si>
  <si>
    <t>Aggregate 9.5-6 mm</t>
  </si>
  <si>
    <t>Aggregate 6-0.075 mm</t>
  </si>
  <si>
    <t>Drum Mix Plant</t>
  </si>
  <si>
    <t>Bituminous Cold Mix ( Including Gravel Emulsion), Providing, laying and rolling of bituminous cold mix on prepared base consisting of a mixture of unheated mineral aggregate and emulsified or cutback bitumen, including mixing in a plant of suitable type as per Drawing and Technical Specifications., Using bitumen emulsion and 19 mm or 26.5 mm nominal size aggregate</t>
  </si>
  <si>
    <t>13.14.ii</t>
  </si>
  <si>
    <t>Aggregate 37.5-19 mm</t>
  </si>
  <si>
    <t>Aggregate 19-6 mm</t>
  </si>
  <si>
    <t>Bituminous Cold Mix ( Including Gravel Emulsion), Providing, laying and rolling of bituminous cold mix on prepared base consisting of a mixture of unheated mineral aggregate and emulsified or cutback bitumen, including mixing in a plant of suitable type as per Drawing and Technical Specifications., Using cutback bitumen and 9.5 mm or 13.2 mm nominal size aggregate</t>
  </si>
  <si>
    <t>13.14.iii</t>
  </si>
  <si>
    <t>Cutback Bitumen</t>
  </si>
  <si>
    <t>Bituminous Cold Mix ( Including Gravel Emulsion), Providing, laying and rolling of bituminous cold mix on prepared base consisting of a mixture of unheated mineral aggregate and emulsified or cutback bitumen, including mixing in a plant of suitable type as per Drawing and Technical Specifications., Using cutback bitumen and 19 mm or 26.5 mm nominal size aggregate</t>
  </si>
  <si>
    <t>13.14.iv</t>
  </si>
  <si>
    <t>Spec. cl. No: 1300</t>
  </si>
  <si>
    <t>Anti- Stripping agent,  Providing and mixing  of Anti stripping agent  as per Design/ direction of Engineer</t>
  </si>
  <si>
    <t>200 kg</t>
  </si>
  <si>
    <t>13.16</t>
  </si>
  <si>
    <t>Additive Material</t>
  </si>
  <si>
    <t>Add 3 percent of Labour component for T&amp;P</t>
  </si>
  <si>
    <t>Mastic Asphalt, Providing and laying 25 mm thick mastic asphalt wearing course excluding prime coat with paving grade bitumen  including providing antiskid surface with bitumen pre-coated fine grained hard stone chipping  at an  spacing of 10 cm center to center in both directions all complete as per Drawing and Technical  specifications.</t>
  </si>
  <si>
    <t>140 sqm</t>
  </si>
  <si>
    <t>13.21</t>
  </si>
  <si>
    <t>Base mastic (without coarse aggregates) = 60 per cent</t>
  </si>
  <si>
    <t>Coarse aggregate(3.35 mm to 9.5 mm size) = 40 per cent .</t>
  </si>
  <si>
    <t>Proportion of Material required for mastic asphalt with coarse aggregates</t>
  </si>
  <si>
    <t>Crusher Stone Dust</t>
  </si>
  <si>
    <t>Lime Stone Dust</t>
  </si>
  <si>
    <t>Coarse Aggregate 6.3-13.2 mm</t>
  </si>
  <si>
    <t>Pre-coated Stone Chips 13 mm @ 0.005 cum per 10 sqm</t>
  </si>
  <si>
    <t>Mastic Cooker</t>
  </si>
  <si>
    <t>Bitumen Boiler</t>
  </si>
  <si>
    <t>Tractor</t>
  </si>
  <si>
    <t>Spec. cl. No: 1401</t>
  </si>
  <si>
    <t>Precast Cement Concrete M 20 Kerb , Providing and laying of /20 precast  cement concrete Kerb  38 cm * 20 cm * 25  cm ( H*B*L)  with 12 mm thick 1:3 cement sand mortar bedding and joints including foundation excavation levelling but excluding foundation concrete for foundation or sand gravel material, all complete as per Drawing and Technical Specifications.</t>
  </si>
  <si>
    <t>400 meter</t>
  </si>
  <si>
    <t>14.1</t>
  </si>
  <si>
    <t>Precast / cast in situ concrete block of /20 Concrete (0.38 m * 0.20 m * 0.25 m (H*B*L))</t>
  </si>
  <si>
    <t>Coarse Sand</t>
  </si>
  <si>
    <t>Kerb Casting Machine</t>
  </si>
  <si>
    <t xml:space="preserve">6.00 </t>
  </si>
  <si>
    <t xml:space="preserve">12.00 </t>
  </si>
  <si>
    <t>Cast in Situ Cement Concrete or natural stone block  for footpath, Providing and laying of precast / cast in situ  50 mm thick  cement concrete slab  footpath on 12 mm thick 1: 3 cement sand mortar over the prepared base, all complete as per Drawing and Technical Specifications.</t>
  </si>
  <si>
    <t>10 sqm</t>
  </si>
  <si>
    <t>14.2.A</t>
  </si>
  <si>
    <t>Precast / cast in situ concrete block of M 20/20 ( 50 mm CC Block)</t>
  </si>
  <si>
    <t>sqm</t>
  </si>
  <si>
    <t>, Providing and laying  25 mm thick  Natural stone  slab  footpath on 12 mm thick 1: 3 cement sand mortar over the prepared base, all complete as per specification.</t>
  </si>
  <si>
    <t>14.2.B</t>
  </si>
  <si>
    <t>Stone Slab 50 mm</t>
  </si>
  <si>
    <t xml:space="preserve">sqm </t>
  </si>
  <si>
    <t>Cast in Situ Cement Concrete  Kerb , Providing and laying cement concrete Kerb with top and bottom width 115 and 165 mm respectively, 250 mm high in M 20 grade PCC on M-10 grade foundation 150 mm thick, foundation having 50 mm projection beyond Kerb stone, Kerb stone laid with Kerb laying machine, foundation concrete laid manually, all complete as per Drawing and Technical Specifications.</t>
  </si>
  <si>
    <t>360 meter</t>
  </si>
  <si>
    <t>14.3</t>
  </si>
  <si>
    <t>Crushed Stone Aggregate 20 mm</t>
  </si>
  <si>
    <t xml:space="preserve">8.00 </t>
  </si>
  <si>
    <t>Spec. cl. No: 1403</t>
  </si>
  <si>
    <t>Brick work for footpath, Providing and laying  brick on edge  over  60 mm thick  sand bed in footpath including excavation sand bedding all complete as  per Drawing and Technical Specifications.</t>
  </si>
  <si>
    <t>14.5.A</t>
  </si>
  <si>
    <t>Bricks</t>
  </si>
  <si>
    <t>Brick work for footpath, Providing and laying   flat brick   over  60 mm thick  sand bed in footpath including excavation sand bedding all complete as  per specification.</t>
  </si>
  <si>
    <t>20 sqm</t>
  </si>
  <si>
    <t>14.5.B</t>
  </si>
  <si>
    <t>Spec. cl. No: 1501</t>
  </si>
  <si>
    <t>Non Reflective Traffic Signs, Providing and fixing of Non reflective warning, mandatory and informatory sign board of 2 mm thick MS Sheet with back support frame fixed on heavy 50 mm tube or Channel section of 75 mm X 40 mm firmly fixed to the ground by means of properly designed foundation with M 10/40 grade cement concrete 300 mm x 300 mm x 300 mm, l as per drawings and Technical Specification/ DOR Publication., Heavy Duty Steel Tube internal 50 mm dia., 80 mm * 60 mm rectangular</t>
  </si>
  <si>
    <t>4 no</t>
  </si>
  <si>
    <t>15.1</t>
  </si>
  <si>
    <t>Excavation for foundation</t>
  </si>
  <si>
    <t>Cement concrete M 10 grade</t>
  </si>
  <si>
    <t>Painting angle iron post two coats</t>
  </si>
  <si>
    <t>Heavy Duty Steel Tube internal 50 mm dia.</t>
  </si>
  <si>
    <t>m</t>
  </si>
  <si>
    <t>Angle Iron 50 * 50 * 6 mm</t>
  </si>
  <si>
    <t>Add 2 per cent of cost of angle iron towards cost of drilling holes, nuts, bolts etc.</t>
  </si>
  <si>
    <t>80 mm * 60 mm rectangular</t>
  </si>
  <si>
    <t>Retro-Reflectorized Traffic Signs, Providing and fixing of retro- reflectorized warning, Regulatory and informatory sign as per specification clause 1501 made of high intensity grade sheeting , fixed over aluminum sheeting, 1.5 mm thick supported on a 50 mm internal dia steel tube or mild steel angle iron post 75 mm x 40 mm x 6 mm firmly fixed to the ground by means of properly designed foundation with M 10/40 grade cement concrete 30 cm x 30 cm , 30 cm below ground level or as per Drawing and Technical Specifications., 80 mm * 60 mm rectangular, Heavy Duty Steel Tube internal 50 mm dia.</t>
  </si>
  <si>
    <t>10 no</t>
  </si>
  <si>
    <t>15.2</t>
  </si>
  <si>
    <t>Aluminum sheeting fixed with encapsulated lens type reflective sheeting of size including lettering and signs as applicable</t>
  </si>
  <si>
    <t>Spec. cl. No: 1502</t>
  </si>
  <si>
    <t>Overhead Signs, Providing and erecting overhead signs with a corrosion resistant 2 mm thick aluminum alloy sheet reflectorized with micro prismatic retro-reflective type with vertical and lateral clearance as per drawing and installed as per Specification over a designed support system of aluminum alloy or galvanized steel trusses of sections and type as per structural design requirements , Drawing and Technical Specifications., Truss and Vertical Support</t>
  </si>
  <si>
    <t>15.3.A</t>
  </si>
  <si>
    <t>Aluminum Alloy/Galvanized Steel</t>
  </si>
  <si>
    <t>Add 1 per cent on cost of Material for nuts, bolts and drilling and welding consumables</t>
  </si>
  <si>
    <t>Add 15 per cent on cost of Material for fabrication of trusses as per approved design</t>
  </si>
  <si>
    <t>Crane</t>
  </si>
  <si>
    <t>Truck</t>
  </si>
  <si>
    <t>Overhead Signs, Providing and erecting overhead signs with a corrosion resistant 2 mm thick aluminum alloy sheet reflectorized with micro prismatic retro-reflective type with vertical and lateral clearance as per drawing and installed as per Specification over a designed support system of aluminum alloy or galvanized steel trusses of sections and type as per structural design requirements , Drawing and Technical Specifications., Aluminum Alloy Plate for Over Head Sign</t>
  </si>
  <si>
    <t>15.3.B</t>
  </si>
  <si>
    <t>Aluminum Alloy Plate 2 mm</t>
  </si>
  <si>
    <t>Miscellaneous</t>
  </si>
  <si>
    <t>Add 1 per cent of cost of Labour for lifting arrangement, like ladders, pulleys, ropes etc.</t>
  </si>
  <si>
    <t>Painting Two Coats on Concrete Surfaces, Providing and Painting two coats after filling the surface with synthetic enamel paint in all shades on concrete / plaster surfaces as per Drawing and Technical Specifications.</t>
  </si>
  <si>
    <t>15.4</t>
  </si>
  <si>
    <t>Skilled (Painter)</t>
  </si>
  <si>
    <t>Paint</t>
  </si>
  <si>
    <t>liter</t>
  </si>
  <si>
    <t>Add for scaffolding @ 1 per cent of Labour cost where required</t>
  </si>
  <si>
    <t>Add @ 5 per cent cost of Labour and Materials to prepare the surface by filling minutes roughness on the surface and priming the surface before laying 2 coats of painting.</t>
  </si>
  <si>
    <t>Painting Two Coats on Steel Surfaces, Providing and applying two coats of ready mix paint of approved brand on steel surface after through cleaning of surface to give an even shade as per Drawing and Technical Specifications.</t>
  </si>
  <si>
    <t>15.5</t>
  </si>
  <si>
    <t>Add @ 1 per cent on cost of Material for scaffolding</t>
  </si>
  <si>
    <t>Spec. cl. No: 1509</t>
  </si>
  <si>
    <t>`, Providing and applying two coats of ready mix paint of approved brand on wood surface after thorough cleaning of surface to give an even shade as per Drawing and Technical Specifications.</t>
  </si>
  <si>
    <t>15 sqm</t>
  </si>
  <si>
    <t>15.6</t>
  </si>
  <si>
    <t>Spec. cl. No: 1503</t>
  </si>
  <si>
    <t>Painting Lines, Dashes, Arrows etc. on Roads in Two Coats, Providing required material and Painting lines, dashes, arrows etc. on roads in two coats on new work with ready mixed road marking paint conforming to NS 408/ IS 164 on bituminous surface, including cleaning the surface of all dirt, dust and other foreign matter, demarcation at site and traffic control as per Drawing and Technical Specifications., Over 10 cm in width</t>
  </si>
  <si>
    <t>15.7.i</t>
  </si>
  <si>
    <t>Road Marking Paint</t>
  </si>
  <si>
    <t>Painting Lines, Dashes, Arrows etc. on Roads in Two Coats, Providing required material and Painting lines, dashes, arrows etc. on roads in two coats on new work with ready mixed road marking paint conforming to NS 408/ IS 164 on bituminous surface, including cleaning the surface of all dirt, dust and other foreign matter, demarcation at site and traffic control as per Drawing and Technical Specifications., Up to 10 cm in width</t>
  </si>
  <si>
    <t>15.7.ii</t>
  </si>
  <si>
    <t>Painting Lines, Dashes, Arrows etc. on Roads in Two Coats on Old Work, Providing required materials and Painting lines, dashes, arrows etc. on roads in two coats on old work with ready mixed road marking paint conforming to NS 408/ IS: 164 on bituminous surface, including cleaning the surface of all dirt, dust and other foreign matter, demarcation at site and traffic control as per Drawing and Technical Specifications., over 10 cm in width</t>
  </si>
  <si>
    <t>15.8.i</t>
  </si>
  <si>
    <t>Painting Lines, Dashes, Arrows etc. on Roads in Two Coats on Old Work, Providing required materials and Painting lines, dashes, arrows etc. on roads in two coats on old work with ready mixed road marking paint conforming to NS 408/ IS: 164 on bituminous surface, including cleaning the surface of all dirt, dust and other foreign matter, demarcation at site and traffic control as per Drawing and Technical Specifications., Up to 10 cm in width</t>
  </si>
  <si>
    <t>15.8.ii</t>
  </si>
  <si>
    <t>Spec. cl. No: 1504</t>
  </si>
  <si>
    <t>Road Marking with Hot Applied Thermoplastic Compound with Reflectorizing Glass Beads on Bituminous Surface, On smooth surface (similar to Asphalt concrete and rigid pavement), Providing and laying of hot applied thermoplastic compound at least 2 mm thick including reflectorizing glass beads as per DOR Traffic sign manual/ Specifications .The finished surface to be level, uniform and free from streaks and holes.</t>
  </si>
  <si>
    <t>400 sqm</t>
  </si>
  <si>
    <t>15.9.i</t>
  </si>
  <si>
    <t>Hot applied thermoplastic compound</t>
  </si>
  <si>
    <t>Reflectorizing Glass Beads</t>
  </si>
  <si>
    <t>Road Marking Machine</t>
  </si>
  <si>
    <t>Road Marking with Hot Applied Thermoplastic Compound with Reflectorizing Glass Beads on Bituminous Surface, On rough surface ( similar to surface dressing), Providing and laying of hot applied thermoplastic compound at least 2 mm thick including reflectorizing glass beads as per DOR Traffic sign manual/ Specifications .The finished surface to be level, uniform and free from streaks and holes.</t>
  </si>
  <si>
    <t>300 sqm</t>
  </si>
  <si>
    <t>15.9.ii</t>
  </si>
  <si>
    <t>Spec. cl. No: 1505</t>
  </si>
  <si>
    <t>Providing and fixing of road stud 100x 100 mm, die-cast in aluminum, resistant to corrosive effect of salt and grit, fitted with lenses reflectors, installed in concrete or asphaltic surface by drilling hole 30 mm upto a depth of 60 mm and bedded in a suitable bituminous grout or epoxy mortar, all as per Specification clause 1505., Providing and fixing of road stud 100 x 100 mm, die-cast in aluminum, resistant to corrosive effect of salt and grit, fitted with lenses reflectors, installed in concrete or asphaltic surface by drilling hole 30 mm upto a depth of 60 mm and bedded in a suitable bituminous grout or epoxy mortar, all as per Drawing and Technical Specifications., Cats Eye</t>
  </si>
  <si>
    <t>50 no</t>
  </si>
  <si>
    <t>15.10'</t>
  </si>
  <si>
    <t>Cats Eye</t>
  </si>
  <si>
    <t>Add 10 per cent of cost of Material for fixing and installation</t>
  </si>
  <si>
    <t>Spec. cl. No: 1506</t>
  </si>
  <si>
    <t>Kilometer Stone, Providing and Fixing Reinforced cement concrete M 15 grade kilometer Post including painting and printing as per Standard Drawing-2070 and Technical Specifications. position, Five kilometer Post (precast)</t>
  </si>
  <si>
    <t>6 no</t>
  </si>
  <si>
    <t>15.11.i</t>
  </si>
  <si>
    <t>M-15 grade of concrete</t>
  </si>
  <si>
    <t>M-10 grade of concrete</t>
  </si>
  <si>
    <t>Steel Reinforcement</t>
  </si>
  <si>
    <t>Excavation in soil for foundation</t>
  </si>
  <si>
    <t>Painting two coats on concrete surface</t>
  </si>
  <si>
    <t>Lettering on km post</t>
  </si>
  <si>
    <t>cm- letter</t>
  </si>
  <si>
    <t>Transportation and fixing at site</t>
  </si>
  <si>
    <t>Kilometer Stone, Providing and Fixing Reinforced cement concrete M 15 grade kilometer Post including painting and printing as per Standard Drawing-2070 and Technical Specifications. position, One kilometer post (precast)</t>
  </si>
  <si>
    <t>14 no</t>
  </si>
  <si>
    <t>15.11.ii</t>
  </si>
  <si>
    <t>cm - letter</t>
  </si>
  <si>
    <t>Spec. cl. No: 1507</t>
  </si>
  <si>
    <t>Road Delineators Post, Providing and installation of 150 mm * 150 mm 1. 5 m long delineators (road way indicators, hazard markers, object markers), 80-100 cm high above ground level, painted black and white in 20 cm wide strips, buried or pressed into the ground and conforming to the drawings and Technical Specifications.</t>
  </si>
  <si>
    <t>30 no</t>
  </si>
  <si>
    <t>15.12</t>
  </si>
  <si>
    <t>Skilled (Mason)</t>
  </si>
  <si>
    <t>Steel reinforcement as per standard drawing ( 4 Nos 8 mm dia and 11 Nos 6 mm dia stirrups)</t>
  </si>
  <si>
    <t>Transportation and fixing</t>
  </si>
  <si>
    <t>Spec. cl. No: 1508</t>
  </si>
  <si>
    <t>Reinforced Cement Concrete Crash Barrier, Providing and Fixing Reinforced cement concrete crash barrier at the edges of the road, approaches to bridge structures and medians, constructed with M-20 grade concrete with HYSD reinforcement and dowel bars 25 mm dia, 450 mm long at expansion joints filled with pre-molded asphalt filler board, keyed to the structure on which it is built and installed as per design, Drawing and Technical Specifications.</t>
  </si>
  <si>
    <t>10 meter</t>
  </si>
  <si>
    <t>15.13.i</t>
  </si>
  <si>
    <t>M 20 grade concrete</t>
  </si>
  <si>
    <t>HYSD Steel Reinforcement with Dowel Bars</t>
  </si>
  <si>
    <t>Pre-molded Asphalt Filler Board</t>
  </si>
  <si>
    <t>Excavation and backfilling : 25 % of Labour component</t>
  </si>
  <si>
    <t>Metal Beam Crash Barrier, Type - A, "W" : Metal Beam Crash Barrier, Providing and erecting a "W" metal beam crash barrier comprising of 3 mm thick corrugated sheet metal beam rail, 70 cm above road/ground level, fixed on ISMC series channel vertical post, 150 x 75 x 5 mm spaced 2 m center to center, 1.8 m high, 1.1 m below ground/road level metal beam rail to be fixed on the vertical post with a spacer of channel section 150 x 75 x 5 mm, 330 mm long complete as per Drawing and Technical Specifications.</t>
  </si>
  <si>
    <t>40 meter</t>
  </si>
  <si>
    <t>15.14.A</t>
  </si>
  <si>
    <t>Hot dip Galvanized Corrugated W beam sheet 3 mm thick</t>
  </si>
  <si>
    <t>Hot dip Galvanized Channel post 150 x 75 , 5 mm</t>
  </si>
  <si>
    <t>Hot dip Galvanized Spacer Channel 150 x 75 x 5 mm</t>
  </si>
  <si>
    <t>E/W excavation for post</t>
  </si>
  <si>
    <t>Add 25 per cent of the cost of Material for fabrication, nuts, bolts and washers etc.)</t>
  </si>
  <si>
    <t>Metal Beam Crash Barrier, Type - B, "THRIE" : Metal Beam Crash Barrier, Providing and erecting a "Thrie" metal beam crash barrier comprising of 3 mm thick corrugated sheet metal beam rail, 85 cm above road/ground level, fixed on ISMC series channel vertical post, 150 x 75 x 5 mm spaced 2 m center to center, 2.1 m high with 1.3 m below ground level, metal beam rail to be fixed on the vertical post with a space of channel section 150 x 75 x 5 mm, 546 mm long complete as per Drawing and Technical specifications.</t>
  </si>
  <si>
    <t>15.14.B</t>
  </si>
  <si>
    <t>Hot dip Galvanized Corrugated thrie beam sheet 3 mm thick</t>
  </si>
  <si>
    <t>Metal Beam Crash Barrier, Flexible Crash Barrier, Wire Rope Safety Barrier, Providing and erecting a wire rope safety barrier with vertical posts of medium weight RS Joist (ISMB series) 100 mm x 75 mm (11.50 kg/m), 1.50 m long 0.85 m above ground and 0.65 m below ground level, split at the bottom for better grip, embedded in M 15 grade cement concrete 450 x 450 x 450 mm, 1.50 m center to center and with 4 horizontal steel wire rope 40 mm dia and anchored at terminal posts 15 m apart. Terminal post to be embedded in M 15 grade cement concrete foundation 2400 x 450 x 900 mm (depth), strengthened by a strut of RS joist 100 x 75 mm, 2 m long at 450 inclination and a tie 100 x 8 mm, 1.50 m long at the bottom, all embedded in foundation concrete as per design , Drawing and Technical Specifications.</t>
  </si>
  <si>
    <t>15 meter</t>
  </si>
  <si>
    <t>15.14.C</t>
  </si>
  <si>
    <t>RS Joist 100 * 75 mm - 16.5 m</t>
  </si>
  <si>
    <t>Struts - 2 Nos. for terminal posts, 2 m long each 2 x 2 x 11.50</t>
  </si>
  <si>
    <t>Tie 2 Nos. of 8 mm steel plate, 1.5 sqm each for terminal posts</t>
  </si>
  <si>
    <t>Steel Wire 40 mm.</t>
  </si>
  <si>
    <t>Add 5 per cent of cost of Material for drilling, gripping, fixing, fabrication and welding consumables</t>
  </si>
  <si>
    <t>Applying 2 coats of painting on exposed surface</t>
  </si>
  <si>
    <t>Spec. cl. No: 2800/1500</t>
  </si>
  <si>
    <t>Anti-Glare Devices in Median, Anti-glare screen with 25 mm steel pipe framework fixed with circular and rectangular vans, Providing and erecting an anti - glare screen with 25 mm dia vertical pipes fabricated and framed in the form of panels of one meter length and 1.75 meter height fixed with circular vane 250 mm dia at top and rectangular vane 600 x 300 mm at the middle, made out of steel sheet of 3 mm thickness, end vertical pipes of the panel made larger for embedding in foundation concrete, applying 2 coats of paint on all exposed surfaces, all as per design , drawings and Technical Specifications.</t>
  </si>
  <si>
    <t>15.15.B</t>
  </si>
  <si>
    <t>Steel Pipe 25 mm</t>
  </si>
  <si>
    <t>MS Sheet for 600 * 300 * 3 mm rectangular vane</t>
  </si>
  <si>
    <t>MS Sheet for 250 mm dia circular vane 3 mm thick</t>
  </si>
  <si>
    <t>Add 5 per cent cost of Material for fabrication, welding, bending, nuts, bolts etc.</t>
  </si>
  <si>
    <t>Anti-Glare Devices in Median, Anti-glare screen with rectangular vane of MS sheet, Providing and erecting anti - glare screen with rectangular vanes of size 750 x 500 mm made from MS sheet, 3 mm thick and fixed on MS angle 50 x 50 x 6 mm at an angle of 450 to the direction of flow of traffic, 1.5 m center to center, top edge of the screen 1.75 m above ground level, vertical post firmly embedded in M-15 cement concrete foundation 0.60 m below ground level, applying 2 coats of paint on exposed faces, all complete as per design , Drawing and Technical Specifications.</t>
  </si>
  <si>
    <t>15.15.C</t>
  </si>
  <si>
    <t>MS Sheet 3 mm @ 24 kg/sqm</t>
  </si>
  <si>
    <t>Add 5 per cent of cost of Material for fabrication, nuts, bolts etc.</t>
  </si>
  <si>
    <t>Applying 2 coats of painting</t>
  </si>
  <si>
    <t>Rumble Strips, Providing and making of Rumble strips with premix bituminous carpet, 15-20 mm high at center, 250 mm wide placed at 1 m center to center at approved locations to control speed, marked with white strips of road marking paint., Provision of 15 Nos rumble strips covered with premix bituminous carpet, 15-20 mm high at center, 250 mm wide placed at 1 m center to center at approved locations to control speed, marked with white strips of road marking paint.</t>
  </si>
  <si>
    <t>100 sqm</t>
  </si>
  <si>
    <t>15.17</t>
  </si>
  <si>
    <t>The rate per sqm of premix carpet and road marking may be adopted from chapter 13 &amp; 15 respectively for the quantities calculated from approved drawings</t>
  </si>
  <si>
    <t>Spec. cl. No: missing</t>
  </si>
  <si>
    <t>Street Lighting, Providing and erecting street light mounted on a steel circular hollow pole of standard specifications for street lighting, 9 m high spaced 40 m apart, 1.8 m overhang on both sides if fixed in the median and on one side if fixed on the footpath, fitted with sodium vapor lamp and fixed firmly in concrete foundation as per design , Drawing and Technical Specifications..</t>
  </si>
  <si>
    <t>1 no</t>
  </si>
  <si>
    <t>15.16</t>
  </si>
  <si>
    <t>Skilled (Electrician)</t>
  </si>
  <si>
    <t>Steel circular hollow pole of standard specification for street lighting to mount light at 9 m height above road level</t>
  </si>
  <si>
    <t>Sodium Vapor Lamp</t>
  </si>
  <si>
    <t>Add 5 per cent of cost of Material for holder, electric cable, insulation, ladder, scaffolding etc.</t>
  </si>
  <si>
    <t>For Fixing in Median</t>
  </si>
  <si>
    <t>Providing two coats of aluminum paint over steel circular hollow pipe with overhang on both sides</t>
  </si>
  <si>
    <t>For fixing in Footpath</t>
  </si>
  <si>
    <t>Providing two coats of aluminum paint over steel circular hollow pipe with overhang on one side</t>
  </si>
  <si>
    <t>Lettering new Letter and Figures of any Shade, Providing and lettering new letter and figures of any shade with synthetic enamel paint black or any other approved color to give an even shade, Nepali</t>
  </si>
  <si>
    <t>1600 cm-letter</t>
  </si>
  <si>
    <t>15.18.i</t>
  </si>
  <si>
    <t>Lettering new Letter and Figures of any Shade, Providing and lettering new letter and figures of any shade with synthetic enamel paint black or any other approved color to give an even shade, English and Roman</t>
  </si>
  <si>
    <t>15.18.ii</t>
  </si>
  <si>
    <t>Spec. cl. No: 1612</t>
  </si>
  <si>
    <t>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diameter-500 mm</t>
  </si>
  <si>
    <t>5 meter</t>
  </si>
  <si>
    <t>16.1.A</t>
  </si>
  <si>
    <t>Bentonite</t>
  </si>
  <si>
    <t>Piling Rig with all Accessories</t>
  </si>
  <si>
    <t xml:space="preserve">2.50 </t>
  </si>
  <si>
    <t>Bentonite Pump</t>
  </si>
  <si>
    <t>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diameter-600 mm</t>
  </si>
  <si>
    <t>16.1.B</t>
  </si>
  <si>
    <t xml:space="preserve">3.00 </t>
  </si>
  <si>
    <t>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diameter-750 mm</t>
  </si>
  <si>
    <t>16.1.C</t>
  </si>
  <si>
    <t xml:space="preserve">4.50 </t>
  </si>
  <si>
    <t>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diameter-1000 mm</t>
  </si>
  <si>
    <t>16.1.D</t>
  </si>
  <si>
    <t>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diameter-1200 mm</t>
  </si>
  <si>
    <t>16.1.E</t>
  </si>
  <si>
    <t xml:space="preserve">7.50 </t>
  </si>
  <si>
    <t>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diameter-300 mm</t>
  </si>
  <si>
    <t>16.2.A</t>
  </si>
  <si>
    <t>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diameter-500 mm</t>
  </si>
  <si>
    <t>16.2.B</t>
  </si>
  <si>
    <t>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diameter-600 mm</t>
  </si>
  <si>
    <t>16.2.C</t>
  </si>
  <si>
    <t>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diameter-750 mm</t>
  </si>
  <si>
    <t>16.2.D</t>
  </si>
  <si>
    <t>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diameter-1000 mm</t>
  </si>
  <si>
    <t>16.2.E</t>
  </si>
  <si>
    <t xml:space="preserve">9.00 </t>
  </si>
  <si>
    <t>Spec. cl. No: 1613</t>
  </si>
  <si>
    <t>Driving Vertical Steel Piles / Sheet piles excluding cost of steel complete as per Drawing and &amp; Technical Specification</t>
  </si>
  <si>
    <t>2.5 tonne</t>
  </si>
  <si>
    <t>16.4</t>
  </si>
  <si>
    <t>Structural Steel</t>
  </si>
  <si>
    <t>Spec. cl. No: 1804, 1805</t>
  </si>
  <si>
    <t>Providing , Preparing and Installing form work including necessary supports and removing after completion for foundation and footings., (Class F1 Finish), Using timber (soft wood )</t>
  </si>
  <si>
    <t>18.1.a</t>
  </si>
  <si>
    <t>Planks 38 mm thick.</t>
  </si>
  <si>
    <t>Struts, Ballies, etc.</t>
  </si>
  <si>
    <t>Nails, spikes, etc.</t>
  </si>
  <si>
    <t>Providing , Preparing and Installing form work including necessary supports and removing after completion for foundation and footings., (Class F1 Finish), Using steel</t>
  </si>
  <si>
    <t>18.1.b</t>
  </si>
  <si>
    <t>MS Sheet 14 gauge &amp; Angle Stiffners</t>
  </si>
  <si>
    <t>MS Pipes 40 mm dia.</t>
  </si>
  <si>
    <t>Clamps</t>
  </si>
  <si>
    <t>Nuts &amp; bolts 6 mm dia. (@approx. 2 kg per 100 nos)</t>
  </si>
  <si>
    <t>Providing , Preparing and Installing form work including necessary supports and removing after completion for walls., (Class F2 Finish), vertical plain surface, Using timber (soft wood ), Height upto 3 m</t>
  </si>
  <si>
    <t>18.2.A.i</t>
  </si>
  <si>
    <t>Ply Wood 9 mm thick.</t>
  </si>
  <si>
    <t>Providing , Preparing and Installing form work including necessary supports and removing after completion for walls., (Class F2 Finish), vertical plain surface, Using timber (soft wood ), Height above 3 m to 6 m</t>
  </si>
  <si>
    <t>18.2.A.ii</t>
  </si>
  <si>
    <t>Providing , Preparing and Installing form work including necessary supports and removing after completion for walls., (Class F2 Finish), vertical plain surface, Using timber (soft wood ), Height above 6 m to 9 m</t>
  </si>
  <si>
    <t>18.2.A.iii</t>
  </si>
  <si>
    <t>Providing , Preparing and Installing form work including necessary supports and removing after completion for walls., (Class F2 Finish), vertical plain surface, Using timber (soft wood ), Height above 9 m</t>
  </si>
  <si>
    <t>18.2.A.iv</t>
  </si>
  <si>
    <t>Increase the rate by 10 % for every additional meter height to the rate for previous height</t>
  </si>
  <si>
    <t>Providing , Preparing and Installing form work including necessary supports and removing after completion for slab structure., Class F2 Finish, False work not included, Using timber</t>
  </si>
  <si>
    <t>18.6.A</t>
  </si>
  <si>
    <t>Planks 38 mm thick. &amp; rafters, beam, battens etc.</t>
  </si>
  <si>
    <t>Providing , Preparing and Installing form work including necessary supports and removing after completion for slab structure., Class F2 Finish, False work not included, Using shuttering Ply</t>
  </si>
  <si>
    <t>18.6.C</t>
  </si>
  <si>
    <t>Unit =sqm (For 10 sqm)</t>
  </si>
  <si>
    <t>Ply Wood 12 mm thick.</t>
  </si>
  <si>
    <t>Rafter, Stuts, Beam, Battens etc.</t>
  </si>
  <si>
    <t>Providing , Preparing and Installing form work including necessary supports and removing after completion for slab structure., Class F2 Finish, False work not included, Using steel</t>
  </si>
  <si>
    <t>18.6.B</t>
  </si>
  <si>
    <t>Spec. cl. No: 1803</t>
  </si>
  <si>
    <t>Providing and assembling in position falsework for the construction of RCC superstructure and removing after completion including design &amp; drawings as per specification For Slab and Box culverts, Using timber, Height upto 2 m</t>
  </si>
  <si>
    <t>18.10.A.i</t>
  </si>
  <si>
    <t>Timber</t>
  </si>
  <si>
    <t>Providing and assembling in position falsework for the construction of RCC superstructure and removing after completion including design &amp; drawings as per specification For Slab and Box culverts, Using timber, Height above 2 m to 4 m</t>
  </si>
  <si>
    <t>18.10.A.ii</t>
  </si>
  <si>
    <t>Providing and assembling in position falsework for the construction of RCC superstructure and removing after completion including design &amp; drawings as per specification For Slab and Box culverts, Using timber, Height above 4 m to 6 m</t>
  </si>
  <si>
    <t>18.10.A.iii</t>
  </si>
  <si>
    <t>Providing and assembling in position falsework for the construction of RCC superstructure and removing after completion including design &amp; drawings as per specification For Slab and Box culverts, Using steel, Height above 2 m to 4 m</t>
  </si>
  <si>
    <t>18.10.B.ii</t>
  </si>
  <si>
    <t>Providing and assembling in position falsework for the construction of RCC superstructure and removing after completion including design &amp; drawings as per specification For Slab and Box culverts, Using steel, Height upto 2 m</t>
  </si>
  <si>
    <t>18.10.B.i</t>
  </si>
  <si>
    <t>MS Pipes 40-50 mm dia.</t>
  </si>
  <si>
    <t>Providing and assembling in position falsework for the construction of RCC superstructure and removing after completion including design &amp; drawings as per specification For Slab and Box culverts, Using steel, Height above 4 m to 6 m</t>
  </si>
  <si>
    <t>18.10.B.iii</t>
  </si>
  <si>
    <t>Providing and assembling in position falsework for the construction of RCC superstructure and removing after completion including design &amp; drawings as per specification For Slab and Box culverts, Using steel, Height above 6 m</t>
  </si>
  <si>
    <t>18.10.B.iv</t>
  </si>
  <si>
    <t>Increase the rate by 10% for every additional meter height to the rate for the previous height or Design as a special case and derive Norms</t>
  </si>
  <si>
    <t>Providing and assembling in position falsework for the construction of RCC superstructure and removing after completion including design &amp; drawings as per specification, for RCC Beam Bridge, Using timber, Height upto 3 m</t>
  </si>
  <si>
    <t>18.11.a.i</t>
  </si>
  <si>
    <t>Providing and assembling in position falsework for the construction of RCC superstructure and removing after completion including design &amp; drawings as per specification, for RCC Beam Bridge, Using timber, Height above 3 m to 6 m</t>
  </si>
  <si>
    <t>18.11.a.ii</t>
  </si>
  <si>
    <t>Providing and assembling in position falsework for the construction of RCC superstructure and removing after completion including design &amp; drawings as per specification, for RCC Beam Bridge, Using timber, Height above 6 m to 9 m</t>
  </si>
  <si>
    <t>18.11.a.iii</t>
  </si>
  <si>
    <t>Providing and assembling in position falsework for the construction of RCC superstructure and removing after completion including design &amp; drawings as per specification, for RCC Beam Bridge, Using steel, Height above 3 m to 6m</t>
  </si>
  <si>
    <t>18.11.b.ii</t>
  </si>
  <si>
    <t>Providing and assembling in position falsework for the construction of RCC superstructure and removing after completion including design &amp; drawings as per specification, for RCC Beam Bridge, Using steel, Height upto 3 m</t>
  </si>
  <si>
    <t>18.11.b.i</t>
  </si>
  <si>
    <t>Spec. cl. No: 1902</t>
  </si>
  <si>
    <t>Supplying, fitting and fixing in position true to line and level elastomeric bearing  including all accessories as per Drawing and Technical Specifications.</t>
  </si>
  <si>
    <t>19.2 cubic centimeter</t>
  </si>
  <si>
    <t>19.4</t>
  </si>
  <si>
    <t>Elastomeric Bearing Assembly consisting of 7 layers of elastomer bonded to 6 nos. internal reinforcing steel laminates by the process of vulcanization, complete with all components as per drawing and Technical Specifications.</t>
  </si>
  <si>
    <t>Add 1 per cent  of cost of bearing assembly for foundation anchorage bolts and consumables.</t>
  </si>
  <si>
    <t>Spec. cl. No: 1901</t>
  </si>
  <si>
    <t xml:space="preserve">Elastomeric Slab Steel Expansion Joint, Providing and laying of an elastomeric slab steel expansion joint, catering to right or skew (less than 20 deg., moderately curved with maximum horizontal movement upto 50 mm, complete as per Drawings and Technical specifications </t>
  </si>
  <si>
    <t>12 meter</t>
  </si>
  <si>
    <t>19.8</t>
  </si>
  <si>
    <t xml:space="preserve">Supply of elastomeric slab seal expansion joint assembly manufactured by using chloroprene, elastomer for elastomeric slab unit conforming to approved drawings and standard specification </t>
  </si>
  <si>
    <t>Add 5 per cent  of cost of material for anchorage reinforcement, welding and other incidentals.</t>
  </si>
  <si>
    <t>Strip Seal Expansion Joint, Providing and laying of a strip seal expansion joint catering to maximum horizontal movement upto 70 mm, complete as per approved Drawings and Technical specifications.</t>
  </si>
  <si>
    <t>19.10</t>
  </si>
  <si>
    <t>Supply of complete assembly of strip seal expansion joint comprising of edge beams, anchorage, strip seal element and complete accessories as per approved specifications and drawings.</t>
  </si>
  <si>
    <t>Compression Seal Joint, Providing and laying of compression seal joint consisting of steel armored nosing at two edges of the joint gap suitably anchored to the deck concrete and a preformed chloroprene elastomer or closed cell foam joint sealer compressed and fixed into the joint gap with special adhesive binder to cater for a horizontal movement and vertical movement  all complete as per Drawing and Technical Specifications.</t>
  </si>
  <si>
    <t>19.9</t>
  </si>
  <si>
    <t>Galvanized Angle Sections 100 * 100 mm 12 mm thick</t>
  </si>
  <si>
    <t>Add 5 per cent  of cost of above for structural steel for anchorage, welding and other incidentals.</t>
  </si>
  <si>
    <t>Preformed continuous chloroprene elastomer or closed cell foam sealing element with high tear strength, vulcanized in a single operation for the full length of a joint to ensure water tightness.</t>
  </si>
  <si>
    <t>Add 1 per cent  of cost of sealing element for lubricant-cum-adhesive and other consumables.</t>
  </si>
  <si>
    <t>Spec. cl. No: 2000</t>
  </si>
  <si>
    <t>Providing and laying of Plain Cement Concrete M 10 ( or 1:3:6 for nominal mix) in Foundation complete as per Drawing and Technical Specifications.</t>
  </si>
  <si>
    <t>15 cum</t>
  </si>
  <si>
    <t>20.1</t>
  </si>
  <si>
    <t>Aggregate 40 mm</t>
  </si>
  <si>
    <t>Providing and laying of Plain Cement Concrete M 10 ( or 1:3:6 for nominal mix) in Foundation complete as per Drawing and Technical Specifications., Manual Mixing</t>
  </si>
  <si>
    <t>20.1.b</t>
  </si>
  <si>
    <t>Providing and laying of Plain/Reinforced Cement Concrete in Foundation complete as per Drawing and Technical Specifications, PCC Grade M 15</t>
  </si>
  <si>
    <t>20.2.A</t>
  </si>
  <si>
    <t>Aggregate 20 mm</t>
  </si>
  <si>
    <t>Aggregate 10 mm</t>
  </si>
  <si>
    <t>@ 4 per cent on cost of concrete i.e. cost of Material, Labour and Equipment</t>
  </si>
  <si>
    <t>Providing and laying of Plain/Reinforced Cement Concrete in Foundation complete as per Drawing and Technical Specifications, PCC Grade M 15, Manual Mixing</t>
  </si>
  <si>
    <t>20.2.A_a</t>
  </si>
  <si>
    <t>Providing and laying of Plain/Reinforced Cement Concrete in Foundation complete as per Drawing and Technical Specifications, PCC Grade M 20</t>
  </si>
  <si>
    <t>20.2.B</t>
  </si>
  <si>
    <t>Providing and laying of Plain/Reinforced Cement Concrete in Foundation complete as per Drawing and Technical Specifications., RCC Grade M 20</t>
  </si>
  <si>
    <t>20.2.C</t>
  </si>
  <si>
    <t>@ 4 per cent on (a+b+c)</t>
  </si>
  <si>
    <t>Providing and laying of Plain/Reinforced Cement Concrete in Foundation complete as per Drawing and Technical Specifications., PCC Grade M 25</t>
  </si>
  <si>
    <t>20.2.D</t>
  </si>
  <si>
    <t>Admixture</t>
  </si>
  <si>
    <t>@ 3.75 per cent on (a+b+c)</t>
  </si>
  <si>
    <t>Providing and laying of Plain/Reinforced Cement Concrete in Foundation complete as per Drawing and Technical Specifications., RCC Grade M 25</t>
  </si>
  <si>
    <t>20.2.E</t>
  </si>
  <si>
    <t>@ 3.75 per cent of (a+b+c).</t>
  </si>
  <si>
    <t>Providing and laying of Plain/Reinforced Cement Concrete in Foundation complete as per Drawing and Technical Specifications., RCC Grade M30</t>
  </si>
  <si>
    <t>20.2.G</t>
  </si>
  <si>
    <t>@ 3.5 per cent on cost of concrete i.e. cost of Material, Labour and Equipment</t>
  </si>
  <si>
    <t>Providing and laying of Plain/Reinforced Cement Concrete in Foundation complete as per Drawing and Technical Specifications., RCC Grade M 35</t>
  </si>
  <si>
    <t>20.2.H</t>
  </si>
  <si>
    <t>@ 3 per cent on a+b+c</t>
  </si>
  <si>
    <t>Providing and laying of Plain/Reinforced cement concrete in sub-structure complete as per drawing and Technical Specifications, PCC Grade M 15, Height upto 5 m</t>
  </si>
  <si>
    <t>20.4.A</t>
  </si>
  <si>
    <t>Per Cum Basic Cost of Labour, Material &amp; Equipment (a+b+c) of Item 20.2 (A)</t>
  </si>
  <si>
    <t>Add 10 % of cost of Material, Labour and Equipment (a+b+c) for Formwork</t>
  </si>
  <si>
    <t>Providing and laying of Plain/Reinforced cement concrete in sub-structure complete as per drawing and Technical Specifications, PCC Grade M20, Height upto 5 m</t>
  </si>
  <si>
    <t>20.4.B</t>
  </si>
  <si>
    <t>Basic Cost of Labour, Material &amp; Equipment (a+b+c) of Item 20.2 (B)</t>
  </si>
  <si>
    <t>d) formwork</t>
  </si>
  <si>
    <t>Providing and laying of Plain/Reinforced cement concrete in sub-structure complete as per drawing and Technical Specifications, PCC Grade M 25, Height upto 5 m</t>
  </si>
  <si>
    <t>20.4.C.p</t>
  </si>
  <si>
    <t>Basic Cost of Labour, Material &amp; Equipment (a+b+c) of item 20.2(D)</t>
  </si>
  <si>
    <t>Providing and laying of Plain/Reinforced cement concrete in sub-structure complete as per drawing and Technical Specifications, PCC Grade M 25, Height above 5 m to 10 m</t>
  </si>
  <si>
    <t>20.4.C.q</t>
  </si>
  <si>
    <t>Basic Cost of Labour, Material &amp; Equipment (a+b+c) of Item 20.2 (D)</t>
  </si>
  <si>
    <t>Add 12 % of cost of Material, Labour and Equipment (a+b+c) for Formwork</t>
  </si>
  <si>
    <t>Add 2 % of cost of Material, Labour and Equipment excluding formwork to cater for extra lift</t>
  </si>
  <si>
    <t>Providing and laying of Plain/Reinforced cement concrete in sub-structure complete as per drawing and Technical Specifications, PCC Grade M 25, Height above 10 m</t>
  </si>
  <si>
    <t>20.4.C.r</t>
  </si>
  <si>
    <t>Add 15 % of cost of Material, Labour and Equipment (a+b+c) for Formwork</t>
  </si>
  <si>
    <t>Add 4 % of cost of Material, Labour and Equipment excluding formwork to cater for extra lift</t>
  </si>
  <si>
    <t>Providing and laying of Plain/Reinforced cement concrete in sub-structure complete as per drawing and Technical Specifications, PCC Grade M 30, Height upto 5 m</t>
  </si>
  <si>
    <t>20.4.D.p</t>
  </si>
  <si>
    <t>Basic Cost of Labour, Material &amp; Equipment (a+b+c) of Item 20.2 (F)</t>
  </si>
  <si>
    <t>Providing and laying of Plain/Reinforced cement concrete in sub-structure complete as per drawing and Technical Specifications, PCC Grade M 30, Height above 5 m to 10 m</t>
  </si>
  <si>
    <t>20.4.D.q</t>
  </si>
  <si>
    <t>Providing and laying of Plain/Reinforced cement concrete in sub-structure complete as per drawing and Technical Specifications, PCC Grade M 30, Height above 10 m</t>
  </si>
  <si>
    <t>20.4.D.r</t>
  </si>
  <si>
    <t>Providing and laying of Plain/Reinforced cement concrete in sub-structure complete as per drawing and Technical Specifications, RCC Grade M 20, Height upto 5 m</t>
  </si>
  <si>
    <t>20.4.E.p</t>
  </si>
  <si>
    <t>Basic Cost of Labour, Material &amp; Equipment (a+b+c) of Item 20.2 (C)</t>
  </si>
  <si>
    <t>Providing and laying of Plain/Reinforced cement concrete in sub-structure complete as per drawing and Technical Specifications, RCC Grade M 20, Height above 5 m to 10 m</t>
  </si>
  <si>
    <t>20.4.E.q</t>
  </si>
  <si>
    <t>Providing and laying of Plain/Reinforced cement concrete in sub-structure complete as per drawing and Technical Specifications, RCC Grade M 20, Height above 10 m</t>
  </si>
  <si>
    <t>20.4.E.r</t>
  </si>
  <si>
    <t>Providing and laying of Plain/Reinforced cement concrete in sub-structure complete as per drawing and Technical Specifications, RCC Grade M 25, Height upto 5 m</t>
  </si>
  <si>
    <t>20.4.F.p</t>
  </si>
  <si>
    <t>Basic Cost of Labour, Material &amp; Equipment (a+b+c) of Item 20.2 (E)</t>
  </si>
  <si>
    <t>Providing and laying of Plain/Reinforced cement concrete in sub-structure complete as per drawing and Technical Specifications, RCC Grade M 25, Height above 5 m to 10 m</t>
  </si>
  <si>
    <t>20.4.F.q</t>
  </si>
  <si>
    <t>Providing and laying of Plain/Reinforced cement concrete in sub-structure complete as per drawing and Technical Specifications, RCC Grade M 25, Height above 10 m</t>
  </si>
  <si>
    <t>20.4.F.r</t>
  </si>
  <si>
    <t>Providing and laying of Plain/Reinforced cement concrete in sub-structure complete as per drawing and Technical Specifications, RCC Grade M 30, Height upto 5 m</t>
  </si>
  <si>
    <t>20.4.G.p</t>
  </si>
  <si>
    <t>Basic Cost of Labour, Material &amp; Equipment (a+b+c) of Item 20.2 (G)</t>
  </si>
  <si>
    <t>Providing and laying of Plain/Reinforced cement concrete in sub-structure complete as per drawing and Technical Specifications, RCC Grade M 30, Height above 5 m to 10 m</t>
  </si>
  <si>
    <t>20.4.G.q</t>
  </si>
  <si>
    <t>Providing and laying of Plain/Reinforced cement concrete in sub-structure complete as per drawing and Technical Specifications, RCC Grade M 30, Height above 10 m</t>
  </si>
  <si>
    <t>20.4.G.r</t>
  </si>
  <si>
    <t>Providing and laying of Plain/Reinforced cement concrete in sub-structure complete as per drawing and Technical Specifications, RCC Grade M 35, Height upto 5 m</t>
  </si>
  <si>
    <t>20.4.H.p</t>
  </si>
  <si>
    <t>Basic Cost of Labour, Material &amp; Equipment (a+b+c) of Item 20.2 (H)</t>
  </si>
  <si>
    <t>Providing and laying of Plain/Reinforced cement concrete in sub-structure complete as per drawing and Technical Specifications, RCC Grade M 35, Height above 5 m to 10 m</t>
  </si>
  <si>
    <t>20.4.H.q</t>
  </si>
  <si>
    <t>Per Cum Basic Cost of Labour, Material &amp; Equipment (a+b+c) of Item 20.2 (H)</t>
  </si>
  <si>
    <t>Providing and laying of Reinforced/ Pre-stressed cement concrete in super-structure as per drawing and Technical Specification, RCC Grade M 20</t>
  </si>
  <si>
    <t>30 meter</t>
  </si>
  <si>
    <t>20.8.A</t>
  </si>
  <si>
    <t>Providing and laying of Reinforced/ Pre-stressed cement concrete in solid slab super-structure as per drawing and Technical Specification, RCC Grade M 20, Height upto 5 m</t>
  </si>
  <si>
    <t>20.8.A.i.p</t>
  </si>
  <si>
    <t>d) Formwork and staging 20 % of (a+b+c)</t>
  </si>
  <si>
    <t>Spec. cl. No: 3109</t>
  </si>
  <si>
    <t>Providing and laying weep holes in Stone Masonry/Plain/ Reinforced concrete abutment, wing wall/ return wall with 150mm dia HDPE pipe, extending through the full width of the structure with slope of 1V :20H towards drawing face Complete as per Drawing and Technical Specifications.</t>
  </si>
  <si>
    <t>20.7_a</t>
  </si>
  <si>
    <t>HDPE pipe 150 mm dia.</t>
  </si>
  <si>
    <t>MS clamp</t>
  </si>
  <si>
    <t>Collar for AC pipe</t>
  </si>
  <si>
    <t>Providing and laying of Reinforced/ Pre-stressed cement concrete in solid slab super-structure as per drawing and Technical Specification, RCC Grade M 20, Height above 5 m to 10 m</t>
  </si>
  <si>
    <t>20.8.A.i.q</t>
  </si>
  <si>
    <t>d) Formwork and staging 25 % of (a+b+c)</t>
  </si>
  <si>
    <t>Providing and laying of Reinforced/ Pre-stressed cement concrete in solid slab super-structure as per drawing and Technical Specification, RCC Grade M 20, Height above 10 m</t>
  </si>
  <si>
    <t>20.8.A.i.r</t>
  </si>
  <si>
    <t>d) Formwork and staging 30 % of (a+b+c)</t>
  </si>
  <si>
    <t>Providing and laying of Reinforced/ Pre-stressed cement concrete in T-beam and slab super-structure as per drawing and Technical Specification, RCC Grade M 20, Height upto 5 m</t>
  </si>
  <si>
    <t>20.8.A.ii.p</t>
  </si>
  <si>
    <t>Providing and laying of Reinforced/ Pre-stressed cement concrete in T-beam and slab super-structure as per drawing and Technical Specification, RCC Grade M 20, Height above 5 m to 10 m</t>
  </si>
  <si>
    <t>20.8.A.ii.q</t>
  </si>
  <si>
    <t>Providing and laying of Reinforced/ Pre-stressed cement concrete in T-beam and slab super-structure as per drawing and Technical Specification, RCC Grade M 20, Height above 10 m</t>
  </si>
  <si>
    <t>20.8.A.ii.r</t>
  </si>
  <si>
    <t>d) Formwork and staging 35 % of (a+b+c)</t>
  </si>
  <si>
    <t>Providing and laying of Reinforced/ Pre-stressed cement concrete in super-structure as per drawing and Technical Specification, RCC Grade M 25</t>
  </si>
  <si>
    <t>20.8.B</t>
  </si>
  <si>
    <t>Providing and laying of Reinforced/ Pre-stressed cement concrete in solid slab super-structure as per drawing and Technical Specification, RCC Grade M 25, Height upto 5 m</t>
  </si>
  <si>
    <t>20.8.B.i.p</t>
  </si>
  <si>
    <t>Providing and laying of Reinforced/ Pre-stressed cement concrete in solid slab super-structure as per drawing and Technical Specification, RCC Grade M 25, Height above 5 m to 10 m</t>
  </si>
  <si>
    <t>20.8.B.i.q</t>
  </si>
  <si>
    <t>Providing and laying of Reinforced/ Pre-stressed cement concrete in solid slab super-structure as per drawing and Technical Specification, RCC Grade M 25, Height above 10 m</t>
  </si>
  <si>
    <t>20.8.B.i.r</t>
  </si>
  <si>
    <t>Providing and laying of Reinforced/ Pre-stressed cement concrete in T-beam and slab super-structure as per drawing and Technical Specification, RCC Grade M 25, Height upto 5 m</t>
  </si>
  <si>
    <t>20.8.B.ii.p</t>
  </si>
  <si>
    <t>Providing and laying of Reinforced/ Pre-stressed cement concrete in T-beam and slab super-structure as per drawing and Technical Specification, RCC Grade M 25, Height above 5 m to 10 m</t>
  </si>
  <si>
    <t>20.8.B.ii.q</t>
  </si>
  <si>
    <t>Providing and laying of Reinforced/ Pre-stressed cement concrete in T-beam and slab super-structure as per drawing and Technical Specification, RCC Grade M 25, Height above 10 m</t>
  </si>
  <si>
    <t>20.8.B.ii.r</t>
  </si>
  <si>
    <t>Providing and laying of Reinforced/ Pre-stressed cement concrete in super-structure as per drawing and Technical Specification, RCC Grade M 30</t>
  </si>
  <si>
    <t>20.8.C</t>
  </si>
  <si>
    <t>Providing and laying of Reinforced/ Pre-stressed cement concrete in solid slab super-structure as per drawing and Technical Specification, RCC Grade M 30, Height upto 5 m</t>
  </si>
  <si>
    <t>20.8.C.i.p</t>
  </si>
  <si>
    <t>Providing and laying of Reinforced/ Pre-stressed cement concrete in solid slab super-structure as per drawing and Technical Specification, RCC Grade M 30, Height above 5 m to 10 m</t>
  </si>
  <si>
    <t>20.8.C.i.q</t>
  </si>
  <si>
    <t>Formwork and staging 25 % of (a+b+c)</t>
  </si>
  <si>
    <t>Providing and laying of Reinforced/ Pre-stressed cement concrete in solid slab super-structure as per drawing and Technical Specification, RCC Grade M 30, Height above 10 m</t>
  </si>
  <si>
    <t>20.8.C.i.r</t>
  </si>
  <si>
    <t>Providing and laying of Reinforced/ Pre-stressed cement concrete in T-beam and slab super-structure as per drawing and Technical Specification, RCC Grade M 30, Height upto 5 m</t>
  </si>
  <si>
    <t>20.8.C.ii.p</t>
  </si>
  <si>
    <t>Providing and laying of Reinforced/ Pre-stressed cement concrete in T-beam and slab super-structure as per drawing and Technical Specification, RCC Grade M 30, Height above 5 m to 10 m</t>
  </si>
  <si>
    <t>20.8.C.ii.q</t>
  </si>
  <si>
    <t>Providing and laying of Reinforced/ Pre-stressed cement concrete in T-beam and slab super-structure as per drawing and Technical Specification, RCC Grade M 30, Height above 10 m</t>
  </si>
  <si>
    <t>20.8.C.ii.r</t>
  </si>
  <si>
    <t>Providing and laying of Reinforced/ Pre-stressed cement concrete in super-structure as per drawing and Technical Specification, RCC/PSC Grade M 35</t>
  </si>
  <si>
    <t>20.8.D</t>
  </si>
  <si>
    <t>Providing and laying of Reinforced/ Pre-stressed cement concrete in solid slab super-structure as per drawing and Technical Specification, RCC/PSC Grade M 35, Height upto 5 m</t>
  </si>
  <si>
    <t>20.8.D.i.p</t>
  </si>
  <si>
    <t>d) Formwork and staging 18 % per cent of (a+b+c)</t>
  </si>
  <si>
    <t>Providing and laying of Reinforced/ Pre-stressed cement concrete in solid slab super-structure as per drawing and Technical Specification, RCC/PSC Grade M 35, Height above 5 m to 10 m</t>
  </si>
  <si>
    <t>20.8.D.i.q</t>
  </si>
  <si>
    <t>d) Formwork and staging 23 % per cent of (a+b+c)</t>
  </si>
  <si>
    <t>Providing and laying of Reinforced/ Pre-stressed cement concrete in solid slab super-structure as per drawing and Technical Specification, RCC/PSC Grade M 35, Height above 10 m</t>
  </si>
  <si>
    <t>20.8.D.i.r</t>
  </si>
  <si>
    <t>d) Formwork and staging 28 % per cent of (a+b+c)</t>
  </si>
  <si>
    <t>Providing and laying of Reinforced/ Pre-stressed cement concrete in T-beam and slab super-structure as per drawing and Technical Specification, RCC/PSC Grade M 35, Height upto 5 m</t>
  </si>
  <si>
    <t>20.8.D.ii.p</t>
  </si>
  <si>
    <t>Providing and laying of Reinforced/ Pre-stressed cement concrete in sollid slab super-structure as per drawing and Technical Specification, PSC Grade M-40, Height upto 5 m</t>
  </si>
  <si>
    <t>20.8.E.i.p</t>
  </si>
  <si>
    <t>d) Formwork and staging 20 % per cent of (a+b+c)</t>
  </si>
  <si>
    <t>Providing and laying of Reinforced/ Pre-stressed cement concrete in super-structure as per drawing and Technical Specification, PSC Grade M-40</t>
  </si>
  <si>
    <t>20.8.E</t>
  </si>
  <si>
    <t>Spec. cl. No: no number</t>
  </si>
  <si>
    <t>Providing and laying of PCC M 15 Grade leveling course below approach slab complete as per drawing and Technical specification</t>
  </si>
  <si>
    <t>"20.10"</t>
  </si>
  <si>
    <t>Providing and laying of Reinforced cement concrete approach slab including reinforcement and formwork complete as per drawing and Technical specification</t>
  </si>
  <si>
    <t>20.11</t>
  </si>
  <si>
    <t>Cement concrete Grade ( excluding formwork i.e. per cum basic cost (a+b+c) )</t>
  </si>
  <si>
    <t>( Refer relevant item of concrete in item except that form work may be added at the rate of 2 per cent of cost against 3.5 per cent provided in the foundation concrete.</t>
  </si>
  <si>
    <t>HYSD bar reinforcement Rate</t>
  </si>
  <si>
    <t>Spec. cl. No: 2200</t>
  </si>
  <si>
    <t>Providing , Fabricating , assembling and erecting structural steel components / elements including nut, bolt, gusset plate, including shop drawings, facilities for inspection &amp; testing and trial assembling all complete as per specification., RS Joist, Heavy Zinc Coating</t>
  </si>
  <si>
    <t>22.1.A</t>
  </si>
  <si>
    <t>i) for Fabricating/ assembling</t>
  </si>
  <si>
    <t>Technician</t>
  </si>
  <si>
    <t>Semiskilled</t>
  </si>
  <si>
    <t>ii) for Erecting</t>
  </si>
  <si>
    <t>Add 3 % cost of of structural steel for Nut , bolt/ Rivet etc.</t>
  </si>
  <si>
    <t xml:space="preserve">Add 12% of cost of material for heavy zinc coating </t>
  </si>
  <si>
    <t>Add 5.0 per cent cost of structural steel for consumables ( gas electrodes drill bits etc.)material for Spacers, Insulation tape and miscellaneous items</t>
  </si>
  <si>
    <t>Add 5.0 per cent cost of steel for cutting, drilling, grinding welding et</t>
  </si>
  <si>
    <t>Providing , Fabricating , assembling and erecting structural steel components / elements including nut, bolt, gusset plate, including shop drawings, facilities for inspection &amp; testing and trial assembling all complete as per specification., RS Joist, painting one shop coat with red oxide primer and two coats of synthetic enamel</t>
  </si>
  <si>
    <t>22.1.A_a</t>
  </si>
  <si>
    <t>Add 5% of cost of material for painting one shop coat with red oxide primer and two coats of synthetic enamel .</t>
  </si>
  <si>
    <t>Providing , Fabricating , assembling and erecting structural steel components / elements including nut, bolt, gusset plate, including shop drawings, facilities for inspection &amp; testing and trial assembling all complete as per specification., RS Joist, Height upto 5 m</t>
  </si>
  <si>
    <t>22.1.A.P</t>
  </si>
  <si>
    <t>d) Formwork and staging "&amp;F31&amp;" per cent of (a+b+c)</t>
  </si>
  <si>
    <t>Providing , Fabricating , assembling and erecting structural steel components / elements including nut, bolt, gusset plate, including shop drawings, facilities for inspection &amp; testing and trial assembling all complete as per specification., RS Joist, Height above 10 m</t>
  </si>
  <si>
    <t>22.1.A.R</t>
  </si>
  <si>
    <t>Providing , Fabricating , assembling and erecting structural steel components / elements including nut, bolt, gusset plate, including shop drawings, facilities for inspection &amp; testing and trial assembling all complete as per specification., Built up beam, Plate Girder etc.</t>
  </si>
  <si>
    <t>22.1.B</t>
  </si>
  <si>
    <t>Add 12% of cost of material for heavy zinc coating</t>
  </si>
  <si>
    <t>Add 5.0 per cent cost of steel for consumables ( gas electrodes drill bits etc.)material for Spacers, Insulation tape and miscellaneous items</t>
  </si>
  <si>
    <t>22.1.B_a</t>
  </si>
  <si>
    <t>Providing , Fabricating , assembling and erecting structural steel components / elements including nut, bolt, gusset plate, including shop drawings, facilities for inspection &amp; testing and trial assembling all complete as per specification., Built up beam, Plate Girder etc., Height upto 5 m</t>
  </si>
  <si>
    <t>22.1.B.p</t>
  </si>
  <si>
    <t>Providing , Fabricating , assembling and erecting structural steel components / elements including nut, bolt, gusset plate, including shop drawings, facilities for inspection &amp; testing and trial assembling all complete as per specification., Built up beam, Plate Girder etc., Height 5 m to 10 m</t>
  </si>
  <si>
    <t>22.1.B.q</t>
  </si>
  <si>
    <t>Providing , Fabricating , assembling and erecting structural steel components / elements including nut, bolt, gusset plate, including shop drawings, facilities for inspection &amp; testing and trial assembling all complete as per specification., Built up beam, Plate Girder etc., Height above 10 m</t>
  </si>
  <si>
    <t>22.1.B.r</t>
  </si>
  <si>
    <t>Providing , Fabricating , assembling and erecting structural steel components / elements including nut, bolt, gusset plate, including shop drawings, facilities for inspection &amp; testing and trial assembling all complete as per specification., Truss</t>
  </si>
  <si>
    <t>22.1.C</t>
  </si>
  <si>
    <t>Add 12% of cost of material for heavy zinc coating.</t>
  </si>
  <si>
    <t>Add 5.0 per cent cost of steel for consumables ( gas electrodes drill bits etc.) material for Spacers, Insulation tape and miscellaneous items</t>
  </si>
  <si>
    <t>Add 5.0 per cent cost of steel for cutting, drilling, grinding welding etc.</t>
  </si>
  <si>
    <t>Spec. cl. No: 2401</t>
  </si>
  <si>
    <t>Gabion Structure for Retaining Earth, Mesh wire- 10 Swg(0.0615 kg/m), Selvedge Wire 8 Swg ( 0.1057 kg/m), binding wire 12 Swg (0.0409 kg/m) Hexagonal mesh Type 100 mm X 120 mm,, Box size 3 X 1 X 1 m ( 16 sqm)</t>
  </si>
  <si>
    <t>6 cum</t>
  </si>
  <si>
    <t>24.1.A.i</t>
  </si>
  <si>
    <t>Mesh wire</t>
  </si>
  <si>
    <t>Selvedge Wire</t>
  </si>
  <si>
    <t>Boulder</t>
  </si>
  <si>
    <t>Gabion Structure for Retaining Earth, Mesh wire- 10 Swg(0.0615 kg/m), Selvedge Wire 8 Swg ( 0.1057 kg/m), binding wire 12 Swg (0.0409 kg/m) Hexagonal mesh Type 100 mm X 120 mm,, Box size 2 X 1 X 1 m ( 11 sqm)</t>
  </si>
  <si>
    <t>24.1.A.ii</t>
  </si>
  <si>
    <t>Gabion Structure for Retaining Earth, Mesh wire- 10 Swg(0.0615 kg/m), Selvedge Wire 8 Swg ( 0.1057 kg/m), binding wire 12 Swg (0.0409 kg/m) Hexagonal mesh Type 100 mm X 120 mm,, Box size 1.5 X 1 X 1 m ( 9 sqm )</t>
  </si>
  <si>
    <t>24.1.A.iii</t>
  </si>
  <si>
    <t>Gabion Structure for Retaining Earth, Mesh wire- 10 Swg(0.0615 kg/m), Selvedge Wire 8 Swg ( 0.1057 kg/m), binding wire 12 Swg (0.0409 kg/m) Hexagonal mesh Type 100 mm X 120 mm,, Box size 1.0 X 1 X 1 m ( 6 sqm)</t>
  </si>
  <si>
    <t>24.1.A.iv</t>
  </si>
  <si>
    <t>Gabion Structure for Retaining Earth, Mesh wire- 10 Swg(0.0615 kg/m), Selvedge Wire 8 Swg ( 0.1057 kg/m), binding wire 12 Swg (0.0409 kg/m) Hexagonal mesh Type 100 mm X 120 mm,, Box size 3.0 X 1 X 0 .75 m ( 13.5 sqm)</t>
  </si>
  <si>
    <t>4.5 cum</t>
  </si>
  <si>
    <t>24.1.A.v</t>
  </si>
  <si>
    <t>Gabion Structure for Retaining Earth, Mesh wire- 10 Swg(0.0615 kg/m), Selvedge Wire 8 Swg ( 0.1057 kg/m), binding wire 12 Swg (0.0409 kg/m) Hexagonal mesh Type 100 mm X 120 mm,, Box size 2.0 X 1 X 0 .75 m ( 9. 25 sqm)</t>
  </si>
  <si>
    <t>24.1.A.vi</t>
  </si>
  <si>
    <t>Gabion Structure for Retaining Earth, Mesh wire- 10 Swg(0.0615 kg/m), Selvedge Wire 8 Swg ( 0.1057 kg/m), binding wire 12 Swg (0.0409 kg/m) Hexagonal mesh Type 100 mm X 120 mm,, Box size 3.0 X 1 X 0 .5 m ( 11 sqm)</t>
  </si>
  <si>
    <t>24.1.A.viii</t>
  </si>
  <si>
    <t>Gabion Structure for Retaining Earth, Mesh wire- 10 Swg(0.0615 kg/m), Selvedge Wire 8 Swg ( 0.1057 kg/m), binding wire 12 Swg (0.0409 kg/m) Hexagonal mesh Type 100 mm X 120 mm,, Box size 1.0 X 1 X 0 .75 m ( 5 sqm m)</t>
  </si>
  <si>
    <t>24.1.A.vii</t>
  </si>
  <si>
    <t>Gabion Structure for Retaining Earth, Mesh wire- 10 Swg(0.0615 kg/m), Selvedge Wire 8 Swg ( 0.1057 kg/m), binding wire 12 Swg (0.0409 kg/m) Hexagonal mesh Type 100 mm X 120 mm,, Box size 1 X 1 X 0 .5 m (4 sqm)</t>
  </si>
  <si>
    <t>24.1.A.x</t>
  </si>
  <si>
    <t>Gabion Structure for Retaining Earth, Mesh wire- 10 Swg(0.0615 kg/m), Selvedge Wire 8 Swg ( 0.1057 kg/m), binding wire 12 Swg (0.0409 kg/m) Hexagonal mesh Type 100 mm X 120 mm,, Box size 2.0 X 1 X 0 .5 m ( 7.5 sqm m)</t>
  </si>
  <si>
    <t>24.1.A.ix</t>
  </si>
  <si>
    <t>Gabion Structure for Retaining Earth, Mesh wire- 10 Swg(0.0615 kg/m), Selvedge Wire 8 Swg ( 0.1057 kg/m), binding wire 12 Swg (0.0409 kg/m) Hexagonal mesh Type 100 mm X 120 mm,, Box size 2 X 1 X 0 .3 m ( 6.1 sqm)</t>
  </si>
  <si>
    <t>24.1.A.xii</t>
  </si>
  <si>
    <t>Gabion Structure for Retaining Earth, Mesh wire- 10 Swg(0.0615 kg/m), Selvedge Wire 8 Swg ( /m), binding wire 12 Swg (0.0409 kg/m) Hexagonal mesh Type 80 mm X 100 mm,, Box  size 3 X 1 X 1 m ( 16 sqm)</t>
  </si>
  <si>
    <t>24.1.B.i</t>
  </si>
  <si>
    <t>Gabion Structure for Retaining Earth, Mesh wire- 10 Swg(0.0615 kg/m), Selvedge Wire 8 Swg ( /m), binding wire 12 Swg (0.0409 kg/m) Hexagonal mesh Type 80 mm X 100 mm,, Box size 2 X 1 X 1 m ( 11 sqm)</t>
  </si>
  <si>
    <t>24.1.B.ii</t>
  </si>
  <si>
    <t>Gabion Structure for Retaining Earth, Mesh wire- 10 Swg(0.0615 kg/m), Selvedge Wire 8 Swg ( /m), binding wire 12 Swg (0.0409 kg/m) Hexagonal mesh Type 80 mm X 100 mm,, Box size 1.5 X 1 X 1 m ( 9 sqm)</t>
  </si>
  <si>
    <t>24.1.B.iii</t>
  </si>
  <si>
    <t>Gabion Structure for Retaining Earth, Mesh wire- 10 Swg(0.0615 kg/m), Selvedge Wire 8 Swg ( /m), binding wire 12 Swg (0.0409 kg/m) Hexagonal mesh Type 80 mm X 100 mm,, Box size 1 X 1 X 1 m (6 sqm)</t>
  </si>
  <si>
    <t>24.1.B.iv</t>
  </si>
  <si>
    <t>Gabion Structure for Retaining Earth, Mesh wire- 10 Swg(0.0615 kg/m), Selvedge Wire 8 Swg ( /m), binding wire 12 Swg (0.0409 kg/m) Hexagonal mesh Type 80 mm X 100 mm,, Box size 3.0 X 1 X 0 .75 m (13.5 sqm)</t>
  </si>
  <si>
    <t>24.1.B.v</t>
  </si>
  <si>
    <t>Gabion Structure for Retaining Earth, Mesh wire- 10 Swg(0.0615 kg/m), Selvedge Wire 8 Swg ( /m), binding wire 12 Swg (0.0409 kg/m) Hexagonal mesh Type 80 mm X 100 mm,, Box  size 2.0 X 1 X 0 .75 m ( 9.25 sqm)</t>
  </si>
  <si>
    <t>24.1.B.vi</t>
  </si>
  <si>
    <t>Gabion Structure for Retaining Earth, Mesh wire- 10 Swg(0.0615 kg/m), Selvedge Wire 8 Swg ( /m), binding wire 12 Swg (0.0409 kg/m) Hexagonal mesh Type 80 mm X 100 mm,, Box size 1.0 X 1 X 0 .75 m ( 5 sqm)</t>
  </si>
  <si>
    <t>24.1.B.vii</t>
  </si>
  <si>
    <t>Gabion Structure for Retaining Earth, Mesh wire- 10 Swg(0.0615 kg/m), Selvedge Wire 8 Swg ( /m), binding wire 12 Swg (0.0409 kg/m) Hexagonal mesh Type 80 mm X 100 mm,, Box size 3.0 X 1 X 0 .5 m ( 11 sqm)</t>
  </si>
  <si>
    <t>24.1.B.viii</t>
  </si>
  <si>
    <t>Gabion Structure for Retaining Earth, Mesh wire- 10 Swg(0.0615 kg/m), Selvedge Wire 8 Swg ( /m), binding wire 12 Swg (0.0409 kg/m) Hexagonal mesh Type 80 mm X 100 mm,, Box  size 2.0 X 1 X 0 .5 m ( 7.5 sqm)</t>
  </si>
  <si>
    <t>24.1.B.ix</t>
  </si>
  <si>
    <t>Gabion Structure for Retaining Earth, Mesh wire- 10 Swg(0.0615 kg/m), Selvedge Wire 8 Swg ( /m), binding wire 12 Swg (0.0409 kg/m) Hexagonal mesh Type 80 mm X 100 mm,, Box  size 1 X 1 X 0 .5 m ( 4 sqm)</t>
  </si>
  <si>
    <t>24.1.B.x</t>
  </si>
  <si>
    <t>Spec. cl. No: 2402</t>
  </si>
  <si>
    <t>Providing mechanically  woven double twisted  crates / mattress  including rolling, cutting and  with lacing  wire and binding wire as per specification.           
                                                                                                                                       , Hexagonal mesh type 100 mm x 120 mm, mesh wire 3 mm, selvage wire 3.9 mm, lacing wire 2.4 mm</t>
  </si>
  <si>
    <t>1 sqm</t>
  </si>
  <si>
    <t>24.2.A</t>
  </si>
  <si>
    <t>Heavy Zinc Coated Hexagonal Mesh 100 * 120 mm, Mesh wire 3 mm, Selvage wire 3.9 mm, Lacing wire 2.4 mm</t>
  </si>
  <si>
    <t>Providing mechanically  woven double twisted  crates / mattress  including rolling, cutting and  with lacing  wire and binding wire as per specification.           
                                                                                                                                       , Hexagonal mesh type 100 mm x 120 mm, mesh wire 2.7 mm, selvage wire 3.4 mm, lacing wire 2.2 mm</t>
  </si>
  <si>
    <t>24.2.B</t>
  </si>
  <si>
    <t>Heavy Zinc Coated Hexagonal Mesh 100 * 120 mm, Mesh wire 2.7 mm, Selvage wire 3.4 mm, Lacing wire 2.2 mm</t>
  </si>
  <si>
    <t>Providing mechanically  woven double twisted  crates / mattress  including rolling, cutting and  with lacing  wire and binding wire as per specification.           
                                                                                                                                       , Hexagonal mesh type 80 mm x 100 mm, mesh wire 2.7 mm, selvage wire 3.4 mm, lacing wire 2.2 mm</t>
  </si>
  <si>
    <t>24.2.D</t>
  </si>
  <si>
    <t>Heavy Zinc Coated Hexagonal Mesh 80 * 100 mm, Mesh wire 2.7 mm, Selvage wire 3.4 mm, Lacing wire 2.2 mm</t>
  </si>
  <si>
    <t>Providing mechanically  woven double twisted  crates / mattress  including rolling, cutting and  with lacing  wire and binding wire as per specification.           
                                                                                                                                       , Hexagonal mesh type 60 mm x 80 mm, mesh wire 2.7 mm, selvage wire 3.4 mm, lacing wire 2.2 mm</t>
  </si>
  <si>
    <t>24.2.E</t>
  </si>
  <si>
    <t>Heavy Zinc Coated Hexagonal Mesh50 * 80 mm, Mesh wire 2.7 mm, Selvage wire 3.4 mm, Lacing wire 2.2 mm</t>
  </si>
  <si>
    <t>Providing mechanically  woven double twisted  crates / mattress  including rolling, cutting and  with lacing  wire and binding wire as per specification.           
                                                                                                                                       , Zinc + PVC coated Hexagonal mesh type 100 mm x 120 mm, mesh wire 2.7 mm/3.7 mm, selvage wire 3.4 mm/4.4 mm, lacing wire 2.2 mm/3.2 mm with Pac coating thickness nominal 0.5 mm ( minimum 0.38 mm)</t>
  </si>
  <si>
    <t>24.2.F</t>
  </si>
  <si>
    <t>Heavy Zinc Coated Hexagonal Mesh 100 * 120 mm, Mesh wire 2.7/3.7 mm, Selvage wire 3.4/4.4 mm, Lacing wire 2.2//3.2 mm with Pac Coating thickness 0.55 mm</t>
  </si>
  <si>
    <t>Providing mechanically  woven double twisted  crates / mattress  including rolling, cutting and  with lacing  wire and binding wire as per specification.           
                                                                                                                                       , Zinc + PVC coated Hexagonal mesh type 80 mm x 100 mm, mesh wire 2.2 mm/3.2 mm, selvage wire 2.7 mm/3.7 mm, lacing wire 2.2 mm/3.2 mm with Pac coating thickness nominal 0.5 mm ( minimum 0.38 mm)</t>
  </si>
  <si>
    <t>24.2.G</t>
  </si>
  <si>
    <t>Spec. cl. No: 2404</t>
  </si>
  <si>
    <t>Laying and fixing of Geo-Textile all complete as per specification., Providing  and laying of a geotextile filter between pitching and embankment slopes as per Drawing and Technical Specifications.</t>
  </si>
  <si>
    <t>24.5</t>
  </si>
  <si>
    <t>Geotextile</t>
  </si>
  <si>
    <t>Laying and fixing of Geo-Textile all complete as per specification., Providing and  laying and fixing of Geo-membrane all complete as per specification.</t>
  </si>
  <si>
    <t>24.06</t>
  </si>
  <si>
    <t>Spec. cl. No: 2421</t>
  </si>
  <si>
    <t>Providing and laying Plum concrete ( Boulder mixed concrete) as per Drawing and Specifications, 60% M 15  concrete and 40% boulders/stones, using Mechanical Aids</t>
  </si>
  <si>
    <t>24.21.A.I</t>
  </si>
  <si>
    <t>Aggregates</t>
  </si>
  <si>
    <t>Aggregate 20-40 mm</t>
  </si>
  <si>
    <t>Aggregate 10-20 mm</t>
  </si>
  <si>
    <t>Concrete Vibrator</t>
  </si>
  <si>
    <t>Providing and laying Plum concrete ( Boulder mixed concrete) as per Drawing and Specifications, 60% M 15  concrete and 40% boulders/stones, Manual means</t>
  </si>
  <si>
    <t>24.21.A.II</t>
  </si>
  <si>
    <t>Providing and laying Plum concrete ( Boulder mixed concrete) as per Drawing and Specifications, 70% M 15 concrete and 30% boulders/stones, Using Mechanical Aids</t>
  </si>
  <si>
    <t>24.21.B.I</t>
  </si>
  <si>
    <t>Providing and laying Plum concrete ( Boulder mixed concrete) as per Drawing and Specifications, 70% M 15 concrete and 30% boulders/stones, Manual means</t>
  </si>
  <si>
    <t>24.21.B.II</t>
  </si>
  <si>
    <t>Spec. cl. No: 2414</t>
  </si>
  <si>
    <t>Sub-Surface Drains with Perforated Pipe, Providing and laying subsurface drain with perforated pipe of 100 mm internal diameter of metal/ asbestos cement/ cement concrete/PVC, closely jointed, perforations ranging from 3 mm to 6 mm depending upon size of material surrounding the pipe, with 150 mm bedding below the pipe and 300 mm cushion above the pipe,.  as per Drawing and Specifications.</t>
  </si>
  <si>
    <t>24.22</t>
  </si>
  <si>
    <t>Perforated Pipe of Cement Concrete, internal 100 mm dia.</t>
  </si>
  <si>
    <t>Crushed Stone Aggregate</t>
  </si>
  <si>
    <t>Spec. cl. No: 2500</t>
  </si>
  <si>
    <t>Providing and laying Brick Masonry Work in Cement mortar  in Foundation / structure complete excluding Pointing and Plastering, as per Drawing and Technical Specifications., Cement sand mortar (1:2)</t>
  </si>
  <si>
    <t>5 cum</t>
  </si>
  <si>
    <t>25.1.A</t>
  </si>
  <si>
    <t>Bricks 1st class</t>
  </si>
  <si>
    <t xml:space="preserve">KL </t>
  </si>
  <si>
    <t>Providing and laying Brick Masonry Work in Cement mortar  in Foundation / structure complete excluding Pointing and Plastering, as per Drawing and Technical Specifications., Cement sand mortar (1:2), Using Concrete Mixer</t>
  </si>
  <si>
    <t>25.1.A_a</t>
  </si>
  <si>
    <t>Providing and laying Brick Masonry Work in Cement mortar  in Foundation / structure complete excluding Pointing and Plastering, as per Drawing and Technical Specifications., Cement sand mortar (1:3)</t>
  </si>
  <si>
    <t>25.1.B</t>
  </si>
  <si>
    <t>Providing and laying Brick Masonry Work in Cement mortar  in Foundation / structure complete excluding Pointing and Plastering, as per Drawing and Technical Specifications., Cement sand mortar (1:3), Using Concrete Mixer</t>
  </si>
  <si>
    <t>25.1.B_a</t>
  </si>
  <si>
    <t>hr</t>
  </si>
  <si>
    <t>0.75</t>
  </si>
  <si>
    <t>Providing and laying Brick Masonry Work in Cement mortar  in Foundation / structure complete excluding Pointing and Plastering, as per Drawing and Technical Specifications., Cement sand mortar (1:4)</t>
  </si>
  <si>
    <t>25.1.C</t>
  </si>
  <si>
    <t>Providing and laying Brick Masonry Work in Cement mortar  in Foundation / structure complete excluding Pointing and Plastering, as per Drawing and Technical Specifications., Cement sand mortar (1:4), Using Concrete Mixer</t>
  </si>
  <si>
    <t>25.1.C_a</t>
  </si>
  <si>
    <t>Providing and laying Brick Masonry Work in Cement mortar  in Foundation / structure complete excluding Pointing and Plastering, as per Drawing and Technical Specifications., Cement sand mortar (1:6)</t>
  </si>
  <si>
    <t>25.1.D</t>
  </si>
  <si>
    <t>Providing and laying Brick Masonry Work in Cement mortar  in Foundation / structure complete excluding Pointing and Plastering, as per Drawing and Technical Specifications., Cement sand mortar (1:6), Using Concrete Mixer</t>
  </si>
  <si>
    <t>25.1.D_a</t>
  </si>
  <si>
    <t>Providing and laying Brick masonry work in superstructure/ sub-structure complete excluding pointing and plastering, as per drawing and Technical Specifications, Cement Mortar 1:2 (1 cement : 2 sand)</t>
  </si>
  <si>
    <t>25.2.A</t>
  </si>
  <si>
    <t>Add 5 per cent  of cost of   Labour and material  for scaffolding</t>
  </si>
  <si>
    <t>Providing and laying Brick masonry work in superstructure/ sub-structure complete excluding pointing and plastering, as per drawing and Technical Specifications, Cement Mortar 1:2 (1 cement : 2 sand), Using Concrete Mixer</t>
  </si>
  <si>
    <t>25.2.A_a</t>
  </si>
  <si>
    <t>Providing and laying Brick masonry work in superstructure/ sub-structure complete excluding pointing and plastering, as per drawing and Technical Specifications, Cement Mortar 1:3 (1 cement : 3 sand)</t>
  </si>
  <si>
    <t>25.2.B</t>
  </si>
  <si>
    <t>Providing and laying Brick masonry work in superstructure/ sub-structure complete excluding pointing and plastering, as per drawing and Technical Specifications, Cement Mortar 1:3 (1 cement : 3 sand), Using Concrete Mixer</t>
  </si>
  <si>
    <t>25.2.B_a</t>
  </si>
  <si>
    <t>Providing and laying Brick masonry work in superstructure/ sub-structure complete excluding pointing and plastering, as per drawing and Technical Specifications, Cement Mortar 1:4 (1 cement : 4 sand)</t>
  </si>
  <si>
    <t>25.2.C</t>
  </si>
  <si>
    <t>Providing and laying Brick masonry work in superstructure/ sub-structure complete excluding pointing and plastering, as per drawing and Technical Specifications, Cement Mortar 1:4 (1 cement : 4 sand), Using Concrete Mixer</t>
  </si>
  <si>
    <t>25.2.C_a</t>
  </si>
  <si>
    <t>Providing and laying Brick masonry work in superstructure/ sub-structure complete excluding pointing and plastering, as per drawing and Technical Specifications, Cement Mortar 1:6 (1 cement : 6 sand)</t>
  </si>
  <si>
    <t>25.2.D</t>
  </si>
  <si>
    <t>Providing and laying Brick masonry work in superstructure/ sub-structure complete excluding pointing and plastering, as per drawing and Technical Specifications, Cement Mortar 1:6 (1 cement : 6 sand), Using Concrete Mixer</t>
  </si>
  <si>
    <t>25.2.D_a</t>
  </si>
  <si>
    <t>Providing, and applying Pointing with cement mortar (1:3 ) on brick work in structure as per Technical Specifications .</t>
  </si>
  <si>
    <t>25.3</t>
  </si>
  <si>
    <t>Providing and applying 12.5 mm thick  Plaster with cement mortar  on brick work structure as per Technical Specifications , Cement Mortar 1:2 (1 cement : 2 sand)</t>
  </si>
  <si>
    <t>25.4.A</t>
  </si>
  <si>
    <t>Providing and applying 12.5 mm thick  Plaster with cement mortar  on brick work structure as per Technical Specifications , Cement Mortar 1:2 (1 cement : 2 sand), Using Concrete Mixer</t>
  </si>
  <si>
    <t>25.4.A_a</t>
  </si>
  <si>
    <t>Providing  and laying weep holes in Brick works / Masonry/ Plain/ Reinforced concrete abutment, wing wall/ return wall with 100 mm dia HDPE pipe  as per Drawing and Technical Specifications.</t>
  </si>
  <si>
    <t>AC pipe 100 mm dia.</t>
  </si>
  <si>
    <t>Providing and applying 12.5 mm thick  Plaster with cement mortar  on brick work structure as per Technical Specifications , Cement Mortar 1:4 (1 cement : 4 sand), Using Concrete Mixer</t>
  </si>
  <si>
    <t>25.4.C_a</t>
  </si>
  <si>
    <t>Providing and applying 12.5 mm thick  Plaster with cement mortar  on brick work structure as per Technical Specifications , Cement Mortar 1:4 (1 cement : 4 sand)</t>
  </si>
  <si>
    <t>25.4.C</t>
  </si>
  <si>
    <t>Providing and applying 12.5 mm thick  Plaster with cement mortar  on brick work structure as per Technical Specifications , Cement Mortar 1:3 (1 cement : 3 sand), Using Concrete Mixer</t>
  </si>
  <si>
    <t>25.4.B_a</t>
  </si>
  <si>
    <t>Providing and applying 12.5 mm thick  Plaster with cement mortar  on brick work structure as per Technical Specifications , Cement Mortar 1:3 (1 cement : 3 sand)</t>
  </si>
  <si>
    <t>25.4.B</t>
  </si>
  <si>
    <t>Spec. cl. No: 2602, 2603, 2607</t>
  </si>
  <si>
    <t>Random Rubble Masonry, Providing and laying of Stone Masonry Work in Cement Mortar 1:3 in Foundation complete as per Drawing and Technical Specifications.</t>
  </si>
  <si>
    <t>26.3.A</t>
  </si>
  <si>
    <t>Concrete mixer or other tools</t>
  </si>
  <si>
    <t>Random Rubble Masonry, Providing and laying of Stone Masonry Work in Cement Mortar 1:3 in Foundation complete as per Drawing and Technical Specifications., Using Concrete Mixer</t>
  </si>
  <si>
    <t>26.3.A_a</t>
  </si>
  <si>
    <t>Random Rubble Masonry, Providing and laying of Stone Masonry Work in Cement Mortar 1:4 in Foundation complete as per Drawing and Technical Specifications., Using Concrete Mixer</t>
  </si>
  <si>
    <t>26.3.B_a</t>
  </si>
  <si>
    <t>Random Rubble Masonry, Providing and laying of Stone Masonry Work in Cement Mortar 1:4 in Foundation complete as per Drawing and Technical Specifications.</t>
  </si>
  <si>
    <t>26.3.B</t>
  </si>
  <si>
    <t>Random Rubble Masonry, Providing and laying of Stone Masonry Work in Cement Mortar 1:6 in Foundation complete as per Drawing and Technical Specifications., Using Concrete Mixer</t>
  </si>
  <si>
    <t>26.3.C_a</t>
  </si>
  <si>
    <t>Random Rubble Masonry, Providing and laying of Stone Masonry Work in Cement Mortar 1:6 in Foundation complete as per Drawing and Technical Specifications.</t>
  </si>
  <si>
    <t>26.3.C</t>
  </si>
  <si>
    <t>Spec. cl. No: 2709</t>
  </si>
  <si>
    <t>Providing and Sealing of cracks/porous concrete by injection process through nipples/Grouting complete as per Technical Specification., Cement Grout</t>
  </si>
  <si>
    <t>50 kg</t>
  </si>
  <si>
    <t>27.5.A</t>
  </si>
  <si>
    <t>Admixtures (anti shrinkage compound) @ 20 per cent of cost of cement</t>
  </si>
  <si>
    <t>Grout pump with Agitator</t>
  </si>
  <si>
    <t>Providing and Sealing of cracks/porous concrete by injection process through nipples/Grouting complete as per Technical Specification., Cement Mortar (1:1) Grouting</t>
  </si>
  <si>
    <t>27.5.B</t>
  </si>
  <si>
    <t>Admixtures (anti shrinkage compound)      @ 20 per cent  of cost of cement</t>
  </si>
  <si>
    <t>Spec. cl. No: 2700</t>
  </si>
  <si>
    <t>Providing and replacement of Expansion Joints complete as per drawings, Technical specifications and direction of the Engineer.</t>
  </si>
  <si>
    <t>Epoxy Bonding Agent</t>
  </si>
  <si>
    <t>Expansion  Joint (Elastomeric Slab Steel Expansion Joint / compression seal/ strip / modular strip. etc.)</t>
  </si>
  <si>
    <t>Spec. cl. No: 2711</t>
  </si>
  <si>
    <t>Providing required parts and rectification of Bearings as per Technical Specifications and direction of the Engineer.</t>
  </si>
  <si>
    <t>3 nos</t>
  </si>
  <si>
    <t>27.13</t>
  </si>
  <si>
    <t>Parts of Bearing</t>
  </si>
  <si>
    <t>As per requirement</t>
  </si>
  <si>
    <t>Wooden Packing</t>
  </si>
  <si>
    <t>Hydraulic Jack</t>
  </si>
  <si>
    <t>Providing and replacement of Damaged Concrete Railing as per Drawing, Technical Specifications and direction of the Engineer,.</t>
  </si>
  <si>
    <t>27.15</t>
  </si>
  <si>
    <t>Labour for dismantling old railing and disposal of dismantled material.</t>
  </si>
  <si>
    <t>Providing and replacement of Crash Barrier as per Drawing, Technical Specifications and instruction of the Engineer.</t>
  </si>
  <si>
    <t>27.16</t>
  </si>
  <si>
    <t>Providing and replacement of Damaged  mild steel railing as per Drawing, Technical Specifications and direction of the Engineer.</t>
  </si>
  <si>
    <t>27.17</t>
  </si>
  <si>
    <t>Repair of Crash Barrier, Providing and repair of concrete crash barrier with cement concrete M-30 grade by cutting and trimming the damaged portion to a regular shape, cleaning the area to be repaired thoroughly, applying cement concert after erection of proper form work.</t>
  </si>
  <si>
    <t>27.18</t>
  </si>
  <si>
    <t>M-30 grade cement concrete</t>
  </si>
  <si>
    <t>Providing and  repair of  RCC  railing to bring it to the original shape as per Drawing, Technical Specifications and instruction of the Engineer., Repair of RCC Railing</t>
  </si>
  <si>
    <t>27.19</t>
  </si>
  <si>
    <t>HYSD bar reinforcement</t>
  </si>
  <si>
    <t>Repair of Steel Railing, Providing and repair of steel railing to bring it to the original shape as per Drawing, Technical Specifications and direction of the Engineer.</t>
  </si>
  <si>
    <t>27.20'</t>
  </si>
  <si>
    <t>Mild Steel ISMC series</t>
  </si>
  <si>
    <t>Flat Iron</t>
  </si>
  <si>
    <t>MS Bolt and Nuts</t>
  </si>
  <si>
    <t>For painting.</t>
  </si>
  <si>
    <t>Spec. cl. No: 2713</t>
  </si>
  <si>
    <t>Painting of Steel Bridge, Providing and painting steel bridge including removal of old paints by sand blasting cleaning and repairing of metal surfaces for the application of new paints as per specification and direction of the Engineer.</t>
  </si>
  <si>
    <t>27.21</t>
  </si>
  <si>
    <t>Sand 1.7 mm - 600 micron</t>
  </si>
  <si>
    <t>Blasting Machine</t>
  </si>
  <si>
    <t>Providing and Painting of steel bridges with one coat of primer, one coat of epoxy and 2 coats of acrylic polyurethane as per specification.</t>
  </si>
  <si>
    <t>27.22</t>
  </si>
  <si>
    <t>Epoxy Red Zinc Oxide  Phosphate Primer</t>
  </si>
  <si>
    <t>lit</t>
  </si>
  <si>
    <t>High Built Epoxy</t>
  </si>
  <si>
    <t>High Built Polyur-Ethane</t>
  </si>
  <si>
    <t>Paint Sprayer Machine with Compressor</t>
  </si>
  <si>
    <t>Providing and painting of steel bridges with one coat of primer, one coat of epoxy and 2 coats of acrylic polyurethane, without sprayer machine as per specification</t>
  </si>
  <si>
    <t>27.23</t>
  </si>
  <si>
    <t>Spec. cl. No: 2902</t>
  </si>
  <si>
    <t>Maintenance,Carryout Routine ( regular maintenance) of Black top/ Gravel  road in plain area (  Terai) as per Technical Specifications and direction of the Engineer,</t>
  </si>
  <si>
    <t>1 Km - day</t>
  </si>
  <si>
    <t>29.1.A</t>
  </si>
  <si>
    <t>fuel</t>
  </si>
  <si>
    <t>Training ARMP</t>
  </si>
  <si>
    <t>Insurance</t>
  </si>
  <si>
    <t>First aid</t>
  </si>
  <si>
    <t>Tools and plants</t>
  </si>
  <si>
    <t>Maintenance of tools</t>
  </si>
  <si>
    <t>Maintenance, Carryout Routine ( regular maintenance) of Black top/ Gravel  road in Hilly area as per Technical Specifications and direction of the Engineer,</t>
  </si>
  <si>
    <t>29.1.B</t>
  </si>
  <si>
    <t>Spec. cl. No: 2900</t>
  </si>
  <si>
    <t>20 20 km per year</t>
  </si>
  <si>
    <t>29.3</t>
  </si>
  <si>
    <t>Crushed Stone Aggregate 13.2 mm</t>
  </si>
  <si>
    <t>Crushed Stone Aggregate 10 mm</t>
  </si>
  <si>
    <t>Bitumen VG 10</t>
  </si>
  <si>
    <t>Tools and plants maintenance etc.</t>
  </si>
  <si>
    <t>as per requirements</t>
  </si>
  <si>
    <t>Hot Mix Plant</t>
  </si>
  <si>
    <t>Spec. cl. No: 2909</t>
  </si>
  <si>
    <t>Restoration of Rain Cuts. Providing and restoration of rain cuts in embankment slopes as per specification and direction of the Engineer.</t>
  </si>
  <si>
    <t>29.4</t>
  </si>
  <si>
    <t>Providing and restoration of rain cuts with surrounding  material benching for 300 mm width, laying fresh Material in layers not exceeding 250 mm and compacting to restore the original alignment, levels and slopes as per Technical Specification and direction of the Engineer.Manual means</t>
  </si>
  <si>
    <t>29.5</t>
  </si>
  <si>
    <t>Compensation for earth Taken from private land</t>
  </si>
  <si>
    <t>Spec. cl. No: 2903</t>
  </si>
  <si>
    <t>Maintenance of bituminous surface road with Emulsion, Providing required material and repair to pot holes including removal of failed material, trimming the sides to vertical , leveling the bottom, cleaning, filled with 75 mm Bituminous macadam  applying bitumen /emulsion prime coat  and  tack coat  as per Technical Specifications and direction of the Engineer.</t>
  </si>
  <si>
    <t>14.06 cum</t>
  </si>
  <si>
    <t>29.10.i</t>
  </si>
  <si>
    <t xml:space="preserve">Assume 5% area  need to repair </t>
  </si>
  <si>
    <t>Emulsion</t>
  </si>
  <si>
    <t>Bottom = 187.5</t>
  </si>
  <si>
    <t>Sides = 28.27</t>
  </si>
  <si>
    <t>Total = 215.77</t>
  </si>
  <si>
    <t xml:space="preserve">Volume of aggregate 29.86 / 1.5 = 19.90 cum </t>
  </si>
  <si>
    <t>Grading (1) (40 mm nominal size)</t>
  </si>
  <si>
    <t>Aggregate Grading I 37.5-25 mm</t>
  </si>
  <si>
    <t>Aggregate Grading I 10-5 mm</t>
  </si>
  <si>
    <t>Compressor</t>
  </si>
  <si>
    <t>Mixture Machine</t>
  </si>
  <si>
    <t>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5 mm thickness</t>
  </si>
  <si>
    <t>3500 sqm</t>
  </si>
  <si>
    <t>29.14.I</t>
  </si>
  <si>
    <t>Fine Aggregate 4.75 mm and below</t>
  </si>
  <si>
    <t>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3 mm thickness</t>
  </si>
  <si>
    <t>29.14.II</t>
  </si>
  <si>
    <t>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1.5 mm thickness</t>
  </si>
  <si>
    <t>1200 sqm</t>
  </si>
  <si>
    <t>29.14.III</t>
  </si>
  <si>
    <t>Fine Aggregate 2.36 mm and below</t>
  </si>
  <si>
    <t>Fog Spray, Providing and applying low viscosity bitumen emulsion for sealing cracks less than 3 mm wide or incipient fretting or disintegration in an existing bituminous surfacing.</t>
  </si>
  <si>
    <t>5000 sqm</t>
  </si>
  <si>
    <t>29.15</t>
  </si>
  <si>
    <t>Fog Spray, Providing and applying low viscosity bitumen emulsion for sealing cracks less than 3 mm wide or incipient fretting or disintegration in an existing bituminous surfacing., In case it is decided by the engineer to blind the fog spray.</t>
  </si>
  <si>
    <t>29.15_a</t>
  </si>
  <si>
    <t>Crushed Stone Grit 3 mm</t>
  </si>
  <si>
    <t>Surface Dressing for maintenance works., Providing and laying surfacing dressing as wearing course in single coat using gravel of specified size for maintenance / repair works as per Technical Specification and instruction of the Engineer., :-19 mm nominal chipping size</t>
  </si>
  <si>
    <t>500 sqm</t>
  </si>
  <si>
    <t>29.17.I</t>
  </si>
  <si>
    <t>Crushed Stone Chipping 19 mm</t>
  </si>
  <si>
    <t>Add: 0.5 per cent of (a) Labour for T&amp;P</t>
  </si>
  <si>
    <t>Surface Dressing for maintenance works., Providing and laying surfacing dressing as wearing course in single coat using gravel of specified size for maintenance / repair works as per Technical Specification and instruction of the Engineer., 13 mm nominal size chipping</t>
  </si>
  <si>
    <t>750 sqm</t>
  </si>
  <si>
    <t>29.17.II</t>
  </si>
  <si>
    <t>Surface Dressing for maintenance works., Providing and laying surfacing dressing as wearing course in single coat using gravel of specified size for maintenance / repair works as per Technical Specification and instruction of the Engineer., 9.5 mm nominal size chipping</t>
  </si>
  <si>
    <t>850 sqm</t>
  </si>
  <si>
    <t>29.17.III</t>
  </si>
  <si>
    <t>Crushed Stone Chipping 9.5 mm</t>
  </si>
  <si>
    <t>Carryout Routine using Labour based method for Local road as per direction of the Engineer,, District Road , Rural road class "A"</t>
  </si>
  <si>
    <t>1 km</t>
  </si>
  <si>
    <t>29.22.A</t>
  </si>
  <si>
    <t>Supervisor</t>
  </si>
  <si>
    <t>Assuming each worker takes charge of routine maintenance of 2 km road streatch and works 12 days per month for class "A" road</t>
  </si>
  <si>
    <t xml:space="preserve">Tools and plants </t>
  </si>
  <si>
    <t xml:space="preserve">Maintenance of tools </t>
  </si>
  <si>
    <t>Carryout Routine using Labour based method for Local road as per direction of the Engineer,, Village Road , Rural road class "B"</t>
  </si>
  <si>
    <t>29.22.B</t>
  </si>
  <si>
    <t>Assuming each worker takes charge of routine maintenance of 2 km road streatch and works 6 days per month for class "B" road</t>
  </si>
  <si>
    <t>Carryout Routine using Labour based method for Local road as per direction of the Engineer,, Main Trail  , Rural road Class "C"</t>
  </si>
  <si>
    <t xml:space="preserve">1 </t>
  </si>
  <si>
    <t>29.22.C</t>
  </si>
  <si>
    <t>Assuming each worker takes charge of routine maintenance of 2 km road streatch and works 3 days per month for class "C" road</t>
  </si>
  <si>
    <t>Carryout Routine using Labour based method for Local road as per direction of the Engineer,, Village Trail  , Rural road Class "D"</t>
  </si>
  <si>
    <t>29.22.D</t>
  </si>
  <si>
    <t>Assuming each worker takes charge of routine maintenance of 2 km road streatch and works 1.5 days per month for class "D" road</t>
  </si>
  <si>
    <t>Spec. cl. No: 3105</t>
  </si>
  <si>
    <t>Providing, fitting and fixing mild steel railing complete as per drawing and Technical Specification</t>
  </si>
  <si>
    <t>100 m</t>
  </si>
  <si>
    <t>31.2</t>
  </si>
  <si>
    <t>ISMC 100</t>
  </si>
  <si>
    <t>MS Flat</t>
  </si>
  <si>
    <t>MS bars</t>
  </si>
  <si>
    <t>MS Bolt, Nuts and Washers</t>
  </si>
  <si>
    <t>Add @ 5  per cent  of cost of Material for painting one shop coat with red oxide primer and three coats of synthetic enamel paint and consumables to safeguard against weathering and corrosion.</t>
  </si>
  <si>
    <t>Add  1 percent of cost of material  for fixing vertical posts</t>
  </si>
  <si>
    <t>Add 1 per cent  of cost of Material for electricity charges, welding and drilling equipment, electrodes and other consumables</t>
  </si>
  <si>
    <t>Providing and fixing Drainage Spouts complete as per Drawing and Technical specifications.</t>
  </si>
  <si>
    <t>31.3</t>
  </si>
  <si>
    <t>For fabrication</t>
  </si>
  <si>
    <t>Skilled (Blacksmith / Welder)</t>
  </si>
  <si>
    <t>For fixing in position</t>
  </si>
  <si>
    <t>Corrosion Resistant Structural Steel</t>
  </si>
  <si>
    <t>GI Pipe 100 mm dia.</t>
  </si>
  <si>
    <t>GI Bolt 10 mm dia.</t>
  </si>
  <si>
    <t>Galvanized MS Flat Clamp</t>
  </si>
  <si>
    <t>Add @ 5 per cent  of cost of Material and Labour for electrodes, cutting gas, sealant, anti-corrosive bituminous paint, mild steel grating etc.</t>
  </si>
  <si>
    <t>Spec. cl. No: 3103</t>
  </si>
  <si>
    <t>Filler joint, Providing &amp; fixing 2 mm thick corrugated copper plate in expansion joint complete as per drawing &amp; Technical Specification.</t>
  </si>
  <si>
    <t>31.4.i</t>
  </si>
  <si>
    <t>Copper Plate</t>
  </si>
  <si>
    <t>, Providing &amp; fixing 20 mm thick compressible fiber board in expansion joint complete as per drawing &amp; Technical Specification.</t>
  </si>
  <si>
    <t>31.4.ii</t>
  </si>
  <si>
    <t>Compressible Fiber Board 20 mm</t>
  </si>
  <si>
    <t>, Providing and fixing in position 20 mm thick pre-moulded joint filler in expansion joint for fixed ends of simply supported spans not exceeding 10 m to cater for a horizontal movement upto 20 mm, covered with sealant complete as per Drawing and technical specifications.</t>
  </si>
  <si>
    <t>31.4.iii</t>
  </si>
  <si>
    <t>Tubular Steel Railing on Medium Weight Steel Channel ( ISMC series) 100 mm x 50 mm, Providing, fixing and erecting 50 mm dia steel pipe railing in 3 rows duly painted on medium weight steel channels (ISMC series) 100 mm x 50 mm, 1.2 metres high above ground, 2 m center to center, complete as per Drawing and Technical specifications.</t>
  </si>
  <si>
    <t>100 meter</t>
  </si>
  <si>
    <t>31.6</t>
  </si>
  <si>
    <t>Skilled (Plumber)</t>
  </si>
  <si>
    <t>Steel pipe 50 mm external dia as per IS: 1239</t>
  </si>
  <si>
    <t>Medium weight steel channel (ISMC series) 100 mm x 50 mm, 10.8 metres length @ 9.2 kg per meter</t>
  </si>
  <si>
    <t>Add for drilling holes @ 2 per cent  of cost of channels</t>
  </si>
  <si>
    <t>Foundation concrete M-15</t>
  </si>
  <si>
    <t>Painting of pipe</t>
  </si>
  <si>
    <t>Painting of channel section</t>
  </si>
  <si>
    <t>Tubular Steel Railing on Precast RCC Posts, 1.2 m High Above Ground Level, Providing, fencing and erecting 50 mm dia painted steel pipe railing in 3 rows on precast M 20 grade RCC vertical posts 1.8 metres high (1.2 m above GL) with 3 holes 50 mm dia for pipe, fixed 2 metres center to, complete as per Drawing and Technical Specifications.</t>
  </si>
  <si>
    <t>31.7</t>
  </si>
  <si>
    <t>Foundation concrete M - 15</t>
  </si>
  <si>
    <t>RCC M - 20</t>
  </si>
  <si>
    <t>Section 800: Loading/Unloading</t>
  </si>
  <si>
    <t>Loading/Unloading Mechanical</t>
  </si>
  <si>
    <t>S.N.</t>
  </si>
  <si>
    <t>Description</t>
  </si>
  <si>
    <t>Total</t>
  </si>
  <si>
    <t>Gravel</t>
  </si>
  <si>
    <t>Rubble</t>
  </si>
  <si>
    <t>Loading/Unloading Manual</t>
  </si>
  <si>
    <t>1000 Nos.</t>
  </si>
  <si>
    <t xml:space="preserve">Bitumen Drums </t>
  </si>
  <si>
    <t>C.C. Blocks, Kerb, etc.</t>
  </si>
  <si>
    <t>Steel</t>
  </si>
  <si>
    <t>RCC Hume pipes</t>
  </si>
  <si>
    <t>Loading of RCC Hume pipes by mechanical means including a lead upto 30 m</t>
  </si>
  <si>
    <t>a</t>
  </si>
  <si>
    <t>900 mm dia RCC Hume pipe</t>
  </si>
  <si>
    <t>b</t>
  </si>
  <si>
    <t>1000 mm dia RCC Hume pipe</t>
  </si>
  <si>
    <t>c</t>
  </si>
  <si>
    <t>1200 mm dia RCC Hume pipe</t>
  </si>
  <si>
    <t>d</t>
  </si>
  <si>
    <t>750 mm dia RCC Hume pipe</t>
  </si>
  <si>
    <t>e</t>
  </si>
  <si>
    <t>600 mm dia RCC Hume pipe</t>
  </si>
  <si>
    <t>f</t>
  </si>
  <si>
    <t>450 mm dia RCC Hume pipe</t>
  </si>
  <si>
    <t>g</t>
  </si>
  <si>
    <t>450 mm dia RCC Hume pipe 37.5 m</t>
  </si>
  <si>
    <t>h</t>
  </si>
  <si>
    <t>300 mm dia RCC Hume pipe</t>
  </si>
  <si>
    <t>Unloading of RCC Hume pipes by mechanical means including a lead upto 30 m</t>
  </si>
  <si>
    <t>Loading of RCC Hume pipe by manual means including a lead upto 30 m</t>
  </si>
  <si>
    <t xml:space="preserve">750 mm dia RCC Hume pipe </t>
  </si>
  <si>
    <t xml:space="preserve">600 mm dia RCC Hume pipe </t>
  </si>
  <si>
    <t xml:space="preserve">450 mm dia RCC Hume pipe </t>
  </si>
  <si>
    <t xml:space="preserve">300 mm dia RCC Hume pipe </t>
  </si>
  <si>
    <t>Section 800: Collection</t>
  </si>
  <si>
    <t>Collection</t>
  </si>
  <si>
    <t>Washing</t>
  </si>
  <si>
    <t>Remarks</t>
  </si>
  <si>
    <t>5 mm - 70 mm</t>
  </si>
  <si>
    <t>Without Washing</t>
  </si>
  <si>
    <t>40 mm</t>
  </si>
  <si>
    <t>20 mm</t>
  </si>
  <si>
    <t>8 mm</t>
  </si>
  <si>
    <t>40 mm - 70 mm</t>
  </si>
  <si>
    <t>70 mm - 100 mm</t>
  </si>
  <si>
    <t>Quarry output less than 33%</t>
  </si>
  <si>
    <t>Quarry output  33 - 66%</t>
  </si>
  <si>
    <t xml:space="preserve"> Quarry output more than  66%</t>
  </si>
  <si>
    <t>Collection, quarrying  and sieving sand  in local river</t>
  </si>
  <si>
    <t>20 mm - 40 mm</t>
  </si>
  <si>
    <t>10 mm - 20 mm</t>
  </si>
  <si>
    <t xml:space="preserve"> 10 mm</t>
  </si>
  <si>
    <t xml:space="preserve">Mechanical </t>
  </si>
  <si>
    <t>13.2 mm</t>
  </si>
  <si>
    <t>Quarry output more than  66%</t>
  </si>
  <si>
    <t>Manually Breaking Stones (excluding Collection of Rubble)</t>
  </si>
  <si>
    <t>Making rubbles of required size including and stacking.(Without Blasting)</t>
  </si>
  <si>
    <t>Rubbles</t>
  </si>
  <si>
    <t>Making rubbles of required size including and  stacking.(Blasting)</t>
  </si>
  <si>
    <t>Detonator</t>
  </si>
  <si>
    <t>2.575</t>
  </si>
  <si>
    <t>Mechanically Crushing of Stone Aggregates</t>
  </si>
  <si>
    <t>Stone Boulder of size 150mm and below</t>
  </si>
  <si>
    <t>Stone Crusher with Screen</t>
  </si>
  <si>
    <t xml:space="preserve">Aggregate </t>
  </si>
  <si>
    <t>1) District rates: Materials</t>
  </si>
  <si>
    <t>District Rate (D)</t>
  </si>
  <si>
    <t>District Transportation (Dt)</t>
  </si>
  <si>
    <t>Total District Rate (D + Dt)</t>
  </si>
  <si>
    <t>Collection Rate (C)</t>
  </si>
  <si>
    <t>Royalty (R)</t>
  </si>
  <si>
    <t>Loading and Unloading Rate (Lu)</t>
  </si>
  <si>
    <t>Transportation (Tp)</t>
  </si>
  <si>
    <t>Total Rate
(C + R + Lu + Tp)</t>
  </si>
  <si>
    <t>Adopted Rate</t>
  </si>
  <si>
    <t>ac_pipe_100_mm_dia</t>
  </si>
  <si>
    <t>ac_pipe_collar</t>
  </si>
  <si>
    <t>aggregate_10_20_mm</t>
  </si>
  <si>
    <t>aggregate_10_mm</t>
  </si>
  <si>
    <t>aggregate_13.2_mm</t>
  </si>
  <si>
    <t>aggregate_20_40_mm</t>
  </si>
  <si>
    <t>aggregate_20_mm</t>
  </si>
  <si>
    <t>aggregate_40_70_mm</t>
  </si>
  <si>
    <t>aluminum_alloy_plate_2_mm</t>
  </si>
  <si>
    <t>anti_stripping_agent</t>
  </si>
  <si>
    <t>base_course_material</t>
  </si>
  <si>
    <t>bentonite</t>
  </si>
  <si>
    <t>binding_wire</t>
  </si>
  <si>
    <t>bitumen</t>
  </si>
  <si>
    <t>bitumen_vg_10</t>
  </si>
  <si>
    <t>borrow_pit_material</t>
  </si>
  <si>
    <t>bricks</t>
  </si>
  <si>
    <t>bricks_1st_class</t>
  </si>
  <si>
    <t>capping_layer</t>
  </si>
  <si>
    <t>cats_eye</t>
  </si>
  <si>
    <t>cement</t>
  </si>
  <si>
    <t>clamps</t>
  </si>
  <si>
    <t>compressible_fiber_board_20_mm</t>
  </si>
  <si>
    <t>concrete_block_footpath</t>
  </si>
  <si>
    <t>concrete_block_kerb</t>
  </si>
  <si>
    <t>copper_plate</t>
  </si>
  <si>
    <t>corrosion_resistant_steel</t>
  </si>
  <si>
    <t>cutback_bitumen</t>
  </si>
  <si>
    <t>diesel</t>
  </si>
  <si>
    <t>litre</t>
  </si>
  <si>
    <t>elastomeric_bearing</t>
  </si>
  <si>
    <t>electric_detonator</t>
  </si>
  <si>
    <t>electricity</t>
  </si>
  <si>
    <t>kWh</t>
  </si>
  <si>
    <t>epoxy_bonding_agent</t>
  </si>
  <si>
    <t>epoxy_red_zinc_oxide_phosphate_primer</t>
  </si>
  <si>
    <t>expansion_joint</t>
  </si>
  <si>
    <t>filter_material</t>
  </si>
  <si>
    <t>fuse_wire_blasting</t>
  </si>
  <si>
    <t>Gabion_100x120_MW2.7_3.7_SW3.4_4.4_LW2.2_3.2</t>
  </si>
  <si>
    <t>Gabion_100x120_MW3_SW3.9_LW2.4</t>
  </si>
  <si>
    <t>Gabion_50x80_MW2.7_SW3.4_LW2.2</t>
  </si>
  <si>
    <t>Gabion_100x120_MW2.7_SW3.4_LW2.2</t>
  </si>
  <si>
    <t>gabion_mesh_wire</t>
  </si>
  <si>
    <t>Galvanized_Angle</t>
  </si>
  <si>
    <t>galvanized_angle_section_100_100_mm</t>
  </si>
  <si>
    <t>galvanized_channel_post</t>
  </si>
  <si>
    <t>galvanized_corrugated_thrie_beam</t>
  </si>
  <si>
    <t>galvanized_corrugated_w_beam_sheet</t>
  </si>
  <si>
    <t>galvanized_ms_clamp</t>
  </si>
  <si>
    <t>galvanized_spacer_channel</t>
  </si>
  <si>
    <t>galvanized_steel</t>
  </si>
  <si>
    <t>gelatin</t>
  </si>
  <si>
    <t>geotextile</t>
  </si>
  <si>
    <t>gi_bolt_dia_10_mm</t>
  </si>
  <si>
    <t>gi_pipe_dia_100_mm</t>
  </si>
  <si>
    <t>gi_wire</t>
  </si>
  <si>
    <t>glass_beads</t>
  </si>
  <si>
    <t>gravel</t>
  </si>
  <si>
    <t>high_built_epoxy</t>
  </si>
  <si>
    <t>hume_pipe_dia_1000_mm</t>
  </si>
  <si>
    <t>hume_pipe_dia_100_mm</t>
  </si>
  <si>
    <t>hume_pipe_dia_1200_mm</t>
  </si>
  <si>
    <t>hume_pipe_dia_300_mm</t>
  </si>
  <si>
    <t>hume_pipe_dia_450_mm</t>
  </si>
  <si>
    <t>hume_pipe_dia_600_mm</t>
  </si>
  <si>
    <t>hume_pipe_dia_900_mm</t>
  </si>
  <si>
    <t>kerosene</t>
  </si>
  <si>
    <t>lime</t>
  </si>
  <si>
    <t>lpg</t>
  </si>
  <si>
    <t>ms_bar</t>
  </si>
  <si>
    <t>ms_channel</t>
  </si>
  <si>
    <t>ms_clamp</t>
  </si>
  <si>
    <t>ms_flat_pipe</t>
  </si>
  <si>
    <t>ms_pipe_25_mm</t>
  </si>
  <si>
    <t>ms_pipe_50_mm</t>
  </si>
  <si>
    <t>ms_pipes_dia_40mm</t>
  </si>
  <si>
    <t>ms_plate</t>
  </si>
  <si>
    <t>ms_sheet_2_mm</t>
  </si>
  <si>
    <t>nails_spikes</t>
  </si>
  <si>
    <t>nuts_bolts</t>
  </si>
  <si>
    <t>pack_high_built_polyur_ethane</t>
  </si>
  <si>
    <t>part_of_bearing</t>
  </si>
  <si>
    <t>petrol</t>
  </si>
  <si>
    <t>ply_wood_12mm_thick</t>
  </si>
  <si>
    <t>ply_wood_9mm_thick</t>
  </si>
  <si>
    <t>pre_coated_stone_chips_13mm</t>
  </si>
  <si>
    <t>preformed_continuous_chloroprene_elastomer</t>
  </si>
  <si>
    <t>pre_moulded_joint_filler</t>
  </si>
  <si>
    <t>project_signboard</t>
  </si>
  <si>
    <t>PVC_pipe_200_mm</t>
  </si>
  <si>
    <t>rafter_beam_battens</t>
  </si>
  <si>
    <t>RCC_collar_dia_1000_mm</t>
  </si>
  <si>
    <t>RCC_collar_dia_1200_mm</t>
  </si>
  <si>
    <t>RCC_collar_dia_300_mm</t>
  </si>
  <si>
    <t>RCC_collar_dia_450_mm</t>
  </si>
  <si>
    <t>RCC_collar_dia_600_mm</t>
  </si>
  <si>
    <t>RCC_collar_dia_900_mm</t>
  </si>
  <si>
    <t>RS_joist</t>
  </si>
  <si>
    <t>rubble</t>
  </si>
  <si>
    <t>sal_wood</t>
  </si>
  <si>
    <t>sand</t>
  </si>
  <si>
    <t>steel_tube_dia_50_mm</t>
  </si>
  <si>
    <t>steel_wire_40_mm</t>
  </si>
  <si>
    <t>stone_dust</t>
  </si>
  <si>
    <t>stone_slab_50_mm</t>
  </si>
  <si>
    <t>street_lighting_pole_9_m</t>
  </si>
  <si>
    <t>strip_or_box_seal_expansion_joint</t>
  </si>
  <si>
    <t>structural_steel</t>
  </si>
  <si>
    <t>struts</t>
  </si>
  <si>
    <t>struts_ballies</t>
  </si>
  <si>
    <t>sub_base_material</t>
  </si>
  <si>
    <t>sub_base_material_footpath</t>
  </si>
  <si>
    <t>surface_dressing_chips</t>
  </si>
  <si>
    <t>thermoplastic_paint</t>
  </si>
  <si>
    <t>tiles_300_300_mm_and_25mm_thick</t>
  </si>
  <si>
    <t>vapor_lamp</t>
  </si>
  <si>
    <t>ms_angle</t>
  </si>
  <si>
    <t>water</t>
  </si>
  <si>
    <t>wooden_packing</t>
  </si>
  <si>
    <t>2) District rates: Labours</t>
  </si>
  <si>
    <t>blaster</t>
  </si>
  <si>
    <t>driller</t>
  </si>
  <si>
    <t>semiskilled</t>
  </si>
  <si>
    <t>skilled</t>
  </si>
  <si>
    <t>skilled_blacksmith</t>
  </si>
  <si>
    <t>skilled_electrician_lineman</t>
  </si>
  <si>
    <t>skilled_mason</t>
  </si>
  <si>
    <t>skilled_painter</t>
  </si>
  <si>
    <t>skilled_plumber</t>
  </si>
  <si>
    <t>supervisor</t>
  </si>
  <si>
    <t>technician</t>
  </si>
  <si>
    <t>unskilled</t>
  </si>
  <si>
    <t>Usage Rates of Plant and Machinery</t>
  </si>
  <si>
    <t>The usage rates include: cost of repair and maintenance, running and operation charge which includes crew, fuel &amp; lubricants</t>
  </si>
  <si>
    <t>SL.no</t>
  </si>
  <si>
    <t>Name</t>
  </si>
  <si>
    <t>Activity</t>
  </si>
  <si>
    <t>Capacity</t>
  </si>
  <si>
    <t>Output of Machine</t>
  </si>
  <si>
    <t>Load Factor</t>
  </si>
  <si>
    <t>Time Factor</t>
  </si>
  <si>
    <t>Rate (Rs.)</t>
  </si>
  <si>
    <t>Ownership Charge
(Rs/hr)</t>
  </si>
  <si>
    <t>Operation Charges (Rs/ hr)</t>
  </si>
  <si>
    <t>Fuel</t>
  </si>
  <si>
    <t>Crew</t>
  </si>
  <si>
    <t>Servicing</t>
  </si>
  <si>
    <t>Maintenance</t>
  </si>
  <si>
    <t>Fuel
(L/hr)</t>
  </si>
  <si>
    <t>Electrictity 
(Units/hr)</t>
  </si>
  <si>
    <t>Fuel oil
(Heating- L/hr)</t>
  </si>
  <si>
    <t>P&amp;M-001</t>
  </si>
  <si>
    <t>General Purpose</t>
  </si>
  <si>
    <t>170/250</t>
  </si>
  <si>
    <t>cfm</t>
  </si>
  <si>
    <t>bentonite_pump</t>
  </si>
  <si>
    <t/>
  </si>
  <si>
    <t>P&amp;M-005</t>
  </si>
  <si>
    <t>Bitumen Boiler oil fired</t>
  </si>
  <si>
    <t>Bitumen Spraying</t>
  </si>
  <si>
    <t>1500</t>
  </si>
  <si>
    <t>P&amp;M-004</t>
  </si>
  <si>
    <t>Bitumen Pressure Distributor</t>
  </si>
  <si>
    <t>Applying bitumen tack coat</t>
  </si>
  <si>
    <t>1750</t>
  </si>
  <si>
    <t>sqm/hour</t>
  </si>
  <si>
    <t>P&amp;M-026</t>
  </si>
  <si>
    <t>Hydraulic Chip Spreader</t>
  </si>
  <si>
    <t>Surface Dressing</t>
  </si>
  <si>
    <t>P&amp;M-009</t>
  </si>
  <si>
    <t>Concrete Mixing</t>
  </si>
  <si>
    <t>0.4</t>
  </si>
  <si>
    <t>concrete_needle_vibrator</t>
  </si>
  <si>
    <t>P&amp;M-061</t>
  </si>
  <si>
    <t>Crane  5 tonne capacity</t>
  </si>
  <si>
    <t>P&amp;M-015</t>
  </si>
  <si>
    <t>Dozer (Track)</t>
  </si>
  <si>
    <t>Spreading /Cutting / Clearing</t>
  </si>
  <si>
    <t>200/ 120/150</t>
  </si>
  <si>
    <t>cum/hour</t>
  </si>
  <si>
    <t>P&amp;M-094</t>
  </si>
  <si>
    <t>Percussion drill set</t>
  </si>
  <si>
    <t>P&amp;M-068</t>
  </si>
  <si>
    <t>Drum mix plant for cold mixes</t>
  </si>
  <si>
    <t>&gt;75</t>
  </si>
  <si>
    <t>TPH</t>
  </si>
  <si>
    <t>electric_generator</t>
  </si>
  <si>
    <t>P&amp;M-087</t>
  </si>
  <si>
    <t>Electric  heating plate</t>
  </si>
  <si>
    <t>emulsion_distributor</t>
  </si>
  <si>
    <t>P&amp;M-027</t>
  </si>
  <si>
    <t>Hydraulic Excavator of 1 cum bucket</t>
  </si>
  <si>
    <t>Soil Ordinary/Soil Marshy / Soil Unsuitable</t>
  </si>
  <si>
    <t>60</t>
  </si>
  <si>
    <t>P&amp;M-019</t>
  </si>
  <si>
    <t>Generator( b)  63  KVA</t>
  </si>
  <si>
    <t>Genration of electric Energy</t>
  </si>
  <si>
    <t>50</t>
  </si>
  <si>
    <t>KVA</t>
  </si>
  <si>
    <t>grout_pump_with_agitator</t>
  </si>
  <si>
    <t>P&amp;M-025</t>
  </si>
  <si>
    <t>DBM/BM/SDC/ Premix</t>
  </si>
  <si>
    <t>10</t>
  </si>
  <si>
    <t>P&amp;M-074</t>
  </si>
  <si>
    <t>Jack for Lifting</t>
  </si>
  <si>
    <t>40</t>
  </si>
  <si>
    <t>Ton</t>
  </si>
  <si>
    <t>P&amp;M-092</t>
  </si>
  <si>
    <t>Jack hammer /Rock drill</t>
  </si>
  <si>
    <t>P&amp;M-031</t>
  </si>
  <si>
    <t>Kerb Making</t>
  </si>
  <si>
    <t>80</t>
  </si>
  <si>
    <t>Rm/hour</t>
  </si>
  <si>
    <t>P&amp;M-017</t>
  </si>
  <si>
    <t>Front End loader 1 cum bucket capacity</t>
  </si>
  <si>
    <t>Soil loading / Aggregate loading</t>
  </si>
  <si>
    <t>60 /25</t>
  </si>
  <si>
    <t>P&amp;M-032</t>
  </si>
  <si>
    <t>Mastic Wearing coat</t>
  </si>
  <si>
    <t>1</t>
  </si>
  <si>
    <t>ton/hr</t>
  </si>
  <si>
    <t>P&amp;M-033</t>
  </si>
  <si>
    <t>Mechanical Broom Hydraulic</t>
  </si>
  <si>
    <t>Surface Cleaning</t>
  </si>
  <si>
    <t>1250</t>
  </si>
  <si>
    <t>P&amp;M-090</t>
  </si>
  <si>
    <t>Mixture machine</t>
  </si>
  <si>
    <t>P&amp;M-035</t>
  </si>
  <si>
    <t>Mobile slurry seal equipment</t>
  </si>
  <si>
    <t>Mixing and laying slurry seal</t>
  </si>
  <si>
    <t>2700</t>
  </si>
  <si>
    <t>P&amp;M-034</t>
  </si>
  <si>
    <t>Motor Grader</t>
  </si>
  <si>
    <t>Clearing /Spreading /GSB /WBM</t>
  </si>
  <si>
    <t>200/200/50/50</t>
  </si>
  <si>
    <t>paint_sprayer_machine_with_compressor</t>
  </si>
  <si>
    <t>P&amp;M-037</t>
  </si>
  <si>
    <t>Paver Finisher Mechanical 100 TPH</t>
  </si>
  <si>
    <t>Paving of WMM /Paving of DLC</t>
  </si>
  <si>
    <t>40/30</t>
  </si>
  <si>
    <t>P&amp;M-038</t>
  </si>
  <si>
    <t>Piling Rig with Bantonite Pump</t>
  </si>
  <si>
    <t>0.75 m dia to 1.2 m dia Boring attachment</t>
  </si>
  <si>
    <t>2 to 3</t>
  </si>
  <si>
    <t>P&amp;M-076</t>
  </si>
  <si>
    <t>Plate compactor</t>
  </si>
  <si>
    <t>P&amp;M-039</t>
  </si>
  <si>
    <t>Pneumatic Road Roller</t>
  </si>
  <si>
    <t>Rolling of Asphalt Surface</t>
  </si>
  <si>
    <t>25</t>
  </si>
  <si>
    <t>P&amp;M-044</t>
  </si>
  <si>
    <t>Road marking machine</t>
  </si>
  <si>
    <t>Road marking</t>
  </si>
  <si>
    <t>100</t>
  </si>
  <si>
    <t>Sqm/hour</t>
  </si>
  <si>
    <t>P&amp;M-084</t>
  </si>
  <si>
    <t>Sand Blasting Machine</t>
  </si>
  <si>
    <t>P&amp;M-086</t>
  </si>
  <si>
    <t>P&amp;M-045</t>
  </si>
  <si>
    <t>Smooth Wheeled Roller 8 tonne</t>
  </si>
  <si>
    <t>Soil Compaction /BM Compaction</t>
  </si>
  <si>
    <t>70/25</t>
  </si>
  <si>
    <t>P&amp;M-029</t>
  </si>
  <si>
    <t>Integrated Stone Crusher</t>
  </si>
  <si>
    <t>Crushing of spalls</t>
  </si>
  <si>
    <t>ton/ hr</t>
  </si>
  <si>
    <t>P&amp;M-047</t>
  </si>
  <si>
    <t>Tipper - 5 cum</t>
  </si>
  <si>
    <t>Transportation of soil, GSB, WMM, Hotmix etc.</t>
  </si>
  <si>
    <t>5.5</t>
  </si>
  <si>
    <t>cum/hr</t>
  </si>
  <si>
    <t>P&amp;M-050</t>
  </si>
  <si>
    <t>Pulling</t>
  </si>
  <si>
    <t>HP</t>
  </si>
  <si>
    <t>P&amp;M-052</t>
  </si>
  <si>
    <t>Tractor+ Ripper</t>
  </si>
  <si>
    <t>tractor_with_ripper_and_rotator</t>
  </si>
  <si>
    <t>P&amp;M-051</t>
  </si>
  <si>
    <t>Tractor with Rotevator</t>
  </si>
  <si>
    <t>Tractor + Rotevator</t>
  </si>
  <si>
    <t>P&amp;M-054</t>
  </si>
  <si>
    <t>Truck 5.5 cum per 10 tonnes</t>
  </si>
  <si>
    <t>Material Transport</t>
  </si>
  <si>
    <t>4.5</t>
  </si>
  <si>
    <t>P&amp;M-081</t>
  </si>
  <si>
    <t>75</t>
  </si>
  <si>
    <t>Section 800: Transportation of Materials</t>
  </si>
  <si>
    <t>Speed of loaded truck</t>
  </si>
  <si>
    <t>Terai</t>
  </si>
  <si>
    <t>Mountain</t>
  </si>
  <si>
    <t>ER</t>
  </si>
  <si>
    <t>GR</t>
  </si>
  <si>
    <t>BT</t>
  </si>
  <si>
    <t>Notes:
             Speed of Empty truck =25 % more than loaded truck  of corresponding terrain
             Speed of Empty truck =25 % more than loaded truck  of corresponding terrain
             Speed of vehicle  may be modified as per site condition</t>
  </si>
  <si>
    <t xml:space="preserve">Tipper rate: </t>
  </si>
  <si>
    <t>Coefficient/Distance(km)</t>
  </si>
  <si>
    <t>0.09</t>
  </si>
  <si>
    <t>0.06</t>
  </si>
  <si>
    <t>0.045</t>
  </si>
  <si>
    <t>0.18</t>
  </si>
  <si>
    <t>0.12</t>
  </si>
  <si>
    <t>Hilly</t>
  </si>
  <si>
    <t>Conversion to tonne</t>
  </si>
  <si>
    <t>Total time</t>
  </si>
  <si>
    <t>Total Amount</t>
  </si>
  <si>
    <t>Materials</t>
  </si>
  <si>
    <t>From District HQ</t>
  </si>
  <si>
    <t>From Quarry</t>
  </si>
  <si>
    <t>Diesel</t>
  </si>
  <si>
    <t>Electricity</t>
  </si>
  <si>
    <t>unit</t>
  </si>
  <si>
    <t>Kerosene</t>
  </si>
  <si>
    <t>Lit</t>
  </si>
  <si>
    <t>LPG</t>
  </si>
  <si>
    <t>Petrol</t>
  </si>
  <si>
    <t>References</t>
  </si>
  <si>
    <t>Densities of some materials:</t>
  </si>
  <si>
    <t>Density</t>
  </si>
  <si>
    <t>Excavated earth work</t>
  </si>
  <si>
    <t>Soil Material</t>
  </si>
  <si>
    <t>1400 kg/m3</t>
  </si>
  <si>
    <t>Rock  Material</t>
  </si>
  <si>
    <t>2400 kg/m3</t>
  </si>
  <si>
    <t xml:space="preserve">Sand </t>
  </si>
  <si>
    <t>1600 kg/m3</t>
  </si>
  <si>
    <t>Gravel, river shingle, broken stone aggregates, and bats.</t>
  </si>
  <si>
    <t>1800 kg/m3</t>
  </si>
  <si>
    <t>River shingle (round aggregate)</t>
  </si>
  <si>
    <t>Broken stone aggregates</t>
  </si>
  <si>
    <t>Surface Dressing Chips</t>
  </si>
  <si>
    <t>Brick bats</t>
  </si>
  <si>
    <t>1420 kg/m3</t>
  </si>
  <si>
    <t>Boulder, Cobbles, quarry stone</t>
  </si>
  <si>
    <t>Dressed Stone</t>
  </si>
  <si>
    <t xml:space="preserve">Bricks </t>
  </si>
  <si>
    <t>1900 kg/m3</t>
  </si>
  <si>
    <t>wt.of 1 brick (240*115*57 mm3)=2.98 Kg</t>
  </si>
  <si>
    <t>1440 kg/m3</t>
  </si>
  <si>
    <t>Reinforcement Steel</t>
  </si>
  <si>
    <t>7850 kg/m3</t>
  </si>
  <si>
    <t>Gabion wire</t>
  </si>
  <si>
    <t>1010 kg/m3</t>
  </si>
  <si>
    <t xml:space="preserve">GI, CI, Pipe and fittings </t>
  </si>
  <si>
    <t>Timber for temporary works</t>
  </si>
  <si>
    <t>350 kg/m3</t>
  </si>
  <si>
    <t>Fabricated Structural Timber</t>
  </si>
  <si>
    <t>850 kg/m3</t>
  </si>
  <si>
    <t>Fabricated Structural Steel</t>
  </si>
  <si>
    <t>RCC Precast Element</t>
  </si>
  <si>
    <t>2500 kg/m3</t>
  </si>
  <si>
    <t>RCC hume pipe</t>
  </si>
  <si>
    <t>900mm dia</t>
  </si>
  <si>
    <t>wt./m= 785 kg</t>
  </si>
  <si>
    <t>750 mm dia</t>
  </si>
  <si>
    <t>wt./m= 667.25 kg</t>
  </si>
  <si>
    <t>600mm dia</t>
  </si>
  <si>
    <t>wt./m= 549.5 kg</t>
  </si>
  <si>
    <t>450 mm dia</t>
  </si>
  <si>
    <t>wt./m= 431.75 kg</t>
  </si>
  <si>
    <t>300 mm dia</t>
  </si>
  <si>
    <t>wt./m= 314 kg</t>
  </si>
  <si>
    <t xml:space="preserve">Water </t>
  </si>
  <si>
    <t>1000 kg/m3</t>
  </si>
  <si>
    <t>720 kg/m3</t>
  </si>
  <si>
    <t>0.770 Kg/l</t>
  </si>
  <si>
    <t>Thermoplastic Paint</t>
  </si>
  <si>
    <t>2100 kg/m3</t>
  </si>
  <si>
    <t>Quantity Sheet</t>
  </si>
  <si>
    <t>Description of Works</t>
  </si>
  <si>
    <t>No.</t>
  </si>
  <si>
    <t>Length
(m)</t>
  </si>
  <si>
    <t>Breadth
(m)</t>
  </si>
  <si>
    <t>Height
(m)</t>
  </si>
  <si>
    <t>General</t>
  </si>
  <si>
    <t>1.1</t>
  </si>
  <si>
    <t>1.2</t>
  </si>
  <si>
    <t>PS</t>
  </si>
  <si>
    <t>1.4</t>
  </si>
  <si>
    <t>1.5</t>
  </si>
  <si>
    <t>1.6</t>
  </si>
  <si>
    <t>1.7</t>
  </si>
  <si>
    <t>1.8</t>
  </si>
  <si>
    <t>1.9</t>
  </si>
  <si>
    <t>1.10</t>
  </si>
  <si>
    <t>1.11</t>
  </si>
  <si>
    <t>1.12</t>
  </si>
  <si>
    <t>1.13</t>
  </si>
  <si>
    <t>1.14</t>
  </si>
  <si>
    <t>1.15</t>
  </si>
  <si>
    <t>1.16</t>
  </si>
  <si>
    <t>1.17</t>
  </si>
  <si>
    <t>1.18</t>
  </si>
  <si>
    <t>1.19</t>
  </si>
  <si>
    <t>1.20</t>
  </si>
  <si>
    <t>1.21</t>
  </si>
  <si>
    <t>1.22</t>
  </si>
  <si>
    <t>1.23</t>
  </si>
  <si>
    <t>1.24</t>
  </si>
  <si>
    <t>1.26</t>
  </si>
  <si>
    <t>1.27</t>
  </si>
  <si>
    <t>1.28</t>
  </si>
  <si>
    <t>1.29</t>
  </si>
  <si>
    <t>1.30</t>
  </si>
  <si>
    <t>1.31</t>
  </si>
  <si>
    <t>1.32</t>
  </si>
  <si>
    <t>1.33</t>
  </si>
  <si>
    <t>1.34</t>
  </si>
  <si>
    <t>1.35</t>
  </si>
  <si>
    <t>1.36</t>
  </si>
  <si>
    <t>1.37</t>
  </si>
  <si>
    <t>1.38</t>
  </si>
  <si>
    <t>1.39</t>
  </si>
  <si>
    <t>1.40</t>
  </si>
  <si>
    <t>1.41</t>
  </si>
  <si>
    <t>1.42</t>
  </si>
  <si>
    <t>1.43</t>
  </si>
  <si>
    <t>1.44</t>
  </si>
  <si>
    <t>1.45</t>
  </si>
  <si>
    <t>1.46</t>
  </si>
  <si>
    <t>1.47</t>
  </si>
  <si>
    <t>Cum</t>
  </si>
  <si>
    <t>1.48</t>
  </si>
  <si>
    <t>1.49</t>
  </si>
  <si>
    <t>1.50</t>
  </si>
  <si>
    <t>1.51</t>
  </si>
  <si>
    <t>1.52</t>
  </si>
  <si>
    <t>1.53</t>
  </si>
  <si>
    <t>1.54</t>
  </si>
  <si>
    <t>1.55</t>
  </si>
  <si>
    <t>1.56</t>
  </si>
  <si>
    <t>1.57</t>
  </si>
  <si>
    <t>1.58</t>
  </si>
  <si>
    <t>1.59</t>
  </si>
  <si>
    <t>1.60</t>
  </si>
  <si>
    <t>1.61</t>
  </si>
  <si>
    <t>1.62</t>
  </si>
  <si>
    <t>1.63</t>
  </si>
  <si>
    <t>1.64</t>
  </si>
  <si>
    <t xml:space="preserve">cum </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</si>
  <si>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</si>
  <si>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</si>
  <si>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</si>
  <si>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</si>
  <si>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</si>
  <si>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</si>
  <si>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</si>
  <si>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</si>
  <si>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</si>
  <si>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</si>
  <si>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</si>
  <si>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</si>
  <si>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</si>
  <si>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</si>
  <si>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</si>
  <si>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</si>
  <si>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</si>
  <si>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</si>
  <si>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</si>
  <si>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</si>
  <si>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</si>
  <si>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</si>
  <si>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</si>
  <si>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</si>
  <si>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</si>
  <si>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no</t>
  </si>
  <si>
    <t>1.90</t>
  </si>
  <si>
    <t>1.91</t>
  </si>
  <si>
    <t>1.92</t>
  </si>
  <si>
    <t>1.93</t>
  </si>
  <si>
    <t>1.94</t>
  </si>
  <si>
    <t>1.95</t>
  </si>
  <si>
    <t>1.96</t>
  </si>
  <si>
    <t>1.97</t>
  </si>
  <si>
    <t>1.98</t>
  </si>
  <si>
    <t>1.99</t>
  </si>
  <si>
    <t>1.100</t>
  </si>
  <si>
    <t>1.101</t>
  </si>
  <si>
    <t>1.102</t>
  </si>
  <si>
    <t>1.103</t>
  </si>
  <si>
    <t>1.104</t>
  </si>
  <si>
    <t>1.105</t>
  </si>
  <si>
    <t>1.106</t>
  </si>
  <si>
    <t>1.107</t>
  </si>
  <si>
    <t>1.108</t>
  </si>
  <si>
    <t>1.109</t>
  </si>
  <si>
    <t>1.110</t>
  </si>
  <si>
    <t>1.111</t>
  </si>
  <si>
    <t>1.112</t>
  </si>
  <si>
    <t>1.113</t>
  </si>
  <si>
    <t>1.114</t>
  </si>
  <si>
    <t>1.115</t>
  </si>
  <si>
    <t>cm-letter</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</si>
  <si>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</si>
  <si>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</si>
  <si>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</si>
  <si>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</si>
  <si>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</si>
  <si>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</si>
  <si>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</si>
  <si>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</si>
  <si>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</si>
  <si>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</si>
  <si>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</si>
  <si>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</si>
  <si>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</si>
  <si>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</si>
  <si>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</si>
  <si>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</si>
  <si>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</si>
  <si>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</si>
  <si>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</si>
  <si>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</si>
  <si>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</si>
  <si>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</si>
  <si>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</si>
  <si>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</si>
  <si>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</si>
  <si>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</si>
  <si>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</si>
  <si>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</si>
  <si>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</si>
  <si>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</si>
  <si>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</si>
  <si>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</si>
  <si>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</si>
  <si>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</si>
  <si>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</si>
  <si>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cubic centimeter</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</si>
  <si>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</si>
  <si>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</si>
  <si>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</si>
  <si>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</si>
  <si>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</si>
  <si>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</si>
  <si>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</si>
  <si>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</si>
  <si>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</si>
  <si>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</si>
  <si>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</si>
  <si>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</si>
  <si>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</si>
  <si>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</si>
  <si>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</si>
  <si>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</si>
  <si>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</si>
  <si>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</si>
  <si>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</si>
  <si>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</si>
  <si>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</si>
  <si>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</si>
  <si>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</si>
  <si>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</si>
  <si>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</si>
  <si>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</si>
  <si>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</si>
  <si>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</si>
  <si>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</si>
  <si>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</si>
  <si>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</si>
  <si>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</si>
  <si>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</si>
  <si>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</si>
  <si>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</si>
  <si>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</si>
  <si>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</si>
  <si>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</si>
  <si>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</si>
  <si>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</si>
  <si>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</si>
  <si>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</si>
  <si>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</si>
  <si>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</si>
  <si>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</si>
  <si>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</si>
  <si>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</si>
  <si>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</si>
  <si>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</si>
  <si>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</si>
  <si>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</si>
  <si>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</si>
  <si>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</si>
  <si>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</si>
  <si>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</si>
  <si>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</si>
  <si>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</si>
  <si>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</si>
  <si>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</si>
  <si>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</si>
  <si>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</si>
  <si>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</si>
  <si>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</si>
  <si>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</si>
  <si>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</si>
  <si>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</si>
  <si>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</si>
  <si>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</si>
  <si>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</si>
  <si>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</si>
  <si>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</si>
  <si>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</si>
  <si>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</si>
  <si>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</si>
  <si>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</si>
  <si>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</si>
  <si>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</si>
  <si>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</si>
  <si>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</si>
  <si>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</si>
  <si>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</si>
  <si>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</si>
  <si>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</si>
  <si>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</si>
  <si>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</si>
  <si>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</si>
  <si>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</si>
  <si>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</si>
  <si>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</si>
  <si>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</si>
  <si>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</si>
  <si>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</si>
  <si>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</si>
  <si>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</si>
  <si>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</si>
  <si>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</si>
  <si>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</si>
  <si>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</si>
  <si>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</si>
  <si>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</si>
  <si>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</si>
  <si>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</si>
  <si>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</si>
  <si>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</si>
  <si>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</si>
  <si>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</si>
  <si>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</si>
  <si>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</si>
  <si>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</si>
  <si>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</si>
  <si>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</si>
  <si>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</si>
  <si>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</si>
  <si>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</si>
  <si>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</si>
  <si>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</si>
  <si>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</si>
  <si>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</si>
  <si>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</si>
  <si>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</si>
  <si>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</si>
  <si>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</si>
  <si>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</si>
  <si>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</si>
  <si>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</si>
  <si>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</si>
  <si>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</si>
  <si>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</si>
  <si>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</si>
  <si>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</si>
  <si>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</si>
  <si>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</si>
  <si>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</si>
  <si>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</si>
  <si>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</si>
  <si>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</si>
  <si>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</si>
  <si>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</si>
  <si>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</si>
  <si>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</si>
  <si>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</si>
  <si>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</si>
  <si>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</si>
  <si>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</si>
  <si>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</si>
  <si>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</si>
  <si>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</si>
  <si>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</si>
  <si>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</si>
  <si>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</si>
  <si>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</si>
  <si>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</si>
  <si>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Km - day</t>
  </si>
  <si>
    <t>1.303</t>
  </si>
  <si>
    <t>1.304</t>
  </si>
  <si>
    <t>20 km per year</t>
  </si>
  <si>
    <t>1.305</t>
  </si>
  <si>
    <t>1.306</t>
  </si>
  <si>
    <t>1.307</t>
  </si>
  <si>
    <t>1.308</t>
  </si>
  <si>
    <t>1.309</t>
  </si>
  <si>
    <t>1.310</t>
  </si>
  <si>
    <t>1.311</t>
  </si>
  <si>
    <t>1.312</t>
  </si>
  <si>
    <t>1.313</t>
  </si>
  <si>
    <t>1.314</t>
  </si>
  <si>
    <t>1.315</t>
  </si>
  <si>
    <t>1.316</t>
  </si>
  <si>
    <t>km</t>
  </si>
  <si>
    <t>1.317</t>
  </si>
  <si>
    <t>1.318</t>
  </si>
  <si>
    <t>1.319</t>
  </si>
  <si>
    <t>1.320</t>
  </si>
  <si>
    <t>1.321</t>
  </si>
  <si>
    <t>1.322</t>
  </si>
  <si>
    <t>1.323</t>
  </si>
  <si>
    <t>1.324</t>
  </si>
  <si>
    <t>1.325</t>
  </si>
  <si>
    <t>1.326</t>
  </si>
  <si>
    <t>Total :</t>
  </si>
  <si>
    <t>Abstract Of Cost</t>
  </si>
  <si>
    <t>Rate
(NRs)</t>
  </si>
  <si>
    <t>Amount
(NRs)</t>
  </si>
  <si>
    <t>Anti-Glare Devices in Median, Plantation, Providing and Plantation of shrubs and plants of approved species in the median. apart from cutting off glare from vehicle coming from opposite direction,</t>
  </si>
  <si>
    <t>Providing and assembling in position falsework for the construction of RCC superstructure and removing after completion including design &amp; drawings as per specification For Slab and Box culverts, Using timber, For Height above 6 m</t>
  </si>
  <si>
    <t>Providing mechanically  woven double twisted  crates / mattress  including rolling, cutting and  with lacing  wire and binding wire as per specification.           
                                                                                                                                       , Hexagonal mesh type 80 mm x 100 mm, mesh wire 3 mm, selvage wire 3.9 mm, lacing wire 2.4 mm</t>
  </si>
  <si>
    <t>Total (Excl. VAT &amp; Contin.)</t>
  </si>
  <si>
    <t>Provisional Sum</t>
  </si>
  <si>
    <t>VAT (13%)</t>
  </si>
  <si>
    <t>Contingency (5%)</t>
  </si>
  <si>
    <t>Provision for Price Escalation (10%)</t>
  </si>
  <si>
    <t>Physical Contingency (10%)</t>
  </si>
  <si>
    <t>GRAND TOTAL</t>
  </si>
  <si>
    <t>BILL OF QUANTITIES</t>
  </si>
  <si>
    <t>Rate
Without VAT (NRs)</t>
  </si>
  <si>
    <t>Rate in words
Without VAT (NRs)</t>
  </si>
  <si>
    <t>Amount
Without VAT (NRs)</t>
  </si>
  <si>
    <t>Sub-Total :</t>
  </si>
  <si>
    <t>VAT  13% :</t>
  </si>
  <si>
    <t>Grand Total with VAT:</t>
  </si>
  <si>
    <t>Note:</t>
  </si>
  <si>
    <t>All the works as listed above shall be completed complying the Specification, the Special Provision and other Contract Documents.</t>
  </si>
  <si>
    <t>The cost of laboratory tests as stipulated in the Speicification shall be  borne by the Contractor and such cost is deemed to be included in the relevant  BOQ items.</t>
  </si>
  <si>
    <t>The numbers in parenthesis [       ] represent the respective Specification number.</t>
  </si>
  <si>
    <t>Signature of Authorised Person :</t>
  </si>
  <si>
    <t>Name of Authorised Person :</t>
  </si>
  <si>
    <t>Contractor's Name :</t>
  </si>
  <si>
    <t>Address and Telephone No:</t>
  </si>
  <si>
    <t>Seal :</t>
  </si>
  <si>
    <t>Date :</t>
  </si>
  <si>
    <t>Sector</t>
  </si>
  <si>
    <t>Group</t>
  </si>
  <si>
    <t>Sub-Group</t>
  </si>
  <si>
    <t>Title</t>
  </si>
  <si>
    <t>First Custom Level(optional)
(Provide Description)</t>
  </si>
  <si>
    <t>Second Custom Level(optional)
(Provide Description)</t>
  </si>
  <si>
    <t>Third Custom Level(optional)
(Provide Description)</t>
  </si>
  <si>
    <t>Item Name &amp; Description</t>
  </si>
  <si>
    <t>Official Rate</t>
  </si>
  <si>
    <t>Provisional Sum #[XXX0001]</t>
  </si>
  <si>
    <t>P.S.</t>
  </si>
  <si>
    <t>Norms No</t>
  </si>
  <si>
    <t>Specification Clause No.</t>
  </si>
  <si>
    <t>1003, 1005</t>
  </si>
  <si>
    <t>1804, 1805</t>
  </si>
  <si>
    <t>no number</t>
  </si>
  <si>
    <t>2602, 2603, 2607</t>
  </si>
  <si>
    <t>aggregate_5_10_mm</t>
  </si>
  <si>
    <t>Generation Electric energy</t>
  </si>
  <si>
    <t>P&amp;M-016</t>
  </si>
  <si>
    <t>Hotmix Plant - 60 TPH capacity</t>
  </si>
  <si>
    <t>Precast / cast in situ concrete block of M 20/20 ( 60 mm CC Block)</t>
  </si>
  <si>
    <t>Cast in Situ Cement Concrete or natural stone block  for footpath, Providing and laying of precast / cast in situ  60 mm thick  cement concrete slab  footpath on 12 mm thick 1: 3 cement sand mortar over the prepared base, all complete as per Drawing and Technical Specifications.</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</si>
  <si>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 X 1 X 1 m ( 11 sqm)</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</si>
  <si>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1.5 X 1 X 1 m ( 9 sqm )</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</si>
  <si>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1.0 X 1 X 1 m ( 6 sqm)</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</si>
  <si>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3.0 X 1 X 0 .75 m ( 13.5 sqm)</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</si>
  <si>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2.0 X 1 X 0 .75 m ( 9. 25 sqm)</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</si>
  <si>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3.0 X 1 X 0 .5 m ( 11 sqm)</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</si>
  <si>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1.0 X 1 X 0 .75 m ( 5 sqm m)</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</si>
  <si>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1 X 1 X 0 .5 m (4 sqm)</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</si>
  <si>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2.0 X 1 X 0 .5 m ( 7.5 sqm m)</t>
  </si>
  <si>
    <t>Gabion Structure for Retaining Earth,Providing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 X 1 X 0 .3 m ( 6.1 sqm)</t>
  </si>
  <si>
    <t>Gabion Structure for Retaining Earth,Providing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/m), binding wire 12 Swg (0.0409 kg/m) Hexagonal mesh Type 80 mm X 100 mm,, Box  size 3 X 1 X 1 m ( 16 sqm)</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</si>
  <si>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/m), binding wire 12 Swg (0.0409 kg/m) Hexagonal mesh Type 80 mm X 100 mm,, Box size 2 X 1 X 1 m ( 11 sqm)</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</si>
  <si>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/m), binding wire 12 Swg (0.0409 kg/m) Hexagonal mesh Type 80 mm X 100 mm,, Box size 1.5 X 1 X 1 m ( 9 sqm)</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</si>
  <si>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/m), binding wire 12 Swg (0.0409 kg/m) Hexagonal mesh Type 80 mm X 100 mm,, Box size 1 X 1 X 1 m (6 sqm)</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</si>
  <si>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/m), binding wire 12 Swg (0.0409 kg/m) Hexagonal mesh Type 80 mm X 100 mm,, Box size 3.0 X 1 X 0 .75 m (13.5 sqm)</t>
  </si>
  <si>
    <t>Gabion Structure for Retaining Earth,Providing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/m), binding wire 12 Swg (0.0409 kg/m) Hexagonal mesh Type 80 mm X 100 mm,, Box  size 2.0 X 1 X 0 .75 m ( 9.25 sqm)</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</si>
  <si>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/m), binding wire 12 Swg (0.0409 kg/m) Hexagonal mesh Type 80 mm X 100 mm,, Box size 1.0 X 1 X 0 .75 m ( 5 sqm)</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</si>
  <si>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/m), binding wire 12 Swg (0.0409 kg/m) Hexagonal mesh Type 80 mm X 100 mm,, Box size 3.0 X 1 X 0 .5 m ( 11 sqm)</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</si>
  <si>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/m), binding wire 12 Swg (0.0409 kg/m) Hexagonal mesh Type 80 mm X 100 mm,, Box  size 2.0 X 1 X 0 .5 m ( 7.5 sqm)</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</si>
  <si>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/m), binding wire 12 Swg (0.0409 kg/m) Hexagonal mesh Type 80 mm X 100 mm,, Box  size 1 X 1 X 0 .5 m ( 4 sqm)</t>
  </si>
  <si>
    <t>Providing mechanically  woven double twisted  crates / mattress  including rolling, cutting and  with lacing  wire and binding wire as per specification, Hexagonal mesh type 100 mm x 120 mm, mesh wire 3 mm, selvage wire 3.9 mm, lacing wire 2.4 mm</t>
  </si>
  <si>
    <t>Heavy Zinc Coated Hexagonal Mesh60 * 80 mm, Mesh wire 2.7 mm, Selvage wire 3.4 mm, Lacing wire 2.2 mm</t>
  </si>
  <si>
    <t xml:space="preserve">Ministry of Physical Infrastructure and Transport </t>
  </si>
  <si>
    <t>Department of Road</t>
  </si>
  <si>
    <t>Central Reginal Road Directorate</t>
  </si>
  <si>
    <t>Division Road Office Kathmandu 1, Minbhawan</t>
  </si>
  <si>
    <t>Fiscal Year 2074-2075</t>
  </si>
  <si>
    <t>Particulars</t>
  </si>
  <si>
    <t>manual rate</t>
  </si>
  <si>
    <t>Machine Rate</t>
  </si>
  <si>
    <t>10% manual &amp; 90% Machine</t>
  </si>
  <si>
    <t>Quantity in %</t>
  </si>
  <si>
    <t>Earth Work</t>
  </si>
  <si>
    <t>Roadway excavation in all type of soil according to cross-sectional and volume sheet.</t>
  </si>
  <si>
    <t>Hard Rock</t>
  </si>
  <si>
    <r>
      <t>m</t>
    </r>
    <r>
      <rPr>
        <vertAlign val="superscript"/>
        <sz val="10"/>
        <rFont val="Arial"/>
        <family val="2"/>
      </rPr>
      <t>3</t>
    </r>
  </si>
  <si>
    <t>Soft Rock</t>
  </si>
  <si>
    <t>BMS</t>
  </si>
  <si>
    <t>Soft Soil</t>
  </si>
  <si>
    <t>Unit Rate NRs.</t>
  </si>
  <si>
    <t>10 % manual &amp; 90% Machine</t>
  </si>
  <si>
    <t>Roadway excavation in Soft Soil/ Hard soil / Gravel / Boulder mixed soil  according to cross-sectional and volume sheet.</t>
  </si>
  <si>
    <t>9.11.C</t>
  </si>
  <si>
    <t>Providing suitable material and Back filling behind abutment, wing wall and return wall complete as per Drawing and Technical Specifications., locally available material including compaction by tamping rod(without watering)</t>
  </si>
  <si>
    <t>locally available material</t>
  </si>
  <si>
    <t>Providing suitable material and Back filling behind abutment, wing wall and return wall complete as per Drawing and Technical Specifications., locally available material including compaction by tamping rod(with watering)</t>
  </si>
  <si>
    <t>Providing and laying , fitting and placing HYSD bar reinforcement in sub-structure complete as per Drawing and Technical Specifications</t>
  </si>
  <si>
    <t>20.5</t>
  </si>
  <si>
    <t>ROAD DIVISION KATHMANDU</t>
  </si>
  <si>
    <t>Minbhawan</t>
  </si>
  <si>
    <t>Rate Analysis-2075/76</t>
  </si>
  <si>
    <t>Fiscal Year 2075-2076</t>
  </si>
  <si>
    <t>Item no.</t>
  </si>
  <si>
    <t>Description:-</t>
  </si>
  <si>
    <r>
      <t>Providing and Laying of</t>
    </r>
    <r>
      <rPr>
        <b/>
        <sz val="8"/>
        <rFont val="Arial"/>
        <family val="2"/>
      </rPr>
      <t xml:space="preserve"> 100mm thick precast concrete block for drain</t>
    </r>
    <r>
      <rPr>
        <sz val="8"/>
        <rFont val="Arial"/>
        <family val="2"/>
      </rPr>
      <t xml:space="preserve"> in required shape and size  including fixing in  1:3 cement sand mortar over the 10 cm sand base (1402), Precast concrete .</t>
    </r>
    <r>
      <rPr>
        <b/>
        <sz val="8"/>
        <rFont val="Arial"/>
        <family val="2"/>
      </rPr>
      <t>M20/20</t>
    </r>
  </si>
  <si>
    <t>m2</t>
  </si>
  <si>
    <t>Item No.</t>
  </si>
  <si>
    <t>Labour</t>
  </si>
  <si>
    <t>Material</t>
  </si>
  <si>
    <t>Equipment</t>
  </si>
  <si>
    <t>Qty</t>
  </si>
  <si>
    <t>md</t>
  </si>
  <si>
    <t>M20/20 concrete</t>
  </si>
  <si>
    <t>m3</t>
  </si>
  <si>
    <t>Nominal size of block 40x40x10cm</t>
  </si>
  <si>
    <t>Formwork</t>
  </si>
  <si>
    <t>Labour(A)</t>
  </si>
  <si>
    <t>NRs.</t>
  </si>
  <si>
    <t>Material(B)</t>
  </si>
  <si>
    <t>Equipment( C )</t>
  </si>
  <si>
    <t>Total(A+B+C)</t>
  </si>
  <si>
    <t>Overhead 15%</t>
  </si>
  <si>
    <r>
      <t>Per m</t>
    </r>
    <r>
      <rPr>
        <vertAlign val="superscript"/>
        <sz val="8"/>
        <rFont val="Arial"/>
        <family val="2"/>
      </rPr>
      <t>2</t>
    </r>
  </si>
  <si>
    <r>
      <t>Providing and Laying</t>
    </r>
    <r>
      <rPr>
        <b/>
        <sz val="10"/>
        <rFont val="Arial"/>
        <family val="2"/>
      </rPr>
      <t xml:space="preserve"> M15 Precast concrete Kerbs stone (35cmX20cm ) </t>
    </r>
    <r>
      <rPr>
        <sz val="8"/>
        <rFont val="Arial"/>
        <family val="2"/>
      </rPr>
      <t>fixing with 1:3 cement sand mortar. (1400)</t>
    </r>
  </si>
  <si>
    <t>M015/20 concrete</t>
  </si>
  <si>
    <t>Per m</t>
  </si>
  <si>
    <r>
      <t>Providing and Laying</t>
    </r>
    <r>
      <rPr>
        <b/>
        <sz val="10"/>
        <rFont val="Arial"/>
        <family val="2"/>
      </rPr>
      <t xml:space="preserve"> M25/20 precast concrete Edge block (20cmX9.5cm(avg.) ) </t>
    </r>
    <r>
      <rPr>
        <sz val="8"/>
        <rFont val="Arial"/>
        <family val="2"/>
      </rPr>
      <t>fixing with 1:3 cement sand mortar. (1400)</t>
    </r>
  </si>
  <si>
    <t>M15/20 concrete</t>
  </si>
  <si>
    <r>
      <t>Providing and Laying of</t>
    </r>
    <r>
      <rPr>
        <b/>
        <sz val="10"/>
        <rFont val="Arial"/>
        <family val="2"/>
      </rPr>
      <t xml:space="preserve"> 60mm thick  cement concrete(M15) intrlocking block (Grey colour)</t>
    </r>
    <r>
      <rPr>
        <b/>
        <sz val="8"/>
        <rFont val="Arial"/>
        <family val="2"/>
      </rPr>
      <t xml:space="preserve"> for footpath over 50 mm thick stone dust, all complete(1402)</t>
    </r>
  </si>
  <si>
    <t>60 mm Concrete block</t>
  </si>
  <si>
    <t>stone dust</t>
  </si>
  <si>
    <t>Per m2</t>
  </si>
  <si>
    <r>
      <t>Providing and Laying of</t>
    </r>
    <r>
      <rPr>
        <b/>
        <sz val="10"/>
        <rFont val="Arial"/>
        <family val="2"/>
      </rPr>
      <t xml:space="preserve"> 60mm thick cement concrete (M20/20)  intrlocking block (Red colour)</t>
    </r>
    <r>
      <rPr>
        <b/>
        <sz val="8"/>
        <rFont val="Arial"/>
        <family val="2"/>
      </rPr>
      <t xml:space="preserve"> for footpath over 50 mm thick stone dust, all complete(1402)</t>
    </r>
  </si>
  <si>
    <r>
      <t>Providing and Laying concrete or natural stone footpath on 12mm thick 1:3 cement sand mortar over the prepared base. (1402)</t>
    </r>
    <r>
      <rPr>
        <b/>
        <sz val="8"/>
        <rFont val="Arial"/>
        <family val="2"/>
      </rPr>
      <t xml:space="preserve"> (a) 50mm thick Precast or cast in situ concrete.</t>
    </r>
  </si>
  <si>
    <t>Nominal size of block 60x60x5cm</t>
  </si>
  <si>
    <t>Sub-Total</t>
  </si>
  <si>
    <r>
      <t>Providing and Laying concrete or</t>
    </r>
    <r>
      <rPr>
        <b/>
        <sz val="10"/>
        <rFont val="Arial"/>
        <family val="2"/>
      </rPr>
      <t xml:space="preserve"> Natural stone footpath</t>
    </r>
    <r>
      <rPr>
        <sz val="8"/>
        <rFont val="Arial"/>
        <family val="2"/>
      </rPr>
      <t xml:space="preserve"> on 12mm thick 1:3 cement sand mortar over the prepared base. (1402)</t>
    </r>
    <r>
      <rPr>
        <b/>
        <sz val="8"/>
        <rFont val="Arial"/>
        <family val="2"/>
      </rPr>
      <t xml:space="preserve"> (b) 25mm thick natural stone slab.</t>
    </r>
  </si>
  <si>
    <t>Stone slab</t>
  </si>
  <si>
    <r>
      <t>Providing and Laying(</t>
    </r>
    <r>
      <rPr>
        <b/>
        <sz val="8"/>
        <rFont val="Arial"/>
        <family val="2"/>
      </rPr>
      <t xml:space="preserve">a) bricks on edge </t>
    </r>
    <r>
      <rPr>
        <sz val="8"/>
        <rFont val="Arial"/>
        <family val="2"/>
      </rPr>
      <t>over 60mm thick sand bed in footpath including excavation, sand bedding etc.complete. (1403)</t>
    </r>
  </si>
  <si>
    <r>
      <t>Providing and Laying(</t>
    </r>
    <r>
      <rPr>
        <b/>
        <sz val="8"/>
        <rFont val="Arial"/>
        <family val="2"/>
      </rPr>
      <t xml:space="preserve">b) Flat brick </t>
    </r>
    <r>
      <rPr>
        <sz val="8"/>
        <rFont val="Arial"/>
        <family val="2"/>
      </rPr>
      <t xml:space="preserve"> in footpath including excavation, sand bedding etc.complete. (1403)</t>
    </r>
  </si>
  <si>
    <r>
      <t>Providing, laying and fixing</t>
    </r>
    <r>
      <rPr>
        <b/>
        <sz val="10"/>
        <rFont val="Arial"/>
        <family val="2"/>
      </rPr>
      <t xml:space="preserve"> </t>
    </r>
    <r>
      <rPr>
        <b/>
        <sz val="9"/>
        <rFont val="Arial"/>
        <family val="2"/>
      </rPr>
      <t>Railing on footpath including RCC and GI posts</t>
    </r>
    <r>
      <rPr>
        <sz val="8"/>
        <rFont val="Arial"/>
        <family val="2"/>
      </rPr>
      <t xml:space="preserve"> as per drawing, specification all complete. (1501 )</t>
    </r>
  </si>
  <si>
    <t>7.5 m</t>
  </si>
  <si>
    <t xml:space="preserve">GI Pipe,medium(40mm Dia) </t>
  </si>
  <si>
    <t>T &amp;P @ 3% 0f labour &amp;material cost for welding etc</t>
  </si>
  <si>
    <t xml:space="preserve">GI Pipe,heavy(50mm Dia) </t>
  </si>
  <si>
    <t>RCC post M20/20</t>
  </si>
  <si>
    <t>Reinforcement for post</t>
  </si>
  <si>
    <t>12 mm dia steel rod</t>
  </si>
  <si>
    <t>M 15/40 P.C.C</t>
  </si>
  <si>
    <t>Footpath excavation</t>
  </si>
  <si>
    <t>Form work for post</t>
  </si>
  <si>
    <t>per m</t>
  </si>
  <si>
    <r>
      <t>Providing, laying and fixing of</t>
    </r>
    <r>
      <rPr>
        <sz val="9"/>
        <rFont val="Arial"/>
        <family val="2"/>
      </rPr>
      <t xml:space="preserve"> </t>
    </r>
    <r>
      <rPr>
        <b/>
        <sz val="9"/>
        <rFont val="Arial"/>
        <family val="2"/>
      </rPr>
      <t>GI Railing on footpath</t>
    </r>
    <r>
      <rPr>
        <b/>
        <sz val="8"/>
        <rFont val="Arial"/>
        <family val="2"/>
      </rPr>
      <t xml:space="preserve"> </t>
    </r>
    <r>
      <rPr>
        <sz val="8"/>
        <rFont val="Arial"/>
        <family val="2"/>
      </rPr>
      <t>including concreting at the foundation as per drawing, specification all complete. (1501 )</t>
    </r>
  </si>
  <si>
    <t>2 m</t>
  </si>
  <si>
    <r>
      <t>Supplying and applying</t>
    </r>
    <r>
      <rPr>
        <b/>
        <sz val="10"/>
        <rFont val="Arial"/>
        <family val="2"/>
      </rPr>
      <t xml:space="preserve"> Thermoplastic road marking paint</t>
    </r>
    <r>
      <rPr>
        <b/>
        <sz val="8"/>
        <rFont val="Arial"/>
        <family val="2"/>
      </rPr>
      <t xml:space="preserve"> </t>
    </r>
    <r>
      <rPr>
        <sz val="8"/>
        <rFont val="Arial"/>
        <family val="2"/>
      </rPr>
      <t>including cleaning, watering, brooming</t>
    </r>
    <r>
      <rPr>
        <sz val="10"/>
        <rFont val="Arial"/>
        <family val="2"/>
      </rPr>
      <t xml:space="preserve"> etc</t>
    </r>
    <r>
      <rPr>
        <sz val="8"/>
        <rFont val="Arial"/>
        <family val="2"/>
      </rPr>
      <t xml:space="preserve"> all complete. (BS 3262 )</t>
    </r>
  </si>
  <si>
    <t>Thermoplastic paint</t>
  </si>
  <si>
    <t>Sprayer</t>
  </si>
  <si>
    <t>Hr</t>
  </si>
  <si>
    <t>Glass bead</t>
  </si>
  <si>
    <t>compressor</t>
  </si>
  <si>
    <t>LP Gas</t>
  </si>
  <si>
    <r>
      <rPr>
        <b/>
        <sz val="9"/>
        <rFont val="Arial"/>
        <family val="2"/>
      </rPr>
      <t>providing and fixing cover of 500mm dia. (Heavy duty) with frame</t>
    </r>
    <r>
      <rPr>
        <sz val="8"/>
        <rFont val="Arial"/>
        <family val="2"/>
      </rPr>
      <t xml:space="preserve"> at requird level including dismentalling, concreting nut bolting etc. all complete as per drawing and specification.(2710 )</t>
    </r>
  </si>
  <si>
    <t>CI manhole cover (heavy duty) 500mm dia. With frame</t>
  </si>
  <si>
    <t>Add 3% for T &amp; P</t>
  </si>
  <si>
    <t>Per no</t>
  </si>
  <si>
    <r>
      <t xml:space="preserve"> </t>
    </r>
    <r>
      <rPr>
        <b/>
        <sz val="9"/>
        <rFont val="Arial"/>
        <family val="2"/>
      </rPr>
      <t>providing and fixing cover of C.I. Grating size 450mm*375mm  (Heavy duty) with frame</t>
    </r>
    <r>
      <rPr>
        <sz val="8"/>
        <rFont val="Arial"/>
        <family val="2"/>
      </rPr>
      <t xml:space="preserve"> at requird level including dismentalling, concreting nut bolting etc. all complete as per drawing and specification.(2710 )</t>
    </r>
  </si>
  <si>
    <r>
      <rPr>
        <b/>
        <sz val="8"/>
        <rFont val="Arial"/>
        <family val="2"/>
      </rPr>
      <t>C.I. Grating heavy duty</t>
    </r>
    <r>
      <rPr>
        <sz val="8"/>
        <rFont val="Arial"/>
        <family val="2"/>
      </rPr>
      <t xml:space="preserve"> including frame                (size:450 mm*375 mm)(10 kg)</t>
    </r>
  </si>
  <si>
    <r>
      <t xml:space="preserve"> </t>
    </r>
    <r>
      <rPr>
        <b/>
        <sz val="9"/>
        <rFont val="Arial"/>
        <family val="2"/>
      </rPr>
      <t>providing and fixing cover of Iron. Grid size 450mm*300mm  (10kg) with frame</t>
    </r>
    <r>
      <rPr>
        <sz val="8"/>
        <rFont val="Arial"/>
        <family val="2"/>
      </rPr>
      <t xml:space="preserve"> at requird level including dismentalling, concreting nut bolting etc. all complete as per drawing and specification.(2710 )</t>
    </r>
  </si>
  <si>
    <t>Iron grid (10kg) including frame                (size:450 mm*300 mm)</t>
  </si>
  <si>
    <t xml:space="preserve">Description of works: </t>
  </si>
  <si>
    <t xml:space="preserve"> Raising of existing Manhole cover at requird level including dismentalling, concreting (M25/20) nut bolting etc. all complete as per drawing and specification. (Depth upto 300 mm),(202,2502,2000 )</t>
  </si>
  <si>
    <t>Spec. cl. No: 202,2502,2000</t>
  </si>
  <si>
    <t>Qty/No</t>
  </si>
  <si>
    <t>Equipment ©</t>
  </si>
  <si>
    <t>Skilled (m/d)</t>
  </si>
  <si>
    <t>Unskilled (m/d)</t>
  </si>
  <si>
    <t>Brick (nos)</t>
  </si>
  <si>
    <t>Cement (m.t.)</t>
  </si>
  <si>
    <t>Sand (m3)</t>
  </si>
  <si>
    <t>Aggregate (m3)</t>
  </si>
  <si>
    <t>Others (nos)</t>
  </si>
  <si>
    <t>Nos</t>
  </si>
  <si>
    <t>Norms/m3</t>
  </si>
  <si>
    <t>2.15.b</t>
  </si>
  <si>
    <t>Dismentalling of A.C. surface</t>
  </si>
  <si>
    <t>T. &amp; P.@3% of A</t>
  </si>
  <si>
    <t>2.08.03</t>
  </si>
  <si>
    <t>Dismentalling of concrete</t>
  </si>
  <si>
    <t>25.02.b</t>
  </si>
  <si>
    <t>Brick masonry (1;3)</t>
  </si>
  <si>
    <t>20.03.a.iv</t>
  </si>
  <si>
    <t>PCC M25/20</t>
  </si>
  <si>
    <t>16 mm dia. Nut Bolts</t>
  </si>
  <si>
    <t>ls</t>
  </si>
  <si>
    <t>Total quantity</t>
  </si>
  <si>
    <t>Sub total (A)</t>
  </si>
  <si>
    <t>Sub total (B)</t>
  </si>
  <si>
    <t>Sub total (C)</t>
  </si>
  <si>
    <t>Total amount (A+B+C)</t>
  </si>
  <si>
    <t xml:space="preserve">Contractor's overhead expenses 15% = </t>
  </si>
  <si>
    <t xml:space="preserve"> Raising of existing Manhole cover at requird level including dismentalling, concreting (M25/20) nut bolting etc. all complete as per drawing and specification. (Depth upto 150 mm),(202,2502,2000 )</t>
  </si>
  <si>
    <t>Road Division  Kathmandu , Minbhawan</t>
  </si>
  <si>
    <t>29.11.A</t>
  </si>
  <si>
    <t>crushed stone nominal size 13.2mm</t>
  </si>
  <si>
    <t>crushed stone aggregate nominal size 5mm</t>
  </si>
  <si>
    <t>Bitumen or emulsion (for prime and Tack coat)</t>
  </si>
  <si>
    <t>Hot mix plant</t>
  </si>
  <si>
    <t>Tipper/Tractor</t>
  </si>
  <si>
    <t>Smooth wheeled roller</t>
  </si>
  <si>
    <t>Filling pot holes and patch repair works with premix surfacing 20mm ,providing required material and repair the pot holes including removal of failed materials, trimmimg and finishing the surface applying tack coat on the sides and base of excavation, backfilling with hot bituminous materials and compaction as per technical specification and instruction of engineer.</t>
  </si>
  <si>
    <t>Unit rate</t>
  </si>
  <si>
    <t>Providing and pointing with cement mortar on masonry work in structure as per technical specifications,cement mortar 1:3</t>
  </si>
  <si>
    <t>Spec. cl. No: 2600</t>
  </si>
  <si>
    <t>slow curing bitumen emulsion</t>
  </si>
  <si>
    <t>stone crusher dust</t>
  </si>
  <si>
    <t>1000 m</t>
  </si>
  <si>
    <t>Providing and filling crack using slow-curing bitumen emulsion and applying crusher run dust in case crack are wider than 3mm as per technical specification and instruction of the engineer.</t>
  </si>
  <si>
    <t>Road Division Kathmandu</t>
  </si>
  <si>
    <t>Average of all size of gabion with height 1 meter</t>
  </si>
  <si>
    <t>Gabion Structure for Retaining Earth,Providing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3 X 1 X 1 m ( 6 sqm)</t>
  </si>
  <si>
    <t>boulder</t>
  </si>
  <si>
    <t xml:space="preserve">Providing mechanically woven heavy zinc coated hexagonal mesh type 100 mm*120 mm, mesh wire 3mm, selvedge wire 3.9mm, lacing wire 2.4mm double twisted crates/mattress including rolling, cutting and with lacing wire and binding wire as per specification. </t>
  </si>
  <si>
    <t>Gabion  wire</t>
  </si>
  <si>
    <t>160 sqm</t>
  </si>
  <si>
    <t>Assembling, mechanicaly woven Gabion boxes/mattress,placing in position including stretching ; forming compartment ; tying the sides and diaphragms with binding wire in each mesh ; tying with bracing wires and ties wires ; and tying down the lid complete as per specification ( stone filling not included)</t>
  </si>
  <si>
    <t>Providing and filling stone/boulder in Gabion boxes/matress etc. Including dressing, beding, bonding all complete as per drawing and technical specification.</t>
  </si>
  <si>
    <t>For 1 cum</t>
  </si>
  <si>
    <t xml:space="preserve">Grandtotal of item no 24.2,24.3 and 24.4 for 1 cum </t>
  </si>
  <si>
    <t>Average of all size with hieght 1m</t>
  </si>
  <si>
    <t>24.2,24.3,24.4</t>
  </si>
  <si>
    <t>Providing, assembling mechanically woven double twisted crates/mattress including rolling, cutting, with lacing and binding wire including stretching. Providing and filling stone boulder in gabion boxes/mattress including dressing, beding, bonding all complete as per drawing and technical specification. Heavy zinc coated hexagonal mech type 100mm/120mm, mesh wire 3mm, selvage wire 3.9mm, lacing wire 2.4mm.</t>
  </si>
  <si>
    <t>Tactile block for footpath, Providing and laying  Tactile Matrix Slab (Single Color) with Compressive Strength M35 or Above. 40mm thickness dimension: 400mmx400mmx40mm all complete as  per specification.</t>
  </si>
  <si>
    <t>14.5.C</t>
  </si>
  <si>
    <t>Tactile block</t>
  </si>
  <si>
    <t>With OH</t>
  </si>
  <si>
    <t>Without OH</t>
  </si>
  <si>
    <t xml:space="preserve">           Rate (NRs)            F/Y- 2077-078</t>
  </si>
  <si>
    <t>Office of Municipal Executive</t>
  </si>
  <si>
    <t>Rate Analysis (FY: 2077/078)</t>
  </si>
  <si>
    <t>150MM dia HDPE DWC Pipes</t>
  </si>
  <si>
    <t>For Supply and laying</t>
  </si>
  <si>
    <t>Unit : 30 RM</t>
  </si>
  <si>
    <t>Respective Clause of Specifications</t>
  </si>
  <si>
    <t>Dolidar Norms n.</t>
  </si>
  <si>
    <t>Category</t>
  </si>
  <si>
    <t>Qty.</t>
  </si>
  <si>
    <t>Rate (Nrs)</t>
  </si>
  <si>
    <t>Amount (Nrs)</t>
  </si>
  <si>
    <t>person-day</t>
  </si>
  <si>
    <t>150mm dia HDPE Double wall corrugated pipes</t>
  </si>
  <si>
    <t>Other joining materials</t>
  </si>
  <si>
    <t>LS</t>
  </si>
  <si>
    <t>3% of Manpower</t>
  </si>
  <si>
    <t>Total Labour Component ( A )</t>
  </si>
  <si>
    <t>Total Material Component ( B )</t>
  </si>
  <si>
    <t>Sub Total (A+B+C ) :</t>
  </si>
  <si>
    <t>Nrs.</t>
  </si>
  <si>
    <t xml:space="preserve">Contractor 's Miscellaneous Overhead Expensed ( 15 % ): </t>
  </si>
  <si>
    <t>Total Cost for 30m :</t>
  </si>
  <si>
    <t>Rate per RM with OH</t>
  </si>
  <si>
    <t>Rate per RM without OH</t>
  </si>
  <si>
    <t>200MM dia HDPE DWC Pipes</t>
  </si>
  <si>
    <t>200mm dia HDPE Double wall corrugated pipes</t>
  </si>
  <si>
    <t>250MM dia HDPE DWC Pipes</t>
  </si>
  <si>
    <t>250mm dia HDPE Double wall corrugated pipes</t>
  </si>
  <si>
    <t>300MM dia HDPE DWC Pipes</t>
  </si>
  <si>
    <t>300mm dia HDPE Double wall corrugated pipes</t>
  </si>
  <si>
    <t>400MM dia HDPE DWC Pipes</t>
  </si>
  <si>
    <t>400mm dia HDPE Double wall corrugated pipes</t>
  </si>
  <si>
    <t>500MM dia HDPE DWC Pipes</t>
  </si>
  <si>
    <t>500mm dia HDPE Double wall corrugated pipes</t>
  </si>
  <si>
    <t>600MM dia HDPE DWC Pipes</t>
  </si>
  <si>
    <t>600mm dia HDPE Double wall corrugated pipes</t>
  </si>
  <si>
    <t>5% of Manpower</t>
  </si>
  <si>
    <t>800MM dia HDPE DWC Pipes</t>
  </si>
  <si>
    <t>800mm dia HDPE Double wall corrugated pipes</t>
  </si>
  <si>
    <t>1000MM dia HDPE DWC Pipes</t>
  </si>
  <si>
    <t>1000mm dia HDPE Double wall corrugated pipes</t>
  </si>
  <si>
    <t>RM</t>
  </si>
  <si>
    <t>HDPE_pipe_110_mm-PN6</t>
  </si>
  <si>
    <t>HDPE_pipe_150_mm- PN6</t>
  </si>
  <si>
    <t>admixture- super plasticizer</t>
  </si>
  <si>
    <t>HYSD_bar</t>
  </si>
  <si>
    <t>Office of the Municipal Executive</t>
  </si>
  <si>
    <t>Crew, hr</t>
  </si>
  <si>
    <t>Assistant, hr</t>
  </si>
  <si>
    <t>Helper/ Unskilled</t>
  </si>
  <si>
    <t>Drilled Hole Stabilization</t>
  </si>
  <si>
    <t xml:space="preserve">Add 3.75% of Material, Labour and Equipment (A+B+C) for Formwork and 110mm dia PN6 HDPE Pipe for Weep hole </t>
  </si>
  <si>
    <r>
      <t xml:space="preserve">Providing and laying </t>
    </r>
    <r>
      <rPr>
        <b/>
        <sz val="12"/>
        <color theme="1"/>
        <rFont val="Times New Roman"/>
        <family val="1"/>
      </rPr>
      <t>Plum concrete</t>
    </r>
    <r>
      <rPr>
        <sz val="12"/>
        <color theme="1"/>
        <rFont val="Times New Roman"/>
        <family val="2"/>
      </rPr>
      <t xml:space="preserve"> ( Boulder mixed concrete) including </t>
    </r>
    <r>
      <rPr>
        <b/>
        <sz val="12"/>
        <color theme="1"/>
        <rFont val="Times New Roman"/>
        <family val="1"/>
      </rPr>
      <t>form work</t>
    </r>
    <r>
      <rPr>
        <sz val="12"/>
        <color theme="1"/>
        <rFont val="Times New Roman"/>
        <family val="2"/>
      </rPr>
      <t xml:space="preserve"> and </t>
    </r>
    <r>
      <rPr>
        <b/>
        <sz val="12"/>
        <color theme="1"/>
        <rFont val="Times New Roman"/>
        <family val="1"/>
      </rPr>
      <t>110mm dia PN6 HDPE</t>
    </r>
    <r>
      <rPr>
        <sz val="12"/>
        <color theme="1"/>
        <rFont val="Times New Roman"/>
        <family val="2"/>
      </rPr>
      <t xml:space="preserve"> pipe for </t>
    </r>
    <r>
      <rPr>
        <b/>
        <sz val="12"/>
        <color theme="1"/>
        <rFont val="Times New Roman"/>
        <family val="1"/>
      </rPr>
      <t>Weep hole</t>
    </r>
    <r>
      <rPr>
        <sz val="12"/>
        <color theme="1"/>
        <rFont val="Times New Roman"/>
        <family val="2"/>
      </rPr>
      <t xml:space="preserve"> as per Drawing and Specifications, 60% M 15  concrete and 40% boulders/stones, using Mechanical Aids</t>
    </r>
  </si>
  <si>
    <r>
      <t xml:space="preserve">Providing and laying </t>
    </r>
    <r>
      <rPr>
        <b/>
        <sz val="12"/>
        <color theme="1"/>
        <rFont val="Times New Roman"/>
        <family val="1"/>
      </rPr>
      <t>Plum concrete</t>
    </r>
    <r>
      <rPr>
        <sz val="12"/>
        <color theme="1"/>
        <rFont val="Times New Roman"/>
        <family val="2"/>
      </rPr>
      <t xml:space="preserve"> ( Boulder mixed concrete) including </t>
    </r>
    <r>
      <rPr>
        <b/>
        <sz val="12"/>
        <color theme="1"/>
        <rFont val="Times New Roman"/>
        <family val="1"/>
      </rPr>
      <t>form work</t>
    </r>
    <r>
      <rPr>
        <sz val="12"/>
        <color theme="1"/>
        <rFont val="Times New Roman"/>
        <family val="2"/>
      </rPr>
      <t xml:space="preserve"> and </t>
    </r>
    <r>
      <rPr>
        <b/>
        <sz val="12"/>
        <color theme="1"/>
        <rFont val="Times New Roman"/>
        <family val="1"/>
      </rPr>
      <t>110mm dia PN6 HDPE</t>
    </r>
    <r>
      <rPr>
        <sz val="12"/>
        <color theme="1"/>
        <rFont val="Times New Roman"/>
        <family val="2"/>
      </rPr>
      <t xml:space="preserve"> pipe for </t>
    </r>
    <r>
      <rPr>
        <b/>
        <sz val="12"/>
        <color theme="1"/>
        <rFont val="Times New Roman"/>
        <family val="1"/>
      </rPr>
      <t>Weep hole</t>
    </r>
    <r>
      <rPr>
        <sz val="12"/>
        <color theme="1"/>
        <rFont val="Times New Roman"/>
        <family val="2"/>
      </rPr>
      <t xml:space="preserve"> as per Drawing and Specifications, 60% M 15  concrete and 40% boulders/stones, Manual means</t>
    </r>
  </si>
  <si>
    <r>
      <t xml:space="preserve">Providing and laying </t>
    </r>
    <r>
      <rPr>
        <b/>
        <sz val="12"/>
        <color theme="1"/>
        <rFont val="Times New Roman"/>
        <family val="1"/>
      </rPr>
      <t>Plum concrete</t>
    </r>
    <r>
      <rPr>
        <sz val="12"/>
        <color theme="1"/>
        <rFont val="Times New Roman"/>
        <family val="2"/>
      </rPr>
      <t xml:space="preserve"> ( Boulder mixed concrete) including </t>
    </r>
    <r>
      <rPr>
        <b/>
        <sz val="12"/>
        <color theme="1"/>
        <rFont val="Times New Roman"/>
        <family val="1"/>
      </rPr>
      <t>form work</t>
    </r>
    <r>
      <rPr>
        <sz val="12"/>
        <color theme="1"/>
        <rFont val="Times New Roman"/>
        <family val="2"/>
      </rPr>
      <t xml:space="preserve"> and </t>
    </r>
    <r>
      <rPr>
        <b/>
        <sz val="12"/>
        <color theme="1"/>
        <rFont val="Times New Roman"/>
        <family val="1"/>
      </rPr>
      <t>110mm dia PN6 HDPE</t>
    </r>
    <r>
      <rPr>
        <sz val="12"/>
        <color theme="1"/>
        <rFont val="Times New Roman"/>
        <family val="2"/>
      </rPr>
      <t xml:space="preserve"> pipe for </t>
    </r>
    <r>
      <rPr>
        <b/>
        <sz val="12"/>
        <color theme="1"/>
        <rFont val="Times New Roman"/>
        <family val="1"/>
      </rPr>
      <t>Weep hole</t>
    </r>
    <r>
      <rPr>
        <sz val="12"/>
        <color theme="1"/>
        <rFont val="Times New Roman"/>
        <family val="2"/>
      </rPr>
      <t xml:space="preserve"> as per Drawing and Specifications, 70% M 15 concrete and 30% boulders/stones, Using Mechanical Aids</t>
    </r>
  </si>
  <si>
    <r>
      <t xml:space="preserve">Providing and laying </t>
    </r>
    <r>
      <rPr>
        <b/>
        <sz val="12"/>
        <color theme="1"/>
        <rFont val="Times New Roman"/>
        <family val="1"/>
      </rPr>
      <t>Plum concrete</t>
    </r>
    <r>
      <rPr>
        <sz val="12"/>
        <color theme="1"/>
        <rFont val="Times New Roman"/>
        <family val="2"/>
      </rPr>
      <t xml:space="preserve"> ( Boulder mixed concrete) including </t>
    </r>
    <r>
      <rPr>
        <b/>
        <sz val="12"/>
        <color theme="1"/>
        <rFont val="Times New Roman"/>
        <family val="1"/>
      </rPr>
      <t>form work</t>
    </r>
    <r>
      <rPr>
        <sz val="12"/>
        <color theme="1"/>
        <rFont val="Times New Roman"/>
        <family val="2"/>
      </rPr>
      <t xml:space="preserve"> and </t>
    </r>
    <r>
      <rPr>
        <b/>
        <sz val="12"/>
        <color theme="1"/>
        <rFont val="Times New Roman"/>
        <family val="1"/>
      </rPr>
      <t>110mm dia PN6 HDPE</t>
    </r>
    <r>
      <rPr>
        <sz val="12"/>
        <color theme="1"/>
        <rFont val="Times New Roman"/>
        <family val="2"/>
      </rPr>
      <t xml:space="preserve"> pipe for </t>
    </r>
    <r>
      <rPr>
        <b/>
        <sz val="12"/>
        <color theme="1"/>
        <rFont val="Times New Roman"/>
        <family val="1"/>
      </rPr>
      <t>Weep hole</t>
    </r>
    <r>
      <rPr>
        <sz val="12"/>
        <color theme="1"/>
        <rFont val="Times New Roman"/>
        <family val="2"/>
      </rPr>
      <t xml:space="preserve"> as per Drawing and Specifications, 70% M 15 concrete and 30% boulders/stones, Manual means</t>
    </r>
  </si>
  <si>
    <t>Shankharapur Municipality</t>
  </si>
  <si>
    <t>local stone</t>
  </si>
  <si>
    <t>Providing and laying of hand pack locally available Stone soling with 150 to 200 mm thick stones and packing with smaller stone on prepared surface as per Drawing and Technical Specifications.</t>
  </si>
  <si>
    <t>Providing and laying  granular sub-base without compaction  on prepared surface, mixing , complete as per Drawing and Technical Specifications., By Mechanical means</t>
  </si>
  <si>
    <t>Providing and laying  granular sub-base   without compaction on prepared surface, mixing  , complete as per Drawing and Technical Specifications., By Mechanical means</t>
  </si>
  <si>
    <t>Providing and laying  local / washing  sub-base   on prepared surface, mixing  at OMC, and compacting  to achieve the desired density, complete as per Drawing and Technical Specifications., By Mechanical means</t>
  </si>
  <si>
    <t>Providing and laying  local /washing sub-base   without compaction on prepared surface, mixing  , complete as per Drawing and Technical Specifications., By Mechanical means</t>
  </si>
  <si>
    <t>Providing and laying  local/ washing sub-base   on prepared surface, mixing  at OMC, and compacting  to achieve the desired density, complete as per Drawing and Technical Specifications., By Mechanical means</t>
  </si>
  <si>
    <t>Providing and laying  local/washing sub base without compaction  on prepared surface, mixing , complete as per Drawing and Technical Specifications., By Mechanical means</t>
  </si>
  <si>
    <t>sub base</t>
  </si>
  <si>
    <t>base</t>
  </si>
  <si>
    <t>Gabion Structure for Retaining Earth, Providing and laying Gabion structure for retaining earth with diaphragm including rolling, cutting, weaving, placing, laying sides and diaphragms with binding wire and filling locally available boulders all complete as per drawing and technical specification Mesh wire- 10 Swg(0.0615 kg/m), Selvedge Wire 8 Swg ( 0.1057 kg/m), binding wire 12 Swg (0.0409 kg/m) Hexagonal mesh Type 100 mm X 120 mm,, Box size 1.0 X 1 X 1 m ( 6 sqm)</t>
  </si>
  <si>
    <t>Gabion Structure for Retaining Earth, Providing and laying Gabion structure for retaining earth with diaphragm including rolling, cutting, weaving, placing, laying sides and diaphragms with binding wire and filling locally available  boulders all complete as per drawing and technical specification Mesh wire- 10 Swg(0.0615 kg/m), Selvedge Wire 8 Swg ( 0.1057 kg/m), binding wire 12 Swg (0.0409 kg/m) Hexagonal mesh Type 100 mm X 120 mm,, Box size 1.5 X 1 X 1 m ( 9 sqm )</t>
  </si>
  <si>
    <t>Gabion Structure for Retaining Earth, Providing and laying Gabion structure for retaining earth with diaphragm including rolling, cutting, weaving, placing, laying sides and diaphragms with binding wire and filling locally avilable boulders all complete as per drawing and technical specification Mesh wire- 10 Swg(0.0615 kg/m), Selvedge Wire 8 Swg ( 0.1057 kg/m), binding wire 12 Swg (0.0409 kg/m) Hexagonal mesh Type 100 mm X 120 mm,, Box size 2 X 1 X 1 m ( 11 sqm)</t>
  </si>
  <si>
    <t>Gabion Structure for Retaining Earth,Providing and laying Gabion structure for retaining earth with diaphragm including rolling, cutting, weaving, placing, laying sides and diaphragms with binding wire and filling locally available boulders all complete as per drawing and technical specification Mesh wire- 10 Swg(0.0615 kg/m), Selvedge Wire 8 Swg ( 0.1057 kg/m), binding wire 12 Swg (0.0409 kg/m) Hexagonal mesh Type 100 mm X 120 mm,, Box size 3 X 1 X 1 m ( 6 sqm)</t>
  </si>
  <si>
    <t>with local stone</t>
  </si>
  <si>
    <t>Random Rubble Masonry, Providing and laying of locally available Stone Masonry Work in Cement Mortar 1:4 in Foundation complete as per Drawing and Technical Specifications.</t>
  </si>
  <si>
    <t>catonic bitumin emulsion</t>
  </si>
  <si>
    <t>salla wood planks_38mm_thick</t>
  </si>
  <si>
    <t xml:space="preserve">washing gravel </t>
  </si>
  <si>
    <t xml:space="preserve">           Rate (NRs)            F/Y- 2079-80</t>
  </si>
  <si>
    <t>page 6</t>
  </si>
  <si>
    <t>page 3</t>
  </si>
  <si>
    <t>page 16</t>
  </si>
  <si>
    <t>page 75</t>
  </si>
  <si>
    <t>page 100</t>
  </si>
  <si>
    <t>page 5</t>
  </si>
  <si>
    <t>page 28</t>
  </si>
  <si>
    <t>page 29</t>
  </si>
  <si>
    <t>PAGE 162</t>
  </si>
  <si>
    <t>Providing and laying of hand pack Stone soling with 150 to 200 mm thick stones and packing with smaller stone on prepared surface with good line level finish, locking by stone from middle and side by side without gap as per Drawing and Technical Specifications and directed by site engineer</t>
  </si>
  <si>
    <t>Providing and laying of hand pack Stone soling with 150 to 200 mm thick stones and packing with smaller stone on prepared surface with good line level finish, locking by stone from middle and side by side without gap as per Drawing and Technical Specifications and directed by site engineer local stone</t>
  </si>
  <si>
    <t>soling matra</t>
  </si>
  <si>
    <t>Providing and laying of hand pack Stone soling with 150 to 200 mm thick stones and packing with smaller stone on prepared surface with good line level finish, locking by stone from middle and side by side without gap as per Drawing and Technical Specifications and directed by site engineer (local stone)</t>
  </si>
  <si>
    <t>Road Rate Analysis</t>
  </si>
  <si>
    <t xml:space="preserve">           Rate (NRs)            F/Y- 2081/82</t>
  </si>
  <si>
    <t>page 56</t>
  </si>
  <si>
    <t>page 8</t>
  </si>
  <si>
    <t>PAGE 66</t>
  </si>
  <si>
    <t>PAGE 5</t>
  </si>
  <si>
    <t>Backhoe loader</t>
  </si>
  <si>
    <t>page 96</t>
  </si>
  <si>
    <t>page 9</t>
  </si>
  <si>
    <t xml:space="preserve">           Rate (NRs)            F/Y- 2082/83</t>
  </si>
  <si>
    <t>Summary of Rates -2082/83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</si>
</sst>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0.0"/>
    <numFmt numFmtId="166" formatCode="0.000"/>
    <numFmt numFmtId="167" formatCode="_(* #,##0.000000000000_);_(* \(#,##0.000000000000\);_(* &quot;-&quot;??_);_(@_)"/>
    <numFmt numFmtId="168" formatCode="0.0000"/>
    <numFmt numFmtId="169" formatCode="0.00000"/>
  </numFmts>
  <fonts count="40" x14ac:knownFonts="1">
    <font>
      <sz val="11"/>
      <color theme="1"/>
      <name val="Calibri"/>
      <family val="2"/>
      <scheme val="minor"/>
    </font>
    <font>
      <sz val="12"/>
      <color theme="1"/>
      <name val="Times New Roman"/>
      <family val="2"/>
    </font>
    <font>
      <b/>
      <sz val="12"/>
      <color theme="1"/>
      <name val="Times New Roman"/>
      <family val="2"/>
    </font>
    <font>
      <b/>
      <sz val="10"/>
      <color theme="1"/>
      <name val="Times New Roman"/>
      <family val="2"/>
    </font>
    <font>
      <b/>
      <sz val="16"/>
      <color theme="1"/>
      <name val="Times New Roman"/>
      <family val="2"/>
    </font>
    <font>
      <b/>
      <sz val="14"/>
      <color theme="1"/>
      <name val="Times New Roman"/>
      <family val="2"/>
    </font>
    <font>
      <sz val="10"/>
      <name val="Arial"/>
      <family val="2"/>
    </font>
    <font>
      <sz val="12"/>
      <name val="Arial"/>
      <family val="2"/>
    </font>
    <font>
      <b/>
      <sz val="12"/>
      <name val="Arial"/>
      <family val="2"/>
    </font>
    <font>
      <b/>
      <sz val="14"/>
      <name val="Arial"/>
      <family val="2"/>
    </font>
    <font>
      <b/>
      <sz val="10"/>
      <name val="Arial"/>
      <family val="2"/>
    </font>
    <font>
      <b/>
      <sz val="8"/>
      <name val="Arial"/>
      <family val="2"/>
    </font>
    <font>
      <vertAlign val="superscript"/>
      <sz val="10"/>
      <name val="Arial"/>
      <family val="2"/>
    </font>
    <font>
      <sz val="10"/>
      <name val="Arial"/>
      <family val="2"/>
    </font>
    <font>
      <b/>
      <sz val="12"/>
      <name val="Calibri"/>
      <family val="2"/>
      <scheme val="minor"/>
    </font>
    <font>
      <sz val="12"/>
      <name val="Calibri"/>
      <family val="2"/>
      <scheme val="minor"/>
    </font>
    <font>
      <sz val="8"/>
      <name val="Arial"/>
      <family val="2"/>
    </font>
    <font>
      <vertAlign val="superscript"/>
      <sz val="8"/>
      <name val="Arial"/>
      <family val="2"/>
    </font>
    <font>
      <b/>
      <sz val="9"/>
      <name val="Arial"/>
      <family val="2"/>
    </font>
    <font>
      <sz val="7"/>
      <name val="Arial"/>
      <family val="2"/>
    </font>
    <font>
      <sz val="9"/>
      <name val="Arial"/>
      <family val="2"/>
    </font>
    <font>
      <b/>
      <sz val="7"/>
      <name val="Arial"/>
      <family val="2"/>
    </font>
    <font>
      <b/>
      <sz val="10"/>
      <name val="Arial Narrow"/>
      <family val="2"/>
    </font>
    <font>
      <b/>
      <sz val="11"/>
      <name val="Arial Narrow"/>
      <family val="2"/>
    </font>
    <font>
      <sz val="11"/>
      <name val="Arial Narrow"/>
      <family val="2"/>
    </font>
    <font>
      <sz val="10"/>
      <name val="Arial Narrow"/>
      <family val="2"/>
    </font>
    <font>
      <b/>
      <sz val="12"/>
      <color theme="1"/>
      <name val="Times New Roman"/>
      <family val="1"/>
    </font>
    <font>
      <sz val="12"/>
      <color theme="1"/>
      <name val="Times New Roman"/>
      <family val="1"/>
    </font>
    <font>
      <b/>
      <u/>
      <sz val="12"/>
      <color theme="1"/>
      <name val="Times New Roman"/>
      <family val="1"/>
    </font>
    <font>
      <sz val="12"/>
      <name val="Times New Roman"/>
      <family val="1"/>
    </font>
    <font>
      <b/>
      <sz val="14"/>
      <color theme="1"/>
      <name val="Times New Roman"/>
      <family val="1"/>
    </font>
    <font>
      <sz val="12"/>
      <color rgb="FFFF0000"/>
      <name val="Times New Roman"/>
      <family val="2"/>
    </font>
    <font>
      <sz val="11"/>
      <color theme="1"/>
      <name val="Calibri"/>
      <family val="2"/>
      <scheme val="minor"/>
    </font>
    <font>
      <b/>
      <sz val="11"/>
      <color theme="1"/>
      <name val="Calibri"/>
      <family val="2"/>
      <scheme val="minor"/>
    </font>
    <font>
      <b/>
      <sz val="10"/>
      <name val="Times New Roman"/>
      <family val="1"/>
    </font>
    <font>
      <sz val="10"/>
      <name val="Times New Roman"/>
      <family val="1"/>
    </font>
    <font>
      <sz val="9"/>
      <name val="Times New Roman"/>
      <family val="1"/>
    </font>
    <font>
      <sz val="11"/>
      <color rgb="FFFF0000"/>
      <name val="Calibri"/>
      <family val="2"/>
      <scheme val="minor"/>
    </font>
    <font>
      <sz val="12"/>
      <name val="Times New Roman"/>
      <family val="2"/>
    </font>
    <font>
      <sz val="11"/>
      <name val="Calibri"/>
      <family val="2"/>
      <scheme val="minor"/>
    </font>
  </fonts>
  <fills count="16">
    <fill>
      <patternFill patternType="none"/>
    </fill>
    <fill>
      <patternFill patternType="gray125"/>
    </fill>
    <fill>
      <patternFill patternType="solid">
        <fgColor rgb="FFFDFCD9"/>
        <bgColor indexed="64"/>
      </patternFill>
    </fill>
    <fill>
      <patternFill patternType="solid">
        <fgColor rgb="FF86D7F6"/>
        <bgColor indexed="64"/>
      </patternFill>
    </fill>
    <fill>
      <patternFill patternType="solid">
        <fgColor rgb="FFB9FFCB"/>
        <bgColor indexed="64"/>
      </patternFill>
    </fill>
    <fill>
      <patternFill patternType="solid">
        <fgColor rgb="FFD2FFFE"/>
        <bgColor indexed="64"/>
      </patternFill>
    </fill>
    <fill>
      <patternFill patternType="solid">
        <fgColor indexed="22"/>
        <bgColor indexed="64"/>
      </patternFill>
    </fill>
    <fill>
      <patternFill patternType="solid">
        <fgColor rgb="FFFFFF00"/>
        <bgColor indexed="64"/>
      </patternFill>
    </fill>
    <fill>
      <patternFill patternType="solid">
        <fgColor indexed="11"/>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rgb="FF00B050"/>
        <bgColor indexed="64"/>
      </patternFill>
    </fill>
    <fill>
      <patternFill patternType="solid">
        <fgColor theme="0"/>
        <bgColor indexed="64"/>
      </patternFill>
    </fill>
    <fill>
      <patternFill patternType="solid">
        <fgColor rgb="FF92D050"/>
        <bgColor indexed="64"/>
      </patternFill>
    </fill>
    <fill>
      <patternFill patternType="solid">
        <fgColor theme="6"/>
        <bgColor indexed="64"/>
      </patternFill>
    </fill>
  </fills>
  <borders count="90">
    <border>
      <left/>
      <right/>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2"/>
      </bottom>
      <diagonal/>
    </border>
    <border>
      <left/>
      <right/>
      <top style="medium">
        <color indexed="64"/>
      </top>
      <bottom style="thin">
        <color indexed="62"/>
      </bottom>
      <diagonal/>
    </border>
    <border>
      <left/>
      <right style="medium">
        <color indexed="64"/>
      </right>
      <top style="medium">
        <color indexed="64"/>
      </top>
      <bottom style="thin">
        <color indexed="62"/>
      </bottom>
      <diagonal/>
    </border>
    <border>
      <left style="medium">
        <color indexed="64"/>
      </left>
      <right style="medium">
        <color indexed="64"/>
      </right>
      <top style="medium">
        <color indexed="64"/>
      </top>
      <bottom style="thin">
        <color indexed="62"/>
      </bottom>
      <diagonal/>
    </border>
    <border>
      <left style="medium">
        <color indexed="64"/>
      </left>
      <right style="medium">
        <color indexed="64"/>
      </right>
      <top/>
      <bottom style="thin">
        <color indexed="62"/>
      </bottom>
      <diagonal/>
    </border>
    <border>
      <left style="medium">
        <color indexed="64"/>
      </left>
      <right style="thin">
        <color indexed="62"/>
      </right>
      <top style="thin">
        <color indexed="62"/>
      </top>
      <bottom style="thin">
        <color indexed="62"/>
      </bottom>
      <diagonal/>
    </border>
    <border>
      <left style="thin">
        <color indexed="62"/>
      </left>
      <right style="thin">
        <color indexed="62"/>
      </right>
      <top style="thin">
        <color indexed="62"/>
      </top>
      <bottom style="thin">
        <color indexed="62"/>
      </bottom>
      <diagonal/>
    </border>
    <border>
      <left style="thin">
        <color indexed="62"/>
      </left>
      <right style="medium">
        <color indexed="64"/>
      </right>
      <top style="thin">
        <color indexed="62"/>
      </top>
      <bottom style="thin">
        <color indexed="62"/>
      </bottom>
      <diagonal/>
    </border>
    <border>
      <left style="medium">
        <color indexed="64"/>
      </left>
      <right style="medium">
        <color indexed="64"/>
      </right>
      <top style="thin">
        <color indexed="62"/>
      </top>
      <bottom style="thin">
        <color indexed="62"/>
      </bottom>
      <diagonal/>
    </border>
    <border>
      <left style="medium">
        <color indexed="64"/>
      </left>
      <right style="medium">
        <color indexed="64"/>
      </right>
      <top/>
      <bottom/>
      <diagonal/>
    </border>
    <border>
      <left style="medium">
        <color indexed="64"/>
      </left>
      <right style="thin">
        <color indexed="62"/>
      </right>
      <top/>
      <bottom/>
      <diagonal/>
    </border>
    <border>
      <left style="thin">
        <color indexed="62"/>
      </left>
      <right style="thin">
        <color indexed="62"/>
      </right>
      <top/>
      <bottom/>
      <diagonal/>
    </border>
    <border>
      <left style="thin">
        <color indexed="62"/>
      </left>
      <right style="medium">
        <color indexed="64"/>
      </right>
      <top/>
      <bottom/>
      <diagonal/>
    </border>
    <border>
      <left style="medium">
        <color indexed="64"/>
      </left>
      <right style="medium">
        <color indexed="64"/>
      </right>
      <top style="thin">
        <color indexed="62"/>
      </top>
      <bottom/>
      <diagonal/>
    </border>
    <border>
      <left style="medium">
        <color indexed="64"/>
      </left>
      <right/>
      <top/>
      <bottom/>
      <diagonal/>
    </border>
    <border>
      <left style="thin">
        <color indexed="62"/>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2"/>
      </right>
      <top style="medium">
        <color indexed="64"/>
      </top>
      <bottom style="medium">
        <color indexed="64"/>
      </bottom>
      <diagonal/>
    </border>
    <border>
      <left style="thin">
        <color indexed="62"/>
      </left>
      <right style="thin">
        <color indexed="62"/>
      </right>
      <top style="medium">
        <color indexed="64"/>
      </top>
      <bottom style="medium">
        <color indexed="64"/>
      </bottom>
      <diagonal/>
    </border>
    <border>
      <left style="thin">
        <color indexed="62"/>
      </left>
      <right style="medium">
        <color indexed="64"/>
      </right>
      <top style="medium">
        <color indexed="64"/>
      </top>
      <bottom style="medium">
        <color indexed="64"/>
      </bottom>
      <diagonal/>
    </border>
    <border>
      <left style="medium">
        <color indexed="64"/>
      </left>
      <right style="thin">
        <color indexed="62"/>
      </right>
      <top style="thin">
        <color indexed="62"/>
      </top>
      <bottom/>
      <diagonal/>
    </border>
    <border>
      <left style="thin">
        <color indexed="64"/>
      </left>
      <right style="thin">
        <color indexed="64"/>
      </right>
      <top style="thin">
        <color indexed="62"/>
      </top>
      <bottom/>
      <diagonal/>
    </border>
    <border>
      <left style="medium">
        <color indexed="64"/>
      </left>
      <right style="thin">
        <color indexed="62"/>
      </right>
      <top style="thin">
        <color indexed="62"/>
      </top>
      <bottom style="thin">
        <color indexed="62"/>
      </bottom>
      <diagonal/>
    </border>
    <border>
      <left style="thin">
        <color indexed="62"/>
      </left>
      <right style="thin">
        <color indexed="62"/>
      </right>
      <top style="thin">
        <color indexed="62"/>
      </top>
      <bottom style="thin">
        <color indexed="62"/>
      </bottom>
      <diagonal/>
    </border>
    <border>
      <left style="thin">
        <color indexed="62"/>
      </left>
      <right style="medium">
        <color indexed="64"/>
      </right>
      <top style="thin">
        <color indexed="62"/>
      </top>
      <bottom style="thin">
        <color indexed="62"/>
      </bottom>
      <diagonal/>
    </border>
    <border>
      <left style="medium">
        <color indexed="64"/>
      </left>
      <right style="medium">
        <color indexed="64"/>
      </right>
      <top style="thin">
        <color indexed="62"/>
      </top>
      <bottom style="thin">
        <color indexed="62"/>
      </bottom>
      <diagonal/>
    </border>
    <border>
      <left style="medium">
        <color indexed="64"/>
      </left>
      <right style="thin">
        <color indexed="62"/>
      </right>
      <top style="thin">
        <color indexed="62"/>
      </top>
      <bottom/>
      <diagonal/>
    </border>
    <border>
      <left style="medium">
        <color indexed="64"/>
      </left>
      <right style="medium">
        <color indexed="64"/>
      </right>
      <top style="thin">
        <color indexed="62"/>
      </top>
      <bottom/>
      <diagonal/>
    </border>
    <border>
      <left/>
      <right style="thin">
        <color indexed="62"/>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9">
    <xf numFmtId="0" fontId="0" fillId="0" borderId="0"/>
    <xf numFmtId="0" fontId="6" fillId="0" borderId="0"/>
    <xf numFmtId="164" fontId="6" fillId="0" borderId="0" applyFont="0" applyFill="0" applyBorder="0" applyAlignment="0" applyProtection="0"/>
    <xf numFmtId="0" fontId="13" fillId="0" borderId="0"/>
    <xf numFmtId="9" fontId="32" fillId="0" borderId="0" applyFont="0" applyFill="0" applyBorder="0" applyAlignment="0" applyProtection="0"/>
    <xf numFmtId="0" fontId="6" fillId="0" borderId="0"/>
    <xf numFmtId="0" fontId="6" fillId="0" borderId="0"/>
    <xf numFmtId="0" fontId="6" fillId="0" borderId="0"/>
    <xf numFmtId="164" fontId="32" fillId="0" borderId="0" applyFont="0" applyFill="0" applyBorder="0" applyAlignment="0" applyProtection="0"/>
  </cellStyleXfs>
  <cellXfs count="653">
    <xf numFmtId="0" fontId="0" fillId="0" borderId="0" xfId="0"/>
    <xf numFmtId="0" fontId="3" fillId="2" borderId="1" xfId="0" applyFont="1" applyFill="1" applyBorder="1" applyAlignment="1" applyProtection="1">
      <alignment horizontal="center" vertical="center" wrapText="1"/>
      <protection locked="0"/>
    </xf>
    <xf numFmtId="0" fontId="2" fillId="0" borderId="1" xfId="0" applyFont="1" applyBorder="1" applyAlignment="1">
      <alignment vertical="center" wrapText="1"/>
    </xf>
    <xf numFmtId="0" fontId="1" fillId="0" borderId="1" xfId="0" applyFont="1" applyBorder="1" applyAlignment="1">
      <alignment vertical="center"/>
    </xf>
    <xf numFmtId="0" fontId="2"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3" fillId="0" borderId="0" xfId="0" applyFont="1" applyAlignment="1">
      <alignment horizontal="right" vertical="center" wrapText="1"/>
    </xf>
    <xf numFmtId="0" fontId="1" fillId="0" borderId="1" xfId="0" applyFont="1" applyBorder="1" applyAlignment="1" applyProtection="1">
      <alignment vertical="center" wrapText="1"/>
      <protection locked="0"/>
    </xf>
    <xf numFmtId="165" fontId="1" fillId="0" borderId="1" xfId="0" applyNumberFormat="1" applyFont="1" applyBorder="1" applyAlignment="1">
      <alignment vertical="center" wrapText="1"/>
    </xf>
    <xf numFmtId="166" fontId="1" fillId="0" borderId="1" xfId="0" applyNumberFormat="1" applyFont="1" applyBorder="1" applyAlignment="1">
      <alignment vertical="center" wrapText="1"/>
    </xf>
    <xf numFmtId="0" fontId="2" fillId="5" borderId="1" xfId="0" applyFont="1" applyFill="1" applyBorder="1" applyAlignment="1">
      <alignment horizontal="center" vertical="center" wrapText="1"/>
    </xf>
    <xf numFmtId="0" fontId="1" fillId="0" borderId="0" xfId="0" applyFont="1" applyAlignment="1">
      <alignment vertical="center" wrapText="1"/>
    </xf>
    <xf numFmtId="0" fontId="1" fillId="2" borderId="1" xfId="0" applyFont="1" applyFill="1" applyBorder="1" applyAlignment="1">
      <alignment vertical="center"/>
    </xf>
    <xf numFmtId="165" fontId="2" fillId="0" borderId="1" xfId="0" applyNumberFormat="1" applyFont="1" applyBorder="1" applyAlignment="1">
      <alignment vertical="center" wrapText="1"/>
    </xf>
    <xf numFmtId="0" fontId="3" fillId="2" borderId="1" xfId="0" applyFont="1" applyFill="1" applyBorder="1" applyAlignment="1" applyProtection="1">
      <alignment horizontal="right" vertical="center" wrapText="1"/>
      <protection locked="0"/>
    </xf>
    <xf numFmtId="0" fontId="0" fillId="0" borderId="1" xfId="0" applyBorder="1"/>
    <xf numFmtId="0" fontId="1" fillId="0" borderId="1" xfId="0" applyFont="1" applyFill="1" applyBorder="1" applyAlignment="1">
      <alignment vertical="center" wrapText="1"/>
    </xf>
    <xf numFmtId="2" fontId="1" fillId="0" borderId="1" xfId="0" applyNumberFormat="1" applyFont="1" applyFill="1" applyBorder="1" applyAlignment="1">
      <alignment vertical="center" wrapText="1"/>
    </xf>
    <xf numFmtId="1" fontId="1" fillId="0" borderId="1" xfId="0" applyNumberFormat="1" applyFont="1" applyBorder="1" applyAlignment="1">
      <alignment vertical="center" wrapText="1"/>
    </xf>
    <xf numFmtId="0" fontId="2" fillId="0" borderId="1" xfId="0" applyFont="1" applyBorder="1" applyAlignment="1">
      <alignment vertical="center" wrapText="1"/>
    </xf>
    <xf numFmtId="0" fontId="1" fillId="0" borderId="1" xfId="0" applyFont="1" applyBorder="1" applyAlignment="1">
      <alignment vertical="center" wrapText="1"/>
    </xf>
    <xf numFmtId="0" fontId="2" fillId="3" borderId="1" xfId="0" applyFont="1" applyFill="1" applyBorder="1" applyAlignment="1">
      <alignment horizontal="center" vertical="center" wrapText="1"/>
    </xf>
    <xf numFmtId="0" fontId="6" fillId="0" borderId="0" xfId="1"/>
    <xf numFmtId="0" fontId="9" fillId="0" borderId="0" xfId="1" applyFont="1" applyAlignment="1"/>
    <xf numFmtId="0" fontId="10" fillId="0" borderId="0" xfId="1" applyFont="1"/>
    <xf numFmtId="0" fontId="11" fillId="0" borderId="0" xfId="1" applyFont="1" applyAlignment="1"/>
    <xf numFmtId="0" fontId="10" fillId="0" borderId="2" xfId="1" applyFont="1" applyBorder="1" applyAlignment="1">
      <alignment horizontal="center"/>
    </xf>
    <xf numFmtId="0" fontId="10" fillId="0" borderId="3" xfId="1" applyFont="1" applyBorder="1" applyAlignment="1">
      <alignment horizontal="center"/>
    </xf>
    <xf numFmtId="0" fontId="10" fillId="0" borderId="3" xfId="1" applyFont="1" applyBorder="1" applyAlignment="1">
      <alignment horizontal="center" wrapText="1"/>
    </xf>
    <xf numFmtId="0" fontId="10" fillId="0" borderId="4" xfId="1" applyFont="1" applyBorder="1" applyAlignment="1">
      <alignment horizontal="center" wrapText="1"/>
    </xf>
    <xf numFmtId="0" fontId="10" fillId="6" borderId="5" xfId="1" applyFont="1" applyFill="1" applyBorder="1" applyAlignment="1">
      <alignment horizontal="center" vertical="top"/>
    </xf>
    <xf numFmtId="0" fontId="10" fillId="6" borderId="1" xfId="1" applyFont="1" applyFill="1" applyBorder="1" applyAlignment="1">
      <alignment horizontal="justify" vertical="justify" wrapText="1"/>
    </xf>
    <xf numFmtId="0" fontId="6" fillId="0" borderId="1" xfId="1" applyBorder="1" applyAlignment="1">
      <alignment horizontal="center" vertical="center"/>
    </xf>
    <xf numFmtId="2" fontId="6" fillId="0" borderId="1" xfId="1" applyNumberFormat="1" applyBorder="1" applyAlignment="1">
      <alignment horizontal="center" vertical="center"/>
    </xf>
    <xf numFmtId="164" fontId="6" fillId="0" borderId="1" xfId="2" applyBorder="1" applyAlignment="1">
      <alignment horizontal="center" vertical="center"/>
    </xf>
    <xf numFmtId="167" fontId="6" fillId="0" borderId="6" xfId="1" applyNumberFormat="1" applyBorder="1" applyAlignment="1">
      <alignment vertical="center"/>
    </xf>
    <xf numFmtId="0" fontId="10" fillId="0" borderId="0" xfId="1" applyFont="1" applyAlignment="1">
      <alignment horizontal="right"/>
    </xf>
    <xf numFmtId="0" fontId="6" fillId="0" borderId="5" xfId="1" applyFont="1" applyBorder="1" applyAlignment="1">
      <alignment horizontal="center" vertical="top"/>
    </xf>
    <xf numFmtId="0" fontId="6" fillId="0" borderId="1" xfId="1" applyFont="1" applyFill="1" applyBorder="1" applyAlignment="1">
      <alignment horizontal="justify" vertical="justify" wrapText="1"/>
    </xf>
    <xf numFmtId="0" fontId="6" fillId="0" borderId="1" xfId="1" applyFill="1" applyBorder="1" applyAlignment="1">
      <alignment horizontal="justify" vertical="justify" wrapText="1"/>
    </xf>
    <xf numFmtId="2" fontId="6" fillId="0" borderId="1" xfId="1" applyNumberFormat="1" applyBorder="1" applyAlignment="1">
      <alignment vertical="center"/>
    </xf>
    <xf numFmtId="2" fontId="6" fillId="0" borderId="0" xfId="1" applyNumberFormat="1" applyAlignment="1"/>
    <xf numFmtId="0" fontId="10" fillId="0" borderId="1" xfId="1" applyFont="1" applyFill="1" applyBorder="1" applyAlignment="1">
      <alignment horizontal="right" vertical="justify" wrapText="1"/>
    </xf>
    <xf numFmtId="0" fontId="6" fillId="0" borderId="7" xfId="1" applyFont="1" applyBorder="1" applyAlignment="1">
      <alignment horizontal="center" vertical="top"/>
    </xf>
    <xf numFmtId="0" fontId="10" fillId="0" borderId="8" xfId="1" applyFont="1" applyFill="1" applyBorder="1" applyAlignment="1">
      <alignment horizontal="right" vertical="justify" wrapText="1"/>
    </xf>
    <xf numFmtId="0" fontId="6" fillId="0" borderId="8" xfId="1" applyBorder="1" applyAlignment="1">
      <alignment horizontal="center" vertical="center"/>
    </xf>
    <xf numFmtId="2" fontId="6" fillId="0" borderId="8" xfId="1" applyNumberFormat="1" applyBorder="1" applyAlignment="1">
      <alignment horizontal="center" vertical="center"/>
    </xf>
    <xf numFmtId="164" fontId="10" fillId="0" borderId="8" xfId="2" applyFont="1" applyBorder="1" applyAlignment="1">
      <alignment horizontal="center" vertical="center"/>
    </xf>
    <xf numFmtId="167" fontId="6" fillId="0" borderId="9" xfId="1" applyNumberFormat="1" applyBorder="1" applyAlignment="1">
      <alignment vertical="center"/>
    </xf>
    <xf numFmtId="0" fontId="15" fillId="0" borderId="0" xfId="3" applyFont="1" applyBorder="1"/>
    <xf numFmtId="0" fontId="15" fillId="0" borderId="0" xfId="3" applyFont="1" applyBorder="1" applyAlignment="1">
      <alignment horizontal="center"/>
    </xf>
    <xf numFmtId="0" fontId="16" fillId="0" borderId="0" xfId="3" applyNumberFormat="1" applyFont="1" applyFill="1" applyAlignment="1">
      <alignment vertical="top"/>
    </xf>
    <xf numFmtId="2" fontId="16" fillId="7" borderId="0" xfId="3" applyNumberFormat="1" applyFont="1" applyFill="1" applyAlignment="1">
      <alignment horizontal="left" vertical="top"/>
    </xf>
    <xf numFmtId="0" fontId="16" fillId="0" borderId="0" xfId="3" applyNumberFormat="1" applyFont="1" applyFill="1" applyBorder="1" applyAlignment="1">
      <alignment horizontal="center" vertical="top"/>
    </xf>
    <xf numFmtId="0" fontId="16" fillId="0" borderId="0" xfId="3" applyNumberFormat="1" applyFont="1" applyFill="1" applyAlignment="1">
      <alignment vertical="center"/>
    </xf>
    <xf numFmtId="0" fontId="16" fillId="0" borderId="0" xfId="3" applyNumberFormat="1" applyFont="1" applyFill="1" applyBorder="1" applyAlignment="1">
      <alignment vertical="center"/>
    </xf>
    <xf numFmtId="0" fontId="16" fillId="0" borderId="22" xfId="3" applyNumberFormat="1" applyFont="1" applyFill="1" applyBorder="1" applyAlignment="1">
      <alignment horizontal="center" vertical="center"/>
    </xf>
    <xf numFmtId="0" fontId="16" fillId="0" borderId="23" xfId="3" applyNumberFormat="1" applyFont="1" applyFill="1" applyBorder="1" applyAlignment="1">
      <alignment horizontal="center" vertical="center"/>
    </xf>
    <xf numFmtId="0" fontId="16" fillId="0" borderId="24" xfId="3" applyNumberFormat="1" applyFont="1" applyFill="1" applyBorder="1" applyAlignment="1">
      <alignment horizontal="center" vertical="center"/>
    </xf>
    <xf numFmtId="2" fontId="16" fillId="0" borderId="26" xfId="3" applyNumberFormat="1" applyFont="1" applyFill="1" applyBorder="1" applyAlignment="1">
      <alignment horizontal="center" vertical="center"/>
    </xf>
    <xf numFmtId="0" fontId="16" fillId="0" borderId="27" xfId="3" applyNumberFormat="1" applyFont="1" applyFill="1" applyBorder="1" applyAlignment="1">
      <alignment horizontal="left" vertical="center"/>
    </xf>
    <xf numFmtId="0" fontId="16" fillId="0" borderId="28" xfId="3" applyNumberFormat="1" applyFont="1" applyFill="1" applyBorder="1" applyAlignment="1">
      <alignment horizontal="center" vertical="center"/>
    </xf>
    <xf numFmtId="168" fontId="16" fillId="0" borderId="28" xfId="3" applyNumberFormat="1" applyFont="1" applyFill="1" applyBorder="1" applyAlignment="1">
      <alignment horizontal="right" vertical="center"/>
    </xf>
    <xf numFmtId="2" fontId="16" fillId="0" borderId="28" xfId="3" applyNumberFormat="1" applyFont="1" applyFill="1" applyBorder="1" applyAlignment="1">
      <alignment horizontal="right" vertical="center"/>
    </xf>
    <xf numFmtId="2" fontId="16" fillId="0" borderId="29" xfId="3" applyNumberFormat="1" applyFont="1" applyFill="1" applyBorder="1" applyAlignment="1">
      <alignment horizontal="right" vertical="center"/>
    </xf>
    <xf numFmtId="0" fontId="16" fillId="0" borderId="0" xfId="3" applyNumberFormat="1" applyFont="1" applyFill="1" applyAlignment="1">
      <alignment vertical="center" wrapText="1"/>
    </xf>
    <xf numFmtId="0" fontId="16" fillId="0" borderId="28" xfId="3" applyNumberFormat="1" applyFont="1" applyFill="1" applyBorder="1" applyAlignment="1">
      <alignment horizontal="right" vertical="center"/>
    </xf>
    <xf numFmtId="0" fontId="16" fillId="0" borderId="30" xfId="3" applyNumberFormat="1" applyFont="1" applyFill="1" applyBorder="1" applyAlignment="1">
      <alignment horizontal="center" vertical="top" wrapText="1"/>
    </xf>
    <xf numFmtId="0" fontId="16" fillId="0" borderId="26" xfId="3" applyNumberFormat="1" applyFont="1" applyFill="1" applyBorder="1" applyAlignment="1">
      <alignment horizontal="center" vertical="center"/>
    </xf>
    <xf numFmtId="0" fontId="16" fillId="0" borderId="31" xfId="3" applyNumberFormat="1" applyFont="1" applyFill="1" applyBorder="1" applyAlignment="1">
      <alignment vertical="top" wrapText="1"/>
    </xf>
    <xf numFmtId="2" fontId="16" fillId="0" borderId="32" xfId="3" applyNumberFormat="1" applyFont="1" applyFill="1" applyBorder="1" applyAlignment="1">
      <alignment horizontal="right" vertical="center"/>
    </xf>
    <xf numFmtId="0" fontId="16" fillId="0" borderId="27" xfId="3" applyNumberFormat="1" applyFont="1" applyFill="1" applyBorder="1" applyAlignment="1">
      <alignment vertical="top" wrapText="1"/>
    </xf>
    <xf numFmtId="2" fontId="16" fillId="0" borderId="0" xfId="3" applyNumberFormat="1" applyFont="1" applyFill="1" applyBorder="1" applyAlignment="1">
      <alignment horizontal="right" vertical="center"/>
    </xf>
    <xf numFmtId="168" fontId="16" fillId="0" borderId="29" xfId="3" applyNumberFormat="1" applyFont="1" applyFill="1" applyBorder="1" applyAlignment="1">
      <alignment horizontal="right" vertical="center"/>
    </xf>
    <xf numFmtId="0" fontId="16" fillId="0" borderId="26" xfId="3" applyNumberFormat="1" applyFont="1" applyFill="1" applyBorder="1" applyAlignment="1">
      <alignment vertical="top" textRotation="90" wrapText="1"/>
    </xf>
    <xf numFmtId="0" fontId="16" fillId="0" borderId="29" xfId="3" applyNumberFormat="1" applyFont="1" applyFill="1" applyBorder="1" applyAlignment="1">
      <alignment horizontal="right" vertical="center"/>
    </xf>
    <xf numFmtId="2" fontId="16" fillId="0" borderId="0" xfId="3" applyNumberFormat="1" applyFont="1" applyFill="1" applyAlignment="1">
      <alignment vertical="center"/>
    </xf>
    <xf numFmtId="0" fontId="13" fillId="0" borderId="33" xfId="3" applyFill="1" applyBorder="1" applyAlignment="1">
      <alignment vertical="center" textRotation="90" wrapText="1"/>
    </xf>
    <xf numFmtId="0" fontId="16" fillId="0" borderId="34" xfId="3" applyNumberFormat="1" applyFont="1" applyFill="1" applyBorder="1" applyAlignment="1">
      <alignment horizontal="right" vertical="center"/>
    </xf>
    <xf numFmtId="0" fontId="16" fillId="0" borderId="35" xfId="3" applyNumberFormat="1" applyFont="1" applyFill="1" applyBorder="1" applyAlignment="1">
      <alignment horizontal="right" vertical="center"/>
    </xf>
    <xf numFmtId="0" fontId="16" fillId="0" borderId="36" xfId="3" applyNumberFormat="1" applyFont="1" applyFill="1" applyBorder="1" applyAlignment="1">
      <alignment horizontal="right" vertical="center"/>
    </xf>
    <xf numFmtId="2" fontId="16" fillId="0" borderId="37" xfId="3" quotePrefix="1" applyNumberFormat="1" applyFont="1" applyFill="1" applyBorder="1" applyAlignment="1">
      <alignment horizontal="right" vertical="center"/>
    </xf>
    <xf numFmtId="0" fontId="16" fillId="0" borderId="0" xfId="3" applyNumberFormat="1" applyFont="1" applyFill="1" applyAlignment="1">
      <alignment horizontal="right" vertical="center"/>
    </xf>
    <xf numFmtId="2" fontId="16" fillId="0" borderId="0" xfId="3" quotePrefix="1" applyNumberFormat="1" applyFont="1" applyFill="1" applyBorder="1" applyAlignment="1">
      <alignment horizontal="right" vertical="center"/>
    </xf>
    <xf numFmtId="0" fontId="16" fillId="0" borderId="0" xfId="3" quotePrefix="1" applyNumberFormat="1" applyFont="1" applyFill="1" applyAlignment="1">
      <alignment horizontal="right" vertical="center"/>
    </xf>
    <xf numFmtId="0" fontId="16" fillId="0" borderId="0" xfId="3" applyNumberFormat="1" applyFont="1" applyFill="1" applyBorder="1" applyAlignment="1">
      <alignment horizontal="right" vertical="center"/>
    </xf>
    <xf numFmtId="0" fontId="11" fillId="0" borderId="0" xfId="3" applyNumberFormat="1" applyFont="1" applyFill="1" applyAlignment="1">
      <alignment horizontal="right" vertical="center"/>
    </xf>
    <xf numFmtId="2" fontId="11" fillId="0" borderId="0" xfId="3" quotePrefix="1" applyNumberFormat="1" applyFont="1" applyFill="1" applyBorder="1" applyAlignment="1">
      <alignment horizontal="right" vertical="center"/>
    </xf>
    <xf numFmtId="2" fontId="11" fillId="0" borderId="0" xfId="3" applyNumberFormat="1" applyFont="1" applyFill="1" applyAlignment="1">
      <alignment vertical="center"/>
    </xf>
    <xf numFmtId="0" fontId="16" fillId="0" borderId="38" xfId="3" applyNumberFormat="1" applyFont="1" applyFill="1" applyBorder="1" applyAlignment="1">
      <alignment vertical="top" wrapText="1"/>
    </xf>
    <xf numFmtId="0" fontId="16" fillId="0" borderId="0" xfId="3" applyNumberFormat="1" applyFont="1" applyFill="1" applyAlignment="1">
      <alignment horizontal="center" vertical="center"/>
    </xf>
    <xf numFmtId="0" fontId="13" fillId="0" borderId="26" xfId="3" applyFill="1" applyBorder="1" applyAlignment="1">
      <alignment vertical="center" textRotation="90" wrapText="1"/>
    </xf>
    <xf numFmtId="0" fontId="16" fillId="0" borderId="32" xfId="3" applyNumberFormat="1" applyFont="1" applyFill="1" applyBorder="1" applyAlignment="1">
      <alignment horizontal="right" vertical="center"/>
    </xf>
    <xf numFmtId="2" fontId="16" fillId="0" borderId="34" xfId="3" applyNumberFormat="1" applyFont="1" applyFill="1" applyBorder="1" applyAlignment="1">
      <alignment horizontal="right" vertical="center"/>
    </xf>
    <xf numFmtId="2" fontId="11" fillId="0" borderId="0" xfId="3" applyNumberFormat="1" applyFont="1" applyFill="1" applyBorder="1" applyAlignment="1">
      <alignment vertical="center"/>
    </xf>
    <xf numFmtId="169" fontId="16" fillId="0" borderId="28" xfId="3" applyNumberFormat="1" applyFont="1" applyFill="1" applyBorder="1" applyAlignment="1">
      <alignment horizontal="right" vertical="center"/>
    </xf>
    <xf numFmtId="168" fontId="16" fillId="0" borderId="28" xfId="3" applyNumberFormat="1" applyFont="1" applyFill="1" applyBorder="1" applyAlignment="1">
      <alignment horizontal="center" vertical="center"/>
    </xf>
    <xf numFmtId="2" fontId="11" fillId="7" borderId="0" xfId="3" applyNumberFormat="1" applyFont="1" applyFill="1" applyAlignment="1">
      <alignment vertical="center"/>
    </xf>
    <xf numFmtId="166" fontId="16" fillId="0" borderId="28" xfId="3" applyNumberFormat="1" applyFont="1" applyFill="1" applyBorder="1" applyAlignment="1">
      <alignment horizontal="right" vertical="center"/>
    </xf>
    <xf numFmtId="0" fontId="11" fillId="0" borderId="0" xfId="3" applyNumberFormat="1" applyFont="1" applyFill="1" applyAlignment="1">
      <alignment vertical="top"/>
    </xf>
    <xf numFmtId="0" fontId="16" fillId="0" borderId="0" xfId="3" applyNumberFormat="1" applyFont="1" applyFill="1" applyAlignment="1">
      <alignment horizontal="centerContinuous" vertical="top"/>
    </xf>
    <xf numFmtId="0" fontId="16" fillId="0" borderId="0" xfId="3" applyNumberFormat="1" applyFont="1" applyFill="1" applyBorder="1" applyAlignment="1">
      <alignment horizontal="right" vertical="top"/>
    </xf>
    <xf numFmtId="0" fontId="16" fillId="0" borderId="0" xfId="3" quotePrefix="1" applyNumberFormat="1" applyFont="1" applyFill="1" applyBorder="1" applyAlignment="1">
      <alignment horizontal="left" vertical="top"/>
    </xf>
    <xf numFmtId="0" fontId="16" fillId="0" borderId="39" xfId="3" applyNumberFormat="1" applyFont="1" applyFill="1" applyBorder="1" applyAlignment="1">
      <alignment horizontal="center" vertical="center"/>
    </xf>
    <xf numFmtId="0" fontId="16" fillId="0" borderId="30" xfId="3" applyNumberFormat="1" applyFont="1" applyFill="1" applyBorder="1" applyAlignment="1">
      <alignment vertical="top" textRotation="90" wrapText="1"/>
    </xf>
    <xf numFmtId="166" fontId="16" fillId="0" borderId="0" xfId="3" applyNumberFormat="1" applyFont="1" applyFill="1" applyAlignment="1">
      <alignment vertical="center"/>
    </xf>
    <xf numFmtId="0" fontId="16" fillId="8" borderId="0" xfId="3" applyNumberFormat="1" applyFont="1" applyFill="1" applyAlignment="1">
      <alignment vertical="center"/>
    </xf>
    <xf numFmtId="0" fontId="16" fillId="0" borderId="0" xfId="3" applyNumberFormat="1" applyFont="1" applyFill="1" applyAlignment="1">
      <alignment horizontal="left" vertical="top"/>
    </xf>
    <xf numFmtId="0" fontId="16" fillId="7" borderId="0" xfId="3" applyNumberFormat="1" applyFont="1" applyFill="1" applyBorder="1" applyAlignment="1">
      <alignment vertical="center"/>
    </xf>
    <xf numFmtId="0" fontId="16" fillId="0" borderId="0" xfId="3" applyNumberFormat="1" applyFont="1" applyFill="1" applyBorder="1" applyAlignment="1">
      <alignment vertical="center" wrapText="1"/>
    </xf>
    <xf numFmtId="0" fontId="16" fillId="0" borderId="40" xfId="3" applyNumberFormat="1" applyFont="1" applyFill="1" applyBorder="1" applyAlignment="1">
      <alignment horizontal="center" vertical="center"/>
    </xf>
    <xf numFmtId="0" fontId="16" fillId="0" borderId="41" xfId="3" applyNumberFormat="1" applyFont="1" applyFill="1" applyBorder="1" applyAlignment="1">
      <alignment horizontal="center" vertical="center"/>
    </xf>
    <xf numFmtId="0" fontId="16" fillId="0" borderId="42" xfId="3" applyNumberFormat="1" applyFont="1" applyFill="1" applyBorder="1" applyAlignment="1">
      <alignment horizontal="center" vertical="center"/>
    </xf>
    <xf numFmtId="0" fontId="19" fillId="0" borderId="44" xfId="3" applyNumberFormat="1" applyFont="1" applyFill="1" applyBorder="1" applyAlignment="1">
      <alignment horizontal="left" vertical="center" wrapText="1"/>
    </xf>
    <xf numFmtId="0" fontId="19" fillId="0" borderId="27" xfId="3" applyNumberFormat="1" applyFont="1" applyFill="1" applyBorder="1" applyAlignment="1">
      <alignment horizontal="left" vertical="top" wrapText="1"/>
    </xf>
    <xf numFmtId="0" fontId="16" fillId="0" borderId="46" xfId="3" applyNumberFormat="1" applyFont="1" applyFill="1" applyBorder="1" applyAlignment="1">
      <alignment horizontal="center" vertical="center"/>
    </xf>
    <xf numFmtId="0" fontId="16" fillId="0" borderId="27" xfId="3" applyNumberFormat="1" applyFont="1" applyFill="1" applyBorder="1" applyAlignment="1">
      <alignment horizontal="left" vertical="top" wrapText="1"/>
    </xf>
    <xf numFmtId="0" fontId="16" fillId="0" borderId="27" xfId="3" applyNumberFormat="1" applyFont="1" applyFill="1" applyBorder="1" applyAlignment="1">
      <alignment horizontal="left" vertical="center" wrapText="1"/>
    </xf>
    <xf numFmtId="2" fontId="16" fillId="0" borderId="36" xfId="3" applyNumberFormat="1" applyFont="1" applyFill="1" applyBorder="1" applyAlignment="1">
      <alignment horizontal="right" vertical="center"/>
    </xf>
    <xf numFmtId="2" fontId="16" fillId="0" borderId="0" xfId="3" applyNumberFormat="1" applyFont="1" applyFill="1" applyAlignment="1">
      <alignment horizontal="right" vertical="center"/>
    </xf>
    <xf numFmtId="2" fontId="16" fillId="0" borderId="0" xfId="3" applyNumberFormat="1" applyFont="1" applyFill="1" applyBorder="1" applyAlignment="1">
      <alignment vertical="center"/>
    </xf>
    <xf numFmtId="2" fontId="19" fillId="0" borderId="0" xfId="3" applyNumberFormat="1" applyFont="1" applyFill="1" applyBorder="1" applyAlignment="1">
      <alignment vertical="center"/>
    </xf>
    <xf numFmtId="0" fontId="16" fillId="0" borderId="27" xfId="3" applyNumberFormat="1" applyFont="1" applyFill="1" applyBorder="1" applyAlignment="1">
      <alignment horizontal="left" vertical="top"/>
    </xf>
    <xf numFmtId="0" fontId="16" fillId="0" borderId="0" xfId="3" applyNumberFormat="1" applyFont="1" applyFill="1" applyBorder="1" applyAlignment="1">
      <alignment horizontal="left" vertical="center"/>
    </xf>
    <xf numFmtId="2" fontId="21" fillId="7" borderId="0" xfId="3" applyNumberFormat="1" applyFont="1" applyFill="1" applyBorder="1" applyAlignment="1">
      <alignment horizontal="right" vertical="center"/>
    </xf>
    <xf numFmtId="2" fontId="21" fillId="7" borderId="0" xfId="3" applyNumberFormat="1" applyFont="1" applyFill="1" applyBorder="1" applyAlignment="1">
      <alignment vertical="center"/>
    </xf>
    <xf numFmtId="0" fontId="13" fillId="0" borderId="0" xfId="3"/>
    <xf numFmtId="0" fontId="6" fillId="0" borderId="4" xfId="3" applyFont="1" applyBorder="1" applyAlignment="1">
      <alignment horizontal="center" vertical="center"/>
    </xf>
    <xf numFmtId="0" fontId="6" fillId="0" borderId="54" xfId="3" applyFont="1" applyBorder="1" applyAlignment="1">
      <alignment horizontal="center" vertical="center"/>
    </xf>
    <xf numFmtId="0" fontId="25" fillId="0" borderId="47" xfId="3" applyFont="1" applyFill="1" applyBorder="1" applyAlignment="1">
      <alignment horizontal="center"/>
    </xf>
    <xf numFmtId="0" fontId="6" fillId="0" borderId="47" xfId="3" applyFont="1" applyBorder="1" applyAlignment="1">
      <alignment horizontal="center" vertical="center"/>
    </xf>
    <xf numFmtId="0" fontId="6" fillId="0" borderId="6" xfId="3" applyFont="1" applyBorder="1" applyAlignment="1">
      <alignment horizontal="center" vertical="center"/>
    </xf>
    <xf numFmtId="0" fontId="13" fillId="0" borderId="47" xfId="3" applyBorder="1"/>
    <xf numFmtId="0" fontId="13" fillId="0" borderId="6" xfId="3" applyBorder="1"/>
    <xf numFmtId="0" fontId="25" fillId="0" borderId="5" xfId="3" applyFont="1" applyBorder="1" applyAlignment="1">
      <alignment horizontal="center"/>
    </xf>
    <xf numFmtId="0" fontId="25" fillId="0" borderId="47" xfId="3" applyFont="1" applyBorder="1" applyAlignment="1">
      <alignment horizontal="left"/>
    </xf>
    <xf numFmtId="0" fontId="25" fillId="0" borderId="47" xfId="3" applyFont="1" applyBorder="1" applyAlignment="1">
      <alignment horizontal="center"/>
    </xf>
    <xf numFmtId="168" fontId="25" fillId="0" borderId="47" xfId="3" applyNumberFormat="1" applyFont="1" applyBorder="1" applyAlignment="1">
      <alignment horizontal="center"/>
    </xf>
    <xf numFmtId="2" fontId="13" fillId="0" borderId="47" xfId="3" applyNumberFormat="1" applyBorder="1"/>
    <xf numFmtId="169" fontId="13" fillId="0" borderId="47" xfId="3" applyNumberFormat="1" applyBorder="1"/>
    <xf numFmtId="0" fontId="6" fillId="0" borderId="47" xfId="3" applyFont="1" applyBorder="1"/>
    <xf numFmtId="2" fontId="13" fillId="0" borderId="6" xfId="3" applyNumberFormat="1" applyBorder="1"/>
    <xf numFmtId="0" fontId="25" fillId="0" borderId="55" xfId="3" applyFont="1" applyBorder="1" applyAlignment="1">
      <alignment horizontal="center"/>
    </xf>
    <xf numFmtId="0" fontId="25" fillId="0" borderId="56" xfId="3" applyFont="1" applyBorder="1" applyAlignment="1">
      <alignment horizontal="left"/>
    </xf>
    <xf numFmtId="0" fontId="25" fillId="0" borderId="56" xfId="3" applyFont="1" applyBorder="1" applyAlignment="1">
      <alignment horizontal="center"/>
    </xf>
    <xf numFmtId="168" fontId="25" fillId="0" borderId="56" xfId="3" applyNumberFormat="1" applyFont="1" applyBorder="1" applyAlignment="1">
      <alignment horizontal="center"/>
    </xf>
    <xf numFmtId="2" fontId="13" fillId="0" borderId="56" xfId="3" applyNumberFormat="1" applyBorder="1"/>
    <xf numFmtId="169" fontId="13" fillId="0" borderId="56" xfId="3" applyNumberFormat="1" applyBorder="1"/>
    <xf numFmtId="0" fontId="13" fillId="0" borderId="56" xfId="3" applyBorder="1"/>
    <xf numFmtId="0" fontId="13" fillId="0" borderId="57" xfId="3" applyBorder="1"/>
    <xf numFmtId="0" fontId="13" fillId="0" borderId="7" xfId="3" applyBorder="1" applyAlignment="1"/>
    <xf numFmtId="0" fontId="25" fillId="0" borderId="8" xfId="3" applyFont="1" applyBorder="1" applyAlignment="1">
      <alignment horizontal="left"/>
    </xf>
    <xf numFmtId="0" fontId="25" fillId="0" borderId="8" xfId="3" applyFont="1" applyBorder="1" applyAlignment="1">
      <alignment horizontal="center"/>
    </xf>
    <xf numFmtId="0" fontId="13" fillId="0" borderId="8" xfId="3" applyBorder="1"/>
    <xf numFmtId="169" fontId="13" fillId="0" borderId="8" xfId="3" applyNumberFormat="1" applyBorder="1"/>
    <xf numFmtId="0" fontId="13" fillId="0" borderId="9" xfId="3" applyBorder="1"/>
    <xf numFmtId="0" fontId="13" fillId="0" borderId="2" xfId="3" applyBorder="1" applyAlignment="1"/>
    <xf numFmtId="0" fontId="22" fillId="0" borderId="3" xfId="3" applyFont="1" applyFill="1" applyBorder="1" applyAlignment="1">
      <alignment horizontal="right"/>
    </xf>
    <xf numFmtId="0" fontId="10" fillId="0" borderId="3" xfId="3" applyFont="1" applyBorder="1"/>
    <xf numFmtId="169" fontId="10" fillId="0" borderId="3" xfId="3" applyNumberFormat="1" applyFont="1" applyBorder="1"/>
    <xf numFmtId="0" fontId="13" fillId="0" borderId="3" xfId="3" applyBorder="1"/>
    <xf numFmtId="0" fontId="13" fillId="0" borderId="4" xfId="3" applyBorder="1"/>
    <xf numFmtId="0" fontId="13" fillId="0" borderId="5" xfId="3" applyBorder="1"/>
    <xf numFmtId="0" fontId="25" fillId="0" borderId="47" xfId="3" applyFont="1" applyFill="1" applyBorder="1" applyAlignment="1">
      <alignment horizontal="right"/>
    </xf>
    <xf numFmtId="2" fontId="13" fillId="0" borderId="6" xfId="3" applyNumberFormat="1" applyBorder="1" applyAlignment="1"/>
    <xf numFmtId="0" fontId="13" fillId="0" borderId="7" xfId="3" applyBorder="1"/>
    <xf numFmtId="0" fontId="6" fillId="0" borderId="8" xfId="3" applyFont="1" applyBorder="1"/>
    <xf numFmtId="0" fontId="13" fillId="0" borderId="8" xfId="3" applyBorder="1" applyAlignment="1">
      <alignment horizontal="center"/>
    </xf>
    <xf numFmtId="2" fontId="13" fillId="0" borderId="8" xfId="3" applyNumberFormat="1" applyBorder="1"/>
    <xf numFmtId="2" fontId="23" fillId="7" borderId="9" xfId="3" applyNumberFormat="1" applyFont="1" applyFill="1" applyBorder="1" applyAlignment="1">
      <alignment vertical="center"/>
    </xf>
    <xf numFmtId="0" fontId="13" fillId="0" borderId="47" xfId="3" applyBorder="1" applyAlignment="1">
      <alignment horizontal="center"/>
    </xf>
    <xf numFmtId="0" fontId="13" fillId="0" borderId="6" xfId="3" applyBorder="1" applyAlignment="1">
      <alignment horizontal="center"/>
    </xf>
    <xf numFmtId="0" fontId="13" fillId="0" borderId="2" xfId="3" applyBorder="1"/>
    <xf numFmtId="0" fontId="10" fillId="0" borderId="3" xfId="3" applyFont="1" applyBorder="1" applyAlignment="1">
      <alignment horizontal="right"/>
    </xf>
    <xf numFmtId="0" fontId="13" fillId="0" borderId="47" xfId="3" applyBorder="1" applyAlignment="1">
      <alignment horizontal="right"/>
    </xf>
    <xf numFmtId="0" fontId="1" fillId="0" borderId="70" xfId="0" applyFont="1" applyBorder="1" applyAlignment="1">
      <alignment horizontal="center" vertical="center" wrapText="1"/>
    </xf>
    <xf numFmtId="0" fontId="1" fillId="0" borderId="70" xfId="0" applyFont="1" applyBorder="1" applyAlignment="1">
      <alignment vertical="center" wrapText="1"/>
    </xf>
    <xf numFmtId="0" fontId="2" fillId="0" borderId="1" xfId="0" applyFont="1" applyBorder="1" applyAlignment="1">
      <alignment vertical="center" wrapText="1"/>
    </xf>
    <xf numFmtId="0" fontId="1" fillId="0" borderId="1" xfId="0" applyFont="1" applyBorder="1" applyAlignment="1">
      <alignment vertical="center" wrapText="1"/>
    </xf>
    <xf numFmtId="0" fontId="2" fillId="3" borderId="1" xfId="0" applyFont="1" applyFill="1" applyBorder="1" applyAlignment="1">
      <alignment horizontal="center" vertical="center" wrapText="1"/>
    </xf>
    <xf numFmtId="0" fontId="27" fillId="0" borderId="1" xfId="0" applyFont="1" applyBorder="1" applyAlignment="1">
      <alignment vertical="center" wrapText="1"/>
    </xf>
    <xf numFmtId="0" fontId="26" fillId="0" borderId="1" xfId="0" applyFont="1" applyBorder="1" applyAlignment="1">
      <alignment vertical="center" wrapText="1"/>
    </xf>
    <xf numFmtId="165" fontId="27" fillId="0" borderId="1" xfId="0" applyNumberFormat="1" applyFont="1" applyBorder="1" applyAlignment="1">
      <alignment vertical="center" wrapText="1"/>
    </xf>
    <xf numFmtId="9" fontId="27" fillId="0" borderId="1" xfId="0" applyNumberFormat="1" applyFont="1" applyBorder="1" applyAlignment="1">
      <alignment vertical="center" wrapText="1"/>
    </xf>
    <xf numFmtId="0" fontId="27" fillId="0" borderId="0" xfId="0" applyFont="1" applyAlignment="1">
      <alignment vertical="center" wrapText="1"/>
    </xf>
    <xf numFmtId="0" fontId="27" fillId="2" borderId="1" xfId="0" applyFont="1" applyFill="1" applyBorder="1" applyAlignment="1">
      <alignment vertical="center"/>
    </xf>
    <xf numFmtId="166" fontId="27" fillId="0" borderId="1" xfId="0" applyNumberFormat="1" applyFont="1" applyBorder="1" applyAlignment="1">
      <alignment vertical="center" wrapText="1"/>
    </xf>
    <xf numFmtId="168" fontId="27" fillId="0" borderId="1" xfId="0" applyNumberFormat="1" applyFont="1" applyBorder="1" applyAlignment="1">
      <alignment vertical="center" wrapText="1"/>
    </xf>
    <xf numFmtId="2" fontId="27" fillId="0" borderId="1" xfId="0" applyNumberFormat="1" applyFont="1" applyBorder="1" applyAlignment="1">
      <alignment vertical="center" wrapText="1"/>
    </xf>
    <xf numFmtId="0" fontId="27" fillId="0" borderId="72" xfId="0" applyFont="1" applyBorder="1" applyAlignment="1">
      <alignment vertical="center" wrapText="1"/>
    </xf>
    <xf numFmtId="0" fontId="26" fillId="0" borderId="0" xfId="0" applyFont="1" applyBorder="1" applyAlignment="1">
      <alignment horizontal="right" vertical="center" wrapText="1"/>
    </xf>
    <xf numFmtId="0" fontId="27" fillId="0" borderId="65" xfId="0" applyFont="1" applyFill="1" applyBorder="1" applyAlignment="1">
      <alignment vertical="center" wrapText="1"/>
    </xf>
    <xf numFmtId="0" fontId="27" fillId="0" borderId="48" xfId="0" applyFont="1" applyFill="1" applyBorder="1" applyAlignment="1">
      <alignment vertical="center" wrapText="1"/>
    </xf>
    <xf numFmtId="0" fontId="27" fillId="0" borderId="0" xfId="0" applyFont="1"/>
    <xf numFmtId="165" fontId="27" fillId="0" borderId="0" xfId="0" applyNumberFormat="1" applyFont="1"/>
    <xf numFmtId="0" fontId="27" fillId="7" borderId="1" xfId="0" applyFont="1" applyFill="1" applyBorder="1" applyAlignment="1">
      <alignment vertical="center" wrapText="1"/>
    </xf>
    <xf numFmtId="166" fontId="1" fillId="7" borderId="1" xfId="0" applyNumberFormat="1" applyFont="1" applyFill="1" applyBorder="1" applyAlignment="1">
      <alignment vertical="center" wrapText="1"/>
    </xf>
    <xf numFmtId="0" fontId="27" fillId="7" borderId="0" xfId="0" applyFont="1" applyFill="1"/>
    <xf numFmtId="0" fontId="26" fillId="7" borderId="1" xfId="0" applyFont="1" applyFill="1" applyBorder="1" applyAlignment="1">
      <alignment vertical="center" wrapText="1"/>
    </xf>
    <xf numFmtId="165" fontId="27" fillId="7" borderId="1" xfId="0" applyNumberFormat="1" applyFont="1" applyFill="1" applyBorder="1" applyAlignment="1">
      <alignment vertical="center" wrapText="1"/>
    </xf>
    <xf numFmtId="0" fontId="1" fillId="7" borderId="1" xfId="0" applyFont="1" applyFill="1" applyBorder="1" applyAlignment="1">
      <alignment horizontal="center" vertical="center" wrapText="1"/>
    </xf>
    <xf numFmtId="0" fontId="1" fillId="7" borderId="1" xfId="0" applyFont="1" applyFill="1" applyBorder="1" applyAlignment="1">
      <alignment vertical="center" wrapText="1"/>
    </xf>
    <xf numFmtId="0" fontId="1" fillId="0" borderId="1" xfId="0" applyFont="1" applyBorder="1" applyAlignment="1">
      <alignment vertical="center" wrapText="1"/>
    </xf>
    <xf numFmtId="0" fontId="26" fillId="7" borderId="1" xfId="0" applyFont="1" applyFill="1" applyBorder="1" applyAlignment="1">
      <alignment vertical="center" wrapText="1"/>
    </xf>
    <xf numFmtId="0" fontId="26" fillId="7" borderId="1" xfId="0" applyFont="1" applyFill="1" applyBorder="1" applyAlignment="1">
      <alignment horizontal="right" vertical="center" wrapText="1"/>
    </xf>
    <xf numFmtId="0" fontId="29" fillId="12" borderId="1" xfId="0" applyFont="1" applyFill="1" applyBorder="1" applyAlignment="1">
      <alignment vertical="center" wrapText="1"/>
    </xf>
    <xf numFmtId="165" fontId="1" fillId="7" borderId="1" xfId="0" applyNumberFormat="1" applyFont="1" applyFill="1" applyBorder="1" applyAlignment="1">
      <alignment vertical="center" wrapText="1"/>
    </xf>
    <xf numFmtId="0" fontId="1" fillId="7" borderId="1" xfId="0" applyFont="1" applyFill="1" applyBorder="1" applyAlignment="1" applyProtection="1">
      <alignment vertical="center" wrapText="1"/>
      <protection locked="0"/>
    </xf>
    <xf numFmtId="0" fontId="0" fillId="7" borderId="0" xfId="0" applyFill="1"/>
    <xf numFmtId="0" fontId="27" fillId="0" borderId="1" xfId="0" applyFont="1" applyBorder="1" applyAlignment="1">
      <alignment horizontal="right" vertical="center" wrapText="1"/>
    </xf>
    <xf numFmtId="0" fontId="27" fillId="0" borderId="0" xfId="0" applyFont="1" applyAlignment="1">
      <alignment horizontal="right"/>
    </xf>
    <xf numFmtId="0" fontId="27" fillId="0" borderId="0" xfId="0" applyFont="1" applyAlignment="1">
      <alignment horizontal="right" vertical="center" wrapText="1"/>
    </xf>
    <xf numFmtId="0" fontId="27" fillId="7" borderId="1" xfId="0" applyFont="1" applyFill="1" applyBorder="1" applyAlignment="1">
      <alignment horizontal="right" vertical="center" wrapText="1"/>
    </xf>
    <xf numFmtId="0" fontId="27" fillId="7" borderId="0" xfId="0" applyFont="1" applyFill="1" applyAlignment="1">
      <alignment horizontal="right"/>
    </xf>
    <xf numFmtId="0" fontId="27" fillId="0" borderId="1" xfId="0" applyFont="1" applyBorder="1" applyAlignment="1">
      <alignment horizontal="left" vertical="center" wrapText="1"/>
    </xf>
    <xf numFmtId="0" fontId="27" fillId="0" borderId="0" xfId="0" applyFont="1" applyAlignment="1">
      <alignment horizontal="left"/>
    </xf>
    <xf numFmtId="0" fontId="27" fillId="0" borderId="0" xfId="0" applyFont="1" applyAlignment="1">
      <alignment horizontal="left" vertical="center" wrapText="1"/>
    </xf>
    <xf numFmtId="0" fontId="27" fillId="7" borderId="1" xfId="0" applyFont="1" applyFill="1" applyBorder="1" applyAlignment="1">
      <alignment horizontal="left" vertical="center" wrapText="1"/>
    </xf>
    <xf numFmtId="0" fontId="27" fillId="7" borderId="0" xfId="0" applyFont="1" applyFill="1" applyAlignment="1">
      <alignment horizontal="left"/>
    </xf>
    <xf numFmtId="0" fontId="27" fillId="0" borderId="72" xfId="0" applyFont="1" applyBorder="1" applyAlignment="1">
      <alignment horizontal="left" vertical="center" wrapText="1"/>
    </xf>
    <xf numFmtId="0" fontId="27" fillId="0" borderId="65" xfId="0" applyFont="1" applyFill="1" applyBorder="1" applyAlignment="1">
      <alignment horizontal="left" vertical="center" wrapText="1"/>
    </xf>
    <xf numFmtId="165" fontId="27" fillId="0" borderId="1" xfId="0" applyNumberFormat="1" applyFont="1" applyBorder="1" applyAlignment="1">
      <alignment horizontal="right" vertical="center" wrapText="1"/>
    </xf>
    <xf numFmtId="0" fontId="26" fillId="3" borderId="1" xfId="0" applyFont="1" applyFill="1" applyBorder="1" applyAlignment="1">
      <alignment horizontal="right" vertical="center" wrapText="1"/>
    </xf>
    <xf numFmtId="165" fontId="27" fillId="7" borderId="1" xfId="0" applyNumberFormat="1" applyFont="1" applyFill="1" applyBorder="1" applyAlignment="1">
      <alignment horizontal="right" vertical="center" wrapText="1"/>
    </xf>
    <xf numFmtId="165" fontId="26" fillId="3" borderId="1" xfId="0" applyNumberFormat="1" applyFont="1" applyFill="1" applyBorder="1" applyAlignment="1">
      <alignment horizontal="right" vertical="center" wrapText="1"/>
    </xf>
    <xf numFmtId="2" fontId="26" fillId="3" borderId="1" xfId="0" applyNumberFormat="1" applyFont="1" applyFill="1" applyBorder="1" applyAlignment="1">
      <alignment horizontal="right" vertical="center" wrapText="1"/>
    </xf>
    <xf numFmtId="0" fontId="26" fillId="3" borderId="0" xfId="0" applyFont="1" applyFill="1" applyBorder="1" applyAlignment="1">
      <alignment horizontal="right" vertical="center" wrapText="1"/>
    </xf>
    <xf numFmtId="2" fontId="26" fillId="3" borderId="0" xfId="0" applyNumberFormat="1" applyFont="1" applyFill="1" applyBorder="1" applyAlignment="1">
      <alignment horizontal="right" vertical="center" wrapText="1"/>
    </xf>
    <xf numFmtId="0" fontId="27" fillId="13" borderId="0" xfId="0" applyFont="1" applyFill="1"/>
    <xf numFmtId="0" fontId="27" fillId="13" borderId="1" xfId="0" applyFont="1" applyFill="1" applyBorder="1" applyAlignment="1">
      <alignment vertical="center" wrapText="1"/>
    </xf>
    <xf numFmtId="0" fontId="27" fillId="13" borderId="1" xfId="0" applyFont="1" applyFill="1" applyBorder="1" applyAlignment="1">
      <alignment horizontal="left" vertical="center" wrapText="1"/>
    </xf>
    <xf numFmtId="0" fontId="27" fillId="13" borderId="1" xfId="0" applyFont="1" applyFill="1" applyBorder="1" applyAlignment="1">
      <alignment horizontal="right" vertical="center" wrapText="1"/>
    </xf>
    <xf numFmtId="0" fontId="26" fillId="13" borderId="1" xfId="0" applyFont="1" applyFill="1" applyBorder="1" applyAlignment="1">
      <alignment vertical="center" wrapText="1"/>
    </xf>
    <xf numFmtId="165" fontId="27" fillId="13" borderId="1" xfId="0" applyNumberFormat="1" applyFont="1" applyFill="1" applyBorder="1" applyAlignment="1">
      <alignment vertical="center" wrapText="1"/>
    </xf>
    <xf numFmtId="0" fontId="27" fillId="13" borderId="0" xfId="0" applyFont="1" applyFill="1" applyAlignment="1">
      <alignment horizontal="right"/>
    </xf>
    <xf numFmtId="165" fontId="27" fillId="13" borderId="1" xfId="0" applyNumberFormat="1" applyFont="1" applyFill="1" applyBorder="1" applyAlignment="1">
      <alignment horizontal="right" vertical="center" wrapText="1"/>
    </xf>
    <xf numFmtId="0" fontId="27" fillId="13" borderId="0" xfId="0" applyFont="1" applyFill="1" applyAlignment="1">
      <alignment horizontal="left"/>
    </xf>
    <xf numFmtId="0" fontId="26" fillId="13" borderId="1" xfId="0" applyFont="1" applyFill="1" applyBorder="1" applyAlignment="1">
      <alignment horizontal="right" vertical="center" wrapText="1"/>
    </xf>
    <xf numFmtId="2" fontId="26" fillId="13" borderId="70" xfId="0" applyNumberFormat="1" applyFont="1" applyFill="1" applyBorder="1" applyAlignment="1">
      <alignment horizontal="right" vertical="center" wrapText="1"/>
    </xf>
    <xf numFmtId="0" fontId="27" fillId="7" borderId="0" xfId="0" applyFont="1" applyFill="1" applyAlignment="1">
      <alignment vertical="center" wrapText="1"/>
    </xf>
    <xf numFmtId="0" fontId="1" fillId="0" borderId="1" xfId="0" applyFont="1" applyBorder="1" applyAlignment="1">
      <alignment vertical="center" wrapText="1"/>
    </xf>
    <xf numFmtId="2" fontId="1" fillId="7" borderId="1" xfId="0" applyNumberFormat="1" applyFont="1" applyFill="1" applyBorder="1" applyAlignment="1">
      <alignment vertical="center" wrapText="1"/>
    </xf>
    <xf numFmtId="0" fontId="26" fillId="7" borderId="1" xfId="0" applyFont="1" applyFill="1" applyBorder="1" applyAlignment="1">
      <alignment horizontal="right" vertical="center" wrapText="1"/>
    </xf>
    <xf numFmtId="0" fontId="26" fillId="7" borderId="1" xfId="0" applyFont="1" applyFill="1" applyBorder="1" applyAlignment="1">
      <alignment vertical="center" wrapText="1"/>
    </xf>
    <xf numFmtId="0" fontId="27" fillId="7" borderId="0" xfId="0" applyFont="1" applyFill="1" applyAlignment="1">
      <alignment vertical="center" wrapText="1"/>
    </xf>
    <xf numFmtId="165" fontId="31" fillId="0" borderId="1" xfId="0" applyNumberFormat="1" applyFont="1" applyBorder="1" applyAlignment="1">
      <alignment vertical="center" wrapText="1"/>
    </xf>
    <xf numFmtId="2" fontId="31" fillId="0" borderId="1" xfId="0" applyNumberFormat="1" applyFont="1" applyBorder="1" applyAlignment="1">
      <alignment vertical="center" wrapText="1"/>
    </xf>
    <xf numFmtId="2" fontId="1" fillId="0" borderId="1" xfId="0" applyNumberFormat="1" applyFont="1" applyBorder="1" applyAlignment="1">
      <alignment vertical="center" wrapText="1"/>
    </xf>
    <xf numFmtId="165" fontId="26" fillId="7" borderId="1" xfId="0" applyNumberFormat="1" applyFont="1" applyFill="1" applyBorder="1" applyAlignment="1">
      <alignment horizontal="right" vertical="center" wrapText="1"/>
    </xf>
    <xf numFmtId="0" fontId="26" fillId="7" borderId="72" xfId="0" applyFont="1" applyFill="1" applyBorder="1" applyAlignment="1">
      <alignment horizontal="right" vertical="center" wrapText="1"/>
    </xf>
    <xf numFmtId="0" fontId="27" fillId="0" borderId="70" xfId="0" applyFont="1" applyBorder="1"/>
    <xf numFmtId="0" fontId="27" fillId="0" borderId="70" xfId="0" applyFont="1" applyBorder="1" applyAlignment="1">
      <alignment horizontal="left"/>
    </xf>
    <xf numFmtId="165" fontId="30" fillId="0" borderId="70" xfId="0" applyNumberFormat="1" applyFont="1" applyBorder="1" applyAlignment="1">
      <alignment horizontal="right"/>
    </xf>
    <xf numFmtId="0" fontId="26" fillId="7" borderId="0" xfId="0" applyFont="1" applyFill="1" applyBorder="1" applyAlignment="1">
      <alignment horizontal="right" vertical="center" wrapText="1"/>
    </xf>
    <xf numFmtId="0" fontId="1" fillId="7" borderId="70" xfId="0" applyFont="1" applyFill="1" applyBorder="1" applyAlignment="1">
      <alignment horizontal="center" vertical="center" wrapText="1"/>
    </xf>
    <xf numFmtId="0" fontId="1" fillId="0" borderId="1" xfId="0" applyFont="1" applyBorder="1" applyAlignment="1">
      <alignment vertical="center" wrapText="1"/>
    </xf>
    <xf numFmtId="0" fontId="27" fillId="0" borderId="0" xfId="0" applyFont="1"/>
    <xf numFmtId="0" fontId="0" fillId="0" borderId="0" xfId="0"/>
    <xf numFmtId="0" fontId="27" fillId="0" borderId="76" xfId="0" applyFont="1" applyBorder="1" applyAlignment="1">
      <alignment vertical="center" wrapText="1"/>
    </xf>
    <xf numFmtId="0" fontId="26" fillId="0" borderId="76" xfId="0" applyFont="1" applyBorder="1" applyAlignment="1">
      <alignment vertical="center" wrapText="1"/>
    </xf>
    <xf numFmtId="165" fontId="27" fillId="0" borderId="76" xfId="0" applyNumberFormat="1" applyFont="1" applyBorder="1" applyAlignment="1">
      <alignment vertical="center" wrapText="1"/>
    </xf>
    <xf numFmtId="0" fontId="27" fillId="0" borderId="0" xfId="0" applyFont="1"/>
    <xf numFmtId="0" fontId="26" fillId="3" borderId="76" xfId="0" applyFont="1" applyFill="1" applyBorder="1" applyAlignment="1">
      <alignment horizontal="right" vertical="center" wrapText="1"/>
    </xf>
    <xf numFmtId="9" fontId="27" fillId="0" borderId="76" xfId="4" applyFont="1" applyBorder="1" applyAlignment="1">
      <alignment vertical="center" wrapText="1"/>
    </xf>
    <xf numFmtId="0" fontId="27" fillId="0" borderId="76" xfId="4" applyNumberFormat="1" applyFont="1" applyBorder="1" applyAlignment="1">
      <alignment vertical="center" wrapText="1"/>
    </xf>
    <xf numFmtId="9" fontId="27" fillId="0" borderId="0" xfId="4" applyFont="1"/>
    <xf numFmtId="2" fontId="1" fillId="0" borderId="1" xfId="0" applyNumberFormat="1" applyFont="1" applyBorder="1" applyAlignment="1">
      <alignment horizontal="center" vertical="center" wrapText="1"/>
    </xf>
    <xf numFmtId="165" fontId="1" fillId="0" borderId="77" xfId="0" applyNumberFormat="1" applyFont="1" applyBorder="1" applyAlignment="1">
      <alignment vertical="center" wrapText="1"/>
    </xf>
    <xf numFmtId="0" fontId="0" fillId="0" borderId="77" xfId="0" applyBorder="1"/>
    <xf numFmtId="165" fontId="1" fillId="0" borderId="78" xfId="0" applyNumberFormat="1" applyFont="1" applyBorder="1" applyAlignment="1">
      <alignment vertical="center" wrapText="1"/>
    </xf>
    <xf numFmtId="0" fontId="1" fillId="0" borderId="77" xfId="0" applyFont="1" applyBorder="1" applyAlignment="1">
      <alignment horizontal="center" vertical="center" wrapText="1"/>
    </xf>
    <xf numFmtId="0" fontId="1" fillId="7" borderId="77" xfId="0" applyFont="1" applyFill="1" applyBorder="1" applyAlignment="1">
      <alignment horizontal="center" vertical="center" wrapText="1"/>
    </xf>
    <xf numFmtId="2" fontId="1" fillId="0" borderId="77" xfId="0" applyNumberFormat="1" applyFont="1" applyBorder="1" applyAlignment="1">
      <alignment horizontal="center" vertical="center" wrapText="1"/>
    </xf>
    <xf numFmtId="0" fontId="2" fillId="3" borderId="77" xfId="0" applyFont="1" applyFill="1" applyBorder="1" applyAlignment="1">
      <alignment horizontal="center" vertical="center" wrapText="1"/>
    </xf>
    <xf numFmtId="0" fontId="1" fillId="0" borderId="1" xfId="0" applyFont="1" applyBorder="1" applyAlignment="1">
      <alignment vertical="center" wrapText="1"/>
    </xf>
    <xf numFmtId="0" fontId="1" fillId="13" borderId="1" xfId="0" applyFont="1" applyFill="1" applyBorder="1" applyAlignment="1">
      <alignment vertical="center" wrapText="1"/>
    </xf>
    <xf numFmtId="165" fontId="1" fillId="13" borderId="1" xfId="0" applyNumberFormat="1" applyFont="1" applyFill="1" applyBorder="1" applyAlignment="1">
      <alignment vertical="center" wrapText="1"/>
    </xf>
    <xf numFmtId="166" fontId="1" fillId="13" borderId="1" xfId="0" applyNumberFormat="1" applyFont="1" applyFill="1" applyBorder="1" applyAlignment="1">
      <alignment vertical="center" wrapText="1"/>
    </xf>
    <xf numFmtId="0" fontId="1" fillId="13" borderId="1" xfId="0" applyFont="1" applyFill="1" applyBorder="1" applyAlignment="1" applyProtection="1">
      <alignment vertical="center" wrapText="1"/>
      <protection locked="0"/>
    </xf>
    <xf numFmtId="0" fontId="0" fillId="13" borderId="0" xfId="0" applyFill="1"/>
    <xf numFmtId="0" fontId="8" fillId="0" borderId="0" xfId="0" applyFont="1" applyBorder="1" applyAlignment="1">
      <alignment horizontal="center"/>
    </xf>
    <xf numFmtId="0" fontId="34" fillId="13" borderId="0" xfId="0" applyFont="1" applyFill="1" applyAlignment="1"/>
    <xf numFmtId="0" fontId="35" fillId="13" borderId="0" xfId="0" applyFont="1" applyFill="1" applyAlignment="1"/>
    <xf numFmtId="0" fontId="35" fillId="13" borderId="0" xfId="0" applyFont="1" applyFill="1"/>
    <xf numFmtId="0" fontId="35" fillId="13" borderId="77" xfId="0" applyFont="1" applyFill="1" applyBorder="1"/>
    <xf numFmtId="0" fontId="35" fillId="13" borderId="77" xfId="0" applyFont="1" applyFill="1" applyBorder="1" applyAlignment="1">
      <alignment horizontal="justify" vertical="justify"/>
    </xf>
    <xf numFmtId="16" fontId="35" fillId="13" borderId="5" xfId="0" applyNumberFormat="1" applyFont="1" applyFill="1" applyBorder="1"/>
    <xf numFmtId="16" fontId="35" fillId="13" borderId="77" xfId="0" applyNumberFormat="1" applyFont="1" applyFill="1" applyBorder="1"/>
    <xf numFmtId="2" fontId="35" fillId="13" borderId="77" xfId="0" applyNumberFormat="1" applyFont="1" applyFill="1" applyBorder="1"/>
    <xf numFmtId="166" fontId="35" fillId="13" borderId="77" xfId="0" applyNumberFormat="1" applyFont="1" applyFill="1" applyBorder="1"/>
    <xf numFmtId="2" fontId="35" fillId="13" borderId="77" xfId="0" applyNumberFormat="1" applyFont="1" applyFill="1" applyBorder="1" applyAlignment="1">
      <alignment wrapText="1"/>
    </xf>
    <xf numFmtId="2" fontId="35" fillId="13" borderId="67" xfId="0" applyNumberFormat="1" applyFont="1" applyFill="1" applyBorder="1" applyAlignment="1">
      <alignment wrapText="1"/>
    </xf>
    <xf numFmtId="0" fontId="35" fillId="13" borderId="6" xfId="0" applyFont="1" applyFill="1" applyBorder="1"/>
    <xf numFmtId="0" fontId="35" fillId="13" borderId="5" xfId="0" applyFont="1" applyFill="1" applyBorder="1"/>
    <xf numFmtId="0" fontId="35" fillId="13" borderId="7" xfId="0" applyFont="1" applyFill="1" applyBorder="1"/>
    <xf numFmtId="0" fontId="35" fillId="13" borderId="68" xfId="0" applyFont="1" applyFill="1" applyBorder="1"/>
    <xf numFmtId="2" fontId="35" fillId="13" borderId="8" xfId="0" applyNumberFormat="1" applyFont="1" applyFill="1" applyBorder="1"/>
    <xf numFmtId="0" fontId="35" fillId="13" borderId="9" xfId="0" applyFont="1" applyFill="1" applyBorder="1"/>
    <xf numFmtId="2" fontId="35" fillId="13" borderId="0" xfId="0" applyNumberFormat="1" applyFont="1" applyFill="1" applyBorder="1" applyAlignment="1"/>
    <xf numFmtId="2" fontId="35" fillId="13" borderId="80" xfId="0" applyNumberFormat="1" applyFont="1" applyFill="1" applyBorder="1" applyAlignment="1"/>
    <xf numFmtId="2" fontId="35" fillId="13" borderId="14" xfId="0" applyNumberFormat="1" applyFont="1" applyFill="1" applyBorder="1" applyAlignment="1"/>
    <xf numFmtId="2" fontId="35" fillId="13" borderId="14" xfId="0" applyNumberFormat="1" applyFont="1" applyFill="1" applyBorder="1"/>
    <xf numFmtId="2" fontId="35" fillId="13" borderId="81" xfId="0" applyNumberFormat="1" applyFont="1" applyFill="1" applyBorder="1"/>
    <xf numFmtId="2" fontId="35" fillId="13" borderId="0" xfId="0" applyNumberFormat="1" applyFont="1" applyFill="1"/>
    <xf numFmtId="0" fontId="35" fillId="13" borderId="0" xfId="0" applyFont="1" applyFill="1" applyBorder="1"/>
    <xf numFmtId="0" fontId="36" fillId="13" borderId="0" xfId="0" applyFont="1" applyFill="1"/>
    <xf numFmtId="2" fontId="35" fillId="13" borderId="0" xfId="0" applyNumberFormat="1" applyFont="1" applyFill="1" applyAlignment="1"/>
    <xf numFmtId="2" fontId="35" fillId="13" borderId="82" xfId="0" applyNumberFormat="1" applyFont="1" applyFill="1" applyBorder="1" applyAlignment="1"/>
    <xf numFmtId="2" fontId="34" fillId="13" borderId="82" xfId="0" applyNumberFormat="1" applyFont="1" applyFill="1" applyBorder="1" applyAlignment="1">
      <alignment horizontal="right"/>
    </xf>
    <xf numFmtId="2" fontId="34" fillId="13" borderId="50" xfId="0" applyNumberFormat="1" applyFont="1" applyFill="1" applyBorder="1" applyAlignment="1"/>
    <xf numFmtId="2" fontId="34" fillId="13" borderId="50" xfId="0" applyNumberFormat="1" applyFont="1" applyFill="1" applyBorder="1"/>
    <xf numFmtId="2" fontId="35" fillId="13" borderId="83" xfId="0" applyNumberFormat="1" applyFont="1" applyFill="1" applyBorder="1"/>
    <xf numFmtId="2" fontId="35" fillId="13" borderId="84" xfId="0" applyNumberFormat="1" applyFont="1" applyFill="1" applyBorder="1"/>
    <xf numFmtId="0" fontId="33" fillId="0" borderId="77" xfId="0" applyFont="1" applyBorder="1"/>
    <xf numFmtId="0" fontId="33" fillId="0" borderId="0" xfId="0" applyFont="1" applyBorder="1" applyAlignment="1">
      <alignment horizontal="center"/>
    </xf>
    <xf numFmtId="0" fontId="33" fillId="0" borderId="0" xfId="0" applyFont="1" applyBorder="1"/>
    <xf numFmtId="165" fontId="1" fillId="0" borderId="0" xfId="0" applyNumberFormat="1" applyFont="1" applyBorder="1" applyAlignment="1">
      <alignment vertical="center" wrapText="1"/>
    </xf>
    <xf numFmtId="0" fontId="0" fillId="0" borderId="0" xfId="0" applyBorder="1"/>
    <xf numFmtId="0" fontId="35" fillId="13" borderId="77" xfId="0" applyFont="1" applyFill="1" applyBorder="1" applyAlignment="1"/>
    <xf numFmtId="0" fontId="0" fillId="7" borderId="1" xfId="0" applyFill="1" applyBorder="1"/>
    <xf numFmtId="0" fontId="33" fillId="14" borderId="77" xfId="0" applyFont="1" applyFill="1" applyBorder="1"/>
    <xf numFmtId="0" fontId="33" fillId="14" borderId="77" xfId="0" applyFont="1" applyFill="1" applyBorder="1" applyAlignment="1">
      <alignment wrapText="1"/>
    </xf>
    <xf numFmtId="0" fontId="1" fillId="0" borderId="77" xfId="0" applyFont="1" applyBorder="1" applyAlignment="1">
      <alignment vertical="center" wrapText="1"/>
    </xf>
    <xf numFmtId="0" fontId="31" fillId="0" borderId="77" xfId="0" applyFont="1" applyFill="1" applyBorder="1" applyAlignment="1">
      <alignment vertical="center" wrapText="1"/>
    </xf>
    <xf numFmtId="0" fontId="1" fillId="7" borderId="77" xfId="0" applyFont="1" applyFill="1" applyBorder="1" applyAlignment="1">
      <alignment vertical="center" wrapText="1"/>
    </xf>
    <xf numFmtId="0" fontId="1" fillId="0" borderId="77" xfId="0" applyFont="1" applyFill="1" applyBorder="1" applyAlignment="1">
      <alignment vertical="center" wrapText="1"/>
    </xf>
    <xf numFmtId="0" fontId="2" fillId="14" borderId="1" xfId="0" applyFont="1" applyFill="1" applyBorder="1" applyAlignment="1">
      <alignment horizontal="center" vertical="center" wrapText="1"/>
    </xf>
    <xf numFmtId="0" fontId="26" fillId="7" borderId="1" xfId="0" applyFont="1" applyFill="1" applyBorder="1" applyAlignment="1">
      <alignment horizontal="right" vertical="center" wrapText="1"/>
    </xf>
    <xf numFmtId="0" fontId="26" fillId="7" borderId="1" xfId="0" applyFont="1" applyFill="1" applyBorder="1" applyAlignment="1">
      <alignment vertical="center" wrapText="1"/>
    </xf>
    <xf numFmtId="0" fontId="27" fillId="0" borderId="0" xfId="0" applyFont="1" applyAlignment="1">
      <alignment vertical="center" wrapText="1"/>
    </xf>
    <xf numFmtId="0" fontId="26" fillId="3" borderId="1" xfId="0" applyFont="1" applyFill="1" applyBorder="1" applyAlignment="1">
      <alignment horizontal="right" vertical="center" wrapText="1"/>
    </xf>
    <xf numFmtId="0" fontId="26" fillId="0" borderId="1" xfId="0" applyFont="1" applyBorder="1" applyAlignment="1">
      <alignment vertical="center" wrapText="1"/>
    </xf>
    <xf numFmtId="0" fontId="27" fillId="7" borderId="0" xfId="0" applyFont="1" applyFill="1" applyAlignment="1">
      <alignment vertical="center" wrapText="1"/>
    </xf>
    <xf numFmtId="0" fontId="31" fillId="0" borderId="1" xfId="0" applyFont="1" applyBorder="1" applyAlignment="1">
      <alignment vertical="center" wrapText="1"/>
    </xf>
    <xf numFmtId="166" fontId="31" fillId="0" borderId="1" xfId="0" applyNumberFormat="1" applyFont="1" applyBorder="1" applyAlignment="1">
      <alignment vertical="center" wrapText="1"/>
    </xf>
    <xf numFmtId="0" fontId="31" fillId="0" borderId="1" xfId="0" applyFont="1" applyBorder="1" applyAlignment="1" applyProtection="1">
      <alignment vertical="center" wrapText="1"/>
      <protection locked="0"/>
    </xf>
    <xf numFmtId="0" fontId="37" fillId="0" borderId="0" xfId="0" applyFont="1"/>
    <xf numFmtId="0" fontId="26" fillId="0" borderId="1" xfId="0" applyFont="1" applyBorder="1" applyAlignment="1">
      <alignment vertical="center" wrapText="1"/>
    </xf>
    <xf numFmtId="0" fontId="26" fillId="7" borderId="1" xfId="0" applyFont="1" applyFill="1" applyBorder="1" applyAlignment="1">
      <alignment horizontal="right" vertical="center" wrapText="1"/>
    </xf>
    <xf numFmtId="0" fontId="26" fillId="7" borderId="1" xfId="0" applyFont="1" applyFill="1" applyBorder="1" applyAlignment="1">
      <alignment vertical="center" wrapText="1"/>
    </xf>
    <xf numFmtId="0" fontId="26" fillId="7" borderId="70" xfId="0" applyFont="1" applyFill="1" applyBorder="1" applyAlignment="1">
      <alignment horizontal="right" vertical="center" wrapText="1"/>
    </xf>
    <xf numFmtId="0" fontId="26" fillId="7" borderId="70" xfId="0" applyFont="1" applyFill="1" applyBorder="1" applyAlignment="1">
      <alignment horizontal="center" vertical="center" wrapText="1"/>
    </xf>
    <xf numFmtId="0" fontId="26" fillId="7" borderId="77" xfId="0" applyFont="1" applyFill="1" applyBorder="1" applyAlignment="1">
      <alignment horizontal="center" vertical="center" wrapText="1"/>
    </xf>
    <xf numFmtId="0" fontId="27" fillId="7" borderId="77" xfId="0" applyFont="1" applyFill="1" applyBorder="1" applyAlignment="1">
      <alignment horizontal="left" vertical="center" wrapText="1"/>
    </xf>
    <xf numFmtId="0" fontId="26" fillId="7" borderId="77" xfId="0" applyFont="1" applyFill="1" applyBorder="1" applyAlignment="1">
      <alignment horizontal="right" vertical="center" wrapText="1"/>
    </xf>
    <xf numFmtId="0" fontId="1" fillId="0" borderId="1" xfId="0" applyFont="1" applyBorder="1" applyAlignment="1">
      <alignment vertical="center" wrapText="1"/>
    </xf>
    <xf numFmtId="0" fontId="2" fillId="3" borderId="77" xfId="0" applyFont="1" applyFill="1" applyBorder="1" applyAlignment="1">
      <alignment horizontal="center" vertical="center" wrapText="1"/>
    </xf>
    <xf numFmtId="0" fontId="38" fillId="0" borderId="1" xfId="0" applyFont="1" applyBorder="1" applyAlignment="1">
      <alignment vertical="center" wrapText="1"/>
    </xf>
    <xf numFmtId="165" fontId="38" fillId="0" borderId="1" xfId="0" applyNumberFormat="1" applyFont="1" applyBorder="1" applyAlignment="1">
      <alignment vertical="center" wrapText="1"/>
    </xf>
    <xf numFmtId="166" fontId="38" fillId="0" borderId="1" xfId="0" applyNumberFormat="1" applyFont="1" applyBorder="1" applyAlignment="1">
      <alignment vertical="center" wrapText="1"/>
    </xf>
    <xf numFmtId="0" fontId="38" fillId="0" borderId="1" xfId="0" applyFont="1" applyBorder="1" applyAlignment="1" applyProtection="1">
      <alignment vertical="center" wrapText="1"/>
      <protection locked="0"/>
    </xf>
    <xf numFmtId="0" fontId="39" fillId="0" borderId="0" xfId="0" applyFont="1"/>
    <xf numFmtId="0" fontId="0" fillId="0" borderId="0" xfId="0" applyFont="1"/>
    <xf numFmtId="2" fontId="38" fillId="0" borderId="1" xfId="0" applyNumberFormat="1" applyFont="1" applyBorder="1" applyAlignment="1">
      <alignment vertical="center" wrapText="1"/>
    </xf>
    <xf numFmtId="0" fontId="0" fillId="13" borderId="0" xfId="0" applyFont="1" applyFill="1"/>
    <xf numFmtId="0" fontId="37" fillId="0" borderId="77" xfId="0" applyFont="1" applyBorder="1"/>
    <xf numFmtId="165" fontId="31" fillId="0" borderId="77" xfId="0" applyNumberFormat="1" applyFont="1" applyBorder="1" applyAlignment="1">
      <alignment vertical="center" wrapText="1"/>
    </xf>
    <xf numFmtId="0" fontId="38" fillId="13" borderId="1" xfId="0" applyFont="1" applyFill="1" applyBorder="1" applyAlignment="1">
      <alignment vertical="center" wrapText="1"/>
    </xf>
    <xf numFmtId="2" fontId="38" fillId="13" borderId="1" xfId="0" applyNumberFormat="1" applyFont="1" applyFill="1" applyBorder="1" applyAlignment="1">
      <alignment vertical="center" wrapText="1"/>
    </xf>
    <xf numFmtId="166" fontId="38" fillId="13" borderId="1" xfId="0" applyNumberFormat="1" applyFont="1" applyFill="1" applyBorder="1" applyAlignment="1">
      <alignment vertical="center" wrapText="1"/>
    </xf>
    <xf numFmtId="0" fontId="38" fillId="13" borderId="1" xfId="0" applyFont="1" applyFill="1" applyBorder="1" applyAlignment="1" applyProtection="1">
      <alignment vertical="center" wrapText="1"/>
      <protection locked="0"/>
    </xf>
    <xf numFmtId="0" fontId="39" fillId="13" borderId="0" xfId="0" applyFont="1" applyFill="1"/>
    <xf numFmtId="165" fontId="38" fillId="13" borderId="1" xfId="0" applyNumberFormat="1" applyFont="1" applyFill="1" applyBorder="1" applyAlignment="1">
      <alignment vertical="center" wrapText="1"/>
    </xf>
    <xf numFmtId="0" fontId="38" fillId="13" borderId="77" xfId="0" applyFont="1" applyFill="1" applyBorder="1" applyAlignment="1">
      <alignment vertical="center" wrapText="1"/>
    </xf>
    <xf numFmtId="165" fontId="38" fillId="13" borderId="77" xfId="0" applyNumberFormat="1" applyFont="1" applyFill="1" applyBorder="1" applyAlignment="1">
      <alignment vertical="center" wrapText="1"/>
    </xf>
    <xf numFmtId="166" fontId="38" fillId="13" borderId="77" xfId="0" applyNumberFormat="1" applyFont="1" applyFill="1" applyBorder="1" applyAlignment="1">
      <alignment vertical="center" wrapText="1"/>
    </xf>
    <xf numFmtId="0" fontId="38" fillId="13" borderId="77" xfId="0" applyFont="1" applyFill="1" applyBorder="1" applyAlignment="1" applyProtection="1">
      <alignment vertical="center" wrapText="1"/>
      <protection locked="0"/>
    </xf>
    <xf numFmtId="165" fontId="38" fillId="13" borderId="0" xfId="0" applyNumberFormat="1" applyFont="1" applyFill="1" applyBorder="1" applyAlignment="1">
      <alignment vertical="center" wrapText="1"/>
    </xf>
    <xf numFmtId="0" fontId="1" fillId="15" borderId="77" xfId="0" applyFont="1" applyFill="1" applyBorder="1" applyAlignment="1">
      <alignment vertical="center" wrapText="1"/>
    </xf>
    <xf numFmtId="0" fontId="31" fillId="15" borderId="77" xfId="0" applyFont="1" applyFill="1" applyBorder="1" applyAlignment="1">
      <alignment vertical="center" wrapText="1"/>
    </xf>
    <xf numFmtId="165" fontId="31" fillId="15" borderId="77" xfId="0" applyNumberFormat="1" applyFont="1" applyFill="1" applyBorder="1" applyAlignment="1">
      <alignment vertical="center" wrapText="1"/>
    </xf>
    <xf numFmtId="165" fontId="1" fillId="15" borderId="77" xfId="0" applyNumberFormat="1" applyFont="1" applyFill="1" applyBorder="1" applyAlignment="1">
      <alignment vertical="center" wrapText="1"/>
    </xf>
    <xf numFmtId="166" fontId="1" fillId="15" borderId="77" xfId="0" applyNumberFormat="1" applyFont="1" applyFill="1" applyBorder="1" applyAlignment="1">
      <alignment vertical="center" wrapText="1"/>
    </xf>
    <xf numFmtId="0" fontId="1" fillId="15" borderId="77" xfId="0" applyFont="1" applyFill="1" applyBorder="1" applyAlignment="1" applyProtection="1">
      <alignment vertical="center" wrapText="1"/>
      <protection locked="0"/>
    </xf>
    <xf numFmtId="0" fontId="0" fillId="15" borderId="0" xfId="0" applyFill="1"/>
    <xf numFmtId="0" fontId="26" fillId="7" borderId="1" xfId="0" applyFont="1" applyFill="1" applyBorder="1" applyAlignment="1">
      <alignment horizontal="right" vertical="center" wrapText="1"/>
    </xf>
    <xf numFmtId="0" fontId="26" fillId="7" borderId="1" xfId="0" applyFont="1" applyFill="1" applyBorder="1" applyAlignment="1">
      <alignment vertical="center" wrapText="1"/>
    </xf>
    <xf numFmtId="0" fontId="26" fillId="7" borderId="66" xfId="0" applyFont="1" applyFill="1" applyBorder="1" applyAlignment="1">
      <alignment horizontal="right" vertical="center" wrapText="1"/>
    </xf>
    <xf numFmtId="0" fontId="26" fillId="7" borderId="75" xfId="0" applyFont="1" applyFill="1" applyBorder="1" applyAlignment="1">
      <alignment horizontal="right" vertical="center" wrapText="1"/>
    </xf>
    <xf numFmtId="0" fontId="26" fillId="7" borderId="67" xfId="0" applyFont="1" applyFill="1" applyBorder="1" applyAlignment="1">
      <alignment horizontal="right" vertical="center" wrapText="1"/>
    </xf>
    <xf numFmtId="0" fontId="1" fillId="15" borderId="77" xfId="0" applyFont="1" applyFill="1" applyBorder="1" applyAlignment="1">
      <alignment horizontal="center" vertical="center" wrapText="1"/>
    </xf>
    <xf numFmtId="0" fontId="26" fillId="15" borderId="70" xfId="0" applyFont="1" applyFill="1" applyBorder="1" applyAlignment="1">
      <alignment horizontal="center" vertical="center" wrapText="1"/>
    </xf>
    <xf numFmtId="0" fontId="26" fillId="15" borderId="77" xfId="0" applyFont="1" applyFill="1" applyBorder="1" applyAlignment="1">
      <alignment horizontal="center" vertical="center" wrapText="1"/>
    </xf>
    <xf numFmtId="0" fontId="1" fillId="7" borderId="89"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77" xfId="0" applyFont="1" applyFill="1" applyBorder="1" applyAlignment="1">
      <alignment horizontal="center" vertical="center" wrapText="1"/>
    </xf>
    <xf numFmtId="0" fontId="1" fillId="7" borderId="70" xfId="0" applyFont="1" applyFill="1" applyBorder="1" applyAlignment="1">
      <alignment vertical="center" wrapText="1"/>
    </xf>
    <xf numFmtId="0" fontId="0" fillId="7" borderId="77" xfId="0" applyFill="1" applyBorder="1"/>
    <xf numFmtId="0" fontId="0" fillId="7" borderId="77" xfId="0" applyFill="1" applyBorder="1" applyAlignment="1">
      <alignment horizontal="center"/>
    </xf>
    <xf numFmtId="0" fontId="1" fillId="13" borderId="70" xfId="0" applyFont="1" applyFill="1" applyBorder="1" applyAlignment="1">
      <alignment horizontal="center" vertical="center" wrapText="1"/>
    </xf>
    <xf numFmtId="0" fontId="1" fillId="13" borderId="70" xfId="0" applyFont="1" applyFill="1" applyBorder="1" applyAlignment="1">
      <alignment horizontal="left" vertical="center" wrapText="1"/>
    </xf>
    <xf numFmtId="0" fontId="2" fillId="15" borderId="77" xfId="0" applyFont="1" applyFill="1" applyBorder="1" applyAlignment="1">
      <alignment horizontal="center" vertical="center" wrapText="1"/>
    </xf>
    <xf numFmtId="0" fontId="2" fillId="15" borderId="77"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13" borderId="70" xfId="0" applyFont="1" applyFill="1" applyBorder="1" applyAlignment="1">
      <alignment horizontal="center" vertical="center" wrapText="1"/>
    </xf>
    <xf numFmtId="2" fontId="2" fillId="7" borderId="70" xfId="0" applyNumberFormat="1" applyFont="1" applyFill="1" applyBorder="1" applyAlignment="1">
      <alignment horizontal="center" vertical="center" wrapText="1"/>
    </xf>
    <xf numFmtId="166" fontId="2" fillId="15" borderId="70" xfId="0" applyNumberFormat="1" applyFont="1" applyFill="1" applyBorder="1" applyAlignment="1">
      <alignment horizontal="center" vertical="center" wrapText="1"/>
    </xf>
    <xf numFmtId="2" fontId="2" fillId="15" borderId="1" xfId="0" applyNumberFormat="1" applyFont="1" applyFill="1" applyBorder="1" applyAlignment="1">
      <alignment horizontal="center" vertical="center" wrapText="1"/>
    </xf>
    <xf numFmtId="2" fontId="2" fillId="7" borderId="1" xfId="0" applyNumberFormat="1" applyFont="1" applyFill="1" applyBorder="1" applyAlignment="1">
      <alignment horizontal="center" vertical="center" wrapText="1"/>
    </xf>
    <xf numFmtId="0" fontId="33" fillId="15" borderId="0" xfId="0" applyFont="1" applyFill="1"/>
    <xf numFmtId="164" fontId="27" fillId="15" borderId="77" xfId="8" applyFont="1" applyFill="1" applyBorder="1" applyAlignment="1">
      <alignment horizontal="center" vertical="center" wrapText="1"/>
    </xf>
    <xf numFmtId="164" fontId="27" fillId="13" borderId="77" xfId="8" applyFont="1" applyFill="1" applyBorder="1" applyAlignment="1">
      <alignment horizontal="center" vertical="center" wrapText="1"/>
    </xf>
    <xf numFmtId="164" fontId="27" fillId="7" borderId="77" xfId="8" applyFont="1" applyFill="1" applyBorder="1" applyAlignment="1">
      <alignment horizontal="center" vertical="center" wrapText="1"/>
    </xf>
    <xf numFmtId="0" fontId="0" fillId="15" borderId="0" xfId="0" applyFont="1" applyFill="1"/>
    <xf numFmtId="0" fontId="1" fillId="0" borderId="1" xfId="0" applyFont="1" applyBorder="1" applyAlignment="1">
      <alignment vertical="center" wrapText="1"/>
    </xf>
    <xf numFmtId="0" fontId="0" fillId="7" borderId="0" xfId="0" applyFont="1" applyFill="1"/>
    <xf numFmtId="0" fontId="38" fillId="15" borderId="1" xfId="0" applyFont="1" applyFill="1" applyBorder="1" applyAlignment="1">
      <alignment vertical="center" wrapText="1"/>
    </xf>
    <xf numFmtId="165" fontId="38" fillId="15" borderId="1" xfId="0" applyNumberFormat="1" applyFont="1" applyFill="1" applyBorder="1" applyAlignment="1">
      <alignment vertical="center" wrapText="1"/>
    </xf>
    <xf numFmtId="166" fontId="38" fillId="15" borderId="1" xfId="0" applyNumberFormat="1" applyFont="1" applyFill="1" applyBorder="1" applyAlignment="1">
      <alignment vertical="center" wrapText="1"/>
    </xf>
    <xf numFmtId="0" fontId="38" fillId="15" borderId="1" xfId="0" applyFont="1" applyFill="1" applyBorder="1" applyAlignment="1" applyProtection="1">
      <alignment vertical="center" wrapText="1"/>
      <protection locked="0"/>
    </xf>
    <xf numFmtId="0" fontId="39" fillId="15" borderId="0" xfId="0" applyFont="1" applyFill="1"/>
    <xf numFmtId="0" fontId="1" fillId="0" borderId="0" xfId="0" applyFont="1" applyAlignment="1">
      <alignment horizontal="center" vertical="center"/>
    </xf>
    <xf numFmtId="0" fontId="2" fillId="0" borderId="0" xfId="0" applyFont="1" applyAlignment="1">
      <alignment horizontal="center" vertical="center" wrapText="1"/>
    </xf>
    <xf numFmtId="0" fontId="3" fillId="2" borderId="1" xfId="0" applyFont="1" applyFill="1" applyBorder="1" applyAlignment="1" applyProtection="1">
      <alignment horizontal="center" vertical="center" wrapText="1"/>
      <protection locked="0"/>
    </xf>
    <xf numFmtId="0" fontId="2" fillId="0" borderId="1" xfId="0" applyFont="1" applyBorder="1" applyAlignment="1">
      <alignment vertical="center" wrapText="1"/>
    </xf>
    <xf numFmtId="0" fontId="1" fillId="0" borderId="1" xfId="0" applyFont="1" applyBorder="1" applyAlignment="1">
      <alignment vertical="center"/>
    </xf>
    <xf numFmtId="0" fontId="4" fillId="0" borderId="0" xfId="0"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right" vertical="center" wrapText="1"/>
    </xf>
    <xf numFmtId="0" fontId="1" fillId="0" borderId="1" xfId="0" applyFont="1" applyBorder="1" applyAlignment="1">
      <alignment vertical="center" wrapText="1"/>
    </xf>
    <xf numFmtId="0" fontId="33" fillId="14" borderId="77" xfId="0" applyFont="1" applyFill="1" applyBorder="1" applyAlignment="1">
      <alignment horizontal="center"/>
    </xf>
    <xf numFmtId="0" fontId="2" fillId="14" borderId="77"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1" fillId="7" borderId="78" xfId="0" applyFont="1" applyFill="1" applyBorder="1" applyAlignment="1">
      <alignment horizontal="center" vertical="center" wrapText="1"/>
    </xf>
    <xf numFmtId="0" fontId="1" fillId="7" borderId="65" xfId="0" applyFont="1" applyFill="1" applyBorder="1" applyAlignment="1">
      <alignment horizontal="center" vertical="center" wrapText="1"/>
    </xf>
    <xf numFmtId="0" fontId="1" fillId="7" borderId="89" xfId="0" applyFont="1" applyFill="1" applyBorder="1" applyAlignment="1">
      <alignment horizontal="center" vertical="center" wrapText="1"/>
    </xf>
    <xf numFmtId="0" fontId="2" fillId="3" borderId="77" xfId="0" applyFont="1" applyFill="1" applyBorder="1" applyAlignment="1">
      <alignment horizontal="center" vertical="center" wrapText="1"/>
    </xf>
    <xf numFmtId="0" fontId="2" fillId="15" borderId="77" xfId="0" applyFont="1" applyFill="1" applyBorder="1" applyAlignment="1">
      <alignment horizontal="center" vertical="center" wrapText="1"/>
    </xf>
    <xf numFmtId="0" fontId="26" fillId="0" borderId="0" xfId="0" applyFont="1" applyAlignment="1">
      <alignment horizontal="center" vertical="center" wrapText="1"/>
    </xf>
    <xf numFmtId="0" fontId="5" fillId="0" borderId="0" xfId="0" applyFont="1" applyAlignment="1">
      <alignment horizontal="center" vertical="center" wrapText="1"/>
    </xf>
    <xf numFmtId="0" fontId="9" fillId="0" borderId="0" xfId="1" applyFont="1" applyAlignment="1">
      <alignment horizontal="center"/>
    </xf>
    <xf numFmtId="0" fontId="6" fillId="0" borderId="0" xfId="1" applyAlignment="1">
      <alignment horizontal="center"/>
    </xf>
    <xf numFmtId="0" fontId="7" fillId="0" borderId="0" xfId="1" applyFont="1" applyAlignment="1">
      <alignment horizontal="center"/>
    </xf>
    <xf numFmtId="0" fontId="8" fillId="0" borderId="0" xfId="1" applyFont="1" applyAlignment="1">
      <alignment horizontal="center"/>
    </xf>
    <xf numFmtId="0" fontId="11" fillId="0" borderId="0" xfId="1" applyFont="1" applyAlignment="1">
      <alignment horizontal="right"/>
    </xf>
    <xf numFmtId="0" fontId="10" fillId="0" borderId="0" xfId="1" applyFont="1" applyAlignment="1">
      <alignment horizontal="center"/>
    </xf>
    <xf numFmtId="0" fontId="20" fillId="0" borderId="0" xfId="1" applyFont="1" applyAlignment="1">
      <alignment horizontal="center"/>
    </xf>
    <xf numFmtId="0" fontId="6" fillId="0" borderId="0" xfId="1" applyFont="1" applyAlignment="1">
      <alignment horizontal="center"/>
    </xf>
    <xf numFmtId="0" fontId="22" fillId="9" borderId="2" xfId="3" applyFont="1" applyFill="1" applyBorder="1" applyAlignment="1">
      <alignment horizontal="left" vertical="top" wrapText="1"/>
    </xf>
    <xf numFmtId="0" fontId="22" fillId="9" borderId="3" xfId="3" applyFont="1" applyFill="1" applyBorder="1" applyAlignment="1">
      <alignment horizontal="left" vertical="top" wrapText="1"/>
    </xf>
    <xf numFmtId="0" fontId="23" fillId="10" borderId="49" xfId="3" applyFont="1" applyFill="1" applyBorder="1" applyAlignment="1">
      <alignment horizontal="left" vertical="top" wrapText="1"/>
    </xf>
    <xf numFmtId="0" fontId="23" fillId="10" borderId="50" xfId="3" applyFont="1" applyFill="1" applyBorder="1" applyAlignment="1">
      <alignment horizontal="left" vertical="top" wrapText="1"/>
    </xf>
    <xf numFmtId="0" fontId="23" fillId="10" borderId="51" xfId="3" applyFont="1" applyFill="1" applyBorder="1" applyAlignment="1">
      <alignment horizontal="left" vertical="top" wrapText="1"/>
    </xf>
    <xf numFmtId="0" fontId="23" fillId="10" borderId="13" xfId="3" applyFont="1" applyFill="1" applyBorder="1" applyAlignment="1">
      <alignment horizontal="left" vertical="top" wrapText="1"/>
    </xf>
    <xf numFmtId="0" fontId="23" fillId="10" borderId="14" xfId="3" applyFont="1" applyFill="1" applyBorder="1" applyAlignment="1">
      <alignment horizontal="left" vertical="top" wrapText="1"/>
    </xf>
    <xf numFmtId="0" fontId="23" fillId="10" borderId="15" xfId="3" applyFont="1" applyFill="1" applyBorder="1" applyAlignment="1">
      <alignment horizontal="left" vertical="top" wrapText="1"/>
    </xf>
    <xf numFmtId="0" fontId="24" fillId="11" borderId="52" xfId="3" applyFont="1" applyFill="1" applyBorder="1" applyAlignment="1">
      <alignment horizontal="left" vertical="center" wrapText="1"/>
    </xf>
    <xf numFmtId="0" fontId="24" fillId="11" borderId="53" xfId="3" applyFont="1" applyFill="1" applyBorder="1" applyAlignment="1">
      <alignment horizontal="left" vertical="center" wrapText="1"/>
    </xf>
    <xf numFmtId="0" fontId="6" fillId="0" borderId="2" xfId="3" applyFont="1" applyBorder="1" applyAlignment="1">
      <alignment horizontal="center" vertical="center"/>
    </xf>
    <xf numFmtId="0" fontId="13" fillId="0" borderId="5" xfId="3" applyBorder="1" applyAlignment="1">
      <alignment horizontal="center" vertical="center"/>
    </xf>
    <xf numFmtId="0" fontId="25" fillId="0" borderId="3" xfId="3" applyFont="1" applyBorder="1" applyAlignment="1">
      <alignment horizontal="center" vertical="center"/>
    </xf>
    <xf numFmtId="0" fontId="25" fillId="0" borderId="47" xfId="3" applyFont="1" applyBorder="1" applyAlignment="1">
      <alignment horizontal="center" vertical="center"/>
    </xf>
    <xf numFmtId="0" fontId="6" fillId="0" borderId="3" xfId="3" applyFont="1" applyBorder="1" applyAlignment="1">
      <alignment horizontal="center"/>
    </xf>
    <xf numFmtId="0" fontId="13" fillId="0" borderId="3" xfId="3" applyBorder="1" applyAlignment="1">
      <alignment horizontal="center"/>
    </xf>
    <xf numFmtId="0" fontId="6" fillId="0" borderId="4" xfId="3" applyFont="1" applyBorder="1" applyAlignment="1">
      <alignment horizontal="center"/>
    </xf>
    <xf numFmtId="0" fontId="25" fillId="0" borderId="47" xfId="3" applyFont="1" applyFill="1" applyBorder="1" applyAlignment="1">
      <alignment horizontal="center"/>
    </xf>
    <xf numFmtId="0" fontId="6" fillId="0" borderId="47" xfId="3" applyFont="1" applyBorder="1" applyAlignment="1">
      <alignment horizontal="left"/>
    </xf>
    <xf numFmtId="0" fontId="13" fillId="0" borderId="47" xfId="3" applyBorder="1" applyAlignment="1">
      <alignment horizontal="left"/>
    </xf>
    <xf numFmtId="2" fontId="13" fillId="0" borderId="47" xfId="3" applyNumberFormat="1" applyBorder="1" applyAlignment="1">
      <alignment horizontal="center"/>
    </xf>
    <xf numFmtId="0" fontId="6" fillId="0" borderId="47" xfId="3" applyFont="1" applyBorder="1" applyAlignment="1">
      <alignment horizontal="right"/>
    </xf>
    <xf numFmtId="0" fontId="6" fillId="0" borderId="47" xfId="3" applyFont="1" applyFill="1" applyBorder="1" applyAlignment="1">
      <alignment horizontal="center"/>
    </xf>
    <xf numFmtId="2" fontId="13" fillId="0" borderId="8" xfId="3" applyNumberFormat="1" applyBorder="1" applyAlignment="1">
      <alignment horizontal="right"/>
    </xf>
    <xf numFmtId="0" fontId="13" fillId="0" borderId="8" xfId="3" applyBorder="1" applyAlignment="1">
      <alignment horizontal="right"/>
    </xf>
    <xf numFmtId="0" fontId="24" fillId="0" borderId="8" xfId="3" applyFont="1" applyBorder="1" applyAlignment="1">
      <alignment horizontal="right" vertical="center"/>
    </xf>
    <xf numFmtId="0" fontId="23" fillId="0" borderId="8" xfId="3" applyFont="1" applyBorder="1" applyAlignment="1">
      <alignment horizontal="right" vertical="center"/>
    </xf>
    <xf numFmtId="0" fontId="24" fillId="11" borderId="7" xfId="3" applyFont="1" applyFill="1" applyBorder="1" applyAlignment="1">
      <alignment horizontal="left" vertical="center" wrapText="1"/>
    </xf>
    <xf numFmtId="0" fontId="24" fillId="11" borderId="8" xfId="3" applyFont="1" applyFill="1" applyBorder="1" applyAlignment="1">
      <alignment horizontal="left" vertical="center" wrapText="1"/>
    </xf>
    <xf numFmtId="0" fontId="28" fillId="0" borderId="0" xfId="0" applyFont="1" applyAlignment="1">
      <alignment horizontal="center" vertical="center" wrapText="1"/>
    </xf>
    <xf numFmtId="0" fontId="13" fillId="0" borderId="60" xfId="3" applyBorder="1" applyAlignment="1">
      <alignment horizontal="center"/>
    </xf>
    <xf numFmtId="0" fontId="13" fillId="0" borderId="61" xfId="3" applyBorder="1" applyAlignment="1">
      <alignment horizontal="center"/>
    </xf>
    <xf numFmtId="0" fontId="13" fillId="0" borderId="62" xfId="3" applyBorder="1" applyAlignment="1">
      <alignment horizontal="center"/>
    </xf>
    <xf numFmtId="0" fontId="13" fillId="0" borderId="63" xfId="3" applyBorder="1" applyAlignment="1">
      <alignment horizontal="center"/>
    </xf>
    <xf numFmtId="0" fontId="10" fillId="0" borderId="68" xfId="3" applyFont="1" applyBorder="1" applyAlignment="1">
      <alignment horizontal="right"/>
    </xf>
    <xf numFmtId="0" fontId="10" fillId="0" borderId="69" xfId="3" applyFont="1" applyBorder="1" applyAlignment="1">
      <alignment horizontal="right"/>
    </xf>
    <xf numFmtId="0" fontId="13" fillId="0" borderId="66" xfId="3" applyBorder="1" applyAlignment="1">
      <alignment horizontal="center"/>
    </xf>
    <xf numFmtId="0" fontId="13" fillId="0" borderId="67" xfId="3" applyBorder="1" applyAlignment="1">
      <alignment horizontal="center"/>
    </xf>
    <xf numFmtId="0" fontId="13" fillId="0" borderId="58" xfId="3" applyBorder="1" applyAlignment="1">
      <alignment horizontal="center" vertical="center"/>
    </xf>
    <xf numFmtId="0" fontId="13" fillId="0" borderId="64" xfId="3" applyBorder="1" applyAlignment="1">
      <alignment horizontal="center" vertical="center"/>
    </xf>
    <xf numFmtId="0" fontId="13" fillId="0" borderId="55" xfId="3" applyBorder="1" applyAlignment="1">
      <alignment horizontal="center" vertical="center"/>
    </xf>
    <xf numFmtId="0" fontId="13" fillId="0" borderId="59" xfId="3" applyBorder="1" applyAlignment="1">
      <alignment horizontal="center" vertical="center"/>
    </xf>
    <xf numFmtId="0" fontId="13" fillId="0" borderId="65" xfId="3" applyBorder="1" applyAlignment="1">
      <alignment horizontal="center" vertical="center"/>
    </xf>
    <xf numFmtId="0" fontId="13" fillId="0" borderId="56" xfId="3" applyBorder="1" applyAlignment="1">
      <alignment horizontal="center" vertical="center"/>
    </xf>
    <xf numFmtId="0" fontId="20" fillId="0" borderId="59" xfId="3" applyFont="1" applyBorder="1" applyAlignment="1">
      <alignment horizontal="center" vertical="center"/>
    </xf>
    <xf numFmtId="0" fontId="20" fillId="0" borderId="65" xfId="3" applyFont="1" applyBorder="1" applyAlignment="1">
      <alignment horizontal="center" vertical="center"/>
    </xf>
    <xf numFmtId="0" fontId="20" fillId="0" borderId="56" xfId="3" applyFont="1" applyBorder="1" applyAlignment="1">
      <alignment horizontal="center" vertical="center"/>
    </xf>
    <xf numFmtId="0" fontId="16" fillId="0" borderId="0" xfId="3" applyNumberFormat="1" applyFont="1" applyFill="1" applyAlignment="1">
      <alignment horizontal="right" vertical="top"/>
    </xf>
    <xf numFmtId="0" fontId="16" fillId="0" borderId="47" xfId="3" applyNumberFormat="1" applyFont="1" applyFill="1" applyBorder="1" applyAlignment="1">
      <alignment vertical="top" wrapText="1"/>
    </xf>
    <xf numFmtId="0" fontId="13" fillId="0" borderId="47" xfId="3" applyFill="1" applyBorder="1" applyAlignment="1">
      <alignment vertical="top" wrapText="1"/>
    </xf>
    <xf numFmtId="0" fontId="16" fillId="0" borderId="16" xfId="3" applyNumberFormat="1" applyFont="1" applyFill="1" applyBorder="1" applyAlignment="1">
      <alignment horizontal="center" vertical="center" wrapText="1"/>
    </xf>
    <xf numFmtId="0" fontId="16" fillId="0" borderId="21" xfId="3" applyNumberFormat="1" applyFont="1" applyFill="1" applyBorder="1" applyAlignment="1">
      <alignment horizontal="center" vertical="center" wrapText="1"/>
    </xf>
    <xf numFmtId="0" fontId="16" fillId="0" borderId="17" xfId="3" applyNumberFormat="1" applyFont="1" applyFill="1" applyBorder="1" applyAlignment="1">
      <alignment horizontal="center" vertical="center"/>
    </xf>
    <xf numFmtId="0" fontId="16" fillId="0" borderId="18" xfId="3" applyNumberFormat="1" applyFont="1" applyFill="1" applyBorder="1" applyAlignment="1">
      <alignment horizontal="center" vertical="center"/>
    </xf>
    <xf numFmtId="0" fontId="16" fillId="0" borderId="19" xfId="3" applyNumberFormat="1" applyFont="1" applyFill="1" applyBorder="1" applyAlignment="1">
      <alignment horizontal="center" vertical="center"/>
    </xf>
    <xf numFmtId="0" fontId="20" fillId="0" borderId="45" xfId="3" applyFont="1" applyFill="1" applyBorder="1" applyAlignment="1">
      <alignment horizontal="center" vertical="center" wrapText="1"/>
    </xf>
    <xf numFmtId="0" fontId="20" fillId="0" borderId="26" xfId="3" applyFont="1" applyFill="1" applyBorder="1" applyAlignment="1">
      <alignment horizontal="center" vertical="center" wrapText="1"/>
    </xf>
    <xf numFmtId="0" fontId="16" fillId="0" borderId="48" xfId="3" applyNumberFormat="1" applyFont="1" applyFill="1" applyBorder="1" applyAlignment="1">
      <alignment horizontal="left" vertical="top" wrapText="1"/>
    </xf>
    <xf numFmtId="0" fontId="16" fillId="0" borderId="0" xfId="3" applyNumberFormat="1" applyFont="1" applyFill="1" applyBorder="1" applyAlignment="1">
      <alignment horizontal="left" vertical="top" wrapText="1"/>
    </xf>
    <xf numFmtId="0" fontId="16" fillId="0" borderId="13" xfId="3" applyNumberFormat="1" applyFont="1" applyFill="1" applyBorder="1" applyAlignment="1">
      <alignment horizontal="left" vertical="top" wrapText="1"/>
    </xf>
    <xf numFmtId="0" fontId="16" fillId="0" borderId="14" xfId="3" applyNumberFormat="1" applyFont="1" applyFill="1" applyBorder="1" applyAlignment="1">
      <alignment horizontal="left" vertical="top" wrapText="1"/>
    </xf>
    <xf numFmtId="0" fontId="16" fillId="0" borderId="20" xfId="3" applyNumberFormat="1" applyFont="1" applyFill="1" applyBorder="1" applyAlignment="1">
      <alignment horizontal="center" vertical="center"/>
    </xf>
    <xf numFmtId="0" fontId="16" fillId="0" borderId="43" xfId="3" applyNumberFormat="1" applyFont="1" applyFill="1" applyBorder="1" applyAlignment="1">
      <alignment horizontal="center" vertical="center"/>
    </xf>
    <xf numFmtId="0" fontId="16" fillId="0" borderId="44" xfId="3" applyNumberFormat="1" applyFont="1" applyFill="1" applyBorder="1" applyAlignment="1">
      <alignment horizontal="center" vertical="center" wrapText="1"/>
    </xf>
    <xf numFmtId="0" fontId="16" fillId="0" borderId="27" xfId="3" applyNumberFormat="1" applyFont="1" applyFill="1" applyBorder="1" applyAlignment="1">
      <alignment horizontal="center" vertical="center" wrapText="1"/>
    </xf>
    <xf numFmtId="0" fontId="20" fillId="0" borderId="33" xfId="3" applyFont="1" applyFill="1" applyBorder="1" applyAlignment="1">
      <alignment horizontal="center" vertical="center" wrapText="1"/>
    </xf>
    <xf numFmtId="0" fontId="16" fillId="0" borderId="1" xfId="3" applyNumberFormat="1" applyFont="1" applyFill="1" applyBorder="1" applyAlignment="1">
      <alignment vertical="top" wrapText="1"/>
    </xf>
    <xf numFmtId="0" fontId="13" fillId="0" borderId="1" xfId="3" applyFill="1" applyBorder="1" applyAlignment="1">
      <alignment vertical="top" wrapText="1"/>
    </xf>
    <xf numFmtId="0" fontId="16" fillId="0" borderId="10" xfId="3" applyNumberFormat="1" applyFont="1" applyFill="1" applyBorder="1" applyAlignment="1">
      <alignment vertical="top" wrapText="1"/>
    </xf>
    <xf numFmtId="0" fontId="16" fillId="0" borderId="11" xfId="3" applyNumberFormat="1" applyFont="1" applyFill="1" applyBorder="1" applyAlignment="1">
      <alignment vertical="top" wrapText="1"/>
    </xf>
    <xf numFmtId="0" fontId="16" fillId="0" borderId="12" xfId="3" applyNumberFormat="1" applyFont="1" applyFill="1" applyBorder="1" applyAlignment="1">
      <alignment vertical="top" wrapText="1"/>
    </xf>
    <xf numFmtId="0" fontId="16" fillId="0" borderId="13" xfId="3" applyNumberFormat="1" applyFont="1" applyFill="1" applyBorder="1" applyAlignment="1">
      <alignment vertical="top" wrapText="1"/>
    </xf>
    <xf numFmtId="0" fontId="16" fillId="0" borderId="14" xfId="3" applyNumberFormat="1" applyFont="1" applyFill="1" applyBorder="1" applyAlignment="1">
      <alignment vertical="top" wrapText="1"/>
    </xf>
    <xf numFmtId="0" fontId="16" fillId="0" borderId="15" xfId="3" applyNumberFormat="1" applyFont="1" applyFill="1" applyBorder="1" applyAlignment="1">
      <alignment vertical="top" wrapText="1"/>
    </xf>
    <xf numFmtId="0" fontId="11" fillId="0" borderId="13" xfId="3" applyNumberFormat="1" applyFont="1" applyFill="1" applyBorder="1" applyAlignment="1">
      <alignment horizontal="left" vertical="center" wrapText="1"/>
    </xf>
    <xf numFmtId="0" fontId="11" fillId="0" borderId="14" xfId="3" applyNumberFormat="1" applyFont="1" applyFill="1" applyBorder="1" applyAlignment="1">
      <alignment horizontal="left" vertical="center" wrapText="1"/>
    </xf>
    <xf numFmtId="0" fontId="16" fillId="0" borderId="25" xfId="3" applyNumberFormat="1" applyFont="1" applyFill="1" applyBorder="1" applyAlignment="1">
      <alignment horizontal="center" vertical="center"/>
    </xf>
    <xf numFmtId="0" fontId="16" fillId="0" borderId="30" xfId="3" applyNumberFormat="1" applyFont="1" applyFill="1" applyBorder="1" applyAlignment="1">
      <alignment horizontal="center" vertical="top" textRotation="90" wrapText="1"/>
    </xf>
    <xf numFmtId="0" fontId="16" fillId="0" borderId="26" xfId="3" applyNumberFormat="1" applyFont="1" applyFill="1" applyBorder="1" applyAlignment="1">
      <alignment horizontal="center" vertical="top" textRotation="90" wrapText="1"/>
    </xf>
    <xf numFmtId="0" fontId="16" fillId="0" borderId="0" xfId="3" applyNumberFormat="1" applyFont="1" applyFill="1" applyBorder="1" applyAlignment="1">
      <alignment horizontal="right" vertical="center"/>
    </xf>
    <xf numFmtId="0" fontId="14" fillId="0" borderId="0" xfId="3" applyFont="1" applyBorder="1" applyAlignment="1">
      <alignment horizontal="center"/>
    </xf>
    <xf numFmtId="0" fontId="14" fillId="0" borderId="0" xfId="1" applyFont="1" applyAlignment="1">
      <alignment horizontal="right"/>
    </xf>
    <xf numFmtId="0" fontId="26" fillId="7" borderId="1" xfId="0" applyFont="1" applyFill="1" applyBorder="1" applyAlignment="1">
      <alignment horizontal="right" vertical="center" wrapText="1"/>
    </xf>
    <xf numFmtId="0" fontId="26" fillId="7" borderId="1" xfId="0" applyFont="1" applyFill="1" applyBorder="1" applyAlignment="1" applyProtection="1">
      <alignment horizontal="center" vertical="center" wrapText="1"/>
      <protection locked="0"/>
    </xf>
    <xf numFmtId="0" fontId="26" fillId="7" borderId="1" xfId="0" applyFont="1" applyFill="1" applyBorder="1" applyAlignment="1">
      <alignment horizontal="left" vertical="center" wrapText="1"/>
    </xf>
    <xf numFmtId="0" fontId="26" fillId="7" borderId="1" xfId="0" applyFont="1" applyFill="1" applyBorder="1" applyAlignment="1">
      <alignment horizontal="center" vertical="center" wrapText="1"/>
    </xf>
    <xf numFmtId="0" fontId="26" fillId="7" borderId="1" xfId="0" applyFont="1" applyFill="1" applyBorder="1" applyAlignment="1">
      <alignment vertical="center" wrapText="1"/>
    </xf>
    <xf numFmtId="0" fontId="26" fillId="7" borderId="1" xfId="0" applyFont="1" applyFill="1" applyBorder="1" applyAlignment="1">
      <alignment horizontal="center" vertical="center"/>
    </xf>
    <xf numFmtId="0" fontId="26" fillId="0" borderId="76" xfId="0" applyFont="1" applyBorder="1" applyAlignment="1">
      <alignment horizontal="right" vertical="center" wrapText="1"/>
    </xf>
    <xf numFmtId="0" fontId="26" fillId="2" borderId="76" xfId="0" applyFont="1" applyFill="1" applyBorder="1" applyAlignment="1" applyProtection="1">
      <alignment horizontal="center" vertical="center" wrapText="1"/>
      <protection locked="0"/>
    </xf>
    <xf numFmtId="0" fontId="26" fillId="4" borderId="76" xfId="0" applyFont="1" applyFill="1" applyBorder="1" applyAlignment="1">
      <alignment horizontal="left" vertical="center" wrapText="1"/>
    </xf>
    <xf numFmtId="0" fontId="26" fillId="3" borderId="76" xfId="0" applyFont="1" applyFill="1" applyBorder="1" applyAlignment="1">
      <alignment horizontal="center" vertical="center" wrapText="1"/>
    </xf>
    <xf numFmtId="0" fontId="26" fillId="5" borderId="76" xfId="0" applyFont="1" applyFill="1" applyBorder="1" applyAlignment="1">
      <alignment horizontal="center" vertical="center" wrapText="1"/>
    </xf>
    <xf numFmtId="0" fontId="26" fillId="0" borderId="76" xfId="0" applyFont="1" applyBorder="1" applyAlignment="1">
      <alignment vertical="center" wrapText="1"/>
    </xf>
    <xf numFmtId="0" fontId="26" fillId="0" borderId="76" xfId="0" applyFont="1" applyBorder="1" applyAlignment="1">
      <alignment horizontal="center" vertical="center"/>
    </xf>
    <xf numFmtId="0" fontId="26" fillId="0" borderId="1" xfId="0" applyFont="1" applyBorder="1" applyAlignment="1">
      <alignment horizontal="right" vertical="center" wrapText="1"/>
    </xf>
    <xf numFmtId="0" fontId="26" fillId="2" borderId="1" xfId="0" applyFont="1" applyFill="1" applyBorder="1" applyAlignment="1" applyProtection="1">
      <alignment horizontal="center" vertical="center" wrapText="1"/>
      <protection locked="0"/>
    </xf>
    <xf numFmtId="0" fontId="26" fillId="5" borderId="1" xfId="0" applyFont="1" applyFill="1" applyBorder="1" applyAlignment="1">
      <alignment horizontal="center" vertical="center" wrapText="1"/>
    </xf>
    <xf numFmtId="0" fontId="26" fillId="4" borderId="1" xfId="0" applyFont="1" applyFill="1" applyBorder="1" applyAlignment="1">
      <alignment horizontal="left" vertical="center" wrapText="1"/>
    </xf>
    <xf numFmtId="0" fontId="26" fillId="3" borderId="1" xfId="0" applyFont="1" applyFill="1" applyBorder="1" applyAlignment="1">
      <alignment horizontal="right" vertical="center" wrapText="1"/>
    </xf>
    <xf numFmtId="0" fontId="26" fillId="0" borderId="1" xfId="0" applyFont="1" applyBorder="1" applyAlignment="1">
      <alignment vertical="center" wrapText="1"/>
    </xf>
    <xf numFmtId="0" fontId="26" fillId="0" borderId="1" xfId="0" applyFont="1" applyBorder="1" applyAlignment="1">
      <alignment horizontal="center" vertical="center"/>
    </xf>
    <xf numFmtId="0" fontId="27" fillId="0" borderId="0" xfId="0" applyFont="1" applyAlignment="1">
      <alignment vertical="center" wrapText="1"/>
    </xf>
    <xf numFmtId="0" fontId="26" fillId="7" borderId="74" xfId="0" applyFont="1" applyFill="1" applyBorder="1" applyAlignment="1" applyProtection="1">
      <alignment horizontal="center" vertical="center" wrapText="1"/>
      <protection locked="0"/>
    </xf>
    <xf numFmtId="0" fontId="26" fillId="7" borderId="85" xfId="0" applyFont="1" applyFill="1" applyBorder="1" applyAlignment="1" applyProtection="1">
      <alignment horizontal="center" vertical="center" wrapText="1"/>
      <protection locked="0"/>
    </xf>
    <xf numFmtId="0" fontId="26" fillId="7" borderId="87" xfId="0" applyFont="1" applyFill="1" applyBorder="1" applyAlignment="1" applyProtection="1">
      <alignment horizontal="center" vertical="center" wrapText="1"/>
      <protection locked="0"/>
    </xf>
    <xf numFmtId="0" fontId="26" fillId="7" borderId="88" xfId="0" applyFont="1" applyFill="1" applyBorder="1" applyAlignment="1" applyProtection="1">
      <alignment horizontal="center" vertical="center" wrapText="1"/>
      <protection locked="0"/>
    </xf>
    <xf numFmtId="0" fontId="26" fillId="7" borderId="66" xfId="0" applyFont="1" applyFill="1" applyBorder="1" applyAlignment="1">
      <alignment horizontal="center" vertical="center" wrapText="1"/>
    </xf>
    <xf numFmtId="0" fontId="26" fillId="7" borderId="67" xfId="0" applyFont="1" applyFill="1" applyBorder="1" applyAlignment="1">
      <alignment horizontal="center" vertical="center" wrapText="1"/>
    </xf>
    <xf numFmtId="0" fontId="26" fillId="7" borderId="74" xfId="0" applyFont="1" applyFill="1" applyBorder="1" applyAlignment="1">
      <alignment horizontal="left" vertical="center" wrapText="1"/>
    </xf>
    <xf numFmtId="0" fontId="26" fillId="7" borderId="71" xfId="0" applyFont="1" applyFill="1" applyBorder="1" applyAlignment="1">
      <alignment horizontal="left" vertical="center" wrapText="1"/>
    </xf>
    <xf numFmtId="0" fontId="26" fillId="7" borderId="85" xfId="0" applyFont="1" applyFill="1" applyBorder="1" applyAlignment="1">
      <alignment horizontal="left" vertical="center" wrapText="1"/>
    </xf>
    <xf numFmtId="0" fontId="26" fillId="7" borderId="48" xfId="0" applyFont="1" applyFill="1" applyBorder="1" applyAlignment="1">
      <alignment horizontal="left" vertical="center" wrapText="1"/>
    </xf>
    <xf numFmtId="0" fontId="26" fillId="7" borderId="0" xfId="0" applyFont="1" applyFill="1" applyBorder="1" applyAlignment="1">
      <alignment horizontal="left" vertical="center" wrapText="1"/>
    </xf>
    <xf numFmtId="0" fontId="26" fillId="7" borderId="86" xfId="0" applyFont="1" applyFill="1" applyBorder="1" applyAlignment="1">
      <alignment horizontal="left" vertical="center" wrapText="1"/>
    </xf>
    <xf numFmtId="0" fontId="26" fillId="7" borderId="87" xfId="0" applyFont="1" applyFill="1" applyBorder="1" applyAlignment="1">
      <alignment horizontal="left" vertical="center" wrapText="1"/>
    </xf>
    <xf numFmtId="0" fontId="26" fillId="7" borderId="73" xfId="0" applyFont="1" applyFill="1" applyBorder="1" applyAlignment="1">
      <alignment horizontal="left" vertical="center" wrapText="1"/>
    </xf>
    <xf numFmtId="0" fontId="26" fillId="7" borderId="88" xfId="0" applyFont="1" applyFill="1" applyBorder="1" applyAlignment="1">
      <alignment horizontal="left" vertical="center" wrapText="1"/>
    </xf>
    <xf numFmtId="0" fontId="26" fillId="7" borderId="78" xfId="0" applyFont="1" applyFill="1" applyBorder="1" applyAlignment="1">
      <alignment horizontal="right" vertical="center" wrapText="1"/>
    </xf>
    <xf numFmtId="0" fontId="26" fillId="7" borderId="65" xfId="0" applyFont="1" applyFill="1" applyBorder="1" applyAlignment="1">
      <alignment horizontal="right" vertical="center" wrapText="1"/>
    </xf>
    <xf numFmtId="0" fontId="26" fillId="7" borderId="89" xfId="0" applyFont="1" applyFill="1" applyBorder="1" applyAlignment="1">
      <alignment horizontal="right" vertical="center" wrapText="1"/>
    </xf>
    <xf numFmtId="0" fontId="26" fillId="7" borderId="78" xfId="0" applyFont="1" applyFill="1" applyBorder="1" applyAlignment="1">
      <alignment vertical="center" wrapText="1"/>
    </xf>
    <xf numFmtId="0" fontId="26" fillId="7" borderId="89" xfId="0" applyFont="1" applyFill="1" applyBorder="1" applyAlignment="1">
      <alignment vertical="center" wrapText="1"/>
    </xf>
    <xf numFmtId="0" fontId="26" fillId="7" borderId="66" xfId="0" applyFont="1" applyFill="1" applyBorder="1" applyAlignment="1">
      <alignment horizontal="center" vertical="center"/>
    </xf>
    <xf numFmtId="0" fontId="26" fillId="7" borderId="75" xfId="0" applyFont="1" applyFill="1" applyBorder="1" applyAlignment="1">
      <alignment horizontal="center" vertical="center"/>
    </xf>
    <xf numFmtId="0" fontId="26" fillId="7" borderId="67" xfId="0" applyFont="1" applyFill="1" applyBorder="1" applyAlignment="1">
      <alignment horizontal="center" vertical="center"/>
    </xf>
    <xf numFmtId="0" fontId="26" fillId="7" borderId="66" xfId="0" applyFont="1" applyFill="1" applyBorder="1" applyAlignment="1">
      <alignment horizontal="right" vertical="center" wrapText="1"/>
    </xf>
    <xf numFmtId="0" fontId="26" fillId="7" borderId="75" xfId="0" applyFont="1" applyFill="1" applyBorder="1" applyAlignment="1">
      <alignment horizontal="right" vertical="center" wrapText="1"/>
    </xf>
    <xf numFmtId="0" fontId="26" fillId="7" borderId="67" xfId="0" applyFont="1" applyFill="1" applyBorder="1" applyAlignment="1">
      <alignment horizontal="right" vertical="center" wrapText="1"/>
    </xf>
    <xf numFmtId="0" fontId="27" fillId="7" borderId="73" xfId="0" applyFont="1" applyFill="1" applyBorder="1" applyAlignment="1">
      <alignment vertical="center" wrapText="1"/>
    </xf>
    <xf numFmtId="0" fontId="26" fillId="2" borderId="74" xfId="0" applyFont="1" applyFill="1" applyBorder="1" applyAlignment="1" applyProtection="1">
      <alignment horizontal="center" vertical="center" wrapText="1"/>
      <protection locked="0"/>
    </xf>
    <xf numFmtId="0" fontId="26" fillId="2" borderId="85" xfId="0" applyFont="1" applyFill="1" applyBorder="1" applyAlignment="1" applyProtection="1">
      <alignment horizontal="center" vertical="center" wrapText="1"/>
      <protection locked="0"/>
    </xf>
    <xf numFmtId="0" fontId="26" fillId="2" borderId="87" xfId="0" applyFont="1" applyFill="1" applyBorder="1" applyAlignment="1" applyProtection="1">
      <alignment horizontal="center" vertical="center" wrapText="1"/>
      <protection locked="0"/>
    </xf>
    <xf numFmtId="0" fontId="26" fillId="2" borderId="88" xfId="0" applyFont="1" applyFill="1" applyBorder="1" applyAlignment="1" applyProtection="1">
      <alignment horizontal="center" vertical="center" wrapText="1"/>
      <protection locked="0"/>
    </xf>
    <xf numFmtId="0" fontId="26" fillId="5" borderId="66" xfId="0" applyFont="1" applyFill="1" applyBorder="1" applyAlignment="1">
      <alignment horizontal="center" vertical="center" wrapText="1"/>
    </xf>
    <xf numFmtId="0" fontId="26" fillId="5" borderId="67" xfId="0" applyFont="1" applyFill="1" applyBorder="1" applyAlignment="1">
      <alignment horizontal="center" vertical="center" wrapText="1"/>
    </xf>
    <xf numFmtId="0" fontId="26" fillId="4" borderId="74" xfId="0" applyFont="1" applyFill="1" applyBorder="1" applyAlignment="1">
      <alignment horizontal="left" vertical="center" wrapText="1"/>
    </xf>
    <xf numFmtId="0" fontId="26" fillId="4" borderId="71" xfId="0" applyFont="1" applyFill="1" applyBorder="1" applyAlignment="1">
      <alignment horizontal="left" vertical="center" wrapText="1"/>
    </xf>
    <xf numFmtId="0" fontId="26" fillId="4" borderId="85" xfId="0" applyFont="1" applyFill="1" applyBorder="1" applyAlignment="1">
      <alignment horizontal="left" vertical="center" wrapText="1"/>
    </xf>
    <xf numFmtId="0" fontId="26" fillId="4" borderId="48" xfId="0" applyFont="1" applyFill="1" applyBorder="1" applyAlignment="1">
      <alignment horizontal="left" vertical="center" wrapText="1"/>
    </xf>
    <xf numFmtId="0" fontId="26" fillId="4" borderId="0" xfId="0" applyFont="1" applyFill="1" applyBorder="1" applyAlignment="1">
      <alignment horizontal="left" vertical="center" wrapText="1"/>
    </xf>
    <xf numFmtId="0" fontId="26" fillId="4" borderId="86" xfId="0" applyFont="1" applyFill="1" applyBorder="1" applyAlignment="1">
      <alignment horizontal="left" vertical="center" wrapText="1"/>
    </xf>
    <xf numFmtId="0" fontId="26" fillId="4" borderId="87" xfId="0" applyFont="1" applyFill="1" applyBorder="1" applyAlignment="1">
      <alignment horizontal="left" vertical="center" wrapText="1"/>
    </xf>
    <xf numFmtId="0" fontId="26" fillId="4" borderId="73" xfId="0" applyFont="1" applyFill="1" applyBorder="1" applyAlignment="1">
      <alignment horizontal="left" vertical="center" wrapText="1"/>
    </xf>
    <xf numFmtId="0" fontId="26" fillId="4" borderId="88" xfId="0" applyFont="1" applyFill="1" applyBorder="1" applyAlignment="1">
      <alignment horizontal="left" vertical="center" wrapText="1"/>
    </xf>
    <xf numFmtId="0" fontId="26" fillId="3" borderId="78" xfId="0" applyFont="1" applyFill="1" applyBorder="1" applyAlignment="1">
      <alignment horizontal="right" vertical="center" wrapText="1"/>
    </xf>
    <xf numFmtId="0" fontId="26" fillId="3" borderId="65" xfId="0" applyFont="1" applyFill="1" applyBorder="1" applyAlignment="1">
      <alignment horizontal="right" vertical="center" wrapText="1"/>
    </xf>
    <xf numFmtId="0" fontId="26" fillId="3" borderId="89" xfId="0" applyFont="1" applyFill="1" applyBorder="1" applyAlignment="1">
      <alignment horizontal="right" vertical="center" wrapText="1"/>
    </xf>
    <xf numFmtId="0" fontId="26" fillId="0" borderId="78" xfId="0" applyFont="1" applyBorder="1" applyAlignment="1">
      <alignment vertical="center" wrapText="1"/>
    </xf>
    <xf numFmtId="0" fontId="26" fillId="0" borderId="89" xfId="0" applyFont="1" applyBorder="1" applyAlignment="1">
      <alignment vertical="center" wrapText="1"/>
    </xf>
    <xf numFmtId="0" fontId="26" fillId="0" borderId="66" xfId="0" applyFont="1" applyBorder="1" applyAlignment="1">
      <alignment horizontal="center" vertical="center"/>
    </xf>
    <xf numFmtId="0" fontId="26" fillId="0" borderId="75" xfId="0" applyFont="1" applyBorder="1" applyAlignment="1">
      <alignment horizontal="center" vertical="center"/>
    </xf>
    <xf numFmtId="0" fontId="26" fillId="0" borderId="67" xfId="0" applyFont="1" applyBorder="1" applyAlignment="1">
      <alignment horizontal="center" vertical="center"/>
    </xf>
    <xf numFmtId="0" fontId="26" fillId="0" borderId="66" xfId="0" applyFont="1" applyBorder="1" applyAlignment="1">
      <alignment horizontal="right" vertical="center" wrapText="1"/>
    </xf>
    <xf numFmtId="0" fontId="26" fillId="0" borderId="75" xfId="0" applyFont="1" applyBorder="1" applyAlignment="1">
      <alignment horizontal="right" vertical="center" wrapText="1"/>
    </xf>
    <xf numFmtId="0" fontId="26" fillId="0" borderId="67" xfId="0" applyFont="1" applyBorder="1" applyAlignment="1">
      <alignment horizontal="right" vertical="center" wrapText="1"/>
    </xf>
    <xf numFmtId="0" fontId="27" fillId="7" borderId="0" xfId="0" applyFont="1" applyFill="1" applyAlignment="1">
      <alignment vertical="center" wrapText="1"/>
    </xf>
    <xf numFmtId="0" fontId="27" fillId="0" borderId="73" xfId="0" applyFont="1" applyBorder="1" applyAlignment="1">
      <alignment vertical="center" wrapText="1"/>
    </xf>
    <xf numFmtId="0" fontId="26" fillId="13" borderId="1" xfId="0" applyFont="1" applyFill="1" applyBorder="1" applyAlignment="1" applyProtection="1">
      <alignment horizontal="center" vertical="center" wrapText="1"/>
      <protection locked="0"/>
    </xf>
    <xf numFmtId="0" fontId="26" fillId="13" borderId="1" xfId="0" applyFont="1" applyFill="1" applyBorder="1" applyAlignment="1">
      <alignment horizontal="center" vertical="center" wrapText="1"/>
    </xf>
    <xf numFmtId="0" fontId="26" fillId="13" borderId="1" xfId="0" applyFont="1" applyFill="1" applyBorder="1" applyAlignment="1">
      <alignment horizontal="left" vertical="center" wrapText="1"/>
    </xf>
    <xf numFmtId="0" fontId="26" fillId="13" borderId="1" xfId="0" applyFont="1" applyFill="1" applyBorder="1" applyAlignment="1">
      <alignment horizontal="right" vertical="center" wrapText="1"/>
    </xf>
    <xf numFmtId="0" fontId="26" fillId="13" borderId="1" xfId="0" applyFont="1" applyFill="1" applyBorder="1" applyAlignment="1">
      <alignment vertical="center" wrapText="1"/>
    </xf>
    <xf numFmtId="0" fontId="26" fillId="13" borderId="1" xfId="0" applyFont="1" applyFill="1" applyBorder="1" applyAlignment="1">
      <alignment horizontal="center" vertical="center"/>
    </xf>
    <xf numFmtId="0" fontId="27" fillId="13" borderId="0" xfId="0" applyFont="1" applyFill="1" applyAlignment="1">
      <alignment vertical="center" wrapText="1"/>
    </xf>
    <xf numFmtId="0" fontId="30" fillId="13" borderId="66" xfId="0" applyFont="1" applyFill="1" applyBorder="1" applyAlignment="1">
      <alignment horizontal="right" vertical="center"/>
    </xf>
    <xf numFmtId="0" fontId="30" fillId="13" borderId="75" xfId="0" applyFont="1" applyFill="1" applyBorder="1" applyAlignment="1">
      <alignment horizontal="right" vertical="center"/>
    </xf>
    <xf numFmtId="0" fontId="30" fillId="13" borderId="67" xfId="0" applyFont="1" applyFill="1" applyBorder="1" applyAlignment="1">
      <alignment horizontal="right" vertical="center"/>
    </xf>
    <xf numFmtId="0" fontId="26" fillId="13" borderId="72" xfId="0" applyFont="1" applyFill="1" applyBorder="1" applyAlignment="1">
      <alignment horizontal="right" vertical="center" wrapText="1"/>
    </xf>
    <xf numFmtId="0" fontId="27" fillId="0" borderId="71" xfId="0" applyFont="1" applyBorder="1" applyAlignment="1">
      <alignment horizontal="center" wrapText="1"/>
    </xf>
    <xf numFmtId="0" fontId="27" fillId="0" borderId="0" xfId="0" applyFont="1" applyBorder="1" applyAlignment="1">
      <alignment horizontal="center" wrapText="1"/>
    </xf>
    <xf numFmtId="0" fontId="27" fillId="0" borderId="73" xfId="0" applyFont="1" applyBorder="1" applyAlignment="1">
      <alignment horizontal="center" wrapText="1"/>
    </xf>
    <xf numFmtId="0" fontId="26" fillId="0" borderId="71" xfId="0" applyFont="1" applyBorder="1" applyAlignment="1">
      <alignment horizontal="center" vertical="center" wrapText="1"/>
    </xf>
    <xf numFmtId="0" fontId="27" fillId="0" borderId="71" xfId="0" applyFont="1" applyBorder="1" applyAlignment="1">
      <alignment horizontal="center" vertical="center" wrapText="1"/>
    </xf>
    <xf numFmtId="0" fontId="27" fillId="0" borderId="0" xfId="0" applyFont="1" applyBorder="1" applyAlignment="1">
      <alignment horizontal="center" vertical="center" wrapText="1"/>
    </xf>
    <xf numFmtId="0" fontId="27" fillId="0" borderId="73" xfId="0" applyFont="1" applyBorder="1" applyAlignment="1">
      <alignment horizontal="center" vertical="center" wrapText="1"/>
    </xf>
    <xf numFmtId="0" fontId="27" fillId="0" borderId="74" xfId="0" applyFont="1" applyBorder="1" applyAlignment="1">
      <alignment horizontal="left" vertical="center" wrapText="1"/>
    </xf>
    <xf numFmtId="0" fontId="27" fillId="0" borderId="48" xfId="0" applyFont="1" applyBorder="1" applyAlignment="1">
      <alignment horizontal="left" vertical="center" wrapText="1"/>
    </xf>
    <xf numFmtId="0" fontId="27" fillId="0" borderId="71" xfId="0" applyFont="1" applyBorder="1" applyAlignment="1">
      <alignment horizontal="left" vertical="center" wrapText="1"/>
    </xf>
    <xf numFmtId="0" fontId="0" fillId="0" borderId="0" xfId="0" applyAlignment="1">
      <alignment horizontal="left" vertical="center" wrapText="1"/>
    </xf>
    <xf numFmtId="0" fontId="27" fillId="0" borderId="0" xfId="0" applyFont="1" applyBorder="1" applyAlignment="1">
      <alignment horizontal="left" vertical="center" wrapText="1"/>
    </xf>
    <xf numFmtId="0" fontId="26" fillId="7" borderId="72" xfId="0" applyFont="1" applyFill="1" applyBorder="1" applyAlignment="1">
      <alignment horizontal="right" vertical="center" wrapText="1"/>
    </xf>
    <xf numFmtId="0" fontId="26" fillId="7" borderId="71" xfId="0" applyFont="1" applyFill="1" applyBorder="1" applyAlignment="1">
      <alignment horizontal="right" vertical="center" wrapText="1"/>
    </xf>
    <xf numFmtId="0" fontId="30" fillId="0" borderId="66" xfId="0" applyFont="1" applyBorder="1" applyAlignment="1">
      <alignment horizontal="right"/>
    </xf>
    <xf numFmtId="0" fontId="30" fillId="0" borderId="75" xfId="0" applyFont="1" applyBorder="1" applyAlignment="1">
      <alignment horizontal="right"/>
    </xf>
    <xf numFmtId="0" fontId="30" fillId="0" borderId="67" xfId="0" applyFont="1" applyBorder="1" applyAlignment="1">
      <alignment horizontal="right"/>
    </xf>
    <xf numFmtId="0" fontId="33" fillId="0" borderId="77" xfId="0" applyFont="1" applyBorder="1" applyAlignment="1">
      <alignment horizontal="center"/>
    </xf>
    <xf numFmtId="0" fontId="35" fillId="13" borderId="4" xfId="0" applyFont="1" applyFill="1" applyBorder="1" applyAlignment="1">
      <alignment horizontal="center"/>
    </xf>
    <xf numFmtId="0" fontId="35" fillId="13" borderId="6" xfId="0" applyFont="1" applyFill="1" applyBorder="1" applyAlignment="1">
      <alignment horizontal="center"/>
    </xf>
    <xf numFmtId="2" fontId="35" fillId="13" borderId="66" xfId="0" applyNumberFormat="1" applyFont="1" applyFill="1" applyBorder="1" applyAlignment="1">
      <alignment horizontal="right"/>
    </xf>
    <xf numFmtId="2" fontId="35" fillId="13" borderId="67" xfId="0" applyNumberFormat="1" applyFont="1" applyFill="1" applyBorder="1" applyAlignment="1">
      <alignment horizontal="right"/>
    </xf>
    <xf numFmtId="2" fontId="35" fillId="13" borderId="68" xfId="0" applyNumberFormat="1" applyFont="1" applyFill="1" applyBorder="1" applyAlignment="1">
      <alignment horizontal="center"/>
    </xf>
    <xf numFmtId="2" fontId="35" fillId="13" borderId="79" xfId="0" applyNumberFormat="1" applyFont="1" applyFill="1" applyBorder="1" applyAlignment="1">
      <alignment horizontal="center"/>
    </xf>
    <xf numFmtId="2" fontId="35" fillId="13" borderId="69" xfId="0" applyNumberFormat="1" applyFont="1" applyFill="1" applyBorder="1" applyAlignment="1">
      <alignment horizontal="center"/>
    </xf>
    <xf numFmtId="2" fontId="35" fillId="13" borderId="68" xfId="0" applyNumberFormat="1" applyFont="1" applyFill="1" applyBorder="1" applyAlignment="1">
      <alignment horizontal="right"/>
    </xf>
    <xf numFmtId="2" fontId="35" fillId="13" borderId="79" xfId="0" applyNumberFormat="1" applyFont="1" applyFill="1" applyBorder="1" applyAlignment="1">
      <alignment horizontal="right"/>
    </xf>
    <xf numFmtId="2" fontId="35" fillId="13" borderId="69" xfId="0" applyNumberFormat="1" applyFont="1" applyFill="1" applyBorder="1" applyAlignment="1">
      <alignment horizontal="right"/>
    </xf>
    <xf numFmtId="2" fontId="35" fillId="13" borderId="0" xfId="0" applyNumberFormat="1" applyFont="1" applyFill="1" applyAlignment="1">
      <alignment horizontal="right"/>
    </xf>
    <xf numFmtId="0" fontId="0" fillId="0" borderId="77" xfId="0" applyBorder="1" applyAlignment="1">
      <alignment horizontal="center"/>
    </xf>
    <xf numFmtId="0" fontId="35" fillId="13" borderId="2" xfId="0" applyFont="1" applyFill="1" applyBorder="1" applyAlignment="1">
      <alignment horizontal="justify" vertical="justify"/>
    </xf>
    <xf numFmtId="0" fontId="35" fillId="13" borderId="5" xfId="0" applyFont="1" applyFill="1" applyBorder="1" applyAlignment="1">
      <alignment horizontal="justify" vertical="justify"/>
    </xf>
    <xf numFmtId="0" fontId="35" fillId="13" borderId="59" xfId="0" applyFont="1" applyFill="1" applyBorder="1" applyAlignment="1">
      <alignment horizontal="center" vertical="justify"/>
    </xf>
    <xf numFmtId="0" fontId="35" fillId="13" borderId="56" xfId="0" applyFont="1" applyFill="1" applyBorder="1" applyAlignment="1">
      <alignment horizontal="center" vertical="justify"/>
    </xf>
    <xf numFmtId="0" fontId="34" fillId="13" borderId="3" xfId="0" applyFont="1" applyFill="1" applyBorder="1" applyAlignment="1">
      <alignment horizontal="center"/>
    </xf>
    <xf numFmtId="0" fontId="8" fillId="0" borderId="0" xfId="0" applyFont="1" applyBorder="1" applyAlignment="1">
      <alignment horizontal="center"/>
    </xf>
    <xf numFmtId="0" fontId="2" fillId="4"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right" vertical="center" wrapText="1"/>
    </xf>
    <xf numFmtId="0" fontId="1" fillId="0" borderId="0" xfId="0" applyFont="1" applyAlignment="1">
      <alignment vertical="center" wrapText="1"/>
    </xf>
  </cellXfs>
  <cellStyles count="9">
    <cellStyle name="Comma" xfId="8" builtinId="3"/>
    <cellStyle name="Comma 2 4" xfId="2"/>
    <cellStyle name="Normal" xfId="0" builtinId="0"/>
    <cellStyle name="Normal 2" xfId="3"/>
    <cellStyle name="Normal 2 2" xfId="6"/>
    <cellStyle name="Normal 2 2 2" xfId="1"/>
    <cellStyle name="Normal 2 3" xfId="5"/>
    <cellStyle name="Normal 2 4" xfId="7"/>
    <cellStyle name="Percent" xfId="4" builtinId="5"/>
  </cellStyles>
  <dxfs count="19">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9" Type="http://schemas.openxmlformats.org/officeDocument/2006/relationships/externalLink" Target="externalLinks/externalLink18.xml"/><Relationship Id="rId21" Type="http://schemas.openxmlformats.org/officeDocument/2006/relationships/worksheet" Target="worksheets/sheet21.xml"/><Relationship Id="rId34" Type="http://schemas.openxmlformats.org/officeDocument/2006/relationships/externalLink" Target="externalLinks/externalLink13.xml"/><Relationship Id="rId42" Type="http://schemas.openxmlformats.org/officeDocument/2006/relationships/externalLink" Target="externalLinks/externalLink21.xml"/><Relationship Id="rId47" Type="http://schemas.openxmlformats.org/officeDocument/2006/relationships/externalLink" Target="externalLinks/externalLink26.xml"/><Relationship Id="rId50" Type="http://schemas.openxmlformats.org/officeDocument/2006/relationships/externalLink" Target="externalLinks/externalLink29.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8.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externalLink" Target="externalLinks/externalLink11.xml"/><Relationship Id="rId37" Type="http://schemas.openxmlformats.org/officeDocument/2006/relationships/externalLink" Target="externalLinks/externalLink16.xml"/><Relationship Id="rId40" Type="http://schemas.openxmlformats.org/officeDocument/2006/relationships/externalLink" Target="externalLinks/externalLink19.xml"/><Relationship Id="rId45" Type="http://schemas.openxmlformats.org/officeDocument/2006/relationships/externalLink" Target="externalLinks/externalLink24.xml"/><Relationship Id="rId53" Type="http://schemas.openxmlformats.org/officeDocument/2006/relationships/externalLink" Target="externalLinks/externalLink32.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externalLink" Target="externalLinks/externalLink9.xml"/><Relationship Id="rId35" Type="http://schemas.openxmlformats.org/officeDocument/2006/relationships/externalLink" Target="externalLinks/externalLink14.xml"/><Relationship Id="rId43" Type="http://schemas.openxmlformats.org/officeDocument/2006/relationships/externalLink" Target="externalLinks/externalLink22.xml"/><Relationship Id="rId48" Type="http://schemas.openxmlformats.org/officeDocument/2006/relationships/externalLink" Target="externalLinks/externalLink27.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3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externalLink" Target="externalLinks/externalLink12.xml"/><Relationship Id="rId38" Type="http://schemas.openxmlformats.org/officeDocument/2006/relationships/externalLink" Target="externalLinks/externalLink17.xml"/><Relationship Id="rId46" Type="http://schemas.openxmlformats.org/officeDocument/2006/relationships/externalLink" Target="externalLinks/externalLink25.xml"/><Relationship Id="rId20" Type="http://schemas.openxmlformats.org/officeDocument/2006/relationships/worksheet" Target="worksheets/sheet20.xml"/><Relationship Id="rId41" Type="http://schemas.openxmlformats.org/officeDocument/2006/relationships/externalLink" Target="externalLinks/externalLink20.xml"/><Relationship Id="rId54" Type="http://schemas.openxmlformats.org/officeDocument/2006/relationships/externalLink" Target="externalLinks/externalLink3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externalLink" Target="externalLinks/externalLink7.xml"/><Relationship Id="rId36" Type="http://schemas.openxmlformats.org/officeDocument/2006/relationships/externalLink" Target="externalLinks/externalLink15.xml"/><Relationship Id="rId49" Type="http://schemas.openxmlformats.org/officeDocument/2006/relationships/externalLink" Target="externalLinks/externalLink28.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externalLink" Target="externalLinks/externalLink10.xml"/><Relationship Id="rId44" Type="http://schemas.openxmlformats.org/officeDocument/2006/relationships/externalLink" Target="externalLinks/externalLink23.xml"/><Relationship Id="rId52" Type="http://schemas.openxmlformats.org/officeDocument/2006/relationships/externalLink" Target="externalLinks/externalLink3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Bimstec\New%20folder\Er.rajesh\Palpa%20division\Bridge\Kaligandaki%20Damachaur%20Rampur%20Bridge%20estimate%20Final\RATE%20ANALYSIS%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Bimstec\New%20folder\Palpa\bridge\Kaligandaki,%20ridibazar\estimate\Est_Draft_Panah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Bimstec\New%20folder\Documents%20and%20Settings\Administrator\Desktop\RA-059-6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H:\Bimstec\New%20folder\Palpa\bridge\Kaligandaki,%20ridibazar\estimate\Estimate%20kaligandaki%20ridibazar.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imstec\New%20folder\Users\Personal\Desktop\Bridges%20of%20Palpa\Kaligandaki%20chapakot%20Rampur\RATE%20ANALYSIS%2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H:\Bimstec\New%20folder\minprasad\workon%20065-66\Contract%20065-66\maintenance\Maintenance%20gulmi%20and%20palpa\Estimate_2065-66%20corrected%20palpa\Recurrent_Palpa\RB_01\dro%232\Tenders(BOQ)\058-59\Notice%20No.%203\contract-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H:\Bimstec\New%20folder\dro%232\Tenders(BOQ)\058-59\Notice%20No.%203\contract-6.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H:\Bimstec\New%20folder\RB%20Gurung\removable%20hd\1_KATHMANDU_2065_9_17%20TO\F-Y_2065_66\cont_66_064_65\cont_66-064-65_whitegold\Amrahs\RRSWorkingFolder\RaptiClaim.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H:\Bimstec\New%20folder\Palpa\bridge\Kaligandaki,%20ridibazar\estimate\RATE%20ANALYSIS%2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H:\Bimstec\New%20folder\Damouli,Rp\Myagde%20Bridge\SETI%20BRIDGE\SETI_DULEGAUDA_NEW\Sangekhola%20Bridge1\Rate%20Analysis%20for%20Tarkugha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H:\Bimstec\New%20folder\Users\User\Desktop\esyimate%20070%2071\Khaliban-Rampur\Khaliban-rampur%20road%20palp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Bimstec\New%20folder\Rate%20Analysis%206566\Revised%20rate%202065%206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Bimstec\New%20folder\RB%20Gurung\removable%20hd\1_KATHMANDU_2065_9_17%20TO\F-Y_2065_66\cont_66_064_65\cont_66-064-65_whitegold\1-hetauda\PBMC\Amrahs\RRSWorkingFolder\AnalysisOfRatesNewNormsBeingEdited.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H:\Bimstec\New%20folder\Users\Personal\Desktop\Bridges%20of%20Palpa\Kaligandaki%20chapakot%20Rampur\Arun%20Bridge\RATE%20ANALYSIS%20-%20Arun%20Bridge.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H:\Rate%20Analyasis%202074-75\Norms%20for%20Earthwork%20using%20Heavy%20Equipment\DROKTM2_Rate%20Analysis_074-75.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Bimstec\New%20folder\Damouli,Rp\Myagde%20Bridge\SETI%20BRIDGE\SETI_DULEGAUDA_NEW\Estimate%20n%20BoQ%20064-65\249,555,695,660\Specific%20555,Minor%20recurrent%20&amp;%20Periodic%20695\Major%20Minor\Rate%20Analysis'%20for%20major,minor.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H:\Bimstec\New%20folder\Estimate%20n%20BoQ%20final%20064-65\249,555,695,660\249\Bhorletar,Chabdi,Bageswori,Ghasikuwa\Rate%20Analysis'%20for%20Bhorletarkaraputar%20green%20road%20revised.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Bimstec\New%20folder\RB%20Gurung\project\Arniko%20highway\Rate%20analysis_Maitighar_Tinkune.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H:\Bimstec\New%20folder\RB%20Gurung\Documents%20and%20Settings\USER\Desktop\dro%232\Tenders(BOQ)\059-60\NNo.%203%20(3-7)\st-3\s3-aoc-4-059-60.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H:\Bimstec\New%20folder\rate%20analysis%20Ktm%2071-72\Basic%20Rate%20Analysis%20071-72-orginal-all%20complete%20Final.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H:\Bimstec\New%20folder\RB%20Gurung\removable%20hd\1_KATHMANDU_2065_9_17%20TO\F-Y_2065_66\cont_66_064_65\cont_66-064-65_whitegold\Hetauda%20to%20Narayani%20Bridge\IPC-08%20Lothar-Ngt\dro%232\Tenders(BOQ)\059-60\NNo.%203%20(3-7)\st-3\s3-aoc-4-059-60.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H:\Bimstec\New%20folder\Bridge%20'08\Bridge%2007-08\Bridge%2007-08%20Final%20Reports\Draft%20Report%20-%20Kamitar%20-%20Revised\Abstract%20of%20Cost%20-%20%20(Kailal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Bimstec\New%20folder\minprasad\workon%20065-66\Contract%20065-66\maintenance\Maintenance%20gulmi%20and%20palpa\Estimate_2065-66%20corrected%20palpa\Recurrent_Palpa\RB_01\dro%232\Tenders(BOQ)\059-60\NNo.%203%20(3-7)\st-3\s3-aoc-4-059-6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H:\Bimstec\New%20folder\Er.rajesh\Palpa%20division\Bridge\Kaligandaki%20Damachaur%20Rampur%20Bridge%20estimate%20Final\Estimate%20.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H:\Bimstec\New%20folder\Damouli,Rp\Myagde%20Bridge\SETI%20BRIDGE\SETI_DULEGAUDA_NEW\Final%20Report\BRN7_Seti_Dulegauda\Main%20Report_Vol_I\Rate%20Analysis'%20for%20jigdi%20%20Bridg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H:\Bimstec\New%20folder\Rates%20By%20Machin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hrestha\my%20documents\dro%232\Tenders(BOQ)\059-60\NNo.%203%20(3-7)\st-3\s3-aoc-4-059-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Bimstec\New%20folder\dro%232\Tenders(BOQ)\059-60\NNo.%203%20(3-7)\st-3\s3-aoc-4-059-6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Bimstec\New%20folder\Bridges%20of%20Palpa\Kaligandaki%20Damachaur%20Rampur%20Bridge%20estimate%20Final\RATE%20ANALYSIS%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ell\Desktop\pedestrian%20bridge\rate%20analysis%20for%20pedestrain%20bridg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Bimstec\New%20folder\minprasad\workon%2066-67\2nd%20lot%20contract067\7%20Resealing\Recurrent%20work%20Bartung%20to%20Tamgha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Dell\Desktop\DROKTM1_Rate%20Analysis_074-75%20_075-76_edited.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Bimstec\New%20folder\Damouli,Rp\Myagde%20Bridge\Myagde%20Khola%20Bridge%20Estimate%20nks04%20falgu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f Rates"/>
      <sheetName val="Rates"/>
      <sheetName val="Rate Analysis"/>
    </sheetNames>
    <sheetDataSet>
      <sheetData sheetId="0"/>
      <sheetData sheetId="1">
        <row r="4">
          <cell r="D4">
            <v>350</v>
          </cell>
        </row>
        <row r="42">
          <cell r="G42">
            <v>285</v>
          </cell>
        </row>
      </sheetData>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bstract of cost"/>
      <sheetName val="Summary of Rate"/>
      <sheetName val="Quantity Estimate"/>
      <sheetName val="Earth Qty"/>
      <sheetName val="Rate analysis(DOR)"/>
      <sheetName val="Collection(DOR)"/>
      <sheetName val="transportation"/>
      <sheetName val="Bar Bending"/>
      <sheetName val="rate"/>
      <sheetName val="Input_Rate"/>
      <sheetName val="Transport"/>
      <sheetName val="Rate Analysis (DoLIDAR)"/>
      <sheetName val="Dozer Rate"/>
      <sheetName val="Collection+Tranport"/>
    </sheetNames>
    <sheetDataSet>
      <sheetData sheetId="0"/>
      <sheetData sheetId="1"/>
      <sheetData sheetId="2"/>
      <sheetData sheetId="3"/>
      <sheetData sheetId="4"/>
      <sheetData sheetId="5"/>
      <sheetData sheetId="6"/>
      <sheetData sheetId="7"/>
      <sheetData sheetId="8"/>
      <sheetData sheetId="9">
        <row r="26">
          <cell r="H26">
            <v>1151.8900000000001</v>
          </cell>
        </row>
      </sheetData>
      <sheetData sheetId="10"/>
      <sheetData sheetId="11"/>
      <sheetData sheetId="12"/>
      <sheetData sheetId="13"/>
      <sheetData sheetId="1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without pipes"/>
      <sheetName val="Basic rates"/>
      <sheetName val="transport"/>
      <sheetName val="A"/>
      <sheetName val="B"/>
      <sheetName val="C"/>
      <sheetName val="D"/>
      <sheetName val="E"/>
      <sheetName val="F"/>
      <sheetName val="G"/>
      <sheetName val="H"/>
      <sheetName val="summary"/>
    </sheetNames>
    <sheetDataSet>
      <sheetData sheetId="0" refreshError="1"/>
      <sheetData sheetId="1">
        <row r="8">
          <cell r="B8" t="str">
            <v xml:space="preserve">HofdL </v>
          </cell>
          <cell r="C8" t="str">
            <v xml:space="preserve">;+Vof </v>
          </cell>
          <cell r="D8">
            <v>130</v>
          </cell>
        </row>
        <row r="9">
          <cell r="B9" t="str">
            <v>l;kfn'</v>
          </cell>
          <cell r="C9" t="str">
            <v xml:space="preserve">;+Vof </v>
          </cell>
          <cell r="D9">
            <v>230</v>
          </cell>
        </row>
        <row r="10">
          <cell r="B10" t="str">
            <v>jfn'jf</v>
          </cell>
          <cell r="C10" t="str">
            <v>3=dL=</v>
          </cell>
          <cell r="D10">
            <v>882</v>
          </cell>
        </row>
        <row r="11">
          <cell r="B11" t="str">
            <v>v;|f] jfn'jf</v>
          </cell>
          <cell r="C11" t="str">
            <v>3=ld=</v>
          </cell>
          <cell r="D11">
            <v>882</v>
          </cell>
        </row>
        <row r="12">
          <cell r="B12" t="str">
            <v>/f]8f</v>
          </cell>
        </row>
        <row r="13">
          <cell r="B13" t="str">
            <v>-@)–$)_ ld=ld=</v>
          </cell>
          <cell r="C13" t="str">
            <v>3=ld=</v>
          </cell>
          <cell r="D13">
            <v>1234.8</v>
          </cell>
        </row>
        <row r="14">
          <cell r="B14" t="str">
            <v>-!)–!@_ ld=ld=</v>
          </cell>
          <cell r="C14" t="str">
            <v>3=ld=</v>
          </cell>
          <cell r="D14">
            <v>1234.8</v>
          </cell>
        </row>
        <row r="15">
          <cell r="B15" t="str">
            <v>-!)–@)_ ld=ld=</v>
          </cell>
          <cell r="C15" t="str">
            <v>3=ld=</v>
          </cell>
          <cell r="D15">
            <v>1234.8</v>
          </cell>
        </row>
        <row r="16">
          <cell r="B16" t="str">
            <v>-^–!)_ ld=ld=</v>
          </cell>
          <cell r="C16" t="str">
            <v>3=ld=</v>
          </cell>
          <cell r="D16">
            <v>1234.8</v>
          </cell>
        </row>
        <row r="17">
          <cell r="B17" t="str">
            <v>O{6f -d]zLg_</v>
          </cell>
          <cell r="C17" t="str">
            <v xml:space="preserve">;+Vof </v>
          </cell>
          <cell r="D17">
            <v>4019.5</v>
          </cell>
        </row>
        <row r="18">
          <cell r="B18" t="str">
            <v>O{6f -nf]sn_</v>
          </cell>
          <cell r="C18" t="str">
            <v xml:space="preserve">;+Vof </v>
          </cell>
          <cell r="D18">
            <v>2600</v>
          </cell>
        </row>
        <row r="19">
          <cell r="B19" t="str">
            <v>l;d]G6</v>
          </cell>
          <cell r="C19" t="str">
            <v>d]=6g</v>
          </cell>
          <cell r="D19">
            <v>6500</v>
          </cell>
        </row>
        <row r="20">
          <cell r="B20" t="str">
            <v>Ans :6f]g</v>
          </cell>
          <cell r="C20" t="str">
            <v>3=ld=</v>
          </cell>
          <cell r="D20">
            <v>1081.5899999999999</v>
          </cell>
        </row>
        <row r="21">
          <cell r="B21" t="str">
            <v>a08 :6f]g</v>
          </cell>
          <cell r="C21" t="str">
            <v>3=ld=</v>
          </cell>
          <cell r="D21">
            <v>1081.5899999999999</v>
          </cell>
        </row>
        <row r="22">
          <cell r="B22" t="str">
            <v>kfgL</v>
          </cell>
          <cell r="C22" t="str">
            <v>ln6/</v>
          </cell>
          <cell r="D22">
            <v>0.1</v>
          </cell>
        </row>
        <row r="23">
          <cell r="B23" t="str">
            <v xml:space="preserve">u|fe]n </v>
          </cell>
          <cell r="C23" t="str">
            <v>3=ld=</v>
          </cell>
          <cell r="D23">
            <v>793.80000000000007</v>
          </cell>
        </row>
        <row r="24">
          <cell r="B24" t="str">
            <v>9'+ufsf] w'nf]</v>
          </cell>
          <cell r="C24" t="str">
            <v>3=ld=</v>
          </cell>
          <cell r="D24">
            <v>490.51</v>
          </cell>
        </row>
        <row r="25">
          <cell r="B25" t="str">
            <v>la6'ldg *).!))</v>
          </cell>
          <cell r="C25" t="str">
            <v>s]=lh=</v>
          </cell>
          <cell r="D25">
            <v>25.4</v>
          </cell>
        </row>
        <row r="26">
          <cell r="B26" t="str">
            <v>dl§t]n</v>
          </cell>
          <cell r="C26" t="str">
            <v>ln6/</v>
          </cell>
          <cell r="D26">
            <v>25</v>
          </cell>
        </row>
        <row r="27">
          <cell r="B27" t="str">
            <v>l8h]n</v>
          </cell>
          <cell r="C27" t="str">
            <v>ln6/</v>
          </cell>
          <cell r="D27">
            <v>31</v>
          </cell>
        </row>
        <row r="28">
          <cell r="B28" t="str">
            <v>bfp/f</v>
          </cell>
          <cell r="C28" t="str">
            <v>s]=lh=</v>
          </cell>
          <cell r="D28">
            <v>5.82</v>
          </cell>
        </row>
        <row r="29">
          <cell r="B29" t="str">
            <v>bfp/f-v'nf r'nf]df_</v>
          </cell>
          <cell r="C29" t="str">
            <v>s]=lh=</v>
          </cell>
          <cell r="D29">
            <v>5.82</v>
          </cell>
        </row>
        <row r="30">
          <cell r="B30" t="str">
            <v>kmnfd]808L</v>
          </cell>
          <cell r="C30" t="str">
            <v>d]=6g</v>
          </cell>
          <cell r="D30">
            <v>32220</v>
          </cell>
        </row>
        <row r="31">
          <cell r="B31" t="str">
            <v>af+Wg] tf/</v>
          </cell>
          <cell r="C31" t="str">
            <v>s]=lh=</v>
          </cell>
          <cell r="D31">
            <v>41.17</v>
          </cell>
        </row>
        <row r="32">
          <cell r="B32" t="str">
            <v>kmdf{sf] sf7</v>
          </cell>
          <cell r="C32" t="str">
            <v>3=ld=</v>
          </cell>
          <cell r="D32">
            <v>29988</v>
          </cell>
        </row>
        <row r="33">
          <cell r="B33" t="str">
            <v>lsnf</v>
          </cell>
          <cell r="C33" t="str">
            <v>s]=lh=</v>
          </cell>
          <cell r="D33">
            <v>50</v>
          </cell>
        </row>
        <row r="34">
          <cell r="B34" t="str">
            <v>lk|sf:6 lk=l;=l;=Ans     -!!j=ld=_</v>
          </cell>
          <cell r="C34" t="str">
            <v xml:space="preserve">;+Vof </v>
          </cell>
          <cell r="D34">
            <v>31.2</v>
          </cell>
        </row>
        <row r="35">
          <cell r="B35" t="str">
            <v>sj{:6f]g -!M!=%M#_</v>
          </cell>
          <cell r="C35" t="str">
            <v>3=ld=</v>
          </cell>
          <cell r="D35">
            <v>4773.46</v>
          </cell>
        </row>
        <row r="36">
          <cell r="B36" t="str">
            <v xml:space="preserve">lh cfO d]z tf/ </v>
          </cell>
          <cell r="C36" t="str">
            <v>s]=lh=</v>
          </cell>
          <cell r="D36">
            <v>40.07</v>
          </cell>
        </row>
        <row r="37">
          <cell r="B37" t="str">
            <v>;]Nj]h tf/</v>
          </cell>
          <cell r="C37" t="str">
            <v>s]=lh=</v>
          </cell>
          <cell r="D37">
            <v>40.200000000000003</v>
          </cell>
        </row>
        <row r="38">
          <cell r="B38" t="str">
            <v>lh cfO jfO08LË tf/</v>
          </cell>
        </row>
        <row r="39">
          <cell r="B39" t="str">
            <v>!@ P; 8Jn' lh</v>
          </cell>
          <cell r="C39" t="str">
            <v>s]=lh=</v>
          </cell>
          <cell r="D39">
            <v>40.799999999999997</v>
          </cell>
        </row>
        <row r="40">
          <cell r="B40" t="str">
            <v>@) P; 8Jn' lh</v>
          </cell>
          <cell r="C40" t="str">
            <v>s]=lh=</v>
          </cell>
          <cell r="D40">
            <v>36.200000000000003</v>
          </cell>
        </row>
        <row r="41">
          <cell r="B41" t="str">
            <v>vfnL af]/f</v>
          </cell>
          <cell r="C41" t="str">
            <v xml:space="preserve">;+Vof </v>
          </cell>
          <cell r="D41">
            <v>12</v>
          </cell>
        </row>
        <row r="42">
          <cell r="B42" t="str">
            <v>;'tnL</v>
          </cell>
          <cell r="C42" t="str">
            <v>s]=lh=</v>
          </cell>
          <cell r="D42">
            <v>150</v>
          </cell>
        </row>
        <row r="43">
          <cell r="B43" t="str">
            <v>afF;sf] kfO{n</v>
          </cell>
          <cell r="C43" t="str">
            <v>/=ld=</v>
          </cell>
          <cell r="D43">
            <v>12</v>
          </cell>
        </row>
        <row r="44">
          <cell r="B44" t="str">
            <v>h'6</v>
          </cell>
          <cell r="C44" t="str">
            <v>s]=lh=</v>
          </cell>
          <cell r="D44">
            <v>50</v>
          </cell>
        </row>
        <row r="45">
          <cell r="B45" t="str">
            <v>cf/=l;=l;= xo'd kfOk cf/=l;=l;= sn/ ;d]t</v>
          </cell>
        </row>
        <row r="46">
          <cell r="B46" t="str">
            <v>Jof; !% ;]=dL=</v>
          </cell>
          <cell r="C46" t="str">
            <v>/=ld=</v>
          </cell>
          <cell r="D46">
            <v>480</v>
          </cell>
        </row>
        <row r="47">
          <cell r="B47" t="str">
            <v>Jof; @) ;]=dL=</v>
          </cell>
          <cell r="C47" t="str">
            <v>/=ld=</v>
          </cell>
          <cell r="D47">
            <v>640</v>
          </cell>
        </row>
        <row r="48">
          <cell r="B48" t="str">
            <v>Jof; #) ;]=dL=</v>
          </cell>
          <cell r="C48" t="str">
            <v>/=ld=</v>
          </cell>
          <cell r="D48">
            <v>1150</v>
          </cell>
        </row>
        <row r="49">
          <cell r="B49" t="str">
            <v>Jof; $% ;]=dL=</v>
          </cell>
          <cell r="C49" t="str">
            <v>/=ld=</v>
          </cell>
          <cell r="D49">
            <v>1650</v>
          </cell>
        </row>
        <row r="50">
          <cell r="B50" t="str">
            <v>Jof; ^) ;]=dL=</v>
          </cell>
          <cell r="C50" t="str">
            <v>/=ld=</v>
          </cell>
          <cell r="D50">
            <v>2165</v>
          </cell>
        </row>
        <row r="51">
          <cell r="B51" t="str">
            <v>Jof; () ;]=dL=</v>
          </cell>
          <cell r="C51" t="str">
            <v>/=ld=</v>
          </cell>
          <cell r="D51">
            <v>3880</v>
          </cell>
        </row>
        <row r="52">
          <cell r="B52" t="str">
            <v>Jof; !@) ;]=dL=</v>
          </cell>
          <cell r="C52" t="str">
            <v>/=ld=</v>
          </cell>
          <cell r="D52">
            <v>5045</v>
          </cell>
        </row>
        <row r="53">
          <cell r="B53" t="str">
            <v>d]zLgx?</v>
          </cell>
        </row>
        <row r="54">
          <cell r="B54" t="str">
            <v>/f]n/ *.!) d]=6g</v>
          </cell>
          <cell r="C54" t="str">
            <v>306f</v>
          </cell>
          <cell r="D54">
            <v>440</v>
          </cell>
        </row>
        <row r="55">
          <cell r="B55" t="str">
            <v>/f]n/</v>
          </cell>
          <cell r="C55" t="str">
            <v>306f</v>
          </cell>
          <cell r="D55">
            <v>440</v>
          </cell>
        </row>
        <row r="56">
          <cell r="B56" t="str">
            <v>/f]n/ Go'd]l6s</v>
          </cell>
          <cell r="C56" t="str">
            <v>306f</v>
          </cell>
          <cell r="D56">
            <v>1080</v>
          </cell>
        </row>
        <row r="57">
          <cell r="B57" t="str">
            <v>AjfOn/ tyf :k|]o/</v>
          </cell>
          <cell r="C57" t="str">
            <v>306f</v>
          </cell>
          <cell r="D57">
            <v>1280</v>
          </cell>
        </row>
        <row r="58">
          <cell r="B58" t="str">
            <v>kfgL 6+ofsL</v>
          </cell>
          <cell r="C58" t="str">
            <v>306f</v>
          </cell>
          <cell r="D58">
            <v>550</v>
          </cell>
        </row>
        <row r="59">
          <cell r="B59" t="str">
            <v>dfz{n Knf06</v>
          </cell>
          <cell r="C59" t="str">
            <v>306f</v>
          </cell>
          <cell r="D59">
            <v>400</v>
          </cell>
        </row>
        <row r="60">
          <cell r="B60" t="str">
            <v>6«s sfo{</v>
          </cell>
          <cell r="C60" t="str">
            <v>306f</v>
          </cell>
          <cell r="D60">
            <v>460</v>
          </cell>
        </row>
        <row r="61">
          <cell r="B61" t="str">
            <v>6«s cfO8n</v>
          </cell>
          <cell r="C61" t="str">
            <v>306f</v>
          </cell>
          <cell r="D61">
            <v>460</v>
          </cell>
        </row>
        <row r="62">
          <cell r="B62" t="str">
            <v>6|\s af6 9'jfgL</v>
          </cell>
        </row>
        <row r="63">
          <cell r="B63" t="str">
            <v>klxnf] ! ls=dL=</v>
          </cell>
          <cell r="D63">
            <v>126.95</v>
          </cell>
        </row>
        <row r="64">
          <cell r="B64" t="str">
            <v>klxnf] @ ls=dL=</v>
          </cell>
          <cell r="D64">
            <v>144.63999999999999</v>
          </cell>
        </row>
        <row r="65">
          <cell r="B65" t="str">
            <v>klxnf] % ls=dL=</v>
          </cell>
          <cell r="D65">
            <v>197.72</v>
          </cell>
        </row>
        <row r="66">
          <cell r="B66" t="str">
            <v>@) ls=dL= ;Dd</v>
          </cell>
          <cell r="D66">
            <v>455.03</v>
          </cell>
        </row>
        <row r="67">
          <cell r="B67" t="str">
            <v>lrs]g jfo/ d];</v>
          </cell>
          <cell r="C67" t="str">
            <v>j=ld=</v>
          </cell>
          <cell r="D67">
            <v>45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BoQ"/>
      <sheetName val="steel quantity "/>
      <sheetName val="summary"/>
      <sheetName val="Abstract"/>
      <sheetName val="BoQ"/>
      <sheetName val="Detailed"/>
      <sheetName val="Summary of Rates"/>
      <sheetName val="Rate Analysis"/>
      <sheetName val="Rates"/>
      <sheetName val="Sheet1"/>
    </sheetNames>
    <sheetDataSet>
      <sheetData sheetId="0"/>
      <sheetData sheetId="1"/>
      <sheetData sheetId="2"/>
      <sheetData sheetId="3"/>
      <sheetData sheetId="4"/>
      <sheetData sheetId="5"/>
      <sheetData sheetId="6"/>
      <sheetData sheetId="7"/>
      <sheetData sheetId="8">
        <row r="11">
          <cell r="D11">
            <v>480</v>
          </cell>
        </row>
        <row r="12">
          <cell r="D12">
            <v>340</v>
          </cell>
        </row>
        <row r="24">
          <cell r="G24">
            <v>10970.276991150442</v>
          </cell>
        </row>
        <row r="26">
          <cell r="G26">
            <v>26000</v>
          </cell>
        </row>
        <row r="27">
          <cell r="G27">
            <v>92538.276991150444</v>
          </cell>
        </row>
        <row r="29">
          <cell r="G29">
            <v>90538.276991150444</v>
          </cell>
        </row>
        <row r="33">
          <cell r="G33">
            <v>750.57247787610618</v>
          </cell>
        </row>
        <row r="34">
          <cell r="G34">
            <v>777.35522123893804</v>
          </cell>
        </row>
        <row r="46">
          <cell r="G46">
            <v>106.19469026548674</v>
          </cell>
        </row>
        <row r="49">
          <cell r="G49">
            <v>342</v>
          </cell>
        </row>
      </sheetData>
      <sheetData sheetId="9"/>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f Rates"/>
      <sheetName val="Rates"/>
      <sheetName val="Rate Analysis"/>
    </sheetNames>
    <sheetDataSet>
      <sheetData sheetId="0" refreshError="1"/>
      <sheetData sheetId="1" refreshError="1">
        <row r="4">
          <cell r="D4">
            <v>350</v>
          </cell>
        </row>
        <row r="5">
          <cell r="D5">
            <v>225</v>
          </cell>
        </row>
        <row r="6">
          <cell r="D6">
            <v>287.5</v>
          </cell>
        </row>
        <row r="18">
          <cell r="G18">
            <v>77192.331999999995</v>
          </cell>
        </row>
        <row r="19">
          <cell r="G19">
            <v>18200</v>
          </cell>
        </row>
        <row r="20">
          <cell r="G20">
            <v>82902.618000000002</v>
          </cell>
        </row>
        <row r="21">
          <cell r="G21">
            <v>82902.618000000002</v>
          </cell>
        </row>
        <row r="22">
          <cell r="G22">
            <v>80902.618000000002</v>
          </cell>
        </row>
        <row r="27">
          <cell r="G27">
            <v>623.28200000000004</v>
          </cell>
        </row>
        <row r="42">
          <cell r="G42">
            <v>285</v>
          </cell>
        </row>
        <row r="45">
          <cell r="G45">
            <v>90000</v>
          </cell>
        </row>
        <row r="46">
          <cell r="G46">
            <v>285</v>
          </cell>
        </row>
        <row r="55">
          <cell r="G55">
            <v>132</v>
          </cell>
        </row>
        <row r="63">
          <cell r="D63">
            <v>3500</v>
          </cell>
        </row>
        <row r="67">
          <cell r="D67">
            <v>150</v>
          </cell>
        </row>
        <row r="82">
          <cell r="D82">
            <v>450</v>
          </cell>
        </row>
        <row r="91">
          <cell r="D91">
            <v>1150</v>
          </cell>
        </row>
      </sheetData>
      <sheetData sheetId="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ates"/>
      <sheetName val="INPUT"/>
      <sheetName val="abs1"/>
      <sheetName val="summary"/>
      <sheetName val="temp"/>
      <sheetName val="Sheet1"/>
      <sheetName val="summary (2)"/>
    </sheetNames>
    <sheetDataSet>
      <sheetData sheetId="0" refreshError="1"/>
      <sheetData sheetId="1" refreshError="1">
        <row r="1">
          <cell r="A1" t="str">
            <v>sf]* g+=</v>
          </cell>
          <cell r="C1" t="str">
            <v>cfO^d  gDj/</v>
          </cell>
          <cell r="D1" t="str">
            <v>sfo{sf] ljj/)f</v>
          </cell>
          <cell r="E1" t="str">
            <v>PsfO{</v>
          </cell>
          <cell r="G1" t="str">
            <v>!%Ücf]=x]=tyf !)Üd"=c=s= afx]s</v>
          </cell>
          <cell r="H1" t="str">
            <v>!%Ücf]=x]= ;lxt tyf !)Ü d"=c=s= jfx]s ;Dk"0f{ b/</v>
          </cell>
          <cell r="I1" t="str">
            <v>s}lkmot</v>
          </cell>
        </row>
        <row r="2">
          <cell r="A2" t="str">
            <v>A1</v>
          </cell>
          <cell r="C2">
            <v>1.3</v>
          </cell>
          <cell r="D2" t="str">
            <v>jfSnf] emf/kft sf6\g] h/f lemSg] / lgdf{0f :ynjf6 @% ld= ;Dd jf]sfgL ug{] sfo{ -emf/kftsf] uf]nfO{ #) ;]=ld= ;Dd / !)) j=ld= If]qdf !% uf]6f emf/kft a'§fj'§L eGbf j9L_ .</v>
          </cell>
          <cell r="E2" t="str">
            <v>j=dL=</v>
          </cell>
          <cell r="G2">
            <v>4.3999999999999995</v>
          </cell>
          <cell r="H2">
            <v>5.0599999999999996</v>
          </cell>
        </row>
        <row r="3">
          <cell r="A3" t="str">
            <v>A2</v>
          </cell>
          <cell r="C3">
            <v>1.8</v>
          </cell>
          <cell r="D3" t="str">
            <v>dflyNnf] df6f] vGg] sfd lgdf{0f :ynjf6 aflx/ jf]sfgL ug{] ;d]t . - df6f]sf] txsf] df]6fO{ -!%–@)_;]=ld=_</v>
          </cell>
          <cell r="E3" t="str">
            <v>j=dL=</v>
          </cell>
          <cell r="G3">
            <v>17.599999999999998</v>
          </cell>
          <cell r="H3">
            <v>20.239999999999998</v>
          </cell>
        </row>
        <row r="4">
          <cell r="A4" t="str">
            <v>A3</v>
          </cell>
          <cell r="C4">
            <v>2.1</v>
          </cell>
          <cell r="D4" t="str">
            <v>g/d k|sf/sf] Sn] / l;N6L df6f]df ;a} lsl;dsf] vGg] sfd !) ld= ;Dd jf]sfgL / l8:kf]hn / !=% ld= ;Dd lnkm\6 ;d]t .</v>
          </cell>
          <cell r="E4" t="str">
            <v>#=dL=</v>
          </cell>
          <cell r="G4">
            <v>79.304347826086953</v>
          </cell>
          <cell r="H4">
            <v>91.2</v>
          </cell>
        </row>
        <row r="5">
          <cell r="A5" t="str">
            <v>A4</v>
          </cell>
          <cell r="C5">
            <v>2.2000000000000002</v>
          </cell>
          <cell r="D5" t="str">
            <v>;fx|f] k|sf/sf] g/d d'/d 9'Ëf -#) ;]=ld= ;Dd ldl;Psf] df6f]df ;a} lsl;dsf] vGg] sfd !)ld=;Dd jf]sfgL l8:kf]hn / !=% ld=lnkm\6 ;d]t.</v>
          </cell>
          <cell r="E5" t="str">
            <v>#=dL=</v>
          </cell>
          <cell r="G5">
            <v>90.643478260869571</v>
          </cell>
          <cell r="H5">
            <v>104.24</v>
          </cell>
        </row>
        <row r="6">
          <cell r="A6" t="str">
            <v>A5</v>
          </cell>
          <cell r="C6">
            <v>2.9</v>
          </cell>
          <cell r="D6" t="str">
            <v>g/d df6f]df vfN8f] vGg] sfd !) ld= ;Dd jf]sfgL l8:kf]hn / !=% ld= lnkm\6 sf] ;'ljwf ;d]t .</v>
          </cell>
          <cell r="E6" t="str">
            <v>#=dL=</v>
          </cell>
          <cell r="G6">
            <v>113.29565217391304</v>
          </cell>
          <cell r="H6">
            <v>130.29</v>
          </cell>
        </row>
        <row r="7">
          <cell r="A7" t="str">
            <v>A6</v>
          </cell>
          <cell r="C7">
            <v>2.12</v>
          </cell>
          <cell r="D7" t="str">
            <v>;fx|f] df6f]df l8r sl6Ë ug{] sfd !) ld= ;Dd jf]sfgL l8:kf]hn / !=% ld= lnkm\6sf] ;'ljwf ;d]t.</v>
          </cell>
          <cell r="E7" t="str">
            <v>#=dL=</v>
          </cell>
          <cell r="G7">
            <v>141.63</v>
          </cell>
          <cell r="H7">
            <v>162.87</v>
          </cell>
        </row>
        <row r="8">
          <cell r="A8" t="str">
            <v>A7</v>
          </cell>
          <cell r="C8">
            <v>2.14</v>
          </cell>
          <cell r="D8" t="str">
            <v>hu , 9n , kfO{k nfO{gsf] nflu -af]N8/ ldl;Psf]_ df6f]df vfN8f] vGg]] sfd  !) ld= ;Dd jf]sfgL l8:kf]hn / !=% ld= lnkm\6sf] ;'ljwf ;d]t.</v>
          </cell>
          <cell r="E8" t="str">
            <v>#=dL=</v>
          </cell>
          <cell r="G8">
            <v>180.14782608695651</v>
          </cell>
          <cell r="H8">
            <v>207.17</v>
          </cell>
        </row>
        <row r="9">
          <cell r="A9" t="str">
            <v>A8</v>
          </cell>
          <cell r="C9" t="str">
            <v>2.17-s_</v>
          </cell>
          <cell r="D9" t="str">
            <v>df6f]df afS;f sf6\g] sfd !) ld= af]sfgL l8:kf]hn / !=% ld= lnkm\6 ;'ljwf -s_ g/d df6f] .</v>
          </cell>
          <cell r="E9" t="str">
            <v>#=dL=</v>
          </cell>
          <cell r="G9">
            <v>88.365217391304341</v>
          </cell>
          <cell r="H9">
            <v>101.62</v>
          </cell>
        </row>
        <row r="10">
          <cell r="A10" t="str">
            <v>A9</v>
          </cell>
          <cell r="C10" t="str">
            <v>2.17-v_</v>
          </cell>
          <cell r="D10" t="str">
            <v>df6f]df afS;f sf6\g] sfd !) ld= af]sfgL l8:kf]hn / !=% ld= lnkm\6 ;'ljwf -s_ ;fx|f] df6f] .</v>
          </cell>
          <cell r="E10" t="str">
            <v>#=dL=</v>
          </cell>
          <cell r="G10">
            <v>106.49565217391304</v>
          </cell>
          <cell r="H10">
            <v>122.47</v>
          </cell>
        </row>
        <row r="11">
          <cell r="A11" t="str">
            <v>A10</v>
          </cell>
          <cell r="C11">
            <v>2.2200000000000002</v>
          </cell>
          <cell r="D11" t="str">
            <v>sd ulx/f] kfgLdf ;fx|f] df6f]];+u !) ;]=dL= eGbf a9L Aof;sf] u|fe]n ldl;Psf] df6f]df  hu vGg] sfd !) ld= ;Dd jf]sfgL l8:kf]hn / !=% ld= lnkm\6 ;d]t .</v>
          </cell>
          <cell r="E11" t="str">
            <v>#=dL=</v>
          </cell>
          <cell r="G11">
            <v>283.24347826086955</v>
          </cell>
          <cell r="H11">
            <v>325.73</v>
          </cell>
        </row>
        <row r="12">
          <cell r="A12" t="str">
            <v>A11</v>
          </cell>
          <cell r="C12">
            <v>2.23</v>
          </cell>
          <cell r="D12" t="str">
            <v>sd ulx/f] kfgLdf ;fx|f] df6f]];+u !) ;]=dL= eGbf sd Aof;sf] u|fe]n ldl;Psf] df6f]df hu vGg] sfd !) ld= ;Dd jf]sfgL l8:kf]hn / !=% ld= lnkm\6 ;d]t .</v>
          </cell>
          <cell r="E12" t="str">
            <v>#=dL=</v>
          </cell>
          <cell r="G12">
            <v>260.5826086956522</v>
          </cell>
          <cell r="H12">
            <v>299.67</v>
          </cell>
        </row>
        <row r="13">
          <cell r="A13" t="str">
            <v>A12</v>
          </cell>
          <cell r="C13" t="str">
            <v>2.24-s_</v>
          </cell>
          <cell r="D13" t="str">
            <v>kfgL d'gL af]N8/ / u|fe]ndf  hu vGg] sfd !) ld= ;Dd jf]sfgL l8:kf]hn -s_ !=)dL= ulx/f] vgfO{ / $=) ld= lnkm\6 ;d]t .</v>
          </cell>
          <cell r="E13" t="str">
            <v>#=dL=</v>
          </cell>
          <cell r="G13">
            <v>397.67826086956524</v>
          </cell>
          <cell r="H13">
            <v>457.33</v>
          </cell>
        </row>
        <row r="14">
          <cell r="A14" t="str">
            <v>A13</v>
          </cell>
          <cell r="C14" t="str">
            <v>2.24-v_</v>
          </cell>
          <cell r="D14" t="str">
            <v>kfgL d'gL af]N8/ / u|fe]ndf  hu vGg] sfd !) ld= ;Dd jf]sfgL l8:kf]hn -s_ @=)dL= ulx/f] vgfO{ / $=) ld= lnkm\6 ;d]t .</v>
          </cell>
          <cell r="E14" t="str">
            <v>#=dL=</v>
          </cell>
          <cell r="G14">
            <v>407.87826086956522</v>
          </cell>
          <cell r="H14">
            <v>469.06</v>
          </cell>
        </row>
        <row r="15">
          <cell r="A15" t="str">
            <v>A14</v>
          </cell>
          <cell r="C15" t="str">
            <v>2.25-s_</v>
          </cell>
          <cell r="D15" t="str">
            <v>;fdfGo df6f]n] k'g{] sfd !%.!% ;]=ld=sf] txdf km}nfpg] kfgL 5l/sg / HofdL 4f/f sDk]S6]8 ug{] sfd ;d]t !) ld= b'/Ljf6 cf];fg{] .</v>
          </cell>
          <cell r="E15" t="str">
            <v>#=dL=</v>
          </cell>
          <cell r="G15">
            <v>56.643478260869564</v>
          </cell>
          <cell r="H15">
            <v>65.14</v>
          </cell>
        </row>
        <row r="16">
          <cell r="A16" t="str">
            <v>A15</v>
          </cell>
          <cell r="C16" t="str">
            <v>2.25-v_</v>
          </cell>
          <cell r="D16" t="str">
            <v>;fdfGo df6f]n] k'g{] sfd !%.!% ;]=ld= sf] txdf km}nfpg] -kfgL gs5l/sg_ / HofdL 4f/f sDk]S6]8 ug{] sfd ;d]t .</v>
          </cell>
          <cell r="E16" t="str">
            <v>#=dL=</v>
          </cell>
          <cell r="G16">
            <v>28.321739130434782</v>
          </cell>
          <cell r="H16">
            <v>32.57</v>
          </cell>
        </row>
        <row r="17">
          <cell r="A17" t="str">
            <v>A16</v>
          </cell>
          <cell r="C17">
            <v>2.29</v>
          </cell>
          <cell r="D17" t="str">
            <v>;fdfGo df6f]df sd ulx/f] kfgLdf hu vGg] sfd !) ld= ;Dd jf]sfgL l8:kf]hn / !=% ld= lnkm\6 ;d]t .</v>
          </cell>
          <cell r="E17" t="str">
            <v>#=dL=</v>
          </cell>
          <cell r="G17">
            <v>254.92173913043482</v>
          </cell>
          <cell r="H17">
            <v>293.16000000000003</v>
          </cell>
        </row>
        <row r="18">
          <cell r="A18" t="str">
            <v>A17</v>
          </cell>
          <cell r="C18">
            <v>2.3199999999999998</v>
          </cell>
          <cell r="D18" t="str">
            <v>ulx/f] kfgLdf hu vGbf ;f]l/+u / Kn]ls+usf] nflu yk   ;d]t .</v>
          </cell>
          <cell r="E18" t="str">
            <v>#=dL=</v>
          </cell>
          <cell r="G18">
            <v>55.643478260869564</v>
          </cell>
          <cell r="H18">
            <v>63.99</v>
          </cell>
        </row>
        <row r="19">
          <cell r="A19" t="str">
            <v>A18</v>
          </cell>
          <cell r="C19" t="str">
            <v>2.39-u_ / 2.17 -v_ tyf 21.1</v>
          </cell>
          <cell r="D19" t="str">
            <v>kfO{knfO{g 6]Grsf] vfN8f]df s8f df6f]n] k'g{] sfd k|To]s @).@) ;]=ld= sf] ux/fO{ txdf km}nfpg] ,kfgL ;d]t 5l/sg a]Gr 4f/f sDk]S6]8 ug{] sfd ;d]t .u_ s8f df6f] - s8f df6f] vGg] / 6«s 4f/f ! ls=dL=9'jfgL ;d]t _</v>
          </cell>
          <cell r="E19" t="str">
            <v>#=dL=</v>
          </cell>
          <cell r="G19">
            <v>297.53913043478263</v>
          </cell>
          <cell r="H19">
            <v>342.17</v>
          </cell>
        </row>
        <row r="20">
          <cell r="A20" t="str">
            <v>A19</v>
          </cell>
          <cell r="C20" t="str">
            <v>2.39-u_ / 2.17 -v_ tyf 21.1</v>
          </cell>
          <cell r="D20" t="str">
            <v>kfO{knfO{g 6]Grsf] vfN8f]df s8f df6f]n] k'g{] sfd k|To]s @).@) ;]=ld= sf] ux/fO{ txdf km}nfpg] ,kfgL ;d]t 5l/sg a]Gr 4f/f sDk]S6]8 ug{] sfd ;d]t .-u_ s8f df6f] -s8f df6f] vGg] / 6«s 4f/f @ ls=dL 9'jfgL ;d]t _</v>
          </cell>
          <cell r="E20" t="str">
            <v>#=dL=</v>
          </cell>
          <cell r="G20">
            <v>314.8</v>
          </cell>
          <cell r="H20">
            <v>362.02</v>
          </cell>
        </row>
        <row r="21">
          <cell r="A21" t="str">
            <v>A20</v>
          </cell>
          <cell r="C21" t="str">
            <v>2.39-u_ / 2.17 -v_ tyf 21.1</v>
          </cell>
          <cell r="D21" t="str">
            <v>kfO{knfO{g 6]Grsf] vfN8f]df s8f df6f]n] k'g{] sfd k|To]s @).@) ;]=ld= sf] ux/fO{ txdf km}nfpg] ,kfgL ;d]t 5l/sg a]Gr 4f/f sDk]S6]8 ug{] sfd ;d]t .-u_ s8f df6f] - s8f df6f] vGg] / 6«s 4f/f %ls=dL 9'jfgL ;d]t _</v>
          </cell>
          <cell r="E21" t="str">
            <v>#=dL=</v>
          </cell>
          <cell r="G21">
            <v>366.54782608695655</v>
          </cell>
          <cell r="H21">
            <v>421.53</v>
          </cell>
        </row>
        <row r="22">
          <cell r="A22" t="str">
            <v>A21</v>
          </cell>
          <cell r="C22" t="str">
            <v>2.39-u_,    3-3_/    21.3</v>
          </cell>
          <cell r="D22" t="str">
            <v>kfO{knfO{g 6«]Grsf] vfN8f]df s8f df6f]n] k'g{] sfd k|To]s @).@) ;]=ld= sf] ux/fO{ txdf km}nfpg] ,kfgL ;d]t 5l/sg a]Gr 4f/f sDk]S6]8 ug{] sfd ;d]t . -3_ uf|e]n / af]N8/ ldl;Psf] - uf|e]n / af]N8/ ldl;Psf] df6f] vGg] / 6«s 4f/f @) ls=dL 9'jfgL ;d]t _</v>
          </cell>
          <cell r="E22" t="str">
            <v>#=dL=</v>
          </cell>
          <cell r="G22">
            <v>796.02608695652179</v>
          </cell>
          <cell r="H22">
            <v>915.43</v>
          </cell>
        </row>
        <row r="23">
          <cell r="A23" t="str">
            <v>A22</v>
          </cell>
          <cell r="C23">
            <v>2.42</v>
          </cell>
          <cell r="D23" t="str">
            <v>jfn'jfn] eg{] / kfgL 5g{] / HofdL 4f/f sDk]S6]8 ug{] sfd -!) ld= 9'jfgL ;d]t . tyf 6«s 4f/f  @) ls=dL 9'jfgL ;d]t .</v>
          </cell>
          <cell r="E23" t="str">
            <v>#=dL=</v>
          </cell>
          <cell r="G23">
            <v>918.46956521739128</v>
          </cell>
          <cell r="H23">
            <v>1056.24</v>
          </cell>
        </row>
        <row r="24">
          <cell r="A24" t="str">
            <v>A23</v>
          </cell>
          <cell r="C24" t="str">
            <v>3.1-v_</v>
          </cell>
          <cell r="D24" t="str">
            <v>afn'jfsf] ;+sng, 5fGg] sfd / pknJw ug{] sfd -!) ld= 9'jfgL_ -v_ vfgL Ifdtf #! b]lv %) k|ltzt ;Dd .</v>
          </cell>
          <cell r="E24" t="str">
            <v>#=dL=</v>
          </cell>
          <cell r="G24">
            <v>379.49565217391302</v>
          </cell>
          <cell r="H24">
            <v>436.42</v>
          </cell>
        </row>
        <row r="25">
          <cell r="A25" t="str">
            <v>A24</v>
          </cell>
          <cell r="C25" t="str">
            <v>3.2-s_</v>
          </cell>
          <cell r="D25" t="str">
            <v>u|fe]n ;+sng, 5fGg] sfd :6s ug{] / pknJw ug{] sfd -!) ld= 9'jfgL_ -s_ % ldld b]lv &amp;) ldld dfyL .</v>
          </cell>
          <cell r="E25" t="str">
            <v>#=dL=</v>
          </cell>
          <cell r="G25">
            <v>275</v>
          </cell>
          <cell r="H25">
            <v>316.25</v>
          </cell>
        </row>
        <row r="26">
          <cell r="A26" t="str">
            <v>A25</v>
          </cell>
          <cell r="C26">
            <v>3.4</v>
          </cell>
          <cell r="D26" t="str">
            <v>cfjZos ;fOhsf] 9'Ëf-?an_sf] ;+sng / :6]lsË !) ld=sf] 9'jfgL ;d]t.</v>
          </cell>
          <cell r="E26" t="str">
            <v>#=dL=</v>
          </cell>
          <cell r="G26">
            <v>154</v>
          </cell>
          <cell r="H26">
            <v>177.1</v>
          </cell>
        </row>
        <row r="27">
          <cell r="A27" t="str">
            <v>A26</v>
          </cell>
          <cell r="C27" t="str">
            <v>3.11/3.4</v>
          </cell>
          <cell r="D27" t="str">
            <v>cfjZos ;fOhsf] 9'Ëf -/a'n_ agfpg]  l5g'4f/f km'6fpg] -af]N8/_ , v:;|f] agfpg] -lagf Anf:6LËsf]_, Ps ;fO8 8«\];LË ug{]  , :6s ug{] ;d]t / ;+sng / :6]lsË !) ld= sf] 9'jfgL ;d]t .</v>
          </cell>
          <cell r="E27" t="str">
            <v>#=dL=</v>
          </cell>
          <cell r="G27">
            <v>355.62608695652176</v>
          </cell>
          <cell r="H27">
            <v>408.97</v>
          </cell>
        </row>
        <row r="28">
          <cell r="A28" t="str">
            <v>A27</v>
          </cell>
          <cell r="C28">
            <v>19.100000000000001</v>
          </cell>
          <cell r="D28" t="str">
            <v>df6f]df hf]8]sf uf/f]] eTsfO{ To;jf6 cfPsf] ;fdfu|L !) dL= ;Dd x6fpg] sfd .</v>
          </cell>
          <cell r="E28" t="str">
            <v>#=dL=</v>
          </cell>
          <cell r="G28">
            <v>355.62608695652176</v>
          </cell>
          <cell r="H28">
            <v>408.97</v>
          </cell>
        </row>
        <row r="29">
          <cell r="A29" t="str">
            <v>A28</v>
          </cell>
          <cell r="C29">
            <v>19.2</v>
          </cell>
          <cell r="D29" t="str">
            <v>l;d]G6df jf ah|df hf]8]sf uf/f]] eTsfO{ To;jf6 cfPsf] ;fdfu|L !) dL= ;Dd x6fpg] sfd .</v>
          </cell>
          <cell r="E29" t="str">
            <v>#=dL=</v>
          </cell>
          <cell r="G29">
            <v>233.2</v>
          </cell>
          <cell r="H29">
            <v>268.18</v>
          </cell>
        </row>
        <row r="30">
          <cell r="A30" t="str">
            <v>A29</v>
          </cell>
          <cell r="C30">
            <v>19.3</v>
          </cell>
          <cell r="D30" t="str">
            <v>cf/=l;=l;= jf cf/=la=l;= hf]8]sf]  eTsfO{ To;jf6 cfPsf] ;fdfu|L !) dL= ;Dd x6fpg] sfd .</v>
          </cell>
          <cell r="E30" t="str">
            <v>#=dL=</v>
          </cell>
          <cell r="G30">
            <v>1210</v>
          </cell>
          <cell r="H30">
            <v>1391.5</v>
          </cell>
        </row>
        <row r="31">
          <cell r="A31" t="str">
            <v>A30</v>
          </cell>
          <cell r="C31">
            <v>19.399999999999999</v>
          </cell>
          <cell r="D31" t="str">
            <v>Kn]g l;d]G6 s+s[6df jf ah| s+s[{6df hf]8]sf  eTsfO{ To;jf6 cfPsf] ;fdfu|L !) dL= ;Dd x6fpg] sfd .</v>
          </cell>
          <cell r="E31" t="str">
            <v>#=dL=</v>
          </cell>
          <cell r="G31">
            <v>440</v>
          </cell>
          <cell r="H31">
            <v>506</v>
          </cell>
        </row>
        <row r="32">
          <cell r="A32" t="str">
            <v>A31</v>
          </cell>
          <cell r="C32">
            <v>19.5</v>
          </cell>
          <cell r="D32" t="str">
            <v>l;d]G6 jf ah| Knf:6/ eTsfO{ To;jf6 cfPsf] ;fdfu|L !) dL= ;Dd x6fpg] sfd .</v>
          </cell>
          <cell r="E32" t="str">
            <v>a=dL=</v>
          </cell>
          <cell r="G32">
            <v>11.878260869565217</v>
          </cell>
          <cell r="H32">
            <v>13.66</v>
          </cell>
        </row>
        <row r="33">
          <cell r="A33" t="str">
            <v>A32</v>
          </cell>
          <cell r="D33" t="str">
            <v>ljleGg sfd ubf{ ;fO6df y"lk|g cfPsf] 9"+uf df6f] lgb]{zg cg";f/ ;fO6af6 @ ls=dL= ;Dd 9"jfgL u/L kmfNg] sfd .</v>
          </cell>
          <cell r="E33" t="str">
            <v>#=dL=</v>
          </cell>
          <cell r="G33">
            <v>142.1</v>
          </cell>
          <cell r="H33">
            <v>0</v>
          </cell>
        </row>
        <row r="34">
          <cell r="A34" t="str">
            <v>A33</v>
          </cell>
          <cell r="D34" t="str">
            <v xml:space="preserve">g/d k|sf/sf] Sn] / l;N6L df6f] vgL cf}= % ls=dL= af6 9"jfgL u/L NofO{ !%÷!% ;]=dL= sf] txdf km}nfO{ kfgL 5/L HofdLåf/f sDk}S6 ug]{ sfd . </v>
          </cell>
          <cell r="E34" t="str">
            <v>#=dL=</v>
          </cell>
          <cell r="G34">
            <v>0</v>
          </cell>
          <cell r="H34">
            <v>0</v>
          </cell>
        </row>
        <row r="35">
          <cell r="A35" t="str">
            <v>A34</v>
          </cell>
          <cell r="D35" t="str">
            <v>g/d k|sf/sf] Sn] / l;N6L df6f] vgL cf}= @ ls=dL=af6 6«såf/f 9'jfgL u/L NofO{ tx txdf km}nfO{ kfgL 5sL{ HofdLåf/f sDk}S6 ug]{ sfd .</v>
          </cell>
          <cell r="E35" t="str">
            <v>#=dL=</v>
          </cell>
          <cell r="G35">
            <v>278.06</v>
          </cell>
          <cell r="H35">
            <v>0</v>
          </cell>
        </row>
        <row r="36">
          <cell r="A36" t="str">
            <v>A35</v>
          </cell>
          <cell r="D36" t="str">
            <v>af]N8/ ldl;Psf] df6f] vgL, 9'jfgL u/L NofO{ tx txdf k'/L kfgL 5sL{ /f]lnª u/L ;8s lgdf{0f ug]{ sfd</v>
          </cell>
          <cell r="E36" t="str">
            <v>#=dL=</v>
          </cell>
          <cell r="G36">
            <v>296.7217391304348</v>
          </cell>
          <cell r="H36">
            <v>341.23</v>
          </cell>
        </row>
        <row r="37">
          <cell r="A37" t="str">
            <v>A36</v>
          </cell>
          <cell r="D37" t="str">
            <v>g/d k|sf/sf] r6[fgdf ;a} lsl;dsf] vGg] sfd</v>
          </cell>
          <cell r="E37" t="str">
            <v>#=dL=</v>
          </cell>
          <cell r="G37">
            <v>283.24347826086955</v>
          </cell>
          <cell r="H37">
            <v>325.73</v>
          </cell>
        </row>
        <row r="38">
          <cell r="A38" t="str">
            <v>A37</v>
          </cell>
          <cell r="D38" t="str">
            <v>dWod k|sf/sf] r6[fgdf ;a} lsl;dsf] vGg] sfd</v>
          </cell>
          <cell r="E38" t="str">
            <v>#=dL=</v>
          </cell>
          <cell r="G38">
            <v>339.89565217391305</v>
          </cell>
          <cell r="H38">
            <v>390.88</v>
          </cell>
        </row>
        <row r="39">
          <cell r="A39" t="str">
            <v>A38</v>
          </cell>
          <cell r="D39" t="str">
            <v>s8f r6[fg -l5gf] gnufOsg_ df ;a} lsl;dsf] vGg] sfd</v>
          </cell>
          <cell r="E39" t="str">
            <v>#=dL=</v>
          </cell>
          <cell r="G39">
            <v>566.49565217391307</v>
          </cell>
          <cell r="H39">
            <v>651.47</v>
          </cell>
        </row>
        <row r="40">
          <cell r="A40" t="str">
            <v>A39</v>
          </cell>
          <cell r="D40" t="str">
            <v>s8f r6[fg -l5gf] nufpg' kg]{_ df ;a} lsl;dsf] vGg] sfd</v>
          </cell>
          <cell r="E40" t="str">
            <v>#=dL=</v>
          </cell>
          <cell r="G40">
            <v>2741.8608695652174</v>
          </cell>
          <cell r="H40">
            <v>3153.14</v>
          </cell>
        </row>
        <row r="41">
          <cell r="A41" t="str">
            <v>B1</v>
          </cell>
          <cell r="C41" t="str">
            <v>5.1-s_1</v>
          </cell>
          <cell r="D41" t="str">
            <v>!M# l;d]G6 jfn'jf d;nfdf O{6fsf] uf/f]sf] sfd, O{6f pknAw ug{], d;nf tof/ ug{], d;nfdf uf/f] nufpg] sfd k"/f -#) ld= ;Dd, 9'jfgL ;d]t_ d]lzgjf6 ag]sf]</v>
          </cell>
          <cell r="E41" t="str">
            <v>#=dL=</v>
          </cell>
          <cell r="G41">
            <v>3683.8173913043483</v>
          </cell>
          <cell r="H41">
            <v>4236.3900000000003</v>
          </cell>
        </row>
        <row r="42">
          <cell r="A42" t="str">
            <v>B2</v>
          </cell>
          <cell r="C42" t="str">
            <v>5.1-s_2</v>
          </cell>
          <cell r="D42" t="str">
            <v>!M$ l;d]G6 jfn'jf d;nfdf O{6fsf] uf/f]sf] sfd, O{6f pknAw ug{], d;nf tof/ ug{], d;nfdf uf/f] nufpg] sfd k"/f -#) ld= ;Dd, 9'jfgL ;d]t_ d]lzgjf6 ag]sf]</v>
          </cell>
          <cell r="E42" t="str">
            <v>#=dL=</v>
          </cell>
          <cell r="G42">
            <v>3501.0173913043477</v>
          </cell>
          <cell r="H42">
            <v>4026.17</v>
          </cell>
        </row>
        <row r="43">
          <cell r="A43" t="str">
            <v>B3</v>
          </cell>
          <cell r="C43" t="str">
            <v>5.1-s_3</v>
          </cell>
          <cell r="D43" t="str">
            <v>!M^ l;d]G6 jfn'jf d;nfdf O{6fsf] uf/f]sf] sfd, O{6f pknAw ug{], d;nf tof/ ug{], d;nfdf uf/f] nufpg] sfd k"/f -#) ld= ;Dd, 9'jfgL ;d]t_ d]lzgjf6 ag]sf]</v>
          </cell>
          <cell r="E43" t="str">
            <v>#=dL=</v>
          </cell>
          <cell r="G43">
            <v>3351.1565217391303</v>
          </cell>
          <cell r="H43">
            <v>3853.83</v>
          </cell>
        </row>
        <row r="44">
          <cell r="A44" t="str">
            <v>B4</v>
          </cell>
          <cell r="C44" t="str">
            <v>5.1-v_1</v>
          </cell>
          <cell r="D44" t="str">
            <v>lrDgL e§fsf] O{6f4f/f !M# l;d]G6 jfn'jf d;nfdf O{6fsf] uf/f]sf] sfd, O{6f pknAw ug{], d;nf tof/ ug{], d;nfdf uf/f] nufpg] sfd k"/f    -#) ld= ;Dd, 9'jfgL ;d]t_</v>
          </cell>
          <cell r="E44" t="str">
            <v>#=dL=</v>
          </cell>
          <cell r="G44">
            <v>3214.4869565217391</v>
          </cell>
          <cell r="H44">
            <v>3696.66</v>
          </cell>
        </row>
        <row r="45">
          <cell r="A45" t="str">
            <v>B5</v>
          </cell>
          <cell r="C45" t="str">
            <v>5.1-v_2</v>
          </cell>
          <cell r="D45" t="str">
            <v>lrDgL e§fsf] O{6f4f/f !M$ l;d]G6 jfn'jf d;nfdf O{6fsf] uf/f]sf] sfd, O{6f pknAw ug{], d;nf tof/ ug{], d;nfdf uf/f] nufpg] sfd k"/f    -#) ld= ;Dd, 9'jfgL ;d]t_</v>
          </cell>
          <cell r="E45" t="str">
            <v>#=dL=</v>
          </cell>
          <cell r="G45">
            <v>3043.84</v>
          </cell>
          <cell r="H45">
            <v>3500.41</v>
          </cell>
        </row>
        <row r="46">
          <cell r="A46" t="str">
            <v>B6</v>
          </cell>
          <cell r="C46" t="str">
            <v>5.1-v_3</v>
          </cell>
          <cell r="D46" t="str">
            <v>lrDgL e§fsf] O{6f4f/f !M^ l;d]G6 jfn'jf d;nfdf O{6fsf] uf/f]sf] sfd, O{6f pknAw ug{], d;nf tof/ ug{], d;nfdf uf/f] nufpg] sfd k"/f    -#) ld= ;Dd, 9'jfgL ;d]t_</v>
          </cell>
          <cell r="E46" t="str">
            <v>#=dL=</v>
          </cell>
          <cell r="G46">
            <v>2886.3217391304347</v>
          </cell>
          <cell r="H46">
            <v>3319.27</v>
          </cell>
        </row>
        <row r="47">
          <cell r="A47" t="str">
            <v>B7</v>
          </cell>
          <cell r="C47" t="str">
            <v>11.15-s_</v>
          </cell>
          <cell r="D47" t="str">
            <v>r]K6f] kl§jf6 ;'Vvf O{6f 5fKg] sfd -lrDgL e§f_</v>
          </cell>
          <cell r="E47" t="str">
            <v>j=dL=</v>
          </cell>
          <cell r="G47">
            <v>216.11</v>
          </cell>
          <cell r="H47">
            <v>248.53</v>
          </cell>
        </row>
        <row r="48">
          <cell r="A48" t="str">
            <v>B8</v>
          </cell>
          <cell r="C48" t="str">
            <v>11.15-s_</v>
          </cell>
          <cell r="D48" t="str">
            <v>r]K6f] kl§jf6 ;'Vvf O{6f 5fKg] sfd -d]zLg d]8_</v>
          </cell>
          <cell r="E48" t="str">
            <v>j=dL=</v>
          </cell>
          <cell r="G48">
            <v>2601.913043478261</v>
          </cell>
          <cell r="H48">
            <v>2992.2</v>
          </cell>
        </row>
        <row r="49">
          <cell r="A49" t="str">
            <v>B9</v>
          </cell>
          <cell r="C49" t="str">
            <v>11.15-v_</v>
          </cell>
          <cell r="D49" t="str">
            <v>7f8f] kl§jf6 ;'Vvf O{6f 5fKg] sfd -d]zLg d]8_</v>
          </cell>
          <cell r="E49" t="str">
            <v>j=dL=</v>
          </cell>
          <cell r="G49">
            <v>4233.1826086956526</v>
          </cell>
          <cell r="H49">
            <v>4868.16</v>
          </cell>
        </row>
        <row r="50">
          <cell r="A50" t="str">
            <v>B10</v>
          </cell>
          <cell r="C50" t="str">
            <v>11.15-v_</v>
          </cell>
          <cell r="D50" t="str">
            <v>7f8f] kl§jf6 ;'Vvf O{6f 5fKg] sfd -lrDgL e§f_</v>
          </cell>
          <cell r="E50" t="str">
            <v>j=dL=</v>
          </cell>
          <cell r="G50">
            <v>3446.0695652173913</v>
          </cell>
          <cell r="H50">
            <v>3962.98</v>
          </cell>
        </row>
        <row r="51">
          <cell r="A51" t="str">
            <v>B11</v>
          </cell>
          <cell r="C51" t="str">
            <v>15.25-v_</v>
          </cell>
          <cell r="D51" t="str">
            <v>5]pjf6 78\fOPsf] -@%) ldld prfO{ u/L_ O{6fn] PlhË ug{] sfo{ . -d]zLg d]8_</v>
          </cell>
          <cell r="E51" t="str">
            <v>j=dL=</v>
          </cell>
          <cell r="G51">
            <v>77.513043478260869</v>
          </cell>
          <cell r="H51">
            <v>89.14</v>
          </cell>
        </row>
        <row r="52">
          <cell r="A52" t="str">
            <v>B12</v>
          </cell>
          <cell r="C52" t="str">
            <v>15.25-v_</v>
          </cell>
          <cell r="D52" t="str">
            <v>5]pjf6 78\fOPsf] -@%) ldld prfO{ u/L_ O{6fn] PlhË ug{] sfo{ . -lrDgL e§f_</v>
          </cell>
          <cell r="E52" t="str">
            <v>j=dL=</v>
          </cell>
          <cell r="G52">
            <v>59.678260869565214</v>
          </cell>
          <cell r="H52">
            <v>68.63</v>
          </cell>
        </row>
        <row r="53">
          <cell r="A53" t="str">
            <v>B13</v>
          </cell>
          <cell r="C53" t="str">
            <v>15.27-s_</v>
          </cell>
          <cell r="D53" t="str">
            <v>O{6fsf] k]ed]G6————O{6fsf] hf]gL{df !M^ l;d]G6 d;nfdf 3';fO{ ghLs 6Ff;L ldnfpg] sfo{ . -s_ Ps Ps ul/ r]K6f] kfl/ k]ed]G6 ug]{  -d]zLg d]8_</v>
          </cell>
          <cell r="E53" t="str">
            <v>j=dL=</v>
          </cell>
          <cell r="G53">
            <v>262.73913043478257</v>
          </cell>
          <cell r="H53">
            <v>302.14999999999998</v>
          </cell>
        </row>
        <row r="54">
          <cell r="A54" t="str">
            <v>B14</v>
          </cell>
          <cell r="C54" t="str">
            <v>15.27-v_</v>
          </cell>
          <cell r="D54" t="str">
            <v>O{6fsf] k]ed]G6————O{6fsf] hf]gL{df !M^ l;d]G6 d;nfdf 3';fO{ ghLs 6Ff;L ldnfpg] sfo{ . -s_ Ps Ps ul/ ;fO{8af6 78ofO{ k]ed]G6 ug]{  -d]zLg d]8_</v>
          </cell>
          <cell r="E54" t="str">
            <v>j=dL=</v>
          </cell>
          <cell r="G54">
            <v>440.57391304347829</v>
          </cell>
          <cell r="H54">
            <v>506.66</v>
          </cell>
        </row>
        <row r="55">
          <cell r="A55" t="str">
            <v>C1</v>
          </cell>
          <cell r="C55" t="str">
            <v>6.1-2_</v>
          </cell>
          <cell r="D55" t="str">
            <v>!M$ l;d]G6 jfn'jf d;nfdf 9'Ëfsf] -/a'n Ps v08 8«]l;Ë ;d]]t_ uf/f]sf] sfd, ;fx|f] Jns :6f]g pknAw ug{], d;nf tof/ ug{], d;nfdf uf/f] nufpg], ^ ld= prfO ;Dd sfd k"/f !) ld= ;Dd, 9'jfgL ;d]t .</v>
          </cell>
          <cell r="E55" t="str">
            <v>#=dL=</v>
          </cell>
          <cell r="G55">
            <v>3476.85</v>
          </cell>
          <cell r="H55">
            <v>3998.38</v>
          </cell>
        </row>
        <row r="56">
          <cell r="A56" t="str">
            <v>C2</v>
          </cell>
          <cell r="C56" t="str">
            <v>6.2-1_</v>
          </cell>
          <cell r="D56" t="str">
            <v>9'+Ëf -/a'n_ sf] ;'Vvf uf/f]sf] sfd, ;fx|f] Ans :6f]g pknJw ug{], uf/f] nufpg], % ld= prfO ;Dd sfd k"/f -#) ld= ;Dd 9'jfgL ;d]t_</v>
          </cell>
          <cell r="E56" t="str">
            <v>#=dL=</v>
          </cell>
          <cell r="G56">
            <v>1591.0347826086957</v>
          </cell>
          <cell r="H56">
            <v>1829.69</v>
          </cell>
        </row>
        <row r="57">
          <cell r="A57" t="str">
            <v>C3</v>
          </cell>
          <cell r="C57">
            <v>6.5</v>
          </cell>
          <cell r="D57" t="str">
            <v>husf] vfN8f]df 9'+Ëf eg{] / n]en ug{] sfd -#) ld= ;Ddsf] 9'jgL ;d]t_</v>
          </cell>
          <cell r="E57" t="str">
            <v>#=dL=</v>
          </cell>
          <cell r="G57">
            <v>1351.04</v>
          </cell>
          <cell r="H57">
            <v>1553.69</v>
          </cell>
        </row>
        <row r="58">
          <cell r="A58" t="str">
            <v>C4</v>
          </cell>
          <cell r="C58">
            <v>11.16</v>
          </cell>
          <cell r="D58" t="str">
            <v>;'Vvf 9'Ëf 5fKg] sfd .</v>
          </cell>
          <cell r="E58" t="str">
            <v>#=dL=</v>
          </cell>
          <cell r="G58">
            <v>2512.0347826086959</v>
          </cell>
          <cell r="H58">
            <v>2888.84</v>
          </cell>
        </row>
        <row r="59">
          <cell r="A59" t="str">
            <v>C5</v>
          </cell>
          <cell r="C59" t="str">
            <v>15.1-v_</v>
          </cell>
          <cell r="D59" t="str">
            <v>!M$ l;d]G6 d;nfdf 9'+uf -/a'n_ af6 l;d]G6 d;nfdf uf/f]df ;8s 5]psf] 9n agfpg] sfd dfn ;fdfg pknJw ug{], uf/f] cflb tof/ ug{], #) ld= ;Dd 9'jfgL ;d]t .</v>
          </cell>
          <cell r="E59" t="str">
            <v>#=dL=</v>
          </cell>
          <cell r="G59">
            <v>3454.85</v>
          </cell>
          <cell r="H59">
            <v>3973.07</v>
          </cell>
        </row>
        <row r="60">
          <cell r="A60" t="str">
            <v>C6</v>
          </cell>
          <cell r="C60">
            <v>15.2</v>
          </cell>
          <cell r="D60" t="str">
            <v>9'+uf -/j'n_ af6 ;"Vvf uf/f]df ;8s 5]psf] 9n agfpg] sfd, dfn;fdfg pknAw ug]{, uf/f] cfbL tof/ ug]{, #) ld= ;Dd 9'jfgL ;d]t .</v>
          </cell>
          <cell r="E60" t="str">
            <v>#=dL=</v>
          </cell>
          <cell r="G60">
            <v>1740.4869565217391</v>
          </cell>
          <cell r="H60">
            <v>2001.56</v>
          </cell>
        </row>
        <row r="61">
          <cell r="A61" t="str">
            <v>D1</v>
          </cell>
          <cell r="C61" t="str">
            <v>7.2-u_</v>
          </cell>
          <cell r="D61" t="str">
            <v>lk=l;=l;= ! M # M ^ efudf hu, leQf, kvf{ndf l;d]G6 s+s[6 ug{] sfd, dfn ;fdfg pknJw ug{] -#) ld= ;Dd 9'jfgL ;d]t_</v>
          </cell>
          <cell r="E61" t="str">
            <v>#=dL=</v>
          </cell>
          <cell r="G61">
            <v>3596.21</v>
          </cell>
          <cell r="H61">
            <v>4135.6400000000003</v>
          </cell>
        </row>
        <row r="62">
          <cell r="A62" t="str">
            <v>D2</v>
          </cell>
          <cell r="C62" t="str">
            <v>7.2-#_</v>
          </cell>
          <cell r="D62" t="str">
            <v>lk=l;=l;=! M @ M$ efudf hu, leQf, kvf{ndf l;d]G6 s+s[6 ug{] sfd, dfn ;fdfg pknJw ug{] -#) ld= ;Dd 9'jfgL ;d]t_</v>
          </cell>
          <cell r="E62" t="str">
            <v>#=dL=</v>
          </cell>
          <cell r="G62">
            <v>4032.09</v>
          </cell>
          <cell r="H62">
            <v>4636.8999999999996</v>
          </cell>
        </row>
        <row r="63">
          <cell r="A63" t="str">
            <v>D3</v>
          </cell>
          <cell r="C63" t="str">
            <v>7.3-v_</v>
          </cell>
          <cell r="D63" t="str">
            <v>lk l; l; ! M @ M $ efudf Pa6\d]G6 lz6, lko/ s]kdf l;d]G6 s+s[6 ug{] sfd, dfn ;fdfg pknJw ug{] cflb sfd k"/f -#) ld= ;Dd 9'jfgL ;d]t_</v>
          </cell>
          <cell r="E63" t="str">
            <v>#=dL=</v>
          </cell>
          <cell r="G63">
            <v>4673.5826086956522</v>
          </cell>
          <cell r="H63">
            <v>5374.62</v>
          </cell>
        </row>
        <row r="64">
          <cell r="A64" t="str">
            <v>D4</v>
          </cell>
          <cell r="C64" t="str">
            <v>7.4-s_</v>
          </cell>
          <cell r="D64" t="str">
            <v>lk l; l; ! M @ M $ efudf ;'k/ :6«Sr/, 8}s :n}j ljdx?df l;d]G6 s+s[6 ug{] sfd, dfn ;fdfg pknJw ug{] -#) ld= ;Dd 9'jfgL ;d]t_</v>
          </cell>
          <cell r="E64" t="str">
            <v>#=dL=</v>
          </cell>
          <cell r="G64">
            <v>4403.2</v>
          </cell>
          <cell r="H64">
            <v>5063.68</v>
          </cell>
        </row>
        <row r="65">
          <cell r="A65" t="str">
            <v>D5</v>
          </cell>
          <cell r="C65" t="str">
            <v>7.4-v_</v>
          </cell>
          <cell r="D65" t="str">
            <v>lk l; l; ! M !=% M # efudf ;'k/ :6«Sr/, 8}s :n}j ljdx?df l;d]G6 s+s[6 ug{] sfd, dfn ;fdfg pknJw ug{] -#) ld= ;Dd 9'jfgL ;d]t_</v>
          </cell>
          <cell r="E65" t="str">
            <v>#=dL=</v>
          </cell>
          <cell r="G65">
            <v>4773.4521739130432</v>
          </cell>
          <cell r="H65">
            <v>5489.47</v>
          </cell>
        </row>
        <row r="66">
          <cell r="A66" t="str">
            <v>D6</v>
          </cell>
          <cell r="C66">
            <v>7.5</v>
          </cell>
          <cell r="D66" t="str">
            <v>cf/ l; l; sf] nflu kmnfd] 808L sf6\g] jfWg] df]8\g] gS;f cg';f/ 7fpFdf /fVg] 808L jfWg] tf/4f/f / #) ld=;Dd 9'jfgL ;d]t .</v>
          </cell>
          <cell r="E66" t="str">
            <v>d]=^g</v>
          </cell>
          <cell r="G66">
            <v>35517.973913043475</v>
          </cell>
          <cell r="H66">
            <v>40845.67</v>
          </cell>
        </row>
        <row r="67">
          <cell r="A67" t="str">
            <v>D7</v>
          </cell>
          <cell r="C67" t="str">
            <v>8.2-s_</v>
          </cell>
          <cell r="D67" t="str">
            <v>kmz{, :n}a h:tf] sfddf sf7sf] kmdf{ nufpg] sfd, dfn ;fdfgsf] pknlAw, 5gf}6 ug{], gSzf cg';f/ kmdf{ /fVg], lsNnf / c:t/ nufpg], kmdf{ lemSg], x6fpg], #) ld= ;Dd 9'jfgL ;d]t .</v>
          </cell>
          <cell r="E67" t="str">
            <v>j=dL=</v>
          </cell>
          <cell r="G67">
            <v>435.33913043478259</v>
          </cell>
          <cell r="H67">
            <v>500.64</v>
          </cell>
        </row>
        <row r="68">
          <cell r="A68" t="str">
            <v>D8</v>
          </cell>
          <cell r="C68" t="str">
            <v xml:space="preserve">8.4-s_ </v>
          </cell>
          <cell r="D68" t="str">
            <v>:6«Sr/sf]  ladsf] nflu kmdf{ jgfpg] sfd, dfn ;fdfgsf] pknlAw, 5gf}6 ug{], gSzf cg';f/ kmdf{ /fVg], lsNnf / c:t/ nufpg], cfOln+u eTsfpg] ,kmdf{ lemSg], x6fpg], #) ld= ;Dd 9'jfgL ;d]t .                                    -s_ ljdsf] prfO[ )=#) dL= ;Dd .</v>
          </cell>
          <cell r="E68" t="str">
            <v>j=dL=</v>
          </cell>
          <cell r="G68">
            <v>515.24347826086955</v>
          </cell>
          <cell r="H68">
            <v>592.53</v>
          </cell>
        </row>
        <row r="69">
          <cell r="A69" t="str">
            <v>D9</v>
          </cell>
          <cell r="C69" t="str">
            <v xml:space="preserve">11.8-s_ </v>
          </cell>
          <cell r="D69" t="str">
            <v>%) ld=ld=afSnf] lk|sf:6 lk=l;=l;=Ans -(=%ÆX (=%Æ_5fKg] sfd , !M$ efu l;d]G6 M afn'jf d;nfdf hf]8L nufpg] .  -k|lt Ps uf]6f  Ö )=&amp;^^ ju{ km'6_    - ! a=ld=Ö !)=&amp;^ ju{ km'6_</v>
          </cell>
          <cell r="E69" t="str">
            <v>j=dL=</v>
          </cell>
          <cell r="G69">
            <v>627.4</v>
          </cell>
          <cell r="H69">
            <v>721.51</v>
          </cell>
        </row>
        <row r="70">
          <cell r="A70" t="str">
            <v>D10</v>
          </cell>
          <cell r="C70">
            <v>11.2</v>
          </cell>
          <cell r="D70" t="str">
            <v># ld=ld= df]6fO{df l;d]G6 dl;gf] 3f]6\g] sfd .</v>
          </cell>
          <cell r="E70" t="str">
            <v>j=dL=</v>
          </cell>
          <cell r="G70">
            <v>62.08695652173914</v>
          </cell>
          <cell r="H70">
            <v>71.400000000000006</v>
          </cell>
        </row>
        <row r="71">
          <cell r="A71" t="str">
            <v>D11</v>
          </cell>
          <cell r="C71" t="str">
            <v>12.1-v_</v>
          </cell>
          <cell r="D71" t="str">
            <v>!M# efudf !@=%) ld=ld= afSnf] l;d]G6 afn'jf Knfi6/ ug{] .</v>
          </cell>
          <cell r="E71" t="str">
            <v>j=dL=</v>
          </cell>
          <cell r="G71">
            <v>0</v>
          </cell>
          <cell r="H71">
            <v>0</v>
          </cell>
        </row>
        <row r="72">
          <cell r="A72" t="str">
            <v>D12</v>
          </cell>
          <cell r="C72" t="str">
            <v>12.1-u_</v>
          </cell>
          <cell r="D72" t="str">
            <v>!M$ efudf !@=%) ld=ld= afSnf] l;d]G6 afn'jf Knfi6/ ug{] .</v>
          </cell>
          <cell r="E72" t="str">
            <v>j=dL=</v>
          </cell>
          <cell r="G72">
            <v>0</v>
          </cell>
          <cell r="H72">
            <v>0</v>
          </cell>
        </row>
        <row r="73">
          <cell r="A73" t="str">
            <v>D13</v>
          </cell>
          <cell r="C73" t="str">
            <v>12.1-#_</v>
          </cell>
          <cell r="D73" t="str">
            <v>!M^ efudf !@=%) ld=ld= afSnf] l;d]G6 afn'jf Knfi6/ ug{] .</v>
          </cell>
          <cell r="E73" t="str">
            <v>j=dL=</v>
          </cell>
          <cell r="G73">
            <v>0</v>
          </cell>
          <cell r="H73">
            <v>0</v>
          </cell>
        </row>
        <row r="74">
          <cell r="A74" t="str">
            <v>D14</v>
          </cell>
          <cell r="C74" t="str">
            <v>14.2-s_</v>
          </cell>
          <cell r="D74" t="str">
            <v>af]N8/ 9'Ëfsf] uf/f]df kmn;\ ¿n l6Ksf/ ug]{ sfd .  -s_ ! M ! l;d]G6 jfn'jfdf .</v>
          </cell>
          <cell r="E74" t="str">
            <v>j=dL=</v>
          </cell>
          <cell r="G74">
            <v>0</v>
          </cell>
          <cell r="H74">
            <v>0</v>
          </cell>
        </row>
        <row r="75">
          <cell r="A75" t="str">
            <v>D15</v>
          </cell>
          <cell r="C75" t="str">
            <v>14.2-v_</v>
          </cell>
          <cell r="D75" t="str">
            <v>af]N8/ 9'Ëfsf] uf/f]df kmn;\ ¿n l6Ksf/ ug]{ sfd . -s_ ! M @ l;d]G6 jfn'jfdf .</v>
          </cell>
          <cell r="E75" t="str">
            <v>j=dL=</v>
          </cell>
          <cell r="G75">
            <v>0</v>
          </cell>
          <cell r="H75">
            <v>0</v>
          </cell>
        </row>
        <row r="76">
          <cell r="A76" t="str">
            <v>D16</v>
          </cell>
          <cell r="C76">
            <v>24.8</v>
          </cell>
          <cell r="D76" t="str">
            <v># ld=ld= afSnf] kmn;\ Knfi6/ l;d]G6df ug]{ sfd .</v>
          </cell>
          <cell r="E76" t="str">
            <v>j=dL=</v>
          </cell>
          <cell r="G76">
            <v>0</v>
          </cell>
          <cell r="H76">
            <v>0</v>
          </cell>
        </row>
        <row r="77">
          <cell r="A77" t="str">
            <v>D17</v>
          </cell>
          <cell r="C77" t="str">
            <v>6.6-s_,8.2-s_,7.4-v_</v>
          </cell>
          <cell r="D77" t="str">
            <v>sj{:6f]g h8fg ug]{ sfo{ -;km]{; Pl/of )=)&amp;@ j=dL=_  !M# efu l;d]G6 jf d;nfdf !*=&amp;% dL=dL= jfSnf] df]6fOdf hf]8fO ug]{ ;d]t . -sj{:6f]g ;d]t_</v>
          </cell>
          <cell r="E77" t="str">
            <v>/=dL=</v>
          </cell>
          <cell r="G77">
            <v>0</v>
          </cell>
          <cell r="H77">
            <v>0</v>
          </cell>
        </row>
        <row r="78">
          <cell r="A78" t="str">
            <v>D18</v>
          </cell>
          <cell r="C78" t="str">
            <v>6.6-s_,8.2-s_,7.4-v_</v>
          </cell>
          <cell r="D78" t="str">
            <v>sj{:6f]g h8fg ug]{ sfo{ -;km]{; Pl/of )=)&amp;@ j=dL=_  !M# efu l;d]G6 jf d;nfdf !*=&amp;% dL=dL= jfSnf] df]6fOdf hf]8fO ug]{ ;d]t . -sj{:6f]g jfx]s_</v>
          </cell>
          <cell r="E78" t="str">
            <v>/=dL=</v>
          </cell>
          <cell r="G78">
            <v>0</v>
          </cell>
          <cell r="H78">
            <v>0</v>
          </cell>
        </row>
        <row r="79">
          <cell r="A79" t="str">
            <v>E1</v>
          </cell>
          <cell r="C79" t="str">
            <v>15.4-s_</v>
          </cell>
          <cell r="D79" t="str">
            <v>!) ;]=ld= ux/fO{ ;Dd ;fdfGo df6f]df df6f] sf6L ;ju|]8 tof/ ug{] sfd !) ld= 9'jfgL / kG5fpGg] ;d]t .</v>
          </cell>
          <cell r="E79" t="str">
            <v>a=dL=</v>
          </cell>
          <cell r="G79">
            <v>13.2</v>
          </cell>
          <cell r="H79">
            <v>15.18</v>
          </cell>
        </row>
        <row r="80">
          <cell r="A80" t="str">
            <v>E2</v>
          </cell>
          <cell r="C80" t="str">
            <v>15.4-v_</v>
          </cell>
          <cell r="D80" t="str">
            <v>;]=ld= @) ux/fO{ ;Dd ;fdfGo df6f]df df6f] sf6L ;ju|]8 tof/ ug{] sfd !) ld= 9'jfgL / kG5fpGg] ;d]t .</v>
          </cell>
          <cell r="E80" t="str">
            <v>a=dL=</v>
          </cell>
          <cell r="G80">
            <v>19.8</v>
          </cell>
          <cell r="H80">
            <v>22.77</v>
          </cell>
        </row>
        <row r="81">
          <cell r="A81" t="str">
            <v>E3</v>
          </cell>
          <cell r="C81" t="str">
            <v>15.4-u_</v>
          </cell>
          <cell r="D81" t="str">
            <v>#) ;]=ld= ux/fO{ ;Dd ;fdfGo df6f]df df6f] sf6L ;ju|]8 tof/ ug{] sfd !) ld= 9'jfgL / kG5fpGg] ;d]t .</v>
          </cell>
          <cell r="E81" t="str">
            <v>a=dL=</v>
          </cell>
          <cell r="G81">
            <v>26.4</v>
          </cell>
          <cell r="H81">
            <v>30.36</v>
          </cell>
        </row>
        <row r="82">
          <cell r="A82" t="str">
            <v>E4</v>
          </cell>
          <cell r="C82" t="str">
            <v>15.5-s_</v>
          </cell>
          <cell r="D82" t="str">
            <v>-@)–$)_Ü ;Dd 9'Ëf ldl;Psf] ;fdfGo df6f]df !) ;]=ld= ux/fO{ df6f] sf6L ;ju|]8 tof/ ug{] sfd  !) ld= ;Ddsf] 9'jfgL / kG5fpg] sfd .</v>
          </cell>
          <cell r="E82" t="str">
            <v>a=dL=</v>
          </cell>
          <cell r="G82">
            <v>28.6</v>
          </cell>
          <cell r="H82">
            <v>32.89</v>
          </cell>
        </row>
        <row r="83">
          <cell r="A83" t="str">
            <v>E5</v>
          </cell>
          <cell r="C83" t="str">
            <v>15.5-u_</v>
          </cell>
          <cell r="D83" t="str">
            <v>-@)–$)_Ü ;Dd 9'Ëf ldl;Psf] ;fdfGo df6f]df 2) ;]=ld= ux/fO{ df6f] sf6L ;ju|]8 tof/ ug{] sfd  !) ld= ;Ddsf] 9'jfgL / kG5fpg] sfd .</v>
          </cell>
          <cell r="E83" t="str">
            <v>a=dL=</v>
          </cell>
          <cell r="G83">
            <v>39.6</v>
          </cell>
          <cell r="H83">
            <v>45.54</v>
          </cell>
        </row>
        <row r="84">
          <cell r="A84" t="str">
            <v>E6</v>
          </cell>
          <cell r="C84" t="str">
            <v>15.5-ª_</v>
          </cell>
          <cell r="D84" t="str">
            <v>-@)–$)_Ü ;Dd 9'Ëf ldl;Psf] ;fdfGo df6f]df #) ;]=ld= ux/fO{ df6f] sf6L ;ju|]8 tof/ ug{] sfd  !) ld= ;Ddsf] 9'jfgL / kG5fpg] sfd .</v>
          </cell>
          <cell r="E84" t="str">
            <v>a=dL=</v>
          </cell>
          <cell r="G84">
            <v>51.695652173913047</v>
          </cell>
          <cell r="H84">
            <v>59.45</v>
          </cell>
        </row>
        <row r="85">
          <cell r="A85" t="str">
            <v>E7</v>
          </cell>
          <cell r="C85" t="str">
            <v>15.5-v_</v>
          </cell>
          <cell r="D85" t="str">
            <v>-$)—^)_Ü ;Dd 9'Ëf ldl;Psf] ;fdfGo df6f]df !) ;]=ld= ux/fO{ df6f] sf6L ;ju|]8 tof/ ug{] sfd  !) ld= ;Ddsf] 9'jfgL / kG5fpg] sfd .</v>
          </cell>
          <cell r="E85" t="str">
            <v>a=dL=</v>
          </cell>
          <cell r="G85">
            <v>31.895652173913042</v>
          </cell>
          <cell r="H85">
            <v>36.68</v>
          </cell>
        </row>
        <row r="86">
          <cell r="A86" t="str">
            <v>E8</v>
          </cell>
          <cell r="C86" t="str">
            <v>15.5-#_</v>
          </cell>
          <cell r="D86" t="str">
            <v>-$)—^)_Ü ;Dd 9'Ëf ldl;Psf] ;fdfGo df6f]df 2) ;]=ld= ux/fO{ df6f] sf6L ;ju|]8 tof/ ug{] sfd  !) ld= ;Ddsf] 9'jfgL / kG5fpg] sfd .</v>
          </cell>
          <cell r="E86" t="str">
            <v>a=dL=</v>
          </cell>
          <cell r="G86">
            <v>45.095652173913045</v>
          </cell>
          <cell r="H86">
            <v>51.86</v>
          </cell>
        </row>
        <row r="87">
          <cell r="A87" t="str">
            <v>E9</v>
          </cell>
          <cell r="C87" t="str">
            <v>15.5-r_</v>
          </cell>
          <cell r="D87" t="str">
            <v>-$)—^)_Ü ;Dd 9'Ëf ldl;Psf] ;fdfGo df6f]df #) ;]=ld= ux/fO{ df6f] sf6L ;ju|]8 tof/ ug{] sfd  !) ld= ;Ddsf] 9'jfgL / kG5fpg] sfd .</v>
          </cell>
          <cell r="E87" t="str">
            <v>a=dL=</v>
          </cell>
          <cell r="G87">
            <v>58.295652173913048</v>
          </cell>
          <cell r="H87">
            <v>67.040000000000006</v>
          </cell>
        </row>
        <row r="88">
          <cell r="A88" t="str">
            <v>E10</v>
          </cell>
          <cell r="C88" t="str">
            <v>15.9-s_</v>
          </cell>
          <cell r="D88" t="str">
            <v>!) ;]=ld= 7f]; df]6fO{df jfn'jf ldl;Psf] u|fe]nsf] ;jj]; cf]5\ofpg] sfd dfn ;fdfg nf]8 ug{], n}hfg], ;tx ldnfpg] !) ld= ;Dd 9'fjgL ug} cfbL sfd ;d]t .</v>
          </cell>
          <cell r="E88" t="str">
            <v>a=dL=</v>
          </cell>
          <cell r="G88">
            <v>119.12</v>
          </cell>
          <cell r="H88">
            <v>136.99</v>
          </cell>
        </row>
        <row r="89">
          <cell r="A89" t="str">
            <v>E11</v>
          </cell>
          <cell r="C89" t="str">
            <v>15.9-u_</v>
          </cell>
          <cell r="D89" t="str">
            <v>!% ;]=ld= 7f]; df]6fO{df jfn'jf ldl;Psf] u|fe]nsf] ;jj]; cf]5\ofpg] sfd dfn ;fdfg nf]8 ug{], n}hfg], ;tx ldnfpg] !) ld= ;Dd 9'fjgL ug} cfbL sfd ;d]t .</v>
          </cell>
          <cell r="E89" t="str">
            <v>a=dL=</v>
          </cell>
          <cell r="G89">
            <v>174.36</v>
          </cell>
          <cell r="H89">
            <v>200.52</v>
          </cell>
        </row>
        <row r="90">
          <cell r="A90" t="str">
            <v>E12</v>
          </cell>
          <cell r="C90" t="str">
            <v>15.12-cf_s</v>
          </cell>
          <cell r="D90" t="str">
            <v>^ ;]=ld= 7f]; df]6fO{df s'6]sf] 9'+ufdf w'nf] ldnfO{ -:6f]g 8:6 j08 dfsf8d sf];{_ cf]5\ofpg] sfd /f]8fnfO{ txdf ldnfO{ 9+ufsf] w'nf] km}nfpg] sfd ;d]t .</v>
          </cell>
          <cell r="E90" t="str">
            <v>a=dL=</v>
          </cell>
          <cell r="G90">
            <v>97.65</v>
          </cell>
          <cell r="H90">
            <v>112.33</v>
          </cell>
        </row>
        <row r="91">
          <cell r="A91" t="str">
            <v>E13</v>
          </cell>
          <cell r="C91" t="str">
            <v>15.12-cf_v</v>
          </cell>
          <cell r="D91" t="str">
            <v>* ;]=ld= 7f]; df]6fO{df s'6]sf] 9'+ufdf w'nf] ldnfO{ -:6f]g 8:6 j08 dfsf8d sf];{_ cf]5\ofpg] sfd /f]8fnfO{ txdf ldnfO{ 9+ufsf] w'nf] km}nfpg] sfd ;d]t .</v>
          </cell>
          <cell r="E91" t="str">
            <v>a=dL=</v>
          </cell>
          <cell r="G91">
            <v>133.47999999999999</v>
          </cell>
          <cell r="H91">
            <v>153.5</v>
          </cell>
        </row>
        <row r="92">
          <cell r="A92" t="str">
            <v>E14</v>
          </cell>
          <cell r="C92" t="str">
            <v>15.12-c_u</v>
          </cell>
          <cell r="D92" t="str">
            <v>!) ;]=ld= 7f]; df]6fO{df s'6]sf] 9'+ufdf w'nf] ldnfO{ -:6f]g 8:6 j08 dfsf8d sf];{_ cf]5\ofpg] sfd /f]8fnfO{ txdf ldnfO{ 9+ufsf] w'nf] km}nfpg] sfd ;d]t .</v>
          </cell>
          <cell r="E92" t="str">
            <v>a=dL=</v>
          </cell>
          <cell r="G92">
            <v>162.27000000000001</v>
          </cell>
          <cell r="H92">
            <v>186.61</v>
          </cell>
        </row>
        <row r="93">
          <cell r="A93" t="str">
            <v>E15</v>
          </cell>
          <cell r="C93" t="str">
            <v>15.12-c_r</v>
          </cell>
          <cell r="D93" t="str">
            <v>!% ;]=ld= 7f]; df]6fO{df s'6]sf] 9'+ufdf w'nf] ldnfO{ -:6f]g 8:6 j08 dfsf8d sf];{_ cf]5\ofpg] sfd /f]8fnfO{ txdf ldnfO{ 9+ufsf] w'nf] km}nfpg] sfd ;d]t .</v>
          </cell>
          <cell r="E93" t="str">
            <v>a=dL=</v>
          </cell>
          <cell r="G93">
            <v>217.45217391304348</v>
          </cell>
          <cell r="H93">
            <v>250.07</v>
          </cell>
        </row>
        <row r="94">
          <cell r="A94" t="str">
            <v>E16</v>
          </cell>
          <cell r="C94" t="str">
            <v>15.4-s_,15.5-s_,15.12-cf=u_</v>
          </cell>
          <cell r="D94" t="str">
            <v>!) ;]=ld= ux/fO{ ;Dd -k"/fgf] lkr ;8s ;tx_ vgk"/ u/L, kfgL 5sL{, sDk]Szg ;d]t u/L ;ju|]8 tof/ ug{] sfd .</v>
          </cell>
          <cell r="E94" t="str">
            <v>j=dL</v>
          </cell>
          <cell r="G94">
            <v>26.48</v>
          </cell>
          <cell r="H94">
            <v>30.46</v>
          </cell>
        </row>
        <row r="95">
          <cell r="A95" t="str">
            <v>E17</v>
          </cell>
          <cell r="D95" t="str">
            <v>k"/fg]f d+ufn km"6fO, Dofgxf]n se/ ldmls, ;"/lIft ;fy /fvL cfjZostf cg";f/ d+ufnsf] prfO{ 36j9 u/L se/ k"gM oyfj:yfgdf /fVg] sfd .</v>
          </cell>
          <cell r="E95" t="str">
            <v>;+Vof</v>
          </cell>
          <cell r="G95">
            <v>1000</v>
          </cell>
          <cell r="H95">
            <v>550</v>
          </cell>
        </row>
        <row r="96">
          <cell r="A96" t="str">
            <v>E18</v>
          </cell>
          <cell r="D96" t="str">
            <v>cfjZos ;fO{hsf] sf:6 cfO/gsf] r's'n;lxtsf] lu|8 se/ h8fg ug]{ sfd .</v>
          </cell>
          <cell r="E96" t="str">
            <v>;+Vof</v>
          </cell>
          <cell r="G96">
            <v>3000</v>
          </cell>
          <cell r="H96">
            <v>4500</v>
          </cell>
        </row>
        <row r="97">
          <cell r="A97" t="str">
            <v>E19</v>
          </cell>
          <cell r="D97" t="str">
            <v>sfnf]kq] ug]{ If]qdf emf/kft ;kmf ug]{, kmf]x/ ;kmf ug]{, vfN8fv"N8L k"g]{ cfbL sfd .</v>
          </cell>
          <cell r="E97" t="str">
            <v>Psd"i^</v>
          </cell>
          <cell r="G97">
            <v>0</v>
          </cell>
          <cell r="H97">
            <v>0</v>
          </cell>
        </row>
        <row r="98">
          <cell r="A98" t="str">
            <v>E20</v>
          </cell>
          <cell r="D98" t="str">
            <v>k"/fgf] u|fe]n ;8sdf jfn'jf ldl;Psf] u|fen /fvL kfgL 5sL{ /f]lnª u/L ;tx ;'wf/ ug]{ sfd .</v>
          </cell>
          <cell r="E98" t="str">
            <v>#=dL=</v>
          </cell>
          <cell r="G98">
            <v>0</v>
          </cell>
          <cell r="H98">
            <v>0</v>
          </cell>
        </row>
        <row r="99">
          <cell r="A99" t="str">
            <v>E21</v>
          </cell>
          <cell r="D99" t="str">
            <v>k"/fgf] 8An'=lj=Pd= ;txsf] cG8"n];g, u|]8, SofDj/ cfbL ldnfO{ jf6/ jfp08 d]sf8d ;tx ;"wf/ ug]{ sfo{ .</v>
          </cell>
          <cell r="E99" t="str">
            <v>#=dL=</v>
          </cell>
          <cell r="G99">
            <v>0</v>
          </cell>
          <cell r="H99">
            <v>0</v>
          </cell>
        </row>
        <row r="100">
          <cell r="A100" t="str">
            <v>F1</v>
          </cell>
          <cell r="C100" t="str">
            <v>15.16-s_</v>
          </cell>
          <cell r="D100" t="str">
            <v>jf6/ afp08 dfsf8d ;txdf dfyL tf/ a'|; / s'rf]jf6 ;tx ;kmf ug{] sfd  -lkr 5g{' eGbf klxn]_ .</v>
          </cell>
          <cell r="E100" t="str">
            <v>j=dL=</v>
          </cell>
          <cell r="G100">
            <v>2.75</v>
          </cell>
          <cell r="H100">
            <v>3.16</v>
          </cell>
        </row>
        <row r="101">
          <cell r="A101" t="str">
            <v>F2</v>
          </cell>
          <cell r="C101" t="str">
            <v>15.16-v_</v>
          </cell>
          <cell r="D101" t="str">
            <v>cGo ;8s ;txdf tf/ a'|; / s'rf] nufO{ ;kmf ug{] sfd .</v>
          </cell>
          <cell r="E101" t="str">
            <v>j=dL=</v>
          </cell>
          <cell r="G101">
            <v>2.1999999999999997</v>
          </cell>
          <cell r="H101">
            <v>2.5299999999999998</v>
          </cell>
        </row>
        <row r="102">
          <cell r="A102" t="str">
            <v>F3</v>
          </cell>
          <cell r="C102" t="str">
            <v>15.17-s_</v>
          </cell>
          <cell r="D102" t="str">
            <v>k'/fgf] lkr ;tx dfyL dfn ;fdfg pknJw u/L 6}+s sf]6 nufpg] sfd .  -bfp/fjf6 df; js{||_ -lj6'dLg ;d]t_</v>
          </cell>
          <cell r="E102" t="str">
            <v>j=dL=</v>
          </cell>
          <cell r="G102">
            <v>27.85</v>
          </cell>
          <cell r="H102">
            <v>32.020000000000003</v>
          </cell>
          <cell r="I102" t="str">
            <v>lj^"dLg ;d]t</v>
          </cell>
        </row>
        <row r="103">
          <cell r="A103" t="str">
            <v>F4</v>
          </cell>
          <cell r="C103" t="str">
            <v>15.17-s_</v>
          </cell>
          <cell r="D103" t="str">
            <v>k'/fgf] lkr ;tx dfyL dfn ;fdfg pknJw u/L 6}+s sf]6 nufpg] sfd .  -bfp/fjf6 df; js{||_ -lj6'dLg jfx]s_</v>
          </cell>
          <cell r="E103" t="str">
            <v>j=dL=</v>
          </cell>
          <cell r="G103">
            <v>0</v>
          </cell>
          <cell r="H103">
            <v>0</v>
          </cell>
          <cell r="I103" t="str">
            <v>lj^'ldg afx]s</v>
          </cell>
        </row>
        <row r="104">
          <cell r="A104" t="str">
            <v>F5</v>
          </cell>
          <cell r="C104" t="str">
            <v>15.17-v_</v>
          </cell>
          <cell r="D104" t="str">
            <v xml:space="preserve"> a];sf];{-;tx_ dfyL dfn ;fdfg pknJw u/L 6}+s sf]6 nufpg] sfd . -bfp/fjf6 df; js{||_ -lj6'dLg ;d]t_</v>
          </cell>
          <cell r="E104" t="str">
            <v>j=dL=</v>
          </cell>
          <cell r="G104">
            <v>45.04</v>
          </cell>
          <cell r="H104">
            <v>51.79</v>
          </cell>
          <cell r="I104" t="str">
            <v>lj^'ldg ;d]t</v>
          </cell>
        </row>
        <row r="105">
          <cell r="A105" t="str">
            <v>F6</v>
          </cell>
          <cell r="C105" t="str">
            <v>15.17-v_</v>
          </cell>
          <cell r="D105" t="str">
            <v xml:space="preserve"> a];sf];{-;tx_ dfyL dfn ;fdfg pknJw u/L 6}+s sf]6 nufpg] sfd . -bfp/fjf6 df; js{||_ -lj6'dLg jfx]s_</v>
          </cell>
          <cell r="E105" t="str">
            <v>j=dL=</v>
          </cell>
          <cell r="G105">
            <v>0</v>
          </cell>
          <cell r="H105">
            <v>0</v>
          </cell>
          <cell r="I105" t="str">
            <v>lj^'ldg afx]s</v>
          </cell>
        </row>
        <row r="106">
          <cell r="A106" t="str">
            <v>F7</v>
          </cell>
          <cell r="C106" t="str">
            <v>15.18-s_</v>
          </cell>
          <cell r="D106" t="str">
            <v>k'/fgf] lkr ;tx dfyL dfn ;fdfg pknJw u/L k|fOd sf]6 nufpg] sfd .  -bfp/fjf6 df; js{|| tyf s6Jofs %) Ü_ -lj6'dLg ;d]t_</v>
          </cell>
          <cell r="E106" t="str">
            <v>j=dL=</v>
          </cell>
          <cell r="G106">
            <v>22.713043478260868</v>
          </cell>
          <cell r="H106">
            <v>26.12</v>
          </cell>
          <cell r="I106" t="str">
            <v>lj^"dLg ;d]t</v>
          </cell>
        </row>
        <row r="107">
          <cell r="A107" t="str">
            <v>F8</v>
          </cell>
          <cell r="C107" t="str">
            <v>15.18-s_</v>
          </cell>
          <cell r="D107" t="str">
            <v>k'/fgf] lkr ;tx dfyL dfn ;fdfg pknJw u/L k|fOd sf]6 nufpg] sfd .  -bfp/fjf6 df; js{|| tyf s6Jofs %) Ü_ -lj6'dLg jfx]s_</v>
          </cell>
          <cell r="E107" t="str">
            <v>j=dL=</v>
          </cell>
          <cell r="G107">
            <v>0</v>
          </cell>
          <cell r="H107">
            <v>0</v>
          </cell>
          <cell r="I107" t="str">
            <v>lj^'ldg afx]s</v>
          </cell>
        </row>
        <row r="108">
          <cell r="A108" t="str">
            <v>F9</v>
          </cell>
          <cell r="C108" t="str">
            <v>15.18-v_</v>
          </cell>
          <cell r="D108" t="str">
            <v>a];sf];{ dfly k|fOd sf]6 nufpg] sfd dfn ;fdfg pknJw u/L  -bfp/fjf6 df; js{ tyf s6Jofs %) Ü{_ . -lj6'dLg ;d]t_</v>
          </cell>
          <cell r="E108" t="str">
            <v>j=dL=</v>
          </cell>
          <cell r="G108">
            <v>51.356521739130436</v>
          </cell>
          <cell r="H108">
            <v>59.06</v>
          </cell>
          <cell r="I108" t="str">
            <v>lj^"dLg ;d]t</v>
          </cell>
        </row>
        <row r="109">
          <cell r="A109" t="str">
            <v>F10</v>
          </cell>
          <cell r="C109" t="str">
            <v>15.18-v_</v>
          </cell>
          <cell r="D109" t="str">
            <v>a];sf];{ dfly k|fOd sf]6 nufpg] sfd dfn ;fdfg pknJw u/L  -bfp/fjf6 df; js{ tyf s6Jofs %) Ü{_ . -lj6'dLg jfx]s_</v>
          </cell>
          <cell r="E109" t="str">
            <v>j=dL=</v>
          </cell>
          <cell r="G109">
            <v>0</v>
          </cell>
          <cell r="H109">
            <v>0</v>
          </cell>
          <cell r="I109" t="str">
            <v>lj^'ldg afx]s</v>
          </cell>
        </row>
        <row r="110">
          <cell r="A110" t="str">
            <v>F11</v>
          </cell>
          <cell r="C110">
            <v>15.19</v>
          </cell>
          <cell r="D110" t="str">
            <v>Pssf]6 ;km{]; 8|\]l;Ë ug{] sfd . -:6Ln JxLn /f]n/ tyf bfp/fjf6 df; js{_ -lj6'dLg ;d]t_</v>
          </cell>
          <cell r="E110" t="str">
            <v>j=dL=</v>
          </cell>
          <cell r="G110">
            <v>106</v>
          </cell>
          <cell r="H110">
            <v>121.9</v>
          </cell>
          <cell r="I110" t="str">
            <v>lj^'ldg ;d]t</v>
          </cell>
        </row>
        <row r="111">
          <cell r="A111" t="str">
            <v>F12</v>
          </cell>
          <cell r="C111">
            <v>15.19</v>
          </cell>
          <cell r="D111" t="str">
            <v>Pssf]6 ;km{]; 8|\]l;Ë ug{] sfd . -:6Ln JxLn /f]n/ tyf bfp/fjf6 df; js{_ -lj6'dLg jfx]s_</v>
          </cell>
          <cell r="E111" t="str">
            <v>j=dL=</v>
          </cell>
          <cell r="G111">
            <v>0</v>
          </cell>
          <cell r="H111">
            <v>0</v>
          </cell>
          <cell r="I111" t="str">
            <v>lj^'ldg afx]s</v>
          </cell>
        </row>
        <row r="112">
          <cell r="A112" t="str">
            <v>F13</v>
          </cell>
          <cell r="C112">
            <v>15.19</v>
          </cell>
          <cell r="D112" t="str">
            <v>Pssf]6 ;km{]; 8|\]l;Ë ug{] sfd . -Go"d]l6s /f]n/ tyf bfp/fjf6 df; js{_ -lj6'dLg ;d]t_</v>
          </cell>
          <cell r="E112" t="str">
            <v>j=dL=</v>
          </cell>
          <cell r="G112">
            <v>106</v>
          </cell>
          <cell r="H112">
            <v>121.9</v>
          </cell>
          <cell r="I112" t="str">
            <v>lj^"dLg ;d]t</v>
          </cell>
        </row>
        <row r="113">
          <cell r="A113" t="str">
            <v>F14</v>
          </cell>
          <cell r="C113">
            <v>15.19</v>
          </cell>
          <cell r="D113" t="str">
            <v>Pssf]6 ;km{]; 8|\]l;Ë ug{] sfd . -Go"d]l6s /f]n/ tyf bfp/fjf6 df; js{_ -lj6'dLg jfx]s_</v>
          </cell>
          <cell r="E113" t="str">
            <v>j=dL=</v>
          </cell>
          <cell r="G113">
            <v>0</v>
          </cell>
          <cell r="H113">
            <v>0</v>
          </cell>
          <cell r="I113" t="str">
            <v>lj^'ldg afx]s</v>
          </cell>
        </row>
        <row r="114">
          <cell r="A114" t="str">
            <v>F15</v>
          </cell>
          <cell r="C114">
            <v>15.2</v>
          </cell>
          <cell r="D114" t="str">
            <v xml:space="preserve">b'O{ sf]6 ;km{]; 8|\]l;Ë ug{] sfd . -bfp/fjf6 df; js{ tyf :6Ln JxLn /f]n/ k|of]u u/L_ -lj6'dLg ;d]t_ </v>
          </cell>
          <cell r="E114" t="str">
            <v>j=dL=</v>
          </cell>
          <cell r="G114">
            <v>173</v>
          </cell>
          <cell r="H114">
            <v>198.95</v>
          </cell>
          <cell r="I114" t="str">
            <v>lj^"dLg ;d]t</v>
          </cell>
        </row>
        <row r="115">
          <cell r="A115" t="str">
            <v>F16</v>
          </cell>
          <cell r="C115">
            <v>15.2</v>
          </cell>
          <cell r="D115" t="str">
            <v xml:space="preserve">b'O{ sf]6 ;km{]; 8|\]l;Ë ug{] sfd . -bfp/fjf6 df; js{ tyf :6Ln JxLn /f]n/ k|of]u u/L_ -lj6'dLg jfx]s_ </v>
          </cell>
          <cell r="E115" t="str">
            <v>j=dL=</v>
          </cell>
          <cell r="G115">
            <v>0</v>
          </cell>
          <cell r="H115">
            <v>0</v>
          </cell>
          <cell r="I115" t="str">
            <v>lj^'ldg afx]s</v>
          </cell>
        </row>
        <row r="116">
          <cell r="A116" t="str">
            <v>F17</v>
          </cell>
          <cell r="C116">
            <v>15.2</v>
          </cell>
          <cell r="D116" t="str">
            <v>b'O{ sf]6 ;km{]; 8|\]l;Ë ug{] sfd .  -bfp/fjf6df; js{ tyf Go"d]l6s /f]n/ /f]n/ k|of]u u/L_ -lj6'dLg ;d]t_</v>
          </cell>
          <cell r="E116" t="str">
            <v>j=dL=</v>
          </cell>
          <cell r="G116">
            <v>177.50434782608696</v>
          </cell>
          <cell r="H116">
            <v>204.13</v>
          </cell>
          <cell r="I116" t="str">
            <v>lj^'ldg ;d]t</v>
          </cell>
        </row>
        <row r="117">
          <cell r="A117" t="str">
            <v>F18</v>
          </cell>
          <cell r="C117">
            <v>15.2</v>
          </cell>
          <cell r="D117" t="str">
            <v>b'O{ sf]6 ;km{]; 8|\]l;Ë ug{] sfd .  -bfp/fjf6df; js{ tyf Go"d]l6s /f]n/ /f]n/ k|of]u u/L_ -lj6'dLg jfx]s_</v>
          </cell>
          <cell r="E117" t="str">
            <v>j=dL=</v>
          </cell>
          <cell r="G117">
            <v>0</v>
          </cell>
          <cell r="H117">
            <v>0</v>
          </cell>
          <cell r="I117" t="str">
            <v>lj^'ldg afx]s</v>
          </cell>
        </row>
        <row r="118">
          <cell r="A118" t="str">
            <v>F19</v>
          </cell>
          <cell r="C118" t="str">
            <v>15.21-s_</v>
          </cell>
          <cell r="D118" t="str">
            <v>% ;]=ld= df]6fO{df ;]dLu|fp6LË ug{] sfd -bfp/fjf6 df;js{ _ -lj6'dLg ;d]t_</v>
          </cell>
          <cell r="E118" t="str">
            <v>j=dL=</v>
          </cell>
          <cell r="G118">
            <v>229.18260869565216</v>
          </cell>
          <cell r="H118">
            <v>263.56</v>
          </cell>
          <cell r="I118" t="str">
            <v>lj^"dLg ;d]t</v>
          </cell>
        </row>
        <row r="119">
          <cell r="A119" t="str">
            <v>F20</v>
          </cell>
          <cell r="C119" t="str">
            <v>15.21-s_</v>
          </cell>
          <cell r="D119" t="str">
            <v>% ;]=ld= df]6fO{df ;]dLu|fp6LË ug{] sfd -bfp/fjf6 df;js{ _ -lj6'dLg jfx]s_</v>
          </cell>
          <cell r="E119" t="str">
            <v>j=dL=</v>
          </cell>
          <cell r="G119">
            <v>0</v>
          </cell>
          <cell r="H119">
            <v>0</v>
          </cell>
          <cell r="I119" t="str">
            <v>lj^'ldg afx]s</v>
          </cell>
        </row>
        <row r="120">
          <cell r="A120" t="str">
            <v>F21</v>
          </cell>
          <cell r="C120" t="str">
            <v>15.21-s_</v>
          </cell>
          <cell r="D120" t="str">
            <v>% ;]=ld= df]6fO{df ;]dLu|fp6LË ug{] sfd -bfp/fjf6 Kofrjs{ _ -lj6'dLg ;d]t_</v>
          </cell>
          <cell r="E120" t="str">
            <v>j=dL=</v>
          </cell>
          <cell r="G120">
            <v>243.15652173913043</v>
          </cell>
          <cell r="H120">
            <v>279.63</v>
          </cell>
          <cell r="I120" t="str">
            <v>lj^"dLg ;d]t</v>
          </cell>
        </row>
        <row r="121">
          <cell r="A121" t="str">
            <v>F22</v>
          </cell>
          <cell r="C121" t="str">
            <v>15.21-s_</v>
          </cell>
          <cell r="D121" t="str">
            <v>% ;]=ld= df]6fO{df ;]dLu|fp6LË ug{] sfd -bfp/fjf6 Kofrjs{ _ -lj6'dLg jfx]s_</v>
          </cell>
          <cell r="E121" t="str">
            <v>j=dL=</v>
          </cell>
          <cell r="G121">
            <v>0</v>
          </cell>
          <cell r="H121">
            <v>0</v>
          </cell>
          <cell r="I121" t="str">
            <v>lj^'ldg afx]s</v>
          </cell>
        </row>
        <row r="122">
          <cell r="A122" t="str">
            <v>F23</v>
          </cell>
          <cell r="C122" t="str">
            <v>15.23-s_</v>
          </cell>
          <cell r="D122" t="str">
            <v>l;nsf]6 ug{] sfd sDk]S;g ;d]t-:6LnJxLn /f]n/ tyf bfp/fjf6df; js{_ - lrkl;n _ -lj6'dLg ;d]t_</v>
          </cell>
          <cell r="E122" t="str">
            <v>j=dL=</v>
          </cell>
          <cell r="G122">
            <v>77.8</v>
          </cell>
          <cell r="H122">
            <v>89.47</v>
          </cell>
          <cell r="I122" t="str">
            <v>lj^'ldg ;d]t</v>
          </cell>
        </row>
        <row r="123">
          <cell r="A123" t="str">
            <v>F24</v>
          </cell>
          <cell r="C123" t="str">
            <v>15.23-s_</v>
          </cell>
          <cell r="D123" t="str">
            <v>l;nsf]6 ug{] sfd sDk]S;g ;d]t-:6LnJxLn /f]n/ tyf bfp/fjf6df; js{_ - lrkl;n _ -lj6'dLg jfx]s_</v>
          </cell>
          <cell r="E123" t="str">
            <v>j=dL=</v>
          </cell>
          <cell r="G123">
            <v>0</v>
          </cell>
          <cell r="H123">
            <v>0</v>
          </cell>
          <cell r="I123" t="str">
            <v>lj^'ldg afx]s</v>
          </cell>
        </row>
        <row r="124">
          <cell r="A124" t="str">
            <v>F25</v>
          </cell>
          <cell r="C124" t="str">
            <v>15.23-s_</v>
          </cell>
          <cell r="D124" t="str">
            <v>l;nsf]6 ug{] sfd sDk]S;g ;d]t -Go"d]l6s /f]n/ tyf bfp/fjf6 df; js{_  - lrkl;n _ -lj6'dLg ;d]t_</v>
          </cell>
          <cell r="E124" t="str">
            <v>j=dL=</v>
          </cell>
          <cell r="G124">
            <v>80.356521739130429</v>
          </cell>
          <cell r="H124">
            <v>92.41</v>
          </cell>
          <cell r="I124" t="str">
            <v>lj^"dLg ;d]t</v>
          </cell>
        </row>
        <row r="125">
          <cell r="A125" t="str">
            <v>F26</v>
          </cell>
          <cell r="C125" t="str">
            <v>15.23-s_</v>
          </cell>
          <cell r="D125" t="str">
            <v>l;nsf]6 ug{] sfd sDk]S;g ;d]t -Go"d]l6s /f]n/ tyf bfp/fjf6 df; js{_  - lrkl;n _ -lj6'dLg jfx]s_</v>
          </cell>
          <cell r="E125" t="str">
            <v>j=dL=</v>
          </cell>
          <cell r="G125">
            <v>0</v>
          </cell>
          <cell r="H125">
            <v>0</v>
          </cell>
          <cell r="I125" t="str">
            <v>lj^'ldg afx]s</v>
          </cell>
        </row>
        <row r="126">
          <cell r="A126" t="str">
            <v>F27</v>
          </cell>
          <cell r="C126" t="str">
            <v>15.23-v_</v>
          </cell>
          <cell r="D126" t="str">
            <v>v;|f] jfn'jfjf6  l;nsf]6 ug{] sfd sDk]S;g ;d]t -Go"d]l6s /f]n/ tyf bfp/fjf6 df;js{ _ -lj6'dLg ;d]t_</v>
          </cell>
          <cell r="E126" t="str">
            <v>j=dL=</v>
          </cell>
          <cell r="G126">
            <v>57.817391304347815</v>
          </cell>
          <cell r="H126">
            <v>66.489999999999995</v>
          </cell>
          <cell r="I126" t="str">
            <v>lj^"dLg ;d]t</v>
          </cell>
        </row>
        <row r="127">
          <cell r="A127" t="str">
            <v>F28</v>
          </cell>
          <cell r="C127" t="str">
            <v>15.23-v_</v>
          </cell>
          <cell r="D127" t="str">
            <v>v;|f] jfn'jfjf6  l;nsf]6 ug{] sfd sDk]S;g ;d]t -Go"d]l6s /f]n/ tyf bfp/fjf6 df;js{ _ -lj6'dLg jfx]s_</v>
          </cell>
          <cell r="E127" t="str">
            <v>j=dL=</v>
          </cell>
          <cell r="G127">
            <v>0</v>
          </cell>
          <cell r="H127">
            <v>0</v>
          </cell>
          <cell r="I127" t="str">
            <v>lj^'ldg afx]s</v>
          </cell>
        </row>
        <row r="128">
          <cell r="A128" t="str">
            <v>F29</v>
          </cell>
          <cell r="C128" t="str">
            <v>15.24-s_</v>
          </cell>
          <cell r="D128" t="str">
            <v>$) ld=ld= df]6fO{sf lk|ldS; sfk{]6 ug{] sfd sDk]S;g ;d]t -bfp/fjf6 df;js{ _ -lj6'dLg ;d]t_</v>
          </cell>
          <cell r="E128" t="str">
            <v>j=dL=</v>
          </cell>
          <cell r="G128">
            <v>264.17391304347825</v>
          </cell>
          <cell r="H128">
            <v>303.8</v>
          </cell>
          <cell r="I128" t="str">
            <v>lj^'ldg ;d]t</v>
          </cell>
        </row>
        <row r="129">
          <cell r="A129" t="str">
            <v>F30</v>
          </cell>
          <cell r="C129" t="str">
            <v>15.24-s_</v>
          </cell>
          <cell r="D129" t="str">
            <v>$) ld=ld= df]6fO{sf lk|ldS; sfk{]6 ug{] sfd sDk]S;g ;d]t -bfp/fjf6 df;js{ _ -lj6'dLg jfx]s_</v>
          </cell>
          <cell r="E129" t="str">
            <v>j=dL=</v>
          </cell>
          <cell r="G129">
            <v>0</v>
          </cell>
          <cell r="H129">
            <v>0</v>
          </cell>
          <cell r="I129" t="str">
            <v>lj^'ldg afx]s</v>
          </cell>
        </row>
        <row r="130">
          <cell r="A130" t="str">
            <v>F31</v>
          </cell>
          <cell r="C130" t="str">
            <v>15.24-v_</v>
          </cell>
          <cell r="D130" t="str">
            <v>@) ld=ld= df]6fO{sf lk|ldS; sfk{]6 ug{] sfd sDk]S;g ;d]t -bfp/fjf6 df; js{ tyf b'a} /f]n/ k|of]u u/L_ -lj6'dLg ;d]t_</v>
          </cell>
          <cell r="E130" t="str">
            <v>j=dL=</v>
          </cell>
          <cell r="G130">
            <v>123.87826086956522</v>
          </cell>
          <cell r="H130">
            <v>142.46</v>
          </cell>
          <cell r="I130" t="str">
            <v>lj^"dLg ;d]t</v>
          </cell>
        </row>
        <row r="131">
          <cell r="A131" t="str">
            <v>F32</v>
          </cell>
          <cell r="C131" t="str">
            <v>15.24-v_</v>
          </cell>
          <cell r="D131" t="str">
            <v>@) ld=ld= df]6fO{sf lk|ldS; sfk{]6 ug{] sfd sDk]S;g ;d]t -bfp/fjf6 df; js{ tyf b'a} /f]n/ k|of]u u/L_ -lj6'dLg jfx]s_</v>
          </cell>
          <cell r="E131" t="str">
            <v>j=dL=</v>
          </cell>
          <cell r="G131">
            <v>0</v>
          </cell>
          <cell r="H131">
            <v>0</v>
          </cell>
          <cell r="I131" t="str">
            <v>lj^'ldg afx]s</v>
          </cell>
        </row>
        <row r="132">
          <cell r="A132" t="str">
            <v>F33</v>
          </cell>
          <cell r="C132" t="str">
            <v>15.24-v_</v>
          </cell>
          <cell r="D132" t="str">
            <v>@) ld=ld= df]6fO{sf lk|ldS; sfk{]6 ug{] sfd sDk]S;g ;d]t -bfp/fjf6 df; js{ tyf :6LnJxLn /f]n/ dfq k|of]u u/L_ -lj6'dLg ;d]t_</v>
          </cell>
          <cell r="E132" t="str">
            <v>j=dL=</v>
          </cell>
          <cell r="G132">
            <v>111.87826086956522</v>
          </cell>
          <cell r="H132">
            <v>128.66</v>
          </cell>
          <cell r="I132" t="str">
            <v>lj^"dLg ;d]t</v>
          </cell>
        </row>
        <row r="133">
          <cell r="A133" t="str">
            <v>F34</v>
          </cell>
          <cell r="C133" t="str">
            <v>15.24-v_</v>
          </cell>
          <cell r="D133" t="str">
            <v>@) ld=ld= df]6fO{sf lk|ldS; sfk{]6 ug{] sfd sDk]S;g ;d]t -bfp/fjf6 df; js{ tyf :6LnJxLn /f]n/ dfq k|of]u u/L_ -lj6'dLg jfx]s_</v>
          </cell>
          <cell r="E133" t="str">
            <v>j=dL=</v>
          </cell>
          <cell r="G133">
            <v>0</v>
          </cell>
          <cell r="H133">
            <v>0</v>
          </cell>
          <cell r="I133" t="str">
            <v>lj^'ldg afx]s</v>
          </cell>
        </row>
        <row r="134">
          <cell r="A134" t="str">
            <v>F35</v>
          </cell>
          <cell r="C134" t="str">
            <v>15.24-v_</v>
          </cell>
          <cell r="D134" t="str">
            <v>@) ld=ld= df]6fO{sf lk|ldS; sfk{]6 ug{] sfd sDk]S;g ;d]t -bfp/fjf6 Kofr sfo{sf] nflu tyf :6LnJxLn /f]n/ dfq k|of]u u/L _ -lj6'dLg ;d]t_</v>
          </cell>
          <cell r="E134" t="str">
            <v>j=dL=</v>
          </cell>
          <cell r="G134">
            <v>118.85217391304347</v>
          </cell>
          <cell r="H134">
            <v>136.68</v>
          </cell>
          <cell r="I134" t="str">
            <v>lj^'ldg ;d]t</v>
          </cell>
        </row>
        <row r="135">
          <cell r="A135" t="str">
            <v>F36</v>
          </cell>
          <cell r="C135" t="str">
            <v>15.24-v_</v>
          </cell>
          <cell r="D135" t="str">
            <v>@) ld=ld= df]6fO{sf lk|ldS; sfk{]6 ug{] sfd sDk]S;g ;d]t -bfp/fjf6 Kofr sfo{sf] nflu tyf :6LnJxLn /f]n/ dfq k|of]u u/L _ -lj6'dLg jfx]s_</v>
          </cell>
          <cell r="E135" t="str">
            <v>j=dL=</v>
          </cell>
          <cell r="G135">
            <v>0</v>
          </cell>
          <cell r="H135">
            <v>0</v>
          </cell>
          <cell r="I135" t="str">
            <v>lj^'ldg afx]s</v>
          </cell>
        </row>
        <row r="136">
          <cell r="A136" t="str">
            <v>F37</v>
          </cell>
          <cell r="C136" t="str">
            <v>15.17-s_</v>
          </cell>
          <cell r="D136" t="str">
            <v>k'/fgf] lkr ;tx dfyL dfn ;fdfg pknJw u/L 6}+s sf]6 nufpg] sfd . -dl§t]njf6 df; js{||_ -lj6'dLg ;d]t_</v>
          </cell>
          <cell r="E136" t="str">
            <v>j=dL=</v>
          </cell>
          <cell r="G136">
            <v>27.878260869565217</v>
          </cell>
          <cell r="H136">
            <v>32.06</v>
          </cell>
          <cell r="I136" t="str">
            <v>lj^'ldg ;d]t</v>
          </cell>
        </row>
        <row r="137">
          <cell r="A137" t="str">
            <v>F38</v>
          </cell>
          <cell r="C137" t="str">
            <v>15.17-s_</v>
          </cell>
          <cell r="D137" t="str">
            <v>k'/fgf] lkr ;tx dfyL dfn ;fdfg pknJw u/L 6}+s sf]6 nufpg] sfd . -dl§t]njf6 df; js{||_ -lj6'dLg jfx]s_</v>
          </cell>
          <cell r="E137" t="str">
            <v>j=dL=</v>
          </cell>
          <cell r="G137">
            <v>0</v>
          </cell>
          <cell r="H137">
            <v>0</v>
          </cell>
          <cell r="I137" t="str">
            <v>lj^'ldg afx]s</v>
          </cell>
        </row>
        <row r="138">
          <cell r="A138" t="str">
            <v>F39</v>
          </cell>
          <cell r="C138" t="str">
            <v>15.17-v_</v>
          </cell>
          <cell r="D138" t="str">
            <v xml:space="preserve"> a];sf];{-;tx_ dfyL dfn ;fdfg pknJw u/L 6}+s sf]6 nufpg] sfd . -dl§t]njf6 df; js{||_ -lj6'dLg ;d]t_</v>
          </cell>
          <cell r="E138" t="str">
            <v>j=dL=</v>
          </cell>
          <cell r="G138">
            <v>0</v>
          </cell>
          <cell r="H138">
            <v>0</v>
          </cell>
          <cell r="I138" t="str">
            <v>lj^"dLg ;d]t</v>
          </cell>
        </row>
        <row r="139">
          <cell r="A139" t="str">
            <v>F40</v>
          </cell>
          <cell r="C139" t="str">
            <v>15.17-v_</v>
          </cell>
          <cell r="D139" t="str">
            <v xml:space="preserve"> a];sf];{-;tx_ dfyL dfn ;fdfg pknJw u/L 6}+s sf]6 nufpg] sfd . -dl§t]njf6 df; js{||_ -lj6'dLg jfx]s_</v>
          </cell>
          <cell r="E139" t="str">
            <v>j=dL=</v>
          </cell>
          <cell r="G139">
            <v>0</v>
          </cell>
          <cell r="H139">
            <v>0</v>
          </cell>
          <cell r="I139" t="str">
            <v>lj^'ldg afx]s</v>
          </cell>
        </row>
        <row r="140">
          <cell r="A140" t="str">
            <v>F41</v>
          </cell>
          <cell r="C140" t="str">
            <v>15.18-s_</v>
          </cell>
          <cell r="D140" t="str">
            <v>k'/fgf] lkr ;tx dfyL dfn ;fdfg pknJw u/L k|fOd sf]6 nufpg] sfd . -dl§t]njf6 df; js{|| tyf s6Jofs %) Ü_ -lj6'dLg ;d]t_</v>
          </cell>
          <cell r="E140" t="str">
            <v>j=dL=</v>
          </cell>
          <cell r="G140">
            <v>0</v>
          </cell>
          <cell r="H140">
            <v>0</v>
          </cell>
          <cell r="I140" t="str">
            <v>lj^'ldg ;d]t</v>
          </cell>
        </row>
        <row r="141">
          <cell r="A141" t="str">
            <v>F42</v>
          </cell>
          <cell r="C141" t="str">
            <v>15.18-s_</v>
          </cell>
          <cell r="D141" t="str">
            <v>k'/fgf] lkr ;tx dfyL dfn ;fdfg pknJw u/L k|fOd sf]6 nufpg] sfd . -dl§t]njf6 df; js{|| tyf s6Jofs %) Ü_ -lj6'dLg jfx]s_</v>
          </cell>
          <cell r="E141" t="str">
            <v>j=dL=</v>
          </cell>
          <cell r="G141">
            <v>0</v>
          </cell>
          <cell r="H141">
            <v>0</v>
          </cell>
          <cell r="I141" t="str">
            <v>lj^'ldg afx]s</v>
          </cell>
        </row>
        <row r="142">
          <cell r="A142" t="str">
            <v>F43</v>
          </cell>
          <cell r="C142" t="str">
            <v>15.18-v_</v>
          </cell>
          <cell r="D142" t="str">
            <v>a];sf];{ dfly k|fOd sf]6 nufpg] sfd dfn ;fdfg pknJw u/L  . -dl§t]njf6 df; js{ tyf s6Jofs %) Ü_ -lj6'dLg ;d]t_</v>
          </cell>
          <cell r="E142" t="str">
            <v>j=dL=</v>
          </cell>
          <cell r="G142">
            <v>0</v>
          </cell>
          <cell r="H142">
            <v>0</v>
          </cell>
          <cell r="I142" t="str">
            <v>lj^"dLg ;d]t</v>
          </cell>
        </row>
        <row r="143">
          <cell r="A143" t="str">
            <v>F44</v>
          </cell>
          <cell r="C143" t="str">
            <v>15.18-v_</v>
          </cell>
          <cell r="D143" t="str">
            <v>a];sf];{ dfly k|fOd sf]6 nufpg] sfd dfn ;fdfg pknJw u/L  . -dl§t]njf6 df; js{ tyf s6Jofs %) Ü_ -lj6'dLg jfx]s_</v>
          </cell>
          <cell r="E143" t="str">
            <v>j=dL=</v>
          </cell>
          <cell r="G143">
            <v>0</v>
          </cell>
          <cell r="H143">
            <v>0</v>
          </cell>
          <cell r="I143" t="str">
            <v>lj^'ldg afx]s</v>
          </cell>
        </row>
        <row r="144">
          <cell r="A144" t="str">
            <v>F45</v>
          </cell>
          <cell r="C144">
            <v>15.19</v>
          </cell>
          <cell r="D144" t="str">
            <v>Pssf]6 ;km{]; 8|\]l;Ë ug{] sfd . -dl§t]njf6 df; js{ tyf :6Ln JxLn /f]n/ k|of]u u/L_ -lj6'dLg ;d]t_</v>
          </cell>
          <cell r="E144" t="str">
            <v>j=dL=</v>
          </cell>
          <cell r="G144">
            <v>0</v>
          </cell>
          <cell r="H144">
            <v>0</v>
          </cell>
          <cell r="I144" t="str">
            <v>lj^'ldg ;d]t</v>
          </cell>
        </row>
        <row r="145">
          <cell r="A145" t="str">
            <v>F46</v>
          </cell>
          <cell r="C145">
            <v>15.19</v>
          </cell>
          <cell r="D145" t="str">
            <v>Pssf]6 ;km{]; 8|\]l;Ë ug{] sfd . -dl§t]njf6 df; js{ tyf :6Ln JxLn /f]n/ k|of]u u/L_ -lj6'dLg jfx]s_</v>
          </cell>
          <cell r="E145" t="str">
            <v>j=dL=</v>
          </cell>
          <cell r="G145">
            <v>0</v>
          </cell>
          <cell r="H145">
            <v>0</v>
          </cell>
          <cell r="I145" t="str">
            <v>lj^'ldg afx]s</v>
          </cell>
        </row>
        <row r="146">
          <cell r="A146" t="str">
            <v>F47</v>
          </cell>
          <cell r="C146">
            <v>15.19</v>
          </cell>
          <cell r="D146" t="str">
            <v>Pssf]6 ;km{]; 8|\]l;Ë ug{] sfd . -dl§t]njf6 df; js{ tyf Go'd]]l6s /f]n/ k|of]u u/L_ -lj6'dLg ;d]t_</v>
          </cell>
          <cell r="E146" t="str">
            <v>j=dL=</v>
          </cell>
          <cell r="G146">
            <v>0</v>
          </cell>
          <cell r="H146">
            <v>0</v>
          </cell>
          <cell r="I146" t="str">
            <v>lj^"dLg ;d]t</v>
          </cell>
        </row>
        <row r="147">
          <cell r="A147" t="str">
            <v>F48</v>
          </cell>
          <cell r="C147">
            <v>15.19</v>
          </cell>
          <cell r="D147" t="str">
            <v>Pssf]6 ;km{]; 8|\]l;Ë ug{] sfd . -dl§t]njf6 df; js{ tyf Go'd]]l6s /f]n/ k|of]u u/L_ -lj6'dLg jfx]s_</v>
          </cell>
          <cell r="E147" t="str">
            <v>j=dL=</v>
          </cell>
          <cell r="G147">
            <v>0</v>
          </cell>
          <cell r="H147">
            <v>0</v>
          </cell>
          <cell r="I147" t="str">
            <v>lj^'ldg afx]s</v>
          </cell>
        </row>
        <row r="148">
          <cell r="A148" t="str">
            <v>F49</v>
          </cell>
          <cell r="C148">
            <v>15.2</v>
          </cell>
          <cell r="D148" t="str">
            <v>b'O{ sf]6 ;km{]; 8|\]l;Ë ug{] sfd . -dl§t]njf6 df; js{ tyf :6Ln JxLn /f]n/ k|of]u u/L_ -lj6'dLg ;d]t_</v>
          </cell>
          <cell r="E148" t="str">
            <v>j=dL=</v>
          </cell>
          <cell r="G148">
            <v>0</v>
          </cell>
          <cell r="H148">
            <v>0</v>
          </cell>
          <cell r="I148" t="str">
            <v>lj^'ldg ;d]t</v>
          </cell>
        </row>
        <row r="149">
          <cell r="A149" t="str">
            <v>F50</v>
          </cell>
          <cell r="C149">
            <v>15.2</v>
          </cell>
          <cell r="D149" t="str">
            <v>b'O{ sf]6 ;km{]; 8|\]l;Ë ug{] sfd . -dl§t]njf6 df; js{ tyf :6Ln JxLn /f]n/ k|of]u u/L_ -lj6'dLg jfx]s_</v>
          </cell>
          <cell r="E149" t="str">
            <v>j=dL=</v>
          </cell>
          <cell r="G149">
            <v>0</v>
          </cell>
          <cell r="H149">
            <v>0</v>
          </cell>
          <cell r="I149" t="str">
            <v>lj^'ldg afx]s</v>
          </cell>
        </row>
        <row r="150">
          <cell r="A150" t="str">
            <v>F51</v>
          </cell>
          <cell r="C150">
            <v>15.2</v>
          </cell>
          <cell r="D150" t="str">
            <v>b'O{ sf]6 ;km{]; 8|\]l;Ë ug{] sfd,df; js{ .  -dl§t]njf6 df; js{ tyf Go'd]]l6s /f]n/ k|of]u u/L_ -lj6'dLg ;d]t_</v>
          </cell>
          <cell r="E150" t="str">
            <v>j=dL=</v>
          </cell>
          <cell r="G150">
            <v>0</v>
          </cell>
          <cell r="H150">
            <v>0</v>
          </cell>
          <cell r="I150" t="str">
            <v>lj^"dLg ;d]t</v>
          </cell>
        </row>
        <row r="151">
          <cell r="A151" t="str">
            <v>F52</v>
          </cell>
          <cell r="C151">
            <v>15.2</v>
          </cell>
          <cell r="D151" t="str">
            <v>b'O{ sf]6 ;km{]; 8|\]l;Ë ug{] sfd,df; js{ .  -dl§t]njf6 df; js{ tyf Go'd]]l6s /f]n/ k|of]u u/L_ -lj6'dLg jfx]s_</v>
          </cell>
          <cell r="E151" t="str">
            <v>j=dL=</v>
          </cell>
          <cell r="G151">
            <v>0</v>
          </cell>
          <cell r="H151">
            <v>0</v>
          </cell>
          <cell r="I151" t="str">
            <v>lj^'ldg afx]s</v>
          </cell>
        </row>
        <row r="152">
          <cell r="A152" t="str">
            <v>F53</v>
          </cell>
          <cell r="C152" t="str">
            <v>15.21-s_</v>
          </cell>
          <cell r="D152" t="str">
            <v>% ;]=ld= df]6fO{df ;]dLu|fp6LË ug{] sfd  -lj6'dLg ;d]t_</v>
          </cell>
          <cell r="E152" t="str">
            <v>j=dL=</v>
          </cell>
          <cell r="G152">
            <v>0</v>
          </cell>
          <cell r="H152">
            <v>0</v>
          </cell>
          <cell r="I152" t="str">
            <v>lj^'ldg ;d]t</v>
          </cell>
        </row>
        <row r="153">
          <cell r="A153" t="str">
            <v>F54</v>
          </cell>
          <cell r="C153" t="str">
            <v>15.21-s_</v>
          </cell>
          <cell r="D153" t="str">
            <v>% ;]=ld= df]6fO{df ;]dLu|fp6LË ug{] sfd  -lj6'dLg jfx]s_</v>
          </cell>
          <cell r="E153" t="str">
            <v>j=dL=</v>
          </cell>
          <cell r="G153">
            <v>0</v>
          </cell>
          <cell r="H153">
            <v>0</v>
          </cell>
          <cell r="I153" t="str">
            <v>lj^'ldg afx]s</v>
          </cell>
        </row>
        <row r="154">
          <cell r="A154" t="str">
            <v>F55</v>
          </cell>
          <cell r="C154" t="str">
            <v>15.23-s_</v>
          </cell>
          <cell r="D154" t="str">
            <v xml:space="preserve">  l;nsf]6 ug{] sfd sDk]S;g ;d]t -dl§t]njf6 df; js{  , l:6n lXjn /f]n/ tyf Dffz{n Knf06 k|of]u u/L_ -lj6'dLg ;d]t_</v>
          </cell>
          <cell r="E154" t="str">
            <v>j=dL=</v>
          </cell>
          <cell r="G154">
            <v>0</v>
          </cell>
          <cell r="H154">
            <v>0</v>
          </cell>
          <cell r="I154" t="str">
            <v>lj^'ldg ;d]t</v>
          </cell>
        </row>
        <row r="155">
          <cell r="A155" t="str">
            <v>F56</v>
          </cell>
          <cell r="C155" t="str">
            <v>15.23-s_</v>
          </cell>
          <cell r="D155" t="str">
            <v xml:space="preserve">  l;nsf]6 ug{] sfd sDk]S;g ;d]t -dl§t]njf6 df; js{  , l:6n lXjn /f]n/ tyf Dffz{n Knf06 k|of]u u/L_ -lj6'dLg jfx]s_</v>
          </cell>
          <cell r="E155" t="str">
            <v>j=dL=</v>
          </cell>
          <cell r="G155">
            <v>0</v>
          </cell>
          <cell r="H155">
            <v>0</v>
          </cell>
          <cell r="I155" t="str">
            <v>lj^'ldg afx]s</v>
          </cell>
        </row>
        <row r="156">
          <cell r="A156" t="str">
            <v>F57</v>
          </cell>
          <cell r="C156" t="str">
            <v>15.23-s_</v>
          </cell>
          <cell r="D156" t="str">
            <v xml:space="preserve">  l;nsf]6 ug{] sfd sDk]S;g ;d]t  -dl§t]njf6 df; js{  , Go"d]l6s /f]n/ tyf Dffz{n Knf06 k|of]u u/L_ -lj6'dLg ;d]t_</v>
          </cell>
          <cell r="E156" t="str">
            <v>j=dL=</v>
          </cell>
          <cell r="G156">
            <v>0</v>
          </cell>
          <cell r="H156">
            <v>0</v>
          </cell>
          <cell r="I156" t="str">
            <v>lj^"dLg ;d]t</v>
          </cell>
        </row>
        <row r="157">
          <cell r="A157" t="str">
            <v>F58</v>
          </cell>
          <cell r="C157" t="str">
            <v>15.23-s_</v>
          </cell>
          <cell r="D157" t="str">
            <v xml:space="preserve">  l;nsf]6 ug{] sfd sDk]S;g ;d]t  -dl§t]njf6 df; js{  , Go"d]l6s /f]n/ tyf Dffz{n Knf06 k|of]u u/L_ -lj6'dLg jfx]s_</v>
          </cell>
          <cell r="E157" t="str">
            <v>j=dL=</v>
          </cell>
          <cell r="G157">
            <v>0</v>
          </cell>
          <cell r="H157">
            <v>0</v>
          </cell>
          <cell r="I157" t="str">
            <v>lj^'ldg afx]s</v>
          </cell>
        </row>
        <row r="158">
          <cell r="A158" t="str">
            <v>F59</v>
          </cell>
          <cell r="C158" t="str">
            <v>15.23-v_</v>
          </cell>
          <cell r="D158" t="str">
            <v>v;|f] jfn'jfjf6  l;nsf]6 ug{] sfd sDk]S;g ;d]t -dl§t]njf6 df; js{  , Go"d]l6s /f]n/ tyf Dffz{n Knf06 k|of]u u/L_ -lj6'dLg ;d]t_</v>
          </cell>
          <cell r="E158" t="str">
            <v>j=dL=</v>
          </cell>
          <cell r="G158">
            <v>55.095652173913045</v>
          </cell>
          <cell r="H158">
            <v>63.36</v>
          </cell>
          <cell r="I158" t="str">
            <v>lj^'ldg ;d]t</v>
          </cell>
        </row>
        <row r="159">
          <cell r="A159" t="str">
            <v>F60</v>
          </cell>
          <cell r="C159" t="str">
            <v>15.23-v_</v>
          </cell>
          <cell r="D159" t="str">
            <v>v;|f] jfn'jfjf6  l;nsf]6 ug{] sfd sDk]S;g ;d]t -dl§t]njf6 df; js{  , Go"d]l6s /f]n/ tyf Dffz{n Knf06 k|of]u u/L_ -lj6'dLg jfx]s_</v>
          </cell>
          <cell r="E159" t="str">
            <v>j=dL=</v>
          </cell>
          <cell r="G159">
            <v>0</v>
          </cell>
          <cell r="H159">
            <v>0</v>
          </cell>
          <cell r="I159" t="str">
            <v>lj^'ldg afx]s</v>
          </cell>
        </row>
        <row r="160">
          <cell r="A160" t="str">
            <v>F61</v>
          </cell>
          <cell r="C160" t="str">
            <v>15.23-v_</v>
          </cell>
          <cell r="D160" t="str">
            <v>v;|f] jfn'jfjf6  l;nsf]6 ug{] sfd sDk]S;g ;d]t -dl§t]njf6 df; js{ , :6Ln /f]n/ tyf Dffz{n Knf06 k|of]u u/L_ -lj6'dLg ;d]t_</v>
          </cell>
          <cell r="E160" t="str">
            <v>j=dL=</v>
          </cell>
          <cell r="G160">
            <v>0</v>
          </cell>
          <cell r="H160">
            <v>0</v>
          </cell>
          <cell r="I160" t="str">
            <v>lj^"dLg ;d]t</v>
          </cell>
        </row>
        <row r="161">
          <cell r="A161" t="str">
            <v>F62</v>
          </cell>
          <cell r="C161" t="str">
            <v>15.23-v_</v>
          </cell>
          <cell r="D161" t="str">
            <v>v;|f] jfn'jfjf6  l;nsf]6 ug{] sfd sDk]S;g ;d]t -dl§t]njf6 df; js{ , :6Ln /f]n/ tyf Dffz{n Knf06 k|of]u u/L_ -lj6'dLg jfx]s_</v>
          </cell>
          <cell r="E161" t="str">
            <v>j=dL=</v>
          </cell>
          <cell r="G161">
            <v>0</v>
          </cell>
          <cell r="H161">
            <v>0</v>
          </cell>
          <cell r="I161" t="str">
            <v>lj^'ldg afx]s</v>
          </cell>
        </row>
        <row r="162">
          <cell r="A162" t="str">
            <v>F63</v>
          </cell>
          <cell r="C162" t="str">
            <v>15.24-s_</v>
          </cell>
          <cell r="D162" t="str">
            <v xml:space="preserve">$) ld=ld= df]6fO{sf lk|ldS; sfk{]6 ug{] sfd sDk]S;g ;d]t . -dl§t]njf6 df; js{ , b'a} /f]n/ tyf Dffz{n Knf06 k|of]u u/L_ -lj6'dLg ;d]t_                           </v>
          </cell>
          <cell r="E162" t="str">
            <v>j=dL=</v>
          </cell>
          <cell r="G162">
            <v>256.88</v>
          </cell>
          <cell r="H162">
            <v>295.41000000000003</v>
          </cell>
          <cell r="I162" t="str">
            <v>lj^'ldg ;d]t</v>
          </cell>
        </row>
        <row r="163">
          <cell r="A163" t="str">
            <v>F64</v>
          </cell>
          <cell r="C163" t="str">
            <v>15.24-s_</v>
          </cell>
          <cell r="D163" t="str">
            <v xml:space="preserve">$) ld=ld= df]6fO{sf lk|ldS; sfk{]6 ug{] sfd sDk]S;g ;d]t . -dl§t]njf6 df; js{ , b'a} /f]n/ tyf Dffz{n Knf06 k|of]u u/L_ -lj6'dLg jfx]s_                           </v>
          </cell>
          <cell r="E163" t="str">
            <v>j=dL=</v>
          </cell>
          <cell r="G163">
            <v>0</v>
          </cell>
          <cell r="H163">
            <v>0</v>
          </cell>
          <cell r="I163" t="str">
            <v>lj^'ldg afx]s</v>
          </cell>
        </row>
        <row r="164">
          <cell r="A164" t="str">
            <v>F65</v>
          </cell>
          <cell r="C164" t="str">
            <v>15.24-v_</v>
          </cell>
          <cell r="D164" t="str">
            <v>@) ld=ld= df]6fO{sf lk|ldS; sfk{]6 ug{] sfd sDk]S;g ;d]t -dl§t]njf6 df; js{ , :6Ln /f]n/ dfq tyf Dffz{n Knf06 k|of]u u/L_ -lj6'dLg ;d]t_</v>
          </cell>
          <cell r="E164" t="str">
            <v>j=dL=</v>
          </cell>
          <cell r="G164">
            <v>118.45217391304348</v>
          </cell>
          <cell r="H164">
            <v>136.22</v>
          </cell>
          <cell r="I164" t="str">
            <v>lj^"dLg ;d]t</v>
          </cell>
        </row>
        <row r="165">
          <cell r="A165" t="str">
            <v>F66</v>
          </cell>
          <cell r="C165" t="str">
            <v>15.24-v_</v>
          </cell>
          <cell r="D165" t="str">
            <v>@) ld=ld= df]6fO{sf lk|ldS; sfk{]6 ug{] sfd sDk]S;g ;d]t -dl§t]njf6 df; js{ , :6Ln /f]n/ dfq tyf Dffz{n Knf06 k|of]u u/L_ -lj6'dLg jfx]s_</v>
          </cell>
          <cell r="E165" t="str">
            <v>j=dL=</v>
          </cell>
          <cell r="G165">
            <v>0</v>
          </cell>
          <cell r="H165">
            <v>0</v>
          </cell>
          <cell r="I165" t="str">
            <v>lj^'ldg afx]s</v>
          </cell>
        </row>
        <row r="166">
          <cell r="A166" t="str">
            <v>F67</v>
          </cell>
          <cell r="C166" t="str">
            <v>15.24-v_</v>
          </cell>
          <cell r="D166" t="str">
            <v>@) ld=ld= df]6fO{sf lk|ldS; sfk{]6 ug{] sfd sDk]S;g ;d]t -dl§t]njf6 df; js{ , b'a /f]n/ tyf Dffz{n Knf06 k|of]u u/L_ -lj6'dLg ;d]t_</v>
          </cell>
          <cell r="E166" t="str">
            <v>j=dL=</v>
          </cell>
          <cell r="G166">
            <v>130.46956521739131</v>
          </cell>
          <cell r="H166">
            <v>150.04</v>
          </cell>
          <cell r="I166" t="str">
            <v>lj^'ldg ;d]t</v>
          </cell>
        </row>
        <row r="167">
          <cell r="A167" t="str">
            <v>F68</v>
          </cell>
          <cell r="C167" t="str">
            <v>15.24-v_</v>
          </cell>
          <cell r="D167" t="str">
            <v>@) ld=ld= df]6fO{sf lk|ldS; sfk{]6 ug{] sfd sDk]S;g ;d]t -dl§t]njf6 df; js{ , b'a /f]n/ tyf Dffz{n Knf06 k|of]u u/L_ -lj6'dLg jfx]s_</v>
          </cell>
          <cell r="E167" t="str">
            <v>j=dL=</v>
          </cell>
          <cell r="G167">
            <v>0</v>
          </cell>
          <cell r="H167">
            <v>0</v>
          </cell>
          <cell r="I167" t="str">
            <v>lj^'ldg afx]s</v>
          </cell>
        </row>
        <row r="168">
          <cell r="A168" t="str">
            <v>G1</v>
          </cell>
          <cell r="C168" t="str">
            <v>16.5-s_</v>
          </cell>
          <cell r="D168" t="str">
            <v>Uofljog agfpg] sfd tf/ sf6\g], a'Gg] cflb sfd ;d]t if6sf]0fLo d]; ;fOh !))Û!@) ldld, d]; tf/ !) P; 8Jn' lh ;]Nj]h tf/ * P; 8Jn' lh       -x]le lh+s sf]6]8_ afs; ;fO{h @dL=x !dL=x !dL=</v>
          </cell>
          <cell r="E168" t="str">
            <v>afs;</v>
          </cell>
          <cell r="G168">
            <v>1046.4695652173914</v>
          </cell>
          <cell r="H168">
            <v>1203.44</v>
          </cell>
        </row>
        <row r="169">
          <cell r="A169" t="str">
            <v>G2</v>
          </cell>
          <cell r="C169" t="str">
            <v>16.5-v_</v>
          </cell>
          <cell r="D169" t="str">
            <v>Uofljog agfpg] sfd tf/ sf6\g], a'Gg] cflb sfd ;d]t if6sf]0fLo d]; ;fOh !))Û!@) ldld, d]; tf/ !) P; 8Jn' lh ;]Nj]h tf/ * P; 8Jn' lh       -x]le lh+s sf]6]8_ afs; ;fO{h #dL=x !dL=x !dL=</v>
          </cell>
          <cell r="E169" t="str">
            <v>afs;</v>
          </cell>
          <cell r="G169">
            <v>1499.4695652173914</v>
          </cell>
          <cell r="H169">
            <v>1724.39</v>
          </cell>
        </row>
        <row r="170">
          <cell r="A170" t="str">
            <v>G3</v>
          </cell>
          <cell r="C170" t="str">
            <v>16.5-u_</v>
          </cell>
          <cell r="D170" t="str">
            <v>Uofljog agfpg] sfd tf/ sf6\g], a'Gg] cflb sfd ;d]t if6sf]0fLo d]; ;fOh !))Û!@) ldld, d]; tf/ !) P; 8Jn' lh ;]Nj]h tf/ * P; 8Jn' lh       -x]le lh+s sf]6]8_ afs; ;fO{h @dL=x !dL=x )=%dL=</v>
          </cell>
          <cell r="E170" t="str">
            <v>afs;</v>
          </cell>
          <cell r="G170">
            <v>726.07826086956527</v>
          </cell>
          <cell r="H170">
            <v>834.99</v>
          </cell>
        </row>
        <row r="171">
          <cell r="A171" t="str">
            <v>G4</v>
          </cell>
          <cell r="C171" t="str">
            <v>16.5-#_</v>
          </cell>
          <cell r="D171" t="str">
            <v>Uofljog agfpg] sfd tf/ sf6\g], a'Gg] cflb sfd ;d]t if6sf]0fLo d]; ;fOh !))Û!@) ldld, d]; tf/ !) P; 8Jn' lh ;]Nj]h tf/ * P; 8Jn' lh       -x]le lh+s sf]6]8_ afs; ;fO{h #dL=x !dL=x )=%dL=</v>
          </cell>
          <cell r="E171" t="str">
            <v>afs;</v>
          </cell>
          <cell r="G171">
            <v>1049.9739130434782</v>
          </cell>
          <cell r="H171">
            <v>1207.47</v>
          </cell>
        </row>
        <row r="172">
          <cell r="A172" t="str">
            <v>G5</v>
          </cell>
          <cell r="C172" t="str">
            <v>16.7-s_</v>
          </cell>
          <cell r="D172" t="str">
            <v>Uofljog lgdf{0f ug{] 7fpdf /fVg] tGsfpg] tf/4f/f jS;f jfWg], dfyLjf6 aGb ug{] lh cfO jfO08LË tf/ !@ P; 8Jn' lh -x]le lh+s sf]6]8_ .          afs; ;fO{h @dL=x !dL=x !dL=</v>
          </cell>
          <cell r="E172" t="str">
            <v>afs;</v>
          </cell>
          <cell r="G172">
            <v>78.304347826086953</v>
          </cell>
          <cell r="H172">
            <v>90.05</v>
          </cell>
        </row>
        <row r="173">
          <cell r="A173" t="str">
            <v>G6</v>
          </cell>
          <cell r="C173" t="str">
            <v>16.7-v_</v>
          </cell>
          <cell r="D173" t="str">
            <v>Uofljog lgdf{0f ug{] 7fpdf /fVg] tGsfpg] tf/4f/f jS;f jfWg], dfyLjf6 aGb ug{] lh cfO jfO08LË tf/ !@ P; 8Jn' lh -x]le lh+s sf]6]8_ .             afs; ;fO{h #dL=x !dL=x !dL=</v>
          </cell>
          <cell r="E173" t="str">
            <v>afs;</v>
          </cell>
          <cell r="G173">
            <v>112.95652173913044</v>
          </cell>
          <cell r="H173">
            <v>129.9</v>
          </cell>
        </row>
        <row r="174">
          <cell r="A174" t="str">
            <v>G7</v>
          </cell>
          <cell r="C174" t="str">
            <v>16.7-u_</v>
          </cell>
          <cell r="D174" t="str">
            <v>Uofljog lgdf{0f ug{] 7fpdf /fVg] tGsfpg] tf/4f/f jS;f jfWg], dfyLjf6 aGb ug{] lh cfO jfO08LË tf/ !@ P; 8Jn' lh -x]le lh+s sf]6]8_ .            afs; ;fO{h @dL=x !dL=x )=%dL=</v>
          </cell>
          <cell r="E174" t="str">
            <v>afs;</v>
          </cell>
          <cell r="G174">
            <v>47.278260869565216</v>
          </cell>
          <cell r="H174">
            <v>54.37</v>
          </cell>
        </row>
        <row r="175">
          <cell r="A175" t="str">
            <v>G8</v>
          </cell>
          <cell r="C175" t="str">
            <v>16.7-#_</v>
          </cell>
          <cell r="D175" t="str">
            <v>Uofljog lgdf{0f ug{] 7fpdf /fVg] tGsfpg] tf/4f/f jS;f jfWg], dfyLjf6 aGb ug{] lh cfO jfO08LË tf/ !@ P; 8Jn' lh -x]le lh+s sf]6]8_ .           afs; ;fO{h #dL=x !dL=x )=%dL=</v>
          </cell>
          <cell r="E175" t="str">
            <v>afs;</v>
          </cell>
          <cell r="G175">
            <v>67.304347826086968</v>
          </cell>
          <cell r="H175">
            <v>77.400000000000006</v>
          </cell>
        </row>
        <row r="176">
          <cell r="A176" t="str">
            <v>G9</v>
          </cell>
          <cell r="C176">
            <v>16.11</v>
          </cell>
          <cell r="D176" t="str">
            <v>Uofljog s|]6df 9'Ëf eg{] sfd #) ld= ;Dd jf]sfgL ;d]t  -x]le lh+s sf]6]8_ .</v>
          </cell>
          <cell r="E176" t="str">
            <v>#=dL=</v>
          </cell>
          <cell r="G176">
            <v>1296.0173913043479</v>
          </cell>
          <cell r="H176">
            <v>1490.42</v>
          </cell>
        </row>
        <row r="177">
          <cell r="A177" t="str">
            <v>G10</v>
          </cell>
          <cell r="C177">
            <v>16.190000000000001</v>
          </cell>
          <cell r="D177" t="str">
            <v>afF;sf] ^ dL=dL= b]lv * dL=dL= Jof;sf] kfO{n agfO{ 7f]Sg] sfd, gfkL cg';f/sf] sf6\g] / 6'Kkf ltvfg]{ ;d]t kfO{nsf] ;+Vof * hldgdf uf8\g] !=@% dL=</v>
          </cell>
          <cell r="E177" t="str">
            <v>Ps %]sf</v>
          </cell>
          <cell r="G177">
            <v>253.8782608695652</v>
          </cell>
          <cell r="H177">
            <v>291.95999999999998</v>
          </cell>
        </row>
        <row r="178">
          <cell r="A178" t="str">
            <v>G11</v>
          </cell>
          <cell r="C178">
            <v>16.23</v>
          </cell>
          <cell r="D178" t="str">
            <v>l;d]G6sf] vfnL jf]/fdf :yfgLo jfn'jf e/L To;sf] d'v l;P/ 7fpFdf /fVg] sfd   - !) dL= ;Ddsf] b'/Ldf 9'jfgL ug]{ ;d]t_ .</v>
          </cell>
          <cell r="E178" t="str">
            <v>Ps af]/f</v>
          </cell>
          <cell r="G178">
            <v>2412.4956521739132</v>
          </cell>
          <cell r="H178">
            <v>2774.37</v>
          </cell>
        </row>
        <row r="179">
          <cell r="A179" t="str">
            <v>G12</v>
          </cell>
          <cell r="C179" t="str">
            <v>16.5,     16.7,/  16.11</v>
          </cell>
          <cell r="D179" t="str">
            <v>Uofljog agfpg] sfd tf/ sf6\g], a'Gg] cflb sfd ;d]t if6sf]0fLo d]; ;fOh !))Û!@) ldld, d]; tf/ !) P; 8Jn' lh ;]Nj]h tf/ * P; 8Jn' lh afs; ;fO{h .Uofljog lgdf{0f ug{] 7fpdf /fVg] tGsfpg] tf/4f/f jS;f jfWg], dfyLjf6 aGb ug{] lh cfO jfO08LË tf/ !@ P; 8Jn' lh -</v>
          </cell>
          <cell r="E179" t="str">
            <v>#=dL+</v>
          </cell>
          <cell r="G179">
            <v>1858.4086956521739</v>
          </cell>
          <cell r="H179">
            <v>2137.17</v>
          </cell>
        </row>
        <row r="180">
          <cell r="A180" t="str">
            <v>G13</v>
          </cell>
          <cell r="C180" t="str">
            <v>16.5,     16.7,/  16.11</v>
          </cell>
          <cell r="D180" t="str">
            <v>Uofljog agfpg] sfd tf/ sf6\g], a'Gg] cflb sfd ;d]t if6sf]0fLo d]; ;fOh !))Û!@) ldld, d]; tf/ !) P; 8Jn' lh ;]Nj]h tf/ * P; 8Jn' lh afs; ;fO{h .Uofljog lgdf{0f ug{] 7fpdf /fVg] tGsfpg] tf/4f/f jS;f jfWg], dfyLjf6 aGb ug{] lh cfO jfO08LË tf/ !@ P; 8Jn' lh -</v>
          </cell>
          <cell r="E180" t="str">
            <v>#=dL+</v>
          </cell>
          <cell r="G180">
            <v>1833.4869565217393</v>
          </cell>
          <cell r="H180">
            <v>2108.5100000000002</v>
          </cell>
        </row>
        <row r="181">
          <cell r="A181" t="str">
            <v>G14</v>
          </cell>
          <cell r="C181" t="str">
            <v>16.5,     16.7,/  16.11</v>
          </cell>
          <cell r="D181" t="str">
            <v>Uofljog agfpg] sfd tf/ sf6\g], a'Gg] cflb sfd ;d]t if6sf]0fLo d]; ;fOh !))Û!@) ldld, d]; tf/ !) P; 8Jn' lh ;]Nj]h tf/ * P; 8Jn' lh afs; ;fO{h .Uofljog lgdf{0f ug{] 7fpdf /fVg] tGsfpg] tf/4f/f jS;f jfWg], dfyLjf6 aGb ug{] lh cfO jfO08LË tf/ !@ P; 8Jn' lh -</v>
          </cell>
          <cell r="E181" t="str">
            <v>#=dL+</v>
          </cell>
          <cell r="G181">
            <v>0</v>
          </cell>
          <cell r="H181">
            <v>0</v>
          </cell>
        </row>
        <row r="182">
          <cell r="A182" t="str">
            <v>G15</v>
          </cell>
          <cell r="C182" t="str">
            <v>16.5,     16.7,/  16.11</v>
          </cell>
          <cell r="D182" t="str">
            <v>Uofljog agfpg] sfd tf/ sf6\g], a'Gg] cflb sfd ;d]t if6sf]0fLo d]; ;fOh !))Û!@) ldld, d]; tf/ !) P; 8Jn' lh ;]Nj]h tf/ * P; 8Jn' lh afs; ;fO{h .Uofljog lgdf{0f ug{] 7fpdf /fVg] tGsfpg] tf/4f/f jS;f jfWg], dfyLjf6 aGb ug{] lh cfO jfO08LË tf/ !@ P; 8Jn' lh -</v>
          </cell>
          <cell r="E182" t="str">
            <v>#=dL+</v>
          </cell>
          <cell r="G182">
            <v>0</v>
          </cell>
          <cell r="H182">
            <v>0</v>
          </cell>
        </row>
        <row r="183">
          <cell r="A183" t="str">
            <v>H1</v>
          </cell>
          <cell r="C183" t="str">
            <v>17.1-s_</v>
          </cell>
          <cell r="D183" t="str">
            <v>Pg kL #÷ !% ;]=ld= Jof;sf] cf/=l;=l;= Xo"d kfO{k / To;nfO{ rflx]g] :k]lzoN; !M@ l;d]G6 jfn'jf sf] d;nfdf / h'6 cflb nufO{ lj5\ofpg] sfd !)) ld= ;Dd 9'jfgL ;d]t . -x\o'd kfOk ;d]t_</v>
          </cell>
          <cell r="E183" t="str">
            <v>/=dL=</v>
          </cell>
          <cell r="G183">
            <v>640.70000000000005</v>
          </cell>
          <cell r="H183">
            <v>23577.8</v>
          </cell>
          <cell r="I183" t="str">
            <v>kfOk ;d]t</v>
          </cell>
        </row>
        <row r="184">
          <cell r="A184" t="str">
            <v>H2</v>
          </cell>
          <cell r="C184" t="str">
            <v>17.1-s_</v>
          </cell>
          <cell r="D184" t="str">
            <v>Pg kL #÷ !% ;]=ld= Jof;sf] cf/=l;=l;= Xo"d kfO{k / To;nfO{ rflx]g] :k]lzoN; !M@ l;d]G6 jfn'jf sf] d;nfdf / h'6 cflb nufO{ lj5\ofpg] sfd !)) ld= ;Dd 9'jfgL ;d]t . -x\o'd kfOk jfx]s_</v>
          </cell>
          <cell r="E184" t="str">
            <v>/=dL=</v>
          </cell>
          <cell r="G184">
            <v>0</v>
          </cell>
          <cell r="H184">
            <v>0</v>
          </cell>
          <cell r="I184" t="str">
            <v>kfOk afx]s</v>
          </cell>
        </row>
        <row r="185">
          <cell r="A185" t="str">
            <v>H3</v>
          </cell>
          <cell r="C185" t="str">
            <v>17.1-v_</v>
          </cell>
          <cell r="D185" t="str">
            <v>Pg kL #÷ @) ;]=ld= Jof;sf] cf/=l;=l;= Xo"d kfO{k / To;nfO{ rflx]g] :k]lzoN; !M@ l;d]G6 jfn'jf sf] d;nfdf / h'6 cflb nufO{ lj5\ofpg] sfd !)) ld= ;Dd 9'jfgL ;d]t . -x\o'd kfOk ;d]t_</v>
          </cell>
          <cell r="E185" t="str">
            <v>/=dL=</v>
          </cell>
          <cell r="G185">
            <v>853.5</v>
          </cell>
          <cell r="H185">
            <v>981.52</v>
          </cell>
          <cell r="I185" t="str">
            <v>kfOk ;d]t</v>
          </cell>
        </row>
        <row r="186">
          <cell r="A186" t="str">
            <v>H4</v>
          </cell>
          <cell r="C186" t="str">
            <v>17.1-v_</v>
          </cell>
          <cell r="D186" t="str">
            <v>Pg kL #÷ @) ;]=ld= Jof;sf] cf/=l;=l;= Xo"d kfO{k / To;nfO{ rflx]g] :k]lzoN; !M@ l;d]G6 jfn'jf sf] d;nfdf / h'6 cflb nufO{ lj5\ofpg] sfd !)) ld= ;Dd 9'jfgL ;d]t . -x\o'd kfOk jfx]s_</v>
          </cell>
          <cell r="E186" t="str">
            <v>/=dL=</v>
          </cell>
          <cell r="G186">
            <v>0</v>
          </cell>
          <cell r="H186">
            <v>0</v>
          </cell>
          <cell r="I186" t="str">
            <v>kfOk afx]s</v>
          </cell>
        </row>
        <row r="187">
          <cell r="A187" t="str">
            <v>H5</v>
          </cell>
          <cell r="C187" t="str">
            <v>17.1-u_</v>
          </cell>
          <cell r="D187" t="str">
            <v>Pg kL #÷ #) ;]=ld= Jof;sf] cf/ l;=l;= Xo"d kfO{k / To;nfO{ rflx]g] :k]lzoN; !M@ l;d]G6 jfn'jf sf] d;nfdf / h'6 cflb nufO{ lj5\ofpg] sfd !)) ld= ;Dd 9'jfgL ;d]t . -x\o'd kfOk ;d]t_</v>
          </cell>
          <cell r="E187" t="str">
            <v>/=dL=</v>
          </cell>
          <cell r="G187">
            <v>1464.4782608695652</v>
          </cell>
          <cell r="H187">
            <v>1684.15</v>
          </cell>
          <cell r="I187" t="str">
            <v>kfOk ;d]t</v>
          </cell>
        </row>
        <row r="188">
          <cell r="A188" t="str">
            <v>H6</v>
          </cell>
          <cell r="C188" t="str">
            <v>17.1-u_</v>
          </cell>
          <cell r="D188" t="str">
            <v>Pg kL #÷ #) ;]=ld= Jof;sf] cf/ l;=l;= Xo"d kfO{k / To;nfO{ rflx]g] :k]lzoN; !M@ l;d]G6 jfn'jf sf] d;nfdf / h'6 cflb nufO{ lj5\ofpg] sfd !)) ld= ;Dd 9'jfgL ;d]t . -x\o'd kfOk jfx]s_</v>
          </cell>
          <cell r="E188" t="str">
            <v>/=dL=</v>
          </cell>
          <cell r="G188">
            <v>0</v>
          </cell>
          <cell r="H188">
            <v>0</v>
          </cell>
          <cell r="I188" t="str">
            <v>kfOk afx]s</v>
          </cell>
        </row>
        <row r="189">
          <cell r="A189" t="str">
            <v>H7</v>
          </cell>
          <cell r="C189" t="str">
            <v>17.1-#_/-ª_</v>
          </cell>
          <cell r="D189" t="str">
            <v>Pg kL #÷ $% ;]=ld= Jof;sf] cf/ l;=l;= Xo"d kfO{k / To;nfO{ rflx]g] :k]lzoN; !M@ l;d]G6 jfn'jf sf] d;nfdf / h'6 cflb nufO{ lj5\ofpg] sfd !)) ld= ;Dd 9'jfgL ;d]t . -x\o'd kfOk ;d]t_</v>
          </cell>
          <cell r="E189" t="str">
            <v>/=dL=</v>
          </cell>
          <cell r="G189">
            <v>2068.84</v>
          </cell>
          <cell r="H189">
            <v>2379.17</v>
          </cell>
          <cell r="I189" t="str">
            <v>kfOk ;d]t</v>
          </cell>
        </row>
        <row r="190">
          <cell r="A190" t="str">
            <v>H8</v>
          </cell>
          <cell r="C190" t="str">
            <v>17.1-#_/-ª_</v>
          </cell>
          <cell r="D190" t="str">
            <v>Pg kL #÷ $% ;]=ld= Jof;sf] cf/ l;=l;= Xo"d kfO{k / To;nfO{ rflx]g] :k]lzoN; !M@ l;d]G6 jfn'jf sf] d;nfdf / h'6 cflb nufO{ lj5\ofpg] sfd !)) ld= ;Dd 9'jfgL ;d]t . -x\o'd kfOk jfx]s_</v>
          </cell>
          <cell r="E190" t="str">
            <v>/=dL=</v>
          </cell>
          <cell r="G190">
            <v>0</v>
          </cell>
          <cell r="H190">
            <v>0</v>
          </cell>
          <cell r="I190" t="str">
            <v>kfOk afx]s</v>
          </cell>
        </row>
        <row r="191">
          <cell r="A191" t="str">
            <v>H9</v>
          </cell>
          <cell r="C191" t="str">
            <v>17.1-r_</v>
          </cell>
          <cell r="D191" t="str">
            <v>Pg kL #÷ ^) ;]=ld= Jof;sf] cf/ l;=l;= Xo"d kfO{k / To;nfO{ rflx]g] :k]lzoN; !M@ l;d]G6 jfn'jf sf] d;nfdf / h'6 cflb nufO{ lj5\ofpg] sfd !)) ld= ;Dd 9'jfgL ;d]t . -x\o'd kfOk ;d]t_</v>
          </cell>
          <cell r="E191" t="str">
            <v>/=dL=</v>
          </cell>
          <cell r="G191">
            <v>4801.3565217391306</v>
          </cell>
          <cell r="H191">
            <v>5521.56</v>
          </cell>
          <cell r="I191" t="str">
            <v>kfOk ;d]t</v>
          </cell>
        </row>
        <row r="192">
          <cell r="A192" t="str">
            <v>H10</v>
          </cell>
          <cell r="C192" t="str">
            <v>17.1-r_</v>
          </cell>
          <cell r="D192" t="str">
            <v>Pg kL #÷ ^) ;]=ld= Jof;sf] cf/ l;=l;= Xo"d kfO{k / To;nfO{ rflx]g] :k]lzoN; !M@ l;d]G6 jfn'jf sf] d;nfdf / h'6 cflb nufO{ lj5\ofpg] sfd !)) ld= ;Dd 9'jfgL ;d]t . -x\o'd kfOk jfx]s_</v>
          </cell>
          <cell r="E192" t="str">
            <v>/=dL=</v>
          </cell>
          <cell r="G192">
            <v>0</v>
          </cell>
          <cell r="H192">
            <v>0</v>
          </cell>
          <cell r="I192" t="str">
            <v>kfOk afx]s</v>
          </cell>
        </row>
        <row r="193">
          <cell r="A193" t="str">
            <v>H11</v>
          </cell>
          <cell r="C193" t="str">
            <v>17.1-h_</v>
          </cell>
          <cell r="D193" t="str">
            <v>Pg kL #÷ () ;]=ld= Jof;sf] cf/ l;=l;= Xo"d kfO{k / To;nfO{ rflx]g] :k]lzoN; !M@ l;d]G6 jfn'jf sf] d;nfdf / h'6 cflb nufO{ lj5\ofpg] sfd !)) ld= ;Dd 9'jfgL ;d]t . -x\o'd kfOk ;d]t_</v>
          </cell>
          <cell r="E193" t="str">
            <v>/=dL=</v>
          </cell>
          <cell r="G193">
            <v>153643.6</v>
          </cell>
          <cell r="H193">
            <v>176690.14</v>
          </cell>
          <cell r="I193" t="str">
            <v>kfOk ;d]t</v>
          </cell>
        </row>
        <row r="194">
          <cell r="A194" t="str">
            <v>H12</v>
          </cell>
          <cell r="C194" t="str">
            <v>17.1-h_</v>
          </cell>
          <cell r="D194" t="str">
            <v>Pg kL #÷ () ;]=ld= Jof;sf] cf/ l;=l;= Xo"d kfO{k / To;nfO{ rflx]g] :k]lzoN; !M@ l;d]G6 jfn'jf sf] d;nfdf / h'6 cflb nufO{ lj5\ofpg] sfd !)) ld= ;Dd 9'jfgL ;d]t . -x\o'd kfOk jfx]s_</v>
          </cell>
          <cell r="E194" t="str">
            <v>/=dL=</v>
          </cell>
          <cell r="G194">
            <v>0</v>
          </cell>
          <cell r="H194">
            <v>0</v>
          </cell>
          <cell r="I194" t="str">
            <v>kfOk afx]s</v>
          </cell>
        </row>
        <row r="195">
          <cell r="A195" t="str">
            <v>H13</v>
          </cell>
          <cell r="C195" t="str">
            <v>17.1-em_</v>
          </cell>
          <cell r="D195" t="str">
            <v>Pg kL #÷ !@) ;]=ld= Jof;sf] cf/ l;=l;= Xo"d kfO{k / To;nfO{ rflx]g] :k]lzoN; !M@ l;d]G6 jfn'jf sf] d;nfdf / h'6 cflb nufO{ lj5\ofpg] sfd !)) ld= ;Dd 9'jfgL ;d]t . -x\o'd kfOk ;d]t_</v>
          </cell>
          <cell r="E195" t="str">
            <v>/=dL=</v>
          </cell>
          <cell r="G195">
            <v>211040.48695652175</v>
          </cell>
          <cell r="H195">
            <v>242696.56</v>
          </cell>
          <cell r="I195" t="str">
            <v>kfOk ;d]t</v>
          </cell>
        </row>
        <row r="196">
          <cell r="A196" t="str">
            <v>H14</v>
          </cell>
          <cell r="C196" t="str">
            <v>17.1-em_</v>
          </cell>
          <cell r="D196" t="str">
            <v>Pg kL #÷ !@) ;]=ld= Jof;sf] cf/ l;=l;= Xo"d kfO{k / To;nfO{ rflx]g] :k]lzoN; !M@ l;d]G6 jfn'jf sf] d;nfdf / h'6 cflb nufO{ lj5\ofpg] sfd !)) ld= ;Dd 9'jfgL ;d]t . -x\o'd kfOk jfx]s_</v>
          </cell>
          <cell r="E196" t="str">
            <v>/=dL=</v>
          </cell>
          <cell r="G196">
            <v>0</v>
          </cell>
          <cell r="H196">
            <v>0</v>
          </cell>
          <cell r="I196" t="str">
            <v>kfOk afx]s</v>
          </cell>
        </row>
      </sheetData>
      <sheetData sheetId="2" refreshError="1">
        <row r="2">
          <cell r="D2" t="str">
            <v>^.)%&amp;.%*</v>
          </cell>
        </row>
        <row r="5">
          <cell r="A5" t="str">
            <v>a</v>
          </cell>
          <cell r="B5" t="str">
            <v>hf]/kf6L uf]s0f{ blIf0f 9f]sf ;8s</v>
          </cell>
        </row>
        <row r="6">
          <cell r="A6" t="str">
            <v>b</v>
          </cell>
          <cell r="B6" t="str">
            <v>zfGtLgu/ hghfu[tL gu/ ;8s</v>
          </cell>
        </row>
        <row r="7">
          <cell r="A7" t="str">
            <v>c</v>
          </cell>
          <cell r="B7" t="str">
            <v>af+;af/L a'9fgLns07 ;8s</v>
          </cell>
        </row>
        <row r="8">
          <cell r="A8" t="str">
            <v>d</v>
          </cell>
          <cell r="B8" t="str">
            <v>l;gfd+un sflndf6L8f]n vl/sf] af]6 k|sfz ;Gof; cf&gt;d ;8s</v>
          </cell>
        </row>
        <row r="9">
          <cell r="A9" t="str">
            <v>e</v>
          </cell>
          <cell r="B9" t="str">
            <v>sflGtk'/ ejg k"j{ aGbgf cfon :6f]/ ;8s</v>
          </cell>
        </row>
        <row r="10">
          <cell r="A10" t="str">
            <v>f</v>
          </cell>
          <cell r="B10" t="str">
            <v>lkkf uf]Zjf/f 36[]s'nf] lkknaf]6 ;8s</v>
          </cell>
        </row>
        <row r="11">
          <cell r="A11" t="str">
            <v>g</v>
          </cell>
          <cell r="B11" t="str">
            <v>s'df/Lufn -uf}/L3f6_ af}4 blIf0f 9f]sf ;8s</v>
          </cell>
        </row>
        <row r="12">
          <cell r="A12" t="str">
            <v>h</v>
          </cell>
          <cell r="B12" t="str">
            <v>sfnf]k'n d}lqk'n -hfkfgL k'n_ ;8s</v>
          </cell>
        </row>
        <row r="13">
          <cell r="A13" t="str">
            <v>I</v>
          </cell>
          <cell r="B13" t="str">
            <v>af0fu+uf dfu{ afg]Zj/ ;8s</v>
          </cell>
        </row>
        <row r="14">
          <cell r="A14" t="str">
            <v>j</v>
          </cell>
          <cell r="B14" t="str">
            <v>uf}zfnf /ftf] k'n blIf0f ljuj]n xf]6n gk'Ub} zfGtLky</v>
          </cell>
        </row>
        <row r="15">
          <cell r="A15" t="str">
            <v>k</v>
          </cell>
          <cell r="B15" t="str">
            <v>gof+ afg]Zj/ z+vd'n dfu{ ;'?lr 6f]n ;8s</v>
          </cell>
        </row>
        <row r="16">
          <cell r="A16" t="str">
            <v>l</v>
          </cell>
          <cell r="B16" t="str">
            <v>gLn ;/:jtL :yfg 6's'rf vf]nf k"jf]{Q/ ;8s</v>
          </cell>
        </row>
        <row r="17">
          <cell r="A17" t="str">
            <v>m</v>
          </cell>
          <cell r="B17" t="str">
            <v>d"nkfgL uf=la=;= vx/]sf] d'v v/06f/ ;8s</v>
          </cell>
        </row>
        <row r="18">
          <cell r="A18" t="str">
            <v>n</v>
          </cell>
          <cell r="B18" t="str">
            <v>s'df/Lufn d}h'axfn ;8s</v>
          </cell>
        </row>
        <row r="19">
          <cell r="A19" t="str">
            <v>o</v>
          </cell>
          <cell r="B19" t="str">
            <v>lrlgof /fhb'tfjf; pQ/ 6's'rf vf]nf ;8s</v>
          </cell>
        </row>
        <row r="20">
          <cell r="A20" t="str">
            <v>p</v>
          </cell>
          <cell r="B20" t="str">
            <v>d}tLb]jL wf]lavf]nf k'n klZrd cgfdgu/ wf]lavf]nf k'n ;8s</v>
          </cell>
        </row>
        <row r="21">
          <cell r="A21" t="str">
            <v>q</v>
          </cell>
          <cell r="B21" t="str">
            <v>6+ufn u0f]z:yfg af6 uxgfkf]v/L hfg] / jl/k/L ;8s</v>
          </cell>
        </row>
        <row r="22">
          <cell r="A22" t="str">
            <v>r</v>
          </cell>
          <cell r="B22" t="str">
            <v>sfTofogL dfu{ vl/af]6 afg]Zj/ ;8s</v>
          </cell>
        </row>
        <row r="23">
          <cell r="A23" t="str">
            <v>s</v>
          </cell>
          <cell r="B23" t="str">
            <v>hl8a'6L k]K;Lsf]nf ;8s</v>
          </cell>
        </row>
        <row r="24">
          <cell r="A24" t="str">
            <v>t</v>
          </cell>
        </row>
        <row r="25">
          <cell r="A25" t="str">
            <v>u</v>
          </cell>
        </row>
        <row r="26">
          <cell r="A26" t="str">
            <v>v</v>
          </cell>
        </row>
        <row r="27">
          <cell r="A27" t="str">
            <v>w</v>
          </cell>
        </row>
        <row r="28">
          <cell r="A28" t="str">
            <v>x</v>
          </cell>
        </row>
        <row r="29">
          <cell r="A29" t="str">
            <v>y</v>
          </cell>
        </row>
        <row r="30">
          <cell r="A30" t="str">
            <v>z</v>
          </cell>
        </row>
        <row r="31">
          <cell r="A31" t="str">
            <v>a1</v>
          </cell>
        </row>
        <row r="32">
          <cell r="A32" t="str">
            <v>b1</v>
          </cell>
        </row>
        <row r="33">
          <cell r="A33" t="str">
            <v>c1</v>
          </cell>
        </row>
        <row r="34">
          <cell r="A34" t="str">
            <v>d1</v>
          </cell>
        </row>
        <row r="38">
          <cell r="A38" t="str">
            <v>b</v>
          </cell>
          <cell r="B38" t="str">
            <v>a6</v>
          </cell>
          <cell r="C38">
            <v>9.59</v>
          </cell>
        </row>
        <row r="39">
          <cell r="A39" t="str">
            <v>b</v>
          </cell>
          <cell r="B39" t="str">
            <v>b7</v>
          </cell>
          <cell r="C39">
            <v>46.21</v>
          </cell>
        </row>
        <row r="40">
          <cell r="A40" t="str">
            <v>b</v>
          </cell>
          <cell r="B40" t="str">
            <v>b5</v>
          </cell>
          <cell r="C40">
            <v>3.82</v>
          </cell>
        </row>
        <row r="41">
          <cell r="A41" t="str">
            <v>b</v>
          </cell>
          <cell r="B41" t="str">
            <v>d2</v>
          </cell>
          <cell r="C41">
            <v>1.59</v>
          </cell>
        </row>
        <row r="42">
          <cell r="A42" t="str">
            <v>b</v>
          </cell>
          <cell r="B42" t="str">
            <v>h3</v>
          </cell>
          <cell r="C42">
            <v>7.5</v>
          </cell>
        </row>
        <row r="43">
          <cell r="A43" t="str">
            <v>b</v>
          </cell>
          <cell r="B43" t="str">
            <v>e18</v>
          </cell>
          <cell r="C43">
            <v>3</v>
          </cell>
        </row>
        <row r="44">
          <cell r="A44" t="str">
            <v>b</v>
          </cell>
          <cell r="B44" t="str">
            <v>e17</v>
          </cell>
          <cell r="C44">
            <v>3</v>
          </cell>
        </row>
        <row r="45">
          <cell r="A45" t="str">
            <v>b</v>
          </cell>
          <cell r="B45" t="str">
            <v>e1</v>
          </cell>
          <cell r="C45">
            <v>550</v>
          </cell>
        </row>
        <row r="46">
          <cell r="A46" t="str">
            <v>b</v>
          </cell>
          <cell r="B46" t="str">
            <v>e11</v>
          </cell>
          <cell r="C46">
            <v>550</v>
          </cell>
        </row>
        <row r="47">
          <cell r="A47" t="str">
            <v>b</v>
          </cell>
          <cell r="B47" t="str">
            <v>e14</v>
          </cell>
          <cell r="C47">
            <v>550</v>
          </cell>
        </row>
        <row r="48">
          <cell r="A48" t="str">
            <v>b</v>
          </cell>
          <cell r="B48" t="str">
            <v>f1</v>
          </cell>
          <cell r="C48">
            <v>550</v>
          </cell>
        </row>
        <row r="49">
          <cell r="A49" t="str">
            <v>b</v>
          </cell>
          <cell r="B49" t="str">
            <v>f5</v>
          </cell>
          <cell r="C49">
            <v>550</v>
          </cell>
        </row>
        <row r="50">
          <cell r="A50" t="str">
            <v>b</v>
          </cell>
          <cell r="B50" t="str">
            <v>f63</v>
          </cell>
          <cell r="C50">
            <v>550</v>
          </cell>
        </row>
        <row r="51">
          <cell r="A51" t="str">
            <v>d</v>
          </cell>
          <cell r="B51" t="str">
            <v>a6</v>
          </cell>
          <cell r="C51">
            <v>22.16</v>
          </cell>
        </row>
        <row r="52">
          <cell r="A52" t="str">
            <v>d</v>
          </cell>
          <cell r="B52" t="str">
            <v>b7</v>
          </cell>
          <cell r="C52">
            <v>90.95</v>
          </cell>
        </row>
        <row r="53">
          <cell r="A53" t="str">
            <v>d</v>
          </cell>
          <cell r="B53" t="str">
            <v>b5</v>
          </cell>
          <cell r="C53">
            <v>7.95</v>
          </cell>
        </row>
        <row r="54">
          <cell r="A54" t="str">
            <v>d</v>
          </cell>
          <cell r="B54" t="str">
            <v>d2</v>
          </cell>
          <cell r="C54">
            <v>3.19</v>
          </cell>
        </row>
        <row r="55">
          <cell r="A55" t="str">
            <v>d</v>
          </cell>
          <cell r="B55" t="str">
            <v>h3</v>
          </cell>
          <cell r="C55">
            <v>10</v>
          </cell>
        </row>
        <row r="56">
          <cell r="A56" t="str">
            <v>d</v>
          </cell>
          <cell r="B56" t="str">
            <v>e18</v>
          </cell>
          <cell r="C56">
            <v>4</v>
          </cell>
        </row>
        <row r="57">
          <cell r="A57" t="str">
            <v>d</v>
          </cell>
          <cell r="B57" t="str">
            <v>e17</v>
          </cell>
          <cell r="C57">
            <v>4</v>
          </cell>
        </row>
        <row r="58">
          <cell r="A58" t="str">
            <v>d</v>
          </cell>
          <cell r="B58" t="str">
            <v>e1</v>
          </cell>
          <cell r="C58">
            <v>790</v>
          </cell>
        </row>
        <row r="59">
          <cell r="A59" t="str">
            <v>d</v>
          </cell>
          <cell r="B59" t="str">
            <v>e11</v>
          </cell>
          <cell r="C59">
            <v>790</v>
          </cell>
        </row>
        <row r="60">
          <cell r="A60" t="str">
            <v>d</v>
          </cell>
          <cell r="B60" t="str">
            <v>e14</v>
          </cell>
          <cell r="C60">
            <v>790</v>
          </cell>
        </row>
        <row r="61">
          <cell r="A61" t="str">
            <v>d</v>
          </cell>
          <cell r="B61" t="str">
            <v>f1</v>
          </cell>
          <cell r="C61">
            <v>790</v>
          </cell>
        </row>
        <row r="62">
          <cell r="A62" t="str">
            <v>d</v>
          </cell>
          <cell r="B62" t="str">
            <v>f5</v>
          </cell>
          <cell r="C62">
            <v>790</v>
          </cell>
        </row>
        <row r="63">
          <cell r="A63" t="str">
            <v>d</v>
          </cell>
          <cell r="B63" t="str">
            <v>f63</v>
          </cell>
          <cell r="C63">
            <v>790</v>
          </cell>
        </row>
        <row r="64">
          <cell r="A64" t="str">
            <v>e</v>
          </cell>
          <cell r="B64" t="str">
            <v>a6</v>
          </cell>
          <cell r="C64">
            <v>10.55</v>
          </cell>
        </row>
        <row r="65">
          <cell r="A65" t="str">
            <v>e</v>
          </cell>
          <cell r="B65" t="str">
            <v>b7</v>
          </cell>
          <cell r="C65">
            <v>50.21</v>
          </cell>
        </row>
        <row r="66">
          <cell r="A66" t="str">
            <v>e</v>
          </cell>
          <cell r="B66" t="str">
            <v>b5</v>
          </cell>
          <cell r="C66">
            <v>4.07</v>
          </cell>
        </row>
        <row r="67">
          <cell r="A67" t="str">
            <v>e</v>
          </cell>
          <cell r="B67" t="str">
            <v>d2</v>
          </cell>
          <cell r="C67">
            <v>1.74</v>
          </cell>
        </row>
        <row r="68">
          <cell r="A68" t="str">
            <v>e</v>
          </cell>
          <cell r="B68" t="str">
            <v>h3</v>
          </cell>
          <cell r="C68">
            <v>7.5</v>
          </cell>
        </row>
        <row r="69">
          <cell r="A69" t="str">
            <v>e</v>
          </cell>
          <cell r="B69" t="str">
            <v>e18</v>
          </cell>
          <cell r="C69">
            <v>3</v>
          </cell>
        </row>
        <row r="70">
          <cell r="A70" t="str">
            <v>e</v>
          </cell>
          <cell r="B70" t="str">
            <v>e17</v>
          </cell>
          <cell r="C70">
            <v>3</v>
          </cell>
        </row>
        <row r="71">
          <cell r="A71" t="str">
            <v>e</v>
          </cell>
          <cell r="B71" t="str">
            <v>e1</v>
          </cell>
          <cell r="C71">
            <v>500</v>
          </cell>
        </row>
        <row r="72">
          <cell r="A72" t="str">
            <v>e</v>
          </cell>
          <cell r="B72" t="str">
            <v>e11</v>
          </cell>
          <cell r="C72">
            <v>500</v>
          </cell>
        </row>
        <row r="73">
          <cell r="A73" t="str">
            <v>e</v>
          </cell>
          <cell r="B73" t="str">
            <v>e14</v>
          </cell>
          <cell r="C73">
            <v>500</v>
          </cell>
        </row>
        <row r="74">
          <cell r="A74" t="str">
            <v>e</v>
          </cell>
          <cell r="B74" t="str">
            <v>f1</v>
          </cell>
          <cell r="C74">
            <v>500</v>
          </cell>
        </row>
        <row r="75">
          <cell r="A75" t="str">
            <v>e</v>
          </cell>
          <cell r="B75" t="str">
            <v>f5</v>
          </cell>
          <cell r="C75">
            <v>500</v>
          </cell>
        </row>
        <row r="76">
          <cell r="A76" t="str">
            <v>e</v>
          </cell>
          <cell r="B76" t="str">
            <v>f63</v>
          </cell>
          <cell r="C76">
            <v>500</v>
          </cell>
        </row>
        <row r="77">
          <cell r="A77" t="str">
            <v>g</v>
          </cell>
          <cell r="B77" t="str">
            <v>a6</v>
          </cell>
          <cell r="C77">
            <v>16.88</v>
          </cell>
        </row>
        <row r="78">
          <cell r="A78" t="str">
            <v>g</v>
          </cell>
          <cell r="B78" t="str">
            <v>b7</v>
          </cell>
          <cell r="C78">
            <v>75.69</v>
          </cell>
        </row>
        <row r="79">
          <cell r="A79" t="str">
            <v>g</v>
          </cell>
          <cell r="B79" t="str">
            <v>b5</v>
          </cell>
          <cell r="C79">
            <v>6.28</v>
          </cell>
        </row>
        <row r="80">
          <cell r="A80" t="str">
            <v>g</v>
          </cell>
          <cell r="B80" t="str">
            <v>d2</v>
          </cell>
          <cell r="C80">
            <v>2.61</v>
          </cell>
        </row>
        <row r="81">
          <cell r="A81" t="str">
            <v>g</v>
          </cell>
          <cell r="B81" t="str">
            <v>h3</v>
          </cell>
          <cell r="C81">
            <v>12.5</v>
          </cell>
        </row>
        <row r="82">
          <cell r="A82" t="str">
            <v>g</v>
          </cell>
          <cell r="B82" t="str">
            <v>e18</v>
          </cell>
          <cell r="C82">
            <v>5</v>
          </cell>
        </row>
        <row r="83">
          <cell r="A83" t="str">
            <v>g</v>
          </cell>
          <cell r="B83" t="str">
            <v>e17</v>
          </cell>
          <cell r="C83">
            <v>5</v>
          </cell>
        </row>
        <row r="84">
          <cell r="A84" t="str">
            <v>g</v>
          </cell>
          <cell r="B84" t="str">
            <v>e1</v>
          </cell>
          <cell r="C84">
            <v>780</v>
          </cell>
        </row>
        <row r="85">
          <cell r="A85" t="str">
            <v>g</v>
          </cell>
          <cell r="B85" t="str">
            <v>e11</v>
          </cell>
          <cell r="C85">
            <v>780</v>
          </cell>
        </row>
        <row r="86">
          <cell r="A86" t="str">
            <v>g</v>
          </cell>
          <cell r="B86" t="str">
            <v>e14</v>
          </cell>
          <cell r="C86">
            <v>780</v>
          </cell>
        </row>
        <row r="87">
          <cell r="A87" t="str">
            <v>g</v>
          </cell>
          <cell r="B87" t="str">
            <v>f1</v>
          </cell>
          <cell r="C87">
            <v>780</v>
          </cell>
        </row>
        <row r="88">
          <cell r="A88" t="str">
            <v>g</v>
          </cell>
          <cell r="B88" t="str">
            <v>f5</v>
          </cell>
          <cell r="C88">
            <v>780</v>
          </cell>
        </row>
        <row r="89">
          <cell r="A89" t="str">
            <v>g</v>
          </cell>
          <cell r="B89" t="str">
            <v>f63</v>
          </cell>
          <cell r="C89">
            <v>780</v>
          </cell>
        </row>
        <row r="90">
          <cell r="A90" t="str">
            <v>h</v>
          </cell>
          <cell r="B90" t="str">
            <v>a6</v>
          </cell>
          <cell r="C90">
            <v>9.81</v>
          </cell>
        </row>
        <row r="91">
          <cell r="A91" t="str">
            <v>h</v>
          </cell>
          <cell r="B91" t="str">
            <v>c3</v>
          </cell>
          <cell r="C91">
            <v>1.1100000000000001</v>
          </cell>
        </row>
        <row r="92">
          <cell r="A92" t="str">
            <v>h</v>
          </cell>
          <cell r="B92" t="str">
            <v>c1</v>
          </cell>
          <cell r="C92">
            <v>11.93</v>
          </cell>
        </row>
        <row r="93">
          <cell r="A93" t="str">
            <v>h</v>
          </cell>
          <cell r="B93" t="str">
            <v>h7</v>
          </cell>
          <cell r="C93">
            <v>7.5</v>
          </cell>
        </row>
        <row r="94">
          <cell r="A94" t="str">
            <v>h</v>
          </cell>
          <cell r="B94" t="str">
            <v>a34</v>
          </cell>
          <cell r="C94">
            <v>3.95</v>
          </cell>
        </row>
        <row r="95">
          <cell r="A95" t="str">
            <v>h</v>
          </cell>
          <cell r="B95" t="str">
            <v>e1</v>
          </cell>
          <cell r="C95">
            <v>1650</v>
          </cell>
        </row>
        <row r="96">
          <cell r="A96" t="str">
            <v>h</v>
          </cell>
          <cell r="B96" t="str">
            <v>e11</v>
          </cell>
          <cell r="C96">
            <v>1650</v>
          </cell>
        </row>
        <row r="97">
          <cell r="A97" t="str">
            <v>h</v>
          </cell>
          <cell r="B97" t="str">
            <v>e14</v>
          </cell>
          <cell r="C97">
            <v>1650</v>
          </cell>
        </row>
        <row r="98">
          <cell r="A98" t="str">
            <v>h</v>
          </cell>
          <cell r="B98" t="str">
            <v>f1</v>
          </cell>
          <cell r="C98">
            <v>1650</v>
          </cell>
        </row>
        <row r="99">
          <cell r="A99" t="str">
            <v>h</v>
          </cell>
          <cell r="B99" t="str">
            <v>f5</v>
          </cell>
          <cell r="C99">
            <v>1650</v>
          </cell>
        </row>
        <row r="100">
          <cell r="A100" t="str">
            <v>h</v>
          </cell>
          <cell r="B100" t="str">
            <v>f63</v>
          </cell>
          <cell r="C100">
            <v>1650</v>
          </cell>
        </row>
        <row r="101">
          <cell r="A101" t="str">
            <v>i</v>
          </cell>
          <cell r="B101" t="str">
            <v>a6</v>
          </cell>
          <cell r="C101">
            <v>3.35</v>
          </cell>
        </row>
        <row r="102">
          <cell r="A102" t="str">
            <v>i</v>
          </cell>
          <cell r="B102" t="str">
            <v>b5</v>
          </cell>
          <cell r="C102">
            <v>1.0429999999999999</v>
          </cell>
        </row>
        <row r="103">
          <cell r="A103" t="str">
            <v>i</v>
          </cell>
          <cell r="B103" t="str">
            <v>h3</v>
          </cell>
          <cell r="C103">
            <v>7.5</v>
          </cell>
        </row>
        <row r="104">
          <cell r="A104" t="str">
            <v>i</v>
          </cell>
          <cell r="B104" t="str">
            <v>e18</v>
          </cell>
          <cell r="C104">
            <v>3</v>
          </cell>
        </row>
        <row r="105">
          <cell r="A105" t="str">
            <v>i</v>
          </cell>
          <cell r="B105" t="str">
            <v>e1</v>
          </cell>
          <cell r="C105">
            <v>720</v>
          </cell>
        </row>
        <row r="106">
          <cell r="A106" t="str">
            <v>i</v>
          </cell>
          <cell r="B106" t="str">
            <v>e11</v>
          </cell>
          <cell r="C106">
            <v>720</v>
          </cell>
        </row>
        <row r="107">
          <cell r="A107" t="str">
            <v>j</v>
          </cell>
          <cell r="B107" t="str">
            <v>a6</v>
          </cell>
          <cell r="C107">
            <v>8.83</v>
          </cell>
        </row>
        <row r="108">
          <cell r="A108" t="str">
            <v>j</v>
          </cell>
          <cell r="B108" t="str">
            <v>b7</v>
          </cell>
          <cell r="C108">
            <v>41.47</v>
          </cell>
        </row>
        <row r="109">
          <cell r="A109" t="str">
            <v>j</v>
          </cell>
          <cell r="B109" t="str">
            <v>b5</v>
          </cell>
          <cell r="C109">
            <v>1.22</v>
          </cell>
        </row>
        <row r="110">
          <cell r="A110" t="str">
            <v>j</v>
          </cell>
          <cell r="B110" t="str">
            <v>d2</v>
          </cell>
          <cell r="C110">
            <v>1.45</v>
          </cell>
        </row>
        <row r="111">
          <cell r="A111" t="str">
            <v>j</v>
          </cell>
          <cell r="B111" t="str">
            <v>h3</v>
          </cell>
          <cell r="C111">
            <v>5</v>
          </cell>
        </row>
        <row r="112">
          <cell r="A112" t="str">
            <v>j</v>
          </cell>
          <cell r="B112" t="str">
            <v>e18</v>
          </cell>
          <cell r="C112">
            <v>2</v>
          </cell>
        </row>
        <row r="113">
          <cell r="A113" t="str">
            <v>j</v>
          </cell>
          <cell r="B113" t="str">
            <v>e17</v>
          </cell>
          <cell r="C113">
            <v>2</v>
          </cell>
        </row>
        <row r="114">
          <cell r="A114" t="str">
            <v>j</v>
          </cell>
          <cell r="B114" t="str">
            <v>e1</v>
          </cell>
          <cell r="C114">
            <v>300</v>
          </cell>
        </row>
        <row r="115">
          <cell r="A115" t="str">
            <v>j</v>
          </cell>
          <cell r="B115" t="str">
            <v>e11</v>
          </cell>
          <cell r="C115">
            <v>300</v>
          </cell>
        </row>
        <row r="116">
          <cell r="A116" t="str">
            <v>j</v>
          </cell>
          <cell r="B116" t="str">
            <v>e14</v>
          </cell>
          <cell r="C116">
            <v>300</v>
          </cell>
        </row>
        <row r="117">
          <cell r="A117" t="str">
            <v>j</v>
          </cell>
          <cell r="B117" t="str">
            <v>f1</v>
          </cell>
          <cell r="C117">
            <v>300</v>
          </cell>
        </row>
        <row r="118">
          <cell r="A118" t="str">
            <v>j</v>
          </cell>
          <cell r="B118" t="str">
            <v>f5</v>
          </cell>
          <cell r="C118">
            <v>300</v>
          </cell>
        </row>
        <row r="119">
          <cell r="A119" t="str">
            <v>j</v>
          </cell>
          <cell r="B119" t="str">
            <v>f63</v>
          </cell>
          <cell r="C119">
            <v>300</v>
          </cell>
        </row>
        <row r="120">
          <cell r="A120" t="str">
            <v>k</v>
          </cell>
          <cell r="B120" t="str">
            <v>a6</v>
          </cell>
          <cell r="C120">
            <v>8.83</v>
          </cell>
        </row>
        <row r="121">
          <cell r="A121" t="str">
            <v>k</v>
          </cell>
          <cell r="B121" t="str">
            <v>b7</v>
          </cell>
          <cell r="C121">
            <v>41.47</v>
          </cell>
        </row>
        <row r="122">
          <cell r="A122" t="str">
            <v>k</v>
          </cell>
          <cell r="B122" t="str">
            <v>b5</v>
          </cell>
          <cell r="C122">
            <v>1.22</v>
          </cell>
        </row>
        <row r="123">
          <cell r="A123" t="str">
            <v>k</v>
          </cell>
          <cell r="B123" t="str">
            <v>d2</v>
          </cell>
          <cell r="C123">
            <v>1.45</v>
          </cell>
        </row>
        <row r="124">
          <cell r="A124" t="str">
            <v>k</v>
          </cell>
          <cell r="B124" t="str">
            <v>h3</v>
          </cell>
          <cell r="C124">
            <v>5</v>
          </cell>
        </row>
        <row r="125">
          <cell r="A125" t="str">
            <v>k</v>
          </cell>
          <cell r="B125" t="str">
            <v>e18</v>
          </cell>
          <cell r="C125">
            <v>2</v>
          </cell>
        </row>
        <row r="126">
          <cell r="A126" t="str">
            <v>k</v>
          </cell>
          <cell r="B126" t="str">
            <v>e17</v>
          </cell>
          <cell r="C126">
            <v>2</v>
          </cell>
        </row>
        <row r="127">
          <cell r="A127" t="str">
            <v>k</v>
          </cell>
          <cell r="B127" t="str">
            <v>e1</v>
          </cell>
          <cell r="C127">
            <v>300</v>
          </cell>
        </row>
        <row r="128">
          <cell r="A128" t="str">
            <v>k</v>
          </cell>
          <cell r="B128" t="str">
            <v>e11</v>
          </cell>
          <cell r="C128">
            <v>300</v>
          </cell>
        </row>
        <row r="129">
          <cell r="A129" t="str">
            <v>k</v>
          </cell>
          <cell r="B129" t="str">
            <v>e14</v>
          </cell>
          <cell r="C129">
            <v>300</v>
          </cell>
        </row>
        <row r="130">
          <cell r="A130" t="str">
            <v>k</v>
          </cell>
          <cell r="B130" t="str">
            <v>f1</v>
          </cell>
          <cell r="C130">
            <v>300</v>
          </cell>
        </row>
        <row r="131">
          <cell r="A131" t="str">
            <v>k</v>
          </cell>
          <cell r="B131" t="str">
            <v>f5</v>
          </cell>
          <cell r="C131">
            <v>300</v>
          </cell>
        </row>
        <row r="132">
          <cell r="A132" t="str">
            <v>k</v>
          </cell>
          <cell r="B132" t="str">
            <v>f63</v>
          </cell>
          <cell r="C132">
            <v>300</v>
          </cell>
        </row>
        <row r="133">
          <cell r="A133" t="str">
            <v>m</v>
          </cell>
          <cell r="B133" t="str">
            <v>e1</v>
          </cell>
          <cell r="C133">
            <v>370</v>
          </cell>
        </row>
        <row r="134">
          <cell r="A134" t="str">
            <v>m</v>
          </cell>
          <cell r="B134" t="str">
            <v>e10</v>
          </cell>
          <cell r="C134">
            <v>370</v>
          </cell>
        </row>
        <row r="135">
          <cell r="A135" t="str">
            <v>m</v>
          </cell>
          <cell r="B135" t="str">
            <v>e14</v>
          </cell>
          <cell r="C135">
            <v>370</v>
          </cell>
        </row>
        <row r="136">
          <cell r="A136" t="str">
            <v>m</v>
          </cell>
          <cell r="B136" t="str">
            <v>f1</v>
          </cell>
          <cell r="C136">
            <v>370</v>
          </cell>
        </row>
        <row r="137">
          <cell r="A137" t="str">
            <v>m</v>
          </cell>
          <cell r="B137" t="str">
            <v>f5</v>
          </cell>
          <cell r="C137">
            <v>370</v>
          </cell>
        </row>
        <row r="138">
          <cell r="A138" t="str">
            <v>m</v>
          </cell>
          <cell r="B138" t="str">
            <v>f63</v>
          </cell>
          <cell r="C138">
            <v>370</v>
          </cell>
        </row>
        <row r="139">
          <cell r="A139" t="str">
            <v>n</v>
          </cell>
          <cell r="B139" t="str">
            <v>e1</v>
          </cell>
          <cell r="C139">
            <v>850</v>
          </cell>
        </row>
        <row r="140">
          <cell r="A140" t="str">
            <v>n</v>
          </cell>
          <cell r="B140" t="str">
            <v>e11</v>
          </cell>
          <cell r="C140">
            <v>850</v>
          </cell>
        </row>
        <row r="141">
          <cell r="A141" t="str">
            <v>r</v>
          </cell>
          <cell r="B141" t="str">
            <v>a6</v>
          </cell>
          <cell r="C141">
            <v>11.27</v>
          </cell>
        </row>
        <row r="142">
          <cell r="A142" t="str">
            <v>r</v>
          </cell>
          <cell r="B142" t="str">
            <v>b7</v>
          </cell>
          <cell r="C142">
            <v>50.95</v>
          </cell>
        </row>
        <row r="143">
          <cell r="A143" t="str">
            <v>r</v>
          </cell>
          <cell r="B143" t="str">
            <v>b5</v>
          </cell>
          <cell r="C143">
            <v>3.14</v>
          </cell>
        </row>
        <row r="144">
          <cell r="A144" t="str">
            <v>r</v>
          </cell>
          <cell r="B144" t="str">
            <v>d2</v>
          </cell>
          <cell r="C144">
            <v>1.74</v>
          </cell>
        </row>
        <row r="145">
          <cell r="A145" t="str">
            <v>r</v>
          </cell>
          <cell r="B145" t="str">
            <v>h3</v>
          </cell>
          <cell r="C145">
            <v>10</v>
          </cell>
        </row>
        <row r="146">
          <cell r="A146" t="str">
            <v>r</v>
          </cell>
          <cell r="B146" t="str">
            <v>e18</v>
          </cell>
          <cell r="C146">
            <v>4</v>
          </cell>
        </row>
        <row r="147">
          <cell r="A147" t="str">
            <v>r</v>
          </cell>
          <cell r="B147" t="str">
            <v>e17</v>
          </cell>
          <cell r="C147">
            <v>4</v>
          </cell>
        </row>
        <row r="148">
          <cell r="A148" t="str">
            <v>r</v>
          </cell>
          <cell r="B148" t="str">
            <v>e1</v>
          </cell>
          <cell r="C148">
            <v>552</v>
          </cell>
        </row>
        <row r="149">
          <cell r="A149" t="str">
            <v>r</v>
          </cell>
          <cell r="B149" t="str">
            <v>e11</v>
          </cell>
          <cell r="C149">
            <v>552</v>
          </cell>
        </row>
        <row r="150">
          <cell r="A150" t="str">
            <v>r</v>
          </cell>
          <cell r="B150" t="str">
            <v>e14</v>
          </cell>
          <cell r="C150">
            <v>552</v>
          </cell>
        </row>
        <row r="151">
          <cell r="A151" t="str">
            <v>r</v>
          </cell>
          <cell r="B151" t="str">
            <v>f1</v>
          </cell>
          <cell r="C151">
            <v>552</v>
          </cell>
        </row>
        <row r="152">
          <cell r="A152" t="str">
            <v>r</v>
          </cell>
          <cell r="B152" t="str">
            <v>f5</v>
          </cell>
          <cell r="C152">
            <v>552</v>
          </cell>
        </row>
        <row r="153">
          <cell r="A153" t="str">
            <v>r</v>
          </cell>
          <cell r="B153" t="str">
            <v>f63</v>
          </cell>
          <cell r="C153">
            <v>552</v>
          </cell>
        </row>
        <row r="154">
          <cell r="A154" t="str">
            <v>a</v>
          </cell>
          <cell r="B154" t="str">
            <v>c5</v>
          </cell>
          <cell r="C154">
            <v>14</v>
          </cell>
        </row>
        <row r="155">
          <cell r="A155" t="str">
            <v>a</v>
          </cell>
          <cell r="B155" t="str">
            <v>e14</v>
          </cell>
          <cell r="C155">
            <v>700</v>
          </cell>
        </row>
        <row r="156">
          <cell r="A156" t="str">
            <v>a</v>
          </cell>
          <cell r="B156" t="str">
            <v>f1</v>
          </cell>
          <cell r="C156">
            <v>700</v>
          </cell>
        </row>
        <row r="157">
          <cell r="A157" t="str">
            <v>a</v>
          </cell>
          <cell r="B157" t="str">
            <v>f5</v>
          </cell>
          <cell r="C157">
            <v>700</v>
          </cell>
        </row>
        <row r="158">
          <cell r="A158" t="str">
            <v>a</v>
          </cell>
          <cell r="B158" t="str">
            <v>f63</v>
          </cell>
          <cell r="C158">
            <v>700</v>
          </cell>
        </row>
        <row r="159">
          <cell r="A159" t="str">
            <v>c</v>
          </cell>
          <cell r="B159" t="str">
            <v>a6</v>
          </cell>
          <cell r="C159">
            <v>16</v>
          </cell>
        </row>
        <row r="160">
          <cell r="A160" t="str">
            <v>c</v>
          </cell>
          <cell r="B160" t="str">
            <v>a32</v>
          </cell>
          <cell r="C160">
            <v>16</v>
          </cell>
        </row>
        <row r="161">
          <cell r="A161" t="str">
            <v>c</v>
          </cell>
          <cell r="B161" t="str">
            <v>b7</v>
          </cell>
          <cell r="C161">
            <v>120</v>
          </cell>
        </row>
        <row r="162">
          <cell r="A162" t="str">
            <v>c</v>
          </cell>
          <cell r="B162" t="str">
            <v>d2</v>
          </cell>
          <cell r="C162">
            <v>9</v>
          </cell>
        </row>
        <row r="163">
          <cell r="A163" t="str">
            <v>c</v>
          </cell>
          <cell r="B163" t="str">
            <v>e13</v>
          </cell>
          <cell r="C163">
            <v>1000</v>
          </cell>
        </row>
        <row r="164">
          <cell r="A164" t="str">
            <v>c</v>
          </cell>
          <cell r="B164" t="str">
            <v>e16</v>
          </cell>
          <cell r="C164">
            <v>750</v>
          </cell>
        </row>
        <row r="165">
          <cell r="A165" t="str">
            <v>c</v>
          </cell>
          <cell r="B165" t="str">
            <v>e18</v>
          </cell>
          <cell r="C165">
            <v>4</v>
          </cell>
        </row>
        <row r="166">
          <cell r="A166" t="str">
            <v>c</v>
          </cell>
          <cell r="B166" t="str">
            <v>f1</v>
          </cell>
          <cell r="C166">
            <v>1750</v>
          </cell>
        </row>
        <row r="167">
          <cell r="A167" t="str">
            <v>c</v>
          </cell>
          <cell r="B167" t="str">
            <v>f3</v>
          </cell>
          <cell r="C167">
            <v>1000</v>
          </cell>
        </row>
        <row r="168">
          <cell r="A168" t="str">
            <v>c</v>
          </cell>
          <cell r="B168" t="str">
            <v>f5</v>
          </cell>
          <cell r="C168">
            <v>750</v>
          </cell>
        </row>
        <row r="169">
          <cell r="A169" t="str">
            <v>c</v>
          </cell>
          <cell r="B169" t="str">
            <v>f63</v>
          </cell>
          <cell r="C169">
            <v>1750</v>
          </cell>
        </row>
        <row r="170">
          <cell r="A170" t="str">
            <v>f</v>
          </cell>
          <cell r="B170" t="str">
            <v>a6</v>
          </cell>
          <cell r="C170">
            <v>19</v>
          </cell>
        </row>
        <row r="171">
          <cell r="A171" t="str">
            <v>f</v>
          </cell>
          <cell r="B171" t="str">
            <v>a32</v>
          </cell>
          <cell r="C171">
            <v>19</v>
          </cell>
        </row>
        <row r="172">
          <cell r="A172" t="str">
            <v>f</v>
          </cell>
          <cell r="B172" t="str">
            <v>b7</v>
          </cell>
          <cell r="C172">
            <v>142.5</v>
          </cell>
        </row>
        <row r="173">
          <cell r="A173" t="str">
            <v>f</v>
          </cell>
          <cell r="B173" t="str">
            <v>d2</v>
          </cell>
          <cell r="C173">
            <v>9.5</v>
          </cell>
        </row>
        <row r="174">
          <cell r="A174" t="str">
            <v>f</v>
          </cell>
          <cell r="B174" t="str">
            <v>e13</v>
          </cell>
          <cell r="C174">
            <v>125</v>
          </cell>
        </row>
        <row r="175">
          <cell r="A175" t="str">
            <v>f</v>
          </cell>
          <cell r="B175" t="str">
            <v>e18</v>
          </cell>
          <cell r="C175">
            <v>7</v>
          </cell>
        </row>
        <row r="176">
          <cell r="A176" t="str">
            <v>f</v>
          </cell>
          <cell r="B176" t="str">
            <v>f1</v>
          </cell>
          <cell r="C176">
            <v>500</v>
          </cell>
        </row>
        <row r="177">
          <cell r="A177" t="str">
            <v>f</v>
          </cell>
          <cell r="B177" t="str">
            <v>f5</v>
          </cell>
          <cell r="C177">
            <v>500</v>
          </cell>
        </row>
        <row r="178">
          <cell r="A178" t="str">
            <v>f</v>
          </cell>
          <cell r="B178" t="str">
            <v>f63</v>
          </cell>
          <cell r="C178">
            <v>500</v>
          </cell>
        </row>
        <row r="179">
          <cell r="A179" t="str">
            <v>l</v>
          </cell>
          <cell r="B179" t="str">
            <v>e1</v>
          </cell>
          <cell r="C179">
            <v>1200</v>
          </cell>
        </row>
        <row r="180">
          <cell r="A180" t="str">
            <v>l</v>
          </cell>
          <cell r="B180" t="str">
            <v>e11</v>
          </cell>
          <cell r="C180">
            <v>1200</v>
          </cell>
        </row>
        <row r="181">
          <cell r="A181" t="str">
            <v>o</v>
          </cell>
          <cell r="B181" t="str">
            <v>a6</v>
          </cell>
          <cell r="C181">
            <v>35</v>
          </cell>
        </row>
        <row r="182">
          <cell r="A182" t="str">
            <v>o</v>
          </cell>
          <cell r="B182" t="str">
            <v>a32</v>
          </cell>
          <cell r="C182">
            <v>35</v>
          </cell>
        </row>
        <row r="183">
          <cell r="A183" t="str">
            <v>o</v>
          </cell>
          <cell r="B183" t="str">
            <v>c1</v>
          </cell>
          <cell r="C183">
            <v>45</v>
          </cell>
        </row>
        <row r="184">
          <cell r="A184" t="str">
            <v>o</v>
          </cell>
          <cell r="B184" t="str">
            <v>e1</v>
          </cell>
          <cell r="C184">
            <v>320</v>
          </cell>
        </row>
        <row r="185">
          <cell r="A185" t="str">
            <v>o</v>
          </cell>
          <cell r="B185" t="str">
            <v>e11</v>
          </cell>
          <cell r="C185">
            <v>320</v>
          </cell>
        </row>
        <row r="186">
          <cell r="A186" t="str">
            <v>p</v>
          </cell>
          <cell r="B186" t="str">
            <v>e1</v>
          </cell>
          <cell r="C186">
            <v>1200</v>
          </cell>
        </row>
        <row r="187">
          <cell r="A187" t="str">
            <v>p</v>
          </cell>
          <cell r="B187" t="str">
            <v>e11</v>
          </cell>
          <cell r="C187">
            <v>1200</v>
          </cell>
        </row>
        <row r="188">
          <cell r="A188" t="str">
            <v>q</v>
          </cell>
          <cell r="B188" t="str">
            <v>e12</v>
          </cell>
          <cell r="C188">
            <v>350</v>
          </cell>
        </row>
        <row r="189">
          <cell r="A189" t="str">
            <v>q</v>
          </cell>
          <cell r="B189" t="str">
            <v>f1</v>
          </cell>
          <cell r="C189">
            <v>1125</v>
          </cell>
        </row>
        <row r="190">
          <cell r="A190" t="str">
            <v>q</v>
          </cell>
          <cell r="B190" t="str">
            <v>f5</v>
          </cell>
          <cell r="C190">
            <v>1125</v>
          </cell>
        </row>
        <row r="191">
          <cell r="A191" t="str">
            <v>q</v>
          </cell>
          <cell r="B191" t="str">
            <v>f63</v>
          </cell>
          <cell r="C191">
            <v>1125</v>
          </cell>
        </row>
        <row r="192">
          <cell r="A192" t="str">
            <v>s</v>
          </cell>
          <cell r="B192" t="str">
            <v>f1</v>
          </cell>
          <cell r="C192">
            <v>1900</v>
          </cell>
        </row>
        <row r="193">
          <cell r="A193" t="str">
            <v>s</v>
          </cell>
          <cell r="B193" t="str">
            <v>f5</v>
          </cell>
          <cell r="C193">
            <v>1900</v>
          </cell>
        </row>
        <row r="194">
          <cell r="A194" t="str">
            <v>s</v>
          </cell>
          <cell r="B194" t="str">
            <v>f63</v>
          </cell>
          <cell r="C194">
            <v>1900</v>
          </cell>
        </row>
        <row r="195">
          <cell r="A195" t="str">
            <v>end</v>
          </cell>
        </row>
      </sheetData>
      <sheetData sheetId="3" refreshError="1"/>
      <sheetData sheetId="4" refreshError="1"/>
      <sheetData sheetId="5" refreshError="1"/>
      <sheetData sheetId="6" refreshError="1"/>
      <sheetData sheetId="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ates"/>
      <sheetName val="INPUT"/>
      <sheetName val="abs1"/>
      <sheetName val="summary"/>
      <sheetName val="temp"/>
      <sheetName val="Sheet1"/>
      <sheetName val="summary (2)"/>
    </sheetNames>
    <sheetDataSet>
      <sheetData sheetId="0"/>
      <sheetData sheetId="1" refreshError="1">
        <row r="1">
          <cell r="A1" t="str">
            <v>sf]* g+=</v>
          </cell>
          <cell r="C1" t="str">
            <v>cfO^d  gDj/</v>
          </cell>
          <cell r="D1" t="str">
            <v>sfo{sf] ljj/)f</v>
          </cell>
          <cell r="E1" t="str">
            <v>PsfO{</v>
          </cell>
          <cell r="G1" t="str">
            <v>!%Ücf]=x]=tyf !)Üd"=c=s= afx]s</v>
          </cell>
          <cell r="H1" t="str">
            <v>!%Ücf]=x]= ;lxt tyf !)Ü d"=c=s= jfx]s ;Dk"0f{ b/</v>
          </cell>
          <cell r="I1" t="str">
            <v>s}lkmot</v>
          </cell>
        </row>
        <row r="2">
          <cell r="A2" t="str">
            <v>A1</v>
          </cell>
          <cell r="C2">
            <v>1.3</v>
          </cell>
          <cell r="D2" t="str">
            <v>jfSnf] emf/kft sf6\g] h/f lemSg] / lgdf{0f :ynjf6 @% ld= ;Dd jf]sfgL ug{] sfo{ -emf/kftsf] uf]nfO{ #) ;]=ld= ;Dd / !)) j=ld= If]qdf !% uf]6f emf/kft a'§fj'§L eGbf j9L_ .</v>
          </cell>
          <cell r="E2" t="str">
            <v>j=dL=</v>
          </cell>
          <cell r="G2">
            <v>4.3999999999999995</v>
          </cell>
          <cell r="H2">
            <v>5.0599999999999996</v>
          </cell>
        </row>
        <row r="3">
          <cell r="A3" t="str">
            <v>A2</v>
          </cell>
          <cell r="C3">
            <v>1.8</v>
          </cell>
          <cell r="D3" t="str">
            <v>dflyNnf] df6f] vGg] sfd lgdf{0f :ynjf6 aflx/ jf]sfgL ug{] ;d]t . - df6f]sf] txsf] df]6fO{ -!%–@)_;]=ld=_</v>
          </cell>
          <cell r="E3" t="str">
            <v>j=dL=</v>
          </cell>
          <cell r="G3">
            <v>17.599999999999998</v>
          </cell>
          <cell r="H3">
            <v>20.239999999999998</v>
          </cell>
        </row>
        <row r="4">
          <cell r="A4" t="str">
            <v>A3</v>
          </cell>
          <cell r="C4">
            <v>2.1</v>
          </cell>
          <cell r="D4" t="str">
            <v>g/d k|sf/sf] Sn] / l;N6L df6f]df ;a} lsl;dsf] vGg] sfd !) ld= ;Dd jf]sfgL / l8:kf]hn / !=% ld= ;Dd lnkm\6 ;d]t .</v>
          </cell>
          <cell r="E4" t="str">
            <v>#=dL=</v>
          </cell>
          <cell r="G4">
            <v>79.304347826086953</v>
          </cell>
          <cell r="H4">
            <v>91.2</v>
          </cell>
        </row>
        <row r="5">
          <cell r="A5" t="str">
            <v>A4</v>
          </cell>
          <cell r="C5">
            <v>2.2000000000000002</v>
          </cell>
          <cell r="D5" t="str">
            <v>;fx|f] k|sf/sf] g/d d'/d 9'Ëf -#) ;]=ld= ;Dd ldl;Psf] df6f]df ;a} lsl;dsf] vGg] sfd !)ld=;Dd jf]sfgL l8:kf]hn / !=% ld=lnkm\6 ;d]t.</v>
          </cell>
          <cell r="E5" t="str">
            <v>#=dL=</v>
          </cell>
          <cell r="G5">
            <v>90.643478260869571</v>
          </cell>
          <cell r="H5">
            <v>104.24</v>
          </cell>
        </row>
        <row r="6">
          <cell r="A6" t="str">
            <v>A5</v>
          </cell>
          <cell r="C6">
            <v>2.9</v>
          </cell>
          <cell r="D6" t="str">
            <v>g/d df6f]df vfN8f] vGg] sfd !) ld= ;Dd jf]sfgL l8:kf]hn / !=% ld= lnkm\6 sf] ;'ljwf ;d]t .</v>
          </cell>
          <cell r="E6" t="str">
            <v>#=dL=</v>
          </cell>
          <cell r="G6">
            <v>113.29565217391304</v>
          </cell>
          <cell r="H6">
            <v>130.29</v>
          </cell>
        </row>
        <row r="7">
          <cell r="A7" t="str">
            <v>A6</v>
          </cell>
          <cell r="C7">
            <v>2.12</v>
          </cell>
          <cell r="D7" t="str">
            <v>;fx|f] df6f]df l8r sl6Ë ug{] sfd !) ld= ;Dd jf]sfgL l8:kf]hn / !=% ld= lnkm\6sf] ;'ljwf ;d]t.</v>
          </cell>
          <cell r="E7" t="str">
            <v>#=dL=</v>
          </cell>
          <cell r="G7">
            <v>141.63</v>
          </cell>
          <cell r="H7">
            <v>162.87</v>
          </cell>
        </row>
        <row r="8">
          <cell r="A8" t="str">
            <v>A7</v>
          </cell>
          <cell r="C8">
            <v>2.14</v>
          </cell>
          <cell r="D8" t="str">
            <v>hu , 9n , kfO{k nfO{gsf] nflu -af]N8/ ldl;Psf]_ df6f]df vfN8f] vGg]] sfd  !) ld= ;Dd jf]sfgL l8:kf]hn / !=% ld= lnkm\6sf] ;'ljwf ;d]t.</v>
          </cell>
          <cell r="E8" t="str">
            <v>#=dL=</v>
          </cell>
          <cell r="G8">
            <v>180.14782608695651</v>
          </cell>
          <cell r="H8">
            <v>207.17</v>
          </cell>
        </row>
        <row r="9">
          <cell r="A9" t="str">
            <v>A8</v>
          </cell>
          <cell r="C9" t="str">
            <v>2.17-s_</v>
          </cell>
          <cell r="D9" t="str">
            <v>df6f]df afS;f sf6\g] sfd !) ld= af]sfgL l8:kf]hn / !=% ld= lnkm\6 ;'ljwf -s_ g/d df6f] .</v>
          </cell>
          <cell r="E9" t="str">
            <v>#=dL=</v>
          </cell>
          <cell r="G9">
            <v>88.365217391304341</v>
          </cell>
          <cell r="H9">
            <v>101.62</v>
          </cell>
        </row>
        <row r="10">
          <cell r="A10" t="str">
            <v>A9</v>
          </cell>
          <cell r="C10" t="str">
            <v>2.17-v_</v>
          </cell>
          <cell r="D10" t="str">
            <v>df6f]df afS;f sf6\g] sfd !) ld= af]sfgL l8:kf]hn / !=% ld= lnkm\6 ;'ljwf -s_ ;fx|f] df6f] .</v>
          </cell>
          <cell r="E10" t="str">
            <v>#=dL=</v>
          </cell>
          <cell r="G10">
            <v>106.49565217391304</v>
          </cell>
          <cell r="H10">
            <v>122.47</v>
          </cell>
        </row>
        <row r="11">
          <cell r="A11" t="str">
            <v>A10</v>
          </cell>
          <cell r="C11">
            <v>2.2200000000000002</v>
          </cell>
          <cell r="D11" t="str">
            <v>sd ulx/f] kfgLdf ;fx|f] df6f]];+u !) ;]=dL= eGbf a9L Aof;sf] u|fe]n ldl;Psf] df6f]df  hu vGg] sfd !) ld= ;Dd jf]sfgL l8:kf]hn / !=% ld= lnkm\6 ;d]t .</v>
          </cell>
          <cell r="E11" t="str">
            <v>#=dL=</v>
          </cell>
          <cell r="G11">
            <v>283.24347826086955</v>
          </cell>
          <cell r="H11">
            <v>325.73</v>
          </cell>
        </row>
        <row r="12">
          <cell r="A12" t="str">
            <v>A11</v>
          </cell>
          <cell r="C12">
            <v>2.23</v>
          </cell>
          <cell r="D12" t="str">
            <v>sd ulx/f] kfgLdf ;fx|f] df6f]];+u !) ;]=dL= eGbf sd Aof;sf] u|fe]n ldl;Psf] df6f]df hu vGg] sfd !) ld= ;Dd jf]sfgL l8:kf]hn / !=% ld= lnkm\6 ;d]t .</v>
          </cell>
          <cell r="E12" t="str">
            <v>#=dL=</v>
          </cell>
          <cell r="G12">
            <v>260.5826086956522</v>
          </cell>
          <cell r="H12">
            <v>299.67</v>
          </cell>
        </row>
        <row r="13">
          <cell r="A13" t="str">
            <v>A12</v>
          </cell>
          <cell r="C13" t="str">
            <v>2.24-s_</v>
          </cell>
          <cell r="D13" t="str">
            <v>kfgL d'gL af]N8/ / u|fe]ndf  hu vGg] sfd !) ld= ;Dd jf]sfgL l8:kf]hn -s_ !=)dL= ulx/f] vgfO{ / $=) ld= lnkm\6 ;d]t .</v>
          </cell>
          <cell r="E13" t="str">
            <v>#=dL=</v>
          </cell>
          <cell r="G13">
            <v>397.67826086956524</v>
          </cell>
          <cell r="H13">
            <v>457.33</v>
          </cell>
        </row>
        <row r="14">
          <cell r="A14" t="str">
            <v>A13</v>
          </cell>
          <cell r="C14" t="str">
            <v>2.24-v_</v>
          </cell>
          <cell r="D14" t="str">
            <v>kfgL d'gL af]N8/ / u|fe]ndf  hu vGg] sfd !) ld= ;Dd jf]sfgL l8:kf]hn -s_ @=)dL= ulx/f] vgfO{ / $=) ld= lnkm\6 ;d]t .</v>
          </cell>
          <cell r="E14" t="str">
            <v>#=dL=</v>
          </cell>
          <cell r="G14">
            <v>407.87826086956522</v>
          </cell>
          <cell r="H14">
            <v>469.06</v>
          </cell>
        </row>
        <row r="15">
          <cell r="A15" t="str">
            <v>A14</v>
          </cell>
          <cell r="C15" t="str">
            <v>2.25-s_</v>
          </cell>
          <cell r="D15" t="str">
            <v>;fdfGo df6f]n] k'g{] sfd !%.!% ;]=ld=sf] txdf km}nfpg] kfgL 5l/sg / HofdL 4f/f sDk]S6]8 ug{] sfd ;d]t !) ld= b'/Ljf6 cf];fg{] .</v>
          </cell>
          <cell r="E15" t="str">
            <v>#=dL=</v>
          </cell>
          <cell r="G15">
            <v>56.643478260869564</v>
          </cell>
          <cell r="H15">
            <v>65.14</v>
          </cell>
        </row>
        <row r="16">
          <cell r="A16" t="str">
            <v>A15</v>
          </cell>
          <cell r="C16" t="str">
            <v>2.25-v_</v>
          </cell>
          <cell r="D16" t="str">
            <v>;fdfGo df6f]n] k'g{] sfd !%.!% ;]=ld= sf] txdf km}nfpg] -kfgL gs5l/sg_ / HofdL 4f/f sDk]S6]8 ug{] sfd ;d]t .</v>
          </cell>
          <cell r="E16" t="str">
            <v>#=dL=</v>
          </cell>
          <cell r="G16">
            <v>28.321739130434782</v>
          </cell>
          <cell r="H16">
            <v>32.57</v>
          </cell>
        </row>
        <row r="17">
          <cell r="A17" t="str">
            <v>A16</v>
          </cell>
          <cell r="C17">
            <v>2.29</v>
          </cell>
          <cell r="D17" t="str">
            <v>;fdfGo df6f]df sd ulx/f] kfgLdf hu vGg] sfd !) ld= ;Dd jf]sfgL l8:kf]hn / !=% ld= lnkm\6 ;d]t .</v>
          </cell>
          <cell r="E17" t="str">
            <v>#=dL=</v>
          </cell>
          <cell r="G17">
            <v>254.92173913043482</v>
          </cell>
          <cell r="H17">
            <v>293.16000000000003</v>
          </cell>
        </row>
        <row r="18">
          <cell r="A18" t="str">
            <v>A17</v>
          </cell>
          <cell r="C18">
            <v>2.3199999999999998</v>
          </cell>
          <cell r="D18" t="str">
            <v>ulx/f] kfgLdf hu vGbf ;f]l/+u / Kn]ls+usf] nflu yk   ;d]t .</v>
          </cell>
          <cell r="E18" t="str">
            <v>#=dL=</v>
          </cell>
          <cell r="G18">
            <v>55.643478260869564</v>
          </cell>
          <cell r="H18">
            <v>63.99</v>
          </cell>
        </row>
        <row r="19">
          <cell r="A19" t="str">
            <v>A18</v>
          </cell>
          <cell r="C19" t="str">
            <v>2.39-u_ / 2.17 -v_ tyf 21.1</v>
          </cell>
          <cell r="D19" t="str">
            <v>kfO{knfO{g 6]Grsf] vfN8f]df s8f df6f]n] k'g{] sfd k|To]s @).@) ;]=ld= sf] ux/fO{ txdf km}nfpg] ,kfgL ;d]t 5l/sg a]Gr 4f/f sDk]S6]8 ug{] sfd ;d]t .u_ s8f df6f] - s8f df6f] vGg] / 6«s 4f/f ! ls=dL=9'jfgL ;d]t _</v>
          </cell>
          <cell r="E19" t="str">
            <v>#=dL=</v>
          </cell>
          <cell r="G19">
            <v>297.53913043478263</v>
          </cell>
          <cell r="H19">
            <v>342.17</v>
          </cell>
        </row>
        <row r="20">
          <cell r="A20" t="str">
            <v>A19</v>
          </cell>
          <cell r="C20" t="str">
            <v>2.39-u_ / 2.17 -v_ tyf 21.1</v>
          </cell>
          <cell r="D20" t="str">
            <v>kfO{knfO{g 6]Grsf] vfN8f]df s8f df6f]n] k'g{] sfd k|To]s @).@) ;]=ld= sf] ux/fO{ txdf km}nfpg] ,kfgL ;d]t 5l/sg a]Gr 4f/f sDk]S6]8 ug{] sfd ;d]t .-u_ s8f df6f] -s8f df6f] vGg] / 6«s 4f/f @ ls=dL 9'jfgL ;d]t _</v>
          </cell>
          <cell r="E20" t="str">
            <v>#=dL=</v>
          </cell>
          <cell r="G20">
            <v>314.8</v>
          </cell>
          <cell r="H20">
            <v>362.02</v>
          </cell>
        </row>
        <row r="21">
          <cell r="A21" t="str">
            <v>A20</v>
          </cell>
          <cell r="C21" t="str">
            <v>2.39-u_ / 2.17 -v_ tyf 21.1</v>
          </cell>
          <cell r="D21" t="str">
            <v>kfO{knfO{g 6]Grsf] vfN8f]df s8f df6f]n] k'g{] sfd k|To]s @).@) ;]=ld= sf] ux/fO{ txdf km}nfpg] ,kfgL ;d]t 5l/sg a]Gr 4f/f sDk]S6]8 ug{] sfd ;d]t .-u_ s8f df6f] - s8f df6f] vGg] / 6«s 4f/f %ls=dL 9'jfgL ;d]t _</v>
          </cell>
          <cell r="E21" t="str">
            <v>#=dL=</v>
          </cell>
          <cell r="G21">
            <v>366.54782608695655</v>
          </cell>
          <cell r="H21">
            <v>421.53</v>
          </cell>
        </row>
        <row r="22">
          <cell r="A22" t="str">
            <v>A21</v>
          </cell>
          <cell r="C22" t="str">
            <v>2.39-u_,    3-3_/    21.3</v>
          </cell>
          <cell r="D22" t="str">
            <v>kfO{knfO{g 6«]Grsf] vfN8f]df s8f df6f]n] k'g{] sfd k|To]s @).@) ;]=ld= sf] ux/fO{ txdf km}nfpg] ,kfgL ;d]t 5l/sg a]Gr 4f/f sDk]S6]8 ug{] sfd ;d]t . -3_ uf|e]n / af]N8/ ldl;Psf] - uf|e]n / af]N8/ ldl;Psf] df6f] vGg] / 6«s 4f/f @) ls=dL 9'jfgL ;d]t _</v>
          </cell>
          <cell r="E22" t="str">
            <v>#=dL=</v>
          </cell>
          <cell r="G22">
            <v>796.02608695652179</v>
          </cell>
          <cell r="H22">
            <v>915.43</v>
          </cell>
        </row>
        <row r="23">
          <cell r="A23" t="str">
            <v>A22</v>
          </cell>
          <cell r="C23">
            <v>2.42</v>
          </cell>
          <cell r="D23" t="str">
            <v>jfn'jfn] eg{] / kfgL 5g{] / HofdL 4f/f sDk]S6]8 ug{] sfd -!) ld= 9'jfgL ;d]t . tyf 6«s 4f/f  @) ls=dL 9'jfgL ;d]t .</v>
          </cell>
          <cell r="E23" t="str">
            <v>#=dL=</v>
          </cell>
          <cell r="G23">
            <v>918.46956521739128</v>
          </cell>
          <cell r="H23">
            <v>1056.24</v>
          </cell>
        </row>
        <row r="24">
          <cell r="A24" t="str">
            <v>A23</v>
          </cell>
          <cell r="C24" t="str">
            <v>3.1-v_</v>
          </cell>
          <cell r="D24" t="str">
            <v>afn'jfsf] ;+sng, 5fGg] sfd / pknJw ug{] sfd -!) ld= 9'jfgL_ -v_ vfgL Ifdtf #! b]lv %) k|ltzt ;Dd .</v>
          </cell>
          <cell r="E24" t="str">
            <v>#=dL=</v>
          </cell>
          <cell r="G24">
            <v>379.49565217391302</v>
          </cell>
          <cell r="H24">
            <v>436.42</v>
          </cell>
        </row>
        <row r="25">
          <cell r="A25" t="str">
            <v>A24</v>
          </cell>
          <cell r="C25" t="str">
            <v>3.2-s_</v>
          </cell>
          <cell r="D25" t="str">
            <v>u|fe]n ;+sng, 5fGg] sfd :6s ug{] / pknJw ug{] sfd -!) ld= 9'jfgL_ -s_ % ldld b]lv &amp;) ldld dfyL .</v>
          </cell>
          <cell r="E25" t="str">
            <v>#=dL=</v>
          </cell>
          <cell r="G25">
            <v>275</v>
          </cell>
          <cell r="H25">
            <v>316.25</v>
          </cell>
        </row>
        <row r="26">
          <cell r="A26" t="str">
            <v>A25</v>
          </cell>
          <cell r="C26">
            <v>3.4</v>
          </cell>
          <cell r="D26" t="str">
            <v>cfjZos ;fOhsf] 9'Ëf-?an_sf] ;+sng / :6]lsË !) ld=sf] 9'jfgL ;d]t.</v>
          </cell>
          <cell r="E26" t="str">
            <v>#=dL=</v>
          </cell>
          <cell r="G26">
            <v>154</v>
          </cell>
          <cell r="H26">
            <v>177.1</v>
          </cell>
        </row>
        <row r="27">
          <cell r="A27" t="str">
            <v>A26</v>
          </cell>
          <cell r="C27" t="str">
            <v>3.11/3.4</v>
          </cell>
          <cell r="D27" t="str">
            <v>cfjZos ;fOhsf] 9'Ëf -/a'n_ agfpg]  l5g'4f/f km'6fpg] -af]N8/_ , v:;|f] agfpg] -lagf Anf:6LËsf]_, Ps ;fO8 8«\];LË ug{]  , :6s ug{] ;d]t / ;+sng / :6]lsË !) ld= sf] 9'jfgL ;d]t .</v>
          </cell>
          <cell r="E27" t="str">
            <v>#=dL=</v>
          </cell>
          <cell r="G27">
            <v>355.62608695652176</v>
          </cell>
          <cell r="H27">
            <v>408.97</v>
          </cell>
        </row>
        <row r="28">
          <cell r="A28" t="str">
            <v>A27</v>
          </cell>
          <cell r="C28">
            <v>19.100000000000001</v>
          </cell>
          <cell r="D28" t="str">
            <v>df6f]df hf]8]sf uf/f]] eTsfO{ To;jf6 cfPsf] ;fdfu|L !) dL= ;Dd x6fpg] sfd .</v>
          </cell>
          <cell r="E28" t="str">
            <v>#=dL=</v>
          </cell>
          <cell r="G28">
            <v>355.62608695652176</v>
          </cell>
          <cell r="H28">
            <v>408.97</v>
          </cell>
        </row>
        <row r="29">
          <cell r="A29" t="str">
            <v>A28</v>
          </cell>
          <cell r="C29">
            <v>19.2</v>
          </cell>
          <cell r="D29" t="str">
            <v>l;d]G6df jf ah|df hf]8]sf uf/f]] eTsfO{ To;jf6 cfPsf] ;fdfu|L !) dL= ;Dd x6fpg] sfd .</v>
          </cell>
          <cell r="E29" t="str">
            <v>#=dL=</v>
          </cell>
          <cell r="G29">
            <v>233.2</v>
          </cell>
          <cell r="H29">
            <v>268.18</v>
          </cell>
        </row>
        <row r="30">
          <cell r="A30" t="str">
            <v>A29</v>
          </cell>
          <cell r="C30">
            <v>19.3</v>
          </cell>
          <cell r="D30" t="str">
            <v>cf/=l;=l;= jf cf/=la=l;= hf]8]sf]  eTsfO{ To;jf6 cfPsf] ;fdfu|L !) dL= ;Dd x6fpg] sfd .</v>
          </cell>
          <cell r="E30" t="str">
            <v>#=dL=</v>
          </cell>
          <cell r="G30">
            <v>1210</v>
          </cell>
          <cell r="H30">
            <v>1391.5</v>
          </cell>
        </row>
        <row r="31">
          <cell r="A31" t="str">
            <v>A30</v>
          </cell>
          <cell r="C31">
            <v>19.399999999999999</v>
          </cell>
          <cell r="D31" t="str">
            <v>Kn]g l;d]G6 s+s[6df jf ah| s+s[{6df hf]8]sf  eTsfO{ To;jf6 cfPsf] ;fdfu|L !) dL= ;Dd x6fpg] sfd .</v>
          </cell>
          <cell r="E31" t="str">
            <v>#=dL=</v>
          </cell>
          <cell r="G31">
            <v>440</v>
          </cell>
          <cell r="H31">
            <v>506</v>
          </cell>
        </row>
        <row r="32">
          <cell r="A32" t="str">
            <v>A31</v>
          </cell>
          <cell r="C32">
            <v>19.5</v>
          </cell>
          <cell r="D32" t="str">
            <v>l;d]G6 jf ah| Knf:6/ eTsfO{ To;jf6 cfPsf] ;fdfu|L !) dL= ;Dd x6fpg] sfd .</v>
          </cell>
          <cell r="E32" t="str">
            <v>a=dL=</v>
          </cell>
          <cell r="G32">
            <v>11.878260869565217</v>
          </cell>
          <cell r="H32">
            <v>13.66</v>
          </cell>
        </row>
        <row r="33">
          <cell r="A33" t="str">
            <v>A32</v>
          </cell>
          <cell r="D33" t="str">
            <v>ljleGg sfd ubf{ ;fO6df y"lk|g cfPsf] 9"+uf df6f] lgb]{zg cg";f/ ;fO6af6 @ ls=dL= ;Dd 9"jfgL u/L kmfNg] sfd .</v>
          </cell>
          <cell r="E33" t="str">
            <v>#=dL=</v>
          </cell>
          <cell r="G33">
            <v>142.1</v>
          </cell>
          <cell r="H33">
            <v>0</v>
          </cell>
        </row>
        <row r="34">
          <cell r="A34" t="str">
            <v>A33</v>
          </cell>
          <cell r="D34" t="str">
            <v xml:space="preserve">g/d k|sf/sf] Sn] / l;N6L df6f] vgL cf}= % ls=dL= af6 9"jfgL u/L NofO{ !%÷!% ;]=dL= sf] txdf km}nfO{ kfgL 5/L HofdLåf/f sDk}S6 ug]{ sfd . </v>
          </cell>
          <cell r="E34" t="str">
            <v>#=dL=</v>
          </cell>
          <cell r="G34">
            <v>0</v>
          </cell>
          <cell r="H34">
            <v>0</v>
          </cell>
        </row>
        <row r="35">
          <cell r="A35" t="str">
            <v>A34</v>
          </cell>
          <cell r="D35" t="str">
            <v>g/d k|sf/sf] Sn] / l;N6L df6f] vgL cf}= @ ls=dL=af6 6«såf/f 9'jfgL u/L NofO{ tx txdf km}nfO{ kfgL 5sL{ HofdLåf/f sDk}S6 ug]{ sfd .</v>
          </cell>
          <cell r="E35" t="str">
            <v>#=dL=</v>
          </cell>
          <cell r="G35">
            <v>278.06</v>
          </cell>
          <cell r="H35">
            <v>0</v>
          </cell>
        </row>
        <row r="36">
          <cell r="A36" t="str">
            <v>A35</v>
          </cell>
          <cell r="D36" t="str">
            <v>af]N8/ ldl;Psf] df6f] vgL, 9'jfgL u/L NofO{ tx txdf k'/L kfgL 5sL{ /f]lnª u/L ;8s lgdf{0f ug]{ sfd</v>
          </cell>
          <cell r="E36" t="str">
            <v>#=dL=</v>
          </cell>
          <cell r="G36">
            <v>296.7217391304348</v>
          </cell>
          <cell r="H36">
            <v>341.23</v>
          </cell>
        </row>
        <row r="37">
          <cell r="A37" t="str">
            <v>A36</v>
          </cell>
          <cell r="D37" t="str">
            <v>g/d k|sf/sf] r6[fgdf ;a} lsl;dsf] vGg] sfd</v>
          </cell>
          <cell r="E37" t="str">
            <v>#=dL=</v>
          </cell>
          <cell r="G37">
            <v>283.24347826086955</v>
          </cell>
          <cell r="H37">
            <v>325.73</v>
          </cell>
        </row>
        <row r="38">
          <cell r="A38" t="str">
            <v>A37</v>
          </cell>
          <cell r="D38" t="str">
            <v>dWod k|sf/sf] r6[fgdf ;a} lsl;dsf] vGg] sfd</v>
          </cell>
          <cell r="E38" t="str">
            <v>#=dL=</v>
          </cell>
          <cell r="G38">
            <v>339.89565217391305</v>
          </cell>
          <cell r="H38">
            <v>390.88</v>
          </cell>
        </row>
        <row r="39">
          <cell r="A39" t="str">
            <v>A38</v>
          </cell>
          <cell r="D39" t="str">
            <v>s8f r6[fg -l5gf] gnufOsg_ df ;a} lsl;dsf] vGg] sfd</v>
          </cell>
          <cell r="E39" t="str">
            <v>#=dL=</v>
          </cell>
          <cell r="G39">
            <v>566.49565217391307</v>
          </cell>
          <cell r="H39">
            <v>651.47</v>
          </cell>
        </row>
        <row r="40">
          <cell r="A40" t="str">
            <v>A39</v>
          </cell>
          <cell r="D40" t="str">
            <v>s8f r6[fg -l5gf] nufpg' kg]{_ df ;a} lsl;dsf] vGg] sfd</v>
          </cell>
          <cell r="E40" t="str">
            <v>#=dL=</v>
          </cell>
          <cell r="G40">
            <v>2741.8608695652174</v>
          </cell>
          <cell r="H40">
            <v>3153.14</v>
          </cell>
        </row>
        <row r="41">
          <cell r="A41" t="str">
            <v>B1</v>
          </cell>
          <cell r="C41" t="str">
            <v>5.1-s_1</v>
          </cell>
          <cell r="D41" t="str">
            <v>!M# l;d]G6 jfn'jf d;nfdf O{6fsf] uf/f]sf] sfd, O{6f pknAw ug{], d;nf tof/ ug{], d;nfdf uf/f] nufpg] sfd k"/f -#) ld= ;Dd, 9'jfgL ;d]t_ d]lzgjf6 ag]sf]</v>
          </cell>
          <cell r="E41" t="str">
            <v>#=dL=</v>
          </cell>
          <cell r="G41">
            <v>3683.8173913043483</v>
          </cell>
          <cell r="H41">
            <v>4236.3900000000003</v>
          </cell>
        </row>
        <row r="42">
          <cell r="A42" t="str">
            <v>B2</v>
          </cell>
          <cell r="C42" t="str">
            <v>5.1-s_2</v>
          </cell>
          <cell r="D42" t="str">
            <v>!M$ l;d]G6 jfn'jf d;nfdf O{6fsf] uf/f]sf] sfd, O{6f pknAw ug{], d;nf tof/ ug{], d;nfdf uf/f] nufpg] sfd k"/f -#) ld= ;Dd, 9'jfgL ;d]t_ d]lzgjf6 ag]sf]</v>
          </cell>
          <cell r="E42" t="str">
            <v>#=dL=</v>
          </cell>
          <cell r="G42">
            <v>3501.0173913043477</v>
          </cell>
          <cell r="H42">
            <v>4026.17</v>
          </cell>
        </row>
        <row r="43">
          <cell r="A43" t="str">
            <v>B3</v>
          </cell>
          <cell r="C43" t="str">
            <v>5.1-s_3</v>
          </cell>
          <cell r="D43" t="str">
            <v>!M^ l;d]G6 jfn'jf d;nfdf O{6fsf] uf/f]sf] sfd, O{6f pknAw ug{], d;nf tof/ ug{], d;nfdf uf/f] nufpg] sfd k"/f -#) ld= ;Dd, 9'jfgL ;d]t_ d]lzgjf6 ag]sf]</v>
          </cell>
          <cell r="E43" t="str">
            <v>#=dL=</v>
          </cell>
          <cell r="G43">
            <v>3351.1565217391303</v>
          </cell>
          <cell r="H43">
            <v>3853.83</v>
          </cell>
        </row>
        <row r="44">
          <cell r="A44" t="str">
            <v>B4</v>
          </cell>
          <cell r="C44" t="str">
            <v>5.1-v_1</v>
          </cell>
          <cell r="D44" t="str">
            <v>lrDgL e§fsf] O{6f4f/f !M# l;d]G6 jfn'jf d;nfdf O{6fsf] uf/f]sf] sfd, O{6f pknAw ug{], d;nf tof/ ug{], d;nfdf uf/f] nufpg] sfd k"/f    -#) ld= ;Dd, 9'jfgL ;d]t_</v>
          </cell>
          <cell r="E44" t="str">
            <v>#=dL=</v>
          </cell>
          <cell r="G44">
            <v>3214.4869565217391</v>
          </cell>
          <cell r="H44">
            <v>3696.66</v>
          </cell>
        </row>
        <row r="45">
          <cell r="A45" t="str">
            <v>B5</v>
          </cell>
          <cell r="C45" t="str">
            <v>5.1-v_2</v>
          </cell>
          <cell r="D45" t="str">
            <v>lrDgL e§fsf] O{6f4f/f !M$ l;d]G6 jfn'jf d;nfdf O{6fsf] uf/f]sf] sfd, O{6f pknAw ug{], d;nf tof/ ug{], d;nfdf uf/f] nufpg] sfd k"/f    -#) ld= ;Dd, 9'jfgL ;d]t_</v>
          </cell>
          <cell r="E45" t="str">
            <v>#=dL=</v>
          </cell>
          <cell r="G45">
            <v>3043.84</v>
          </cell>
          <cell r="H45">
            <v>3500.41</v>
          </cell>
        </row>
        <row r="46">
          <cell r="A46" t="str">
            <v>B6</v>
          </cell>
          <cell r="C46" t="str">
            <v>5.1-v_3</v>
          </cell>
          <cell r="D46" t="str">
            <v>lrDgL e§fsf] O{6f4f/f !M^ l;d]G6 jfn'jf d;nfdf O{6fsf] uf/f]sf] sfd, O{6f pknAw ug{], d;nf tof/ ug{], d;nfdf uf/f] nufpg] sfd k"/f    -#) ld= ;Dd, 9'jfgL ;d]t_</v>
          </cell>
          <cell r="E46" t="str">
            <v>#=dL=</v>
          </cell>
          <cell r="G46">
            <v>2886.3217391304347</v>
          </cell>
          <cell r="H46">
            <v>3319.27</v>
          </cell>
        </row>
        <row r="47">
          <cell r="A47" t="str">
            <v>B7</v>
          </cell>
          <cell r="C47" t="str">
            <v>11.15-s_</v>
          </cell>
          <cell r="D47" t="str">
            <v>r]K6f] kl§jf6 ;'Vvf O{6f 5fKg] sfd -lrDgL e§f_</v>
          </cell>
          <cell r="E47" t="str">
            <v>j=dL=</v>
          </cell>
          <cell r="G47">
            <v>216.11</v>
          </cell>
          <cell r="H47">
            <v>248.53</v>
          </cell>
        </row>
        <row r="48">
          <cell r="A48" t="str">
            <v>B8</v>
          </cell>
          <cell r="C48" t="str">
            <v>11.15-s_</v>
          </cell>
          <cell r="D48" t="str">
            <v>r]K6f] kl§jf6 ;'Vvf O{6f 5fKg] sfd -d]zLg d]8_</v>
          </cell>
          <cell r="E48" t="str">
            <v>j=dL=</v>
          </cell>
          <cell r="G48">
            <v>2601.913043478261</v>
          </cell>
          <cell r="H48">
            <v>2992.2</v>
          </cell>
        </row>
        <row r="49">
          <cell r="A49" t="str">
            <v>B9</v>
          </cell>
          <cell r="C49" t="str">
            <v>11.15-v_</v>
          </cell>
          <cell r="D49" t="str">
            <v>7f8f] kl§jf6 ;'Vvf O{6f 5fKg] sfd -d]zLg d]8_</v>
          </cell>
          <cell r="E49" t="str">
            <v>j=dL=</v>
          </cell>
          <cell r="G49">
            <v>4233.1826086956526</v>
          </cell>
          <cell r="H49">
            <v>4868.16</v>
          </cell>
        </row>
        <row r="50">
          <cell r="A50" t="str">
            <v>B10</v>
          </cell>
          <cell r="C50" t="str">
            <v>11.15-v_</v>
          </cell>
          <cell r="D50" t="str">
            <v>7f8f] kl§jf6 ;'Vvf O{6f 5fKg] sfd -lrDgL e§f_</v>
          </cell>
          <cell r="E50" t="str">
            <v>j=dL=</v>
          </cell>
          <cell r="G50">
            <v>3446.0695652173913</v>
          </cell>
          <cell r="H50">
            <v>3962.98</v>
          </cell>
        </row>
        <row r="51">
          <cell r="A51" t="str">
            <v>B11</v>
          </cell>
          <cell r="C51" t="str">
            <v>15.25-v_</v>
          </cell>
          <cell r="D51" t="str">
            <v>5]pjf6 78\fOPsf] -@%) ldld prfO{ u/L_ O{6fn] PlhË ug{] sfo{ . -d]zLg d]8_</v>
          </cell>
          <cell r="E51" t="str">
            <v>j=dL=</v>
          </cell>
          <cell r="G51">
            <v>77.513043478260869</v>
          </cell>
          <cell r="H51">
            <v>89.14</v>
          </cell>
        </row>
        <row r="52">
          <cell r="A52" t="str">
            <v>B12</v>
          </cell>
          <cell r="C52" t="str">
            <v>15.25-v_</v>
          </cell>
          <cell r="D52" t="str">
            <v>5]pjf6 78\fOPsf] -@%) ldld prfO{ u/L_ O{6fn] PlhË ug{] sfo{ . -lrDgL e§f_</v>
          </cell>
          <cell r="E52" t="str">
            <v>j=dL=</v>
          </cell>
          <cell r="G52">
            <v>59.678260869565214</v>
          </cell>
          <cell r="H52">
            <v>68.63</v>
          </cell>
        </row>
        <row r="53">
          <cell r="A53" t="str">
            <v>B13</v>
          </cell>
          <cell r="C53" t="str">
            <v>15.27-s_</v>
          </cell>
          <cell r="D53" t="str">
            <v>O{6fsf] k]ed]G6————O{6fsf] hf]gL{df !M^ l;d]G6 d;nfdf 3';fO{ ghLs 6Ff;L ldnfpg] sfo{ . -s_ Ps Ps ul/ r]K6f] kfl/ k]ed]G6 ug]{  -d]zLg d]8_</v>
          </cell>
          <cell r="E53" t="str">
            <v>j=dL=</v>
          </cell>
          <cell r="G53">
            <v>262.73913043478257</v>
          </cell>
          <cell r="H53">
            <v>302.14999999999998</v>
          </cell>
        </row>
        <row r="54">
          <cell r="A54" t="str">
            <v>B14</v>
          </cell>
          <cell r="C54" t="str">
            <v>15.27-v_</v>
          </cell>
          <cell r="D54" t="str">
            <v>O{6fsf] k]ed]G6————O{6fsf] hf]gL{df !M^ l;d]G6 d;nfdf 3';fO{ ghLs 6Ff;L ldnfpg] sfo{ . -s_ Ps Ps ul/ ;fO{8af6 78ofO{ k]ed]G6 ug]{  -d]zLg d]8_</v>
          </cell>
          <cell r="E54" t="str">
            <v>j=dL=</v>
          </cell>
          <cell r="G54">
            <v>440.57391304347829</v>
          </cell>
          <cell r="H54">
            <v>506.66</v>
          </cell>
        </row>
        <row r="55">
          <cell r="A55" t="str">
            <v>C1</v>
          </cell>
          <cell r="C55" t="str">
            <v>6.1-2_</v>
          </cell>
          <cell r="D55" t="str">
            <v>!M$ l;d]G6 jfn'jf d;nfdf 9'Ëfsf] -/a'n Ps v08 8«]l;Ë ;d]]t_ uf/f]sf] sfd, ;fx|f] Jns :6f]g pknAw ug{], d;nf tof/ ug{], d;nfdf uf/f] nufpg], ^ ld= prfO ;Dd sfd k"/f !) ld= ;Dd, 9'jfgL ;d]t .</v>
          </cell>
          <cell r="E55" t="str">
            <v>#=dL=</v>
          </cell>
          <cell r="G55">
            <v>3476.85</v>
          </cell>
          <cell r="H55">
            <v>3998.38</v>
          </cell>
        </row>
        <row r="56">
          <cell r="A56" t="str">
            <v>C2</v>
          </cell>
          <cell r="C56" t="str">
            <v>6.2-1_</v>
          </cell>
          <cell r="D56" t="str">
            <v>9'+Ëf -/a'n_ sf] ;'Vvf uf/f]sf] sfd, ;fx|f] Ans :6f]g pknJw ug{], uf/f] nufpg], % ld= prfO ;Dd sfd k"/f -#) ld= ;Dd 9'jfgL ;d]t_</v>
          </cell>
          <cell r="E56" t="str">
            <v>#=dL=</v>
          </cell>
          <cell r="G56">
            <v>1591.0347826086957</v>
          </cell>
          <cell r="H56">
            <v>1829.69</v>
          </cell>
        </row>
        <row r="57">
          <cell r="A57" t="str">
            <v>C3</v>
          </cell>
          <cell r="C57">
            <v>6.5</v>
          </cell>
          <cell r="D57" t="str">
            <v>husf] vfN8f]df 9'+Ëf eg{] / n]en ug{] sfd -#) ld= ;Ddsf] 9'jgL ;d]t_</v>
          </cell>
          <cell r="E57" t="str">
            <v>#=dL=</v>
          </cell>
          <cell r="G57">
            <v>1351.04</v>
          </cell>
          <cell r="H57">
            <v>1553.69</v>
          </cell>
        </row>
        <row r="58">
          <cell r="A58" t="str">
            <v>C4</v>
          </cell>
          <cell r="C58">
            <v>11.16</v>
          </cell>
          <cell r="D58" t="str">
            <v>;'Vvf 9'Ëf 5fKg] sfd .</v>
          </cell>
          <cell r="E58" t="str">
            <v>#=dL=</v>
          </cell>
          <cell r="G58">
            <v>2512.0347826086959</v>
          </cell>
          <cell r="H58">
            <v>2888.84</v>
          </cell>
        </row>
        <row r="59">
          <cell r="A59" t="str">
            <v>C5</v>
          </cell>
          <cell r="C59" t="str">
            <v>15.1-v_</v>
          </cell>
          <cell r="D59" t="str">
            <v>!M$ l;d]G6 d;nfdf 9'+uf -/a'n_ af6 l;d]G6 d;nfdf uf/f]df ;8s 5]psf] 9n agfpg] sfd dfn ;fdfg pknJw ug{], uf/f] cflb tof/ ug{], #) ld= ;Dd 9'jfgL ;d]t .</v>
          </cell>
          <cell r="E59" t="str">
            <v>#=dL=</v>
          </cell>
          <cell r="G59">
            <v>3454.85</v>
          </cell>
          <cell r="H59">
            <v>3973.07</v>
          </cell>
        </row>
        <row r="60">
          <cell r="A60" t="str">
            <v>C6</v>
          </cell>
          <cell r="C60">
            <v>15.2</v>
          </cell>
          <cell r="D60" t="str">
            <v>9'+uf -/j'n_ af6 ;"Vvf uf/f]df ;8s 5]psf] 9n agfpg] sfd, dfn;fdfg pknAw ug]{, uf/f] cfbL tof/ ug]{, #) ld= ;Dd 9'jfgL ;d]t .</v>
          </cell>
          <cell r="E60" t="str">
            <v>#=dL=</v>
          </cell>
          <cell r="G60">
            <v>1740.4869565217391</v>
          </cell>
          <cell r="H60">
            <v>2001.56</v>
          </cell>
        </row>
        <row r="61">
          <cell r="A61" t="str">
            <v>D1</v>
          </cell>
          <cell r="C61" t="str">
            <v>7.2-u_</v>
          </cell>
          <cell r="D61" t="str">
            <v>lk=l;=l;= ! M # M ^ efudf hu, leQf, kvf{ndf l;d]G6 s+s[6 ug{] sfd, dfn ;fdfg pknJw ug{] -#) ld= ;Dd 9'jfgL ;d]t_</v>
          </cell>
          <cell r="E61" t="str">
            <v>#=dL=</v>
          </cell>
          <cell r="G61">
            <v>3596.21</v>
          </cell>
          <cell r="H61">
            <v>4135.6400000000003</v>
          </cell>
        </row>
        <row r="62">
          <cell r="A62" t="str">
            <v>D2</v>
          </cell>
          <cell r="C62" t="str">
            <v>7.2-#_</v>
          </cell>
          <cell r="D62" t="str">
            <v>lk=l;=l;=! M @ M$ efudf hu, leQf, kvf{ndf l;d]G6 s+s[6 ug{] sfd, dfn ;fdfg pknJw ug{] -#) ld= ;Dd 9'jfgL ;d]t_</v>
          </cell>
          <cell r="E62" t="str">
            <v>#=dL=</v>
          </cell>
          <cell r="G62">
            <v>4032.09</v>
          </cell>
          <cell r="H62">
            <v>4636.8999999999996</v>
          </cell>
        </row>
        <row r="63">
          <cell r="A63" t="str">
            <v>D3</v>
          </cell>
          <cell r="C63" t="str">
            <v>7.3-v_</v>
          </cell>
          <cell r="D63" t="str">
            <v>lk l; l; ! M @ M $ efudf Pa6\d]G6 lz6, lko/ s]kdf l;d]G6 s+s[6 ug{] sfd, dfn ;fdfg pknJw ug{] cflb sfd k"/f -#) ld= ;Dd 9'jfgL ;d]t_</v>
          </cell>
          <cell r="E63" t="str">
            <v>#=dL=</v>
          </cell>
          <cell r="G63">
            <v>4673.5826086956522</v>
          </cell>
          <cell r="H63">
            <v>5374.62</v>
          </cell>
        </row>
        <row r="64">
          <cell r="A64" t="str">
            <v>D4</v>
          </cell>
          <cell r="C64" t="str">
            <v>7.4-s_</v>
          </cell>
          <cell r="D64" t="str">
            <v>lk l; l; ! M @ M $ efudf ;'k/ :6«Sr/, 8}s :n}j ljdx?df l;d]G6 s+s[6 ug{] sfd, dfn ;fdfg pknJw ug{] -#) ld= ;Dd 9'jfgL ;d]t_</v>
          </cell>
          <cell r="E64" t="str">
            <v>#=dL=</v>
          </cell>
          <cell r="G64">
            <v>4403.2</v>
          </cell>
          <cell r="H64">
            <v>5063.68</v>
          </cell>
        </row>
        <row r="65">
          <cell r="A65" t="str">
            <v>D5</v>
          </cell>
          <cell r="C65" t="str">
            <v>7.4-v_</v>
          </cell>
          <cell r="D65" t="str">
            <v>lk l; l; ! M !=% M # efudf ;'k/ :6«Sr/, 8}s :n}j ljdx?df l;d]G6 s+s[6 ug{] sfd, dfn ;fdfg pknJw ug{] -#) ld= ;Dd 9'jfgL ;d]t_</v>
          </cell>
          <cell r="E65" t="str">
            <v>#=dL=</v>
          </cell>
          <cell r="G65">
            <v>4773.4521739130432</v>
          </cell>
          <cell r="H65">
            <v>5489.47</v>
          </cell>
        </row>
        <row r="66">
          <cell r="A66" t="str">
            <v>D6</v>
          </cell>
          <cell r="C66">
            <v>7.5</v>
          </cell>
          <cell r="D66" t="str">
            <v>cf/ l; l; sf] nflu kmnfd] 808L sf6\g] jfWg] df]8\g] gS;f cg';f/ 7fpFdf /fVg] 808L jfWg] tf/4f/f / #) ld=;Dd 9'jfgL ;d]t .</v>
          </cell>
          <cell r="E66" t="str">
            <v>d]=^g</v>
          </cell>
          <cell r="G66">
            <v>35517.973913043475</v>
          </cell>
          <cell r="H66">
            <v>40845.67</v>
          </cell>
        </row>
        <row r="67">
          <cell r="A67" t="str">
            <v>D7</v>
          </cell>
          <cell r="C67" t="str">
            <v>8.2-s_</v>
          </cell>
          <cell r="D67" t="str">
            <v>kmz{, :n}a h:tf] sfddf sf7sf] kmdf{ nufpg] sfd, dfn ;fdfgsf] pknlAw, 5gf}6 ug{], gSzf cg';f/ kmdf{ /fVg], lsNnf / c:t/ nufpg], kmdf{ lemSg], x6fpg], #) ld= ;Dd 9'jfgL ;d]t .</v>
          </cell>
          <cell r="E67" t="str">
            <v>j=dL=</v>
          </cell>
          <cell r="G67">
            <v>435.33913043478259</v>
          </cell>
          <cell r="H67">
            <v>500.64</v>
          </cell>
        </row>
        <row r="68">
          <cell r="A68" t="str">
            <v>D8</v>
          </cell>
          <cell r="C68" t="str">
            <v xml:space="preserve">8.4-s_ </v>
          </cell>
          <cell r="D68" t="str">
            <v>:6«Sr/sf]  ladsf] nflu kmdf{ jgfpg] sfd, dfn ;fdfgsf] pknlAw, 5gf}6 ug{], gSzf cg';f/ kmdf{ /fVg], lsNnf / c:t/ nufpg], cfOln+u eTsfpg] ,kmdf{ lemSg], x6fpg], #) ld= ;Dd 9'jfgL ;d]t .                                    -s_ ljdsf] prfO[ )=#) dL= ;Dd .</v>
          </cell>
          <cell r="E68" t="str">
            <v>j=dL=</v>
          </cell>
          <cell r="G68">
            <v>515.24347826086955</v>
          </cell>
          <cell r="H68">
            <v>592.53</v>
          </cell>
        </row>
        <row r="69">
          <cell r="A69" t="str">
            <v>D9</v>
          </cell>
          <cell r="C69" t="str">
            <v xml:space="preserve">11.8-s_ </v>
          </cell>
          <cell r="D69" t="str">
            <v>%) ld=ld=afSnf] lk|sf:6 lk=l;=l;=Ans -(=%ÆX (=%Æ_5fKg] sfd , !M$ efu l;d]G6 M afn'jf d;nfdf hf]8L nufpg] .  -k|lt Ps uf]6f  Ö )=&amp;^^ ju{ km'6_    - ! a=ld=Ö !)=&amp;^ ju{ km'6_</v>
          </cell>
          <cell r="E69" t="str">
            <v>j=dL=</v>
          </cell>
          <cell r="G69">
            <v>627.4</v>
          </cell>
          <cell r="H69">
            <v>721.51</v>
          </cell>
        </row>
        <row r="70">
          <cell r="A70" t="str">
            <v>D10</v>
          </cell>
          <cell r="C70">
            <v>11.2</v>
          </cell>
          <cell r="D70" t="str">
            <v># ld=ld= df]6fO{df l;d]G6 dl;gf] 3f]6\g] sfd .</v>
          </cell>
          <cell r="E70" t="str">
            <v>j=dL=</v>
          </cell>
          <cell r="G70">
            <v>62.08695652173914</v>
          </cell>
          <cell r="H70">
            <v>71.400000000000006</v>
          </cell>
        </row>
        <row r="71">
          <cell r="A71" t="str">
            <v>D11</v>
          </cell>
          <cell r="C71" t="str">
            <v>12.1-v_</v>
          </cell>
          <cell r="D71" t="str">
            <v>!M# efudf !@=%) ld=ld= afSnf] l;d]G6 afn'jf Knfi6/ ug{] .</v>
          </cell>
          <cell r="E71" t="str">
            <v>j=dL=</v>
          </cell>
          <cell r="G71">
            <v>0</v>
          </cell>
          <cell r="H71">
            <v>0</v>
          </cell>
        </row>
        <row r="72">
          <cell r="A72" t="str">
            <v>D12</v>
          </cell>
          <cell r="C72" t="str">
            <v>12.1-u_</v>
          </cell>
          <cell r="D72" t="str">
            <v>!M$ efudf !@=%) ld=ld= afSnf] l;d]G6 afn'jf Knfi6/ ug{] .</v>
          </cell>
          <cell r="E72" t="str">
            <v>j=dL=</v>
          </cell>
          <cell r="G72">
            <v>0</v>
          </cell>
          <cell r="H72">
            <v>0</v>
          </cell>
        </row>
        <row r="73">
          <cell r="A73" t="str">
            <v>D13</v>
          </cell>
          <cell r="C73" t="str">
            <v>12.1-#_</v>
          </cell>
          <cell r="D73" t="str">
            <v>!M^ efudf !@=%) ld=ld= afSnf] l;d]G6 afn'jf Knfi6/ ug{] .</v>
          </cell>
          <cell r="E73" t="str">
            <v>j=dL=</v>
          </cell>
          <cell r="G73">
            <v>0</v>
          </cell>
          <cell r="H73">
            <v>0</v>
          </cell>
        </row>
        <row r="74">
          <cell r="A74" t="str">
            <v>D14</v>
          </cell>
          <cell r="C74" t="str">
            <v>14.2-s_</v>
          </cell>
          <cell r="D74" t="str">
            <v>af]N8/ 9'Ëfsf] uf/f]df kmn;\ ¿n l6Ksf/ ug]{ sfd .  -s_ ! M ! l;d]G6 jfn'jfdf .</v>
          </cell>
          <cell r="E74" t="str">
            <v>j=dL=</v>
          </cell>
          <cell r="G74">
            <v>0</v>
          </cell>
          <cell r="H74">
            <v>0</v>
          </cell>
        </row>
        <row r="75">
          <cell r="A75" t="str">
            <v>D15</v>
          </cell>
          <cell r="C75" t="str">
            <v>14.2-v_</v>
          </cell>
          <cell r="D75" t="str">
            <v>af]N8/ 9'Ëfsf] uf/f]df kmn;\ ¿n l6Ksf/ ug]{ sfd . -s_ ! M @ l;d]G6 jfn'jfdf .</v>
          </cell>
          <cell r="E75" t="str">
            <v>j=dL=</v>
          </cell>
          <cell r="G75">
            <v>0</v>
          </cell>
          <cell r="H75">
            <v>0</v>
          </cell>
        </row>
        <row r="76">
          <cell r="A76" t="str">
            <v>D16</v>
          </cell>
          <cell r="C76">
            <v>24.8</v>
          </cell>
          <cell r="D76" t="str">
            <v># ld=ld= afSnf] kmn;\ Knfi6/ l;d]G6df ug]{ sfd .</v>
          </cell>
          <cell r="E76" t="str">
            <v>j=dL=</v>
          </cell>
          <cell r="G76">
            <v>0</v>
          </cell>
          <cell r="H76">
            <v>0</v>
          </cell>
        </row>
        <row r="77">
          <cell r="A77" t="str">
            <v>D17</v>
          </cell>
          <cell r="C77" t="str">
            <v>6.6-s_,8.2-s_,7.4-v_</v>
          </cell>
          <cell r="D77" t="str">
            <v>sj{:6f]g h8fg ug]{ sfo{ -;km]{; Pl/of )=)&amp;@ j=dL=_  !M# efu l;d]G6 jf d;nfdf !*=&amp;% dL=dL= jfSnf] df]6fOdf hf]8fO ug]{ ;d]t . -sj{:6f]g ;d]t_</v>
          </cell>
          <cell r="E77" t="str">
            <v>/=dL=</v>
          </cell>
          <cell r="G77">
            <v>0</v>
          </cell>
          <cell r="H77">
            <v>0</v>
          </cell>
        </row>
        <row r="78">
          <cell r="A78" t="str">
            <v>D18</v>
          </cell>
          <cell r="C78" t="str">
            <v>6.6-s_,8.2-s_,7.4-v_</v>
          </cell>
          <cell r="D78" t="str">
            <v>sj{:6f]g h8fg ug]{ sfo{ -;km]{; Pl/of )=)&amp;@ j=dL=_  !M# efu l;d]G6 jf d;nfdf !*=&amp;% dL=dL= jfSnf] df]6fOdf hf]8fO ug]{ ;d]t . -sj{:6f]g jfx]s_</v>
          </cell>
          <cell r="E78" t="str">
            <v>/=dL=</v>
          </cell>
          <cell r="G78">
            <v>0</v>
          </cell>
          <cell r="H78">
            <v>0</v>
          </cell>
        </row>
        <row r="79">
          <cell r="A79" t="str">
            <v>E1</v>
          </cell>
          <cell r="C79" t="str">
            <v>15.4-s_</v>
          </cell>
          <cell r="D79" t="str">
            <v>!) ;]=ld= ux/fO{ ;Dd ;fdfGo df6f]df df6f] sf6L ;ju|]8 tof/ ug{] sfd !) ld= 9'jfgL / kG5fpGg] ;d]t .</v>
          </cell>
          <cell r="E79" t="str">
            <v>a=dL=</v>
          </cell>
          <cell r="G79">
            <v>13.2</v>
          </cell>
          <cell r="H79">
            <v>15.18</v>
          </cell>
        </row>
        <row r="80">
          <cell r="A80" t="str">
            <v>E2</v>
          </cell>
          <cell r="C80" t="str">
            <v>15.4-v_</v>
          </cell>
          <cell r="D80" t="str">
            <v>;]=ld= @) ux/fO{ ;Dd ;fdfGo df6f]df df6f] sf6L ;ju|]8 tof/ ug{] sfd !) ld= 9'jfgL / kG5fpGg] ;d]t .</v>
          </cell>
          <cell r="E80" t="str">
            <v>a=dL=</v>
          </cell>
          <cell r="G80">
            <v>19.8</v>
          </cell>
          <cell r="H80">
            <v>22.77</v>
          </cell>
        </row>
        <row r="81">
          <cell r="A81" t="str">
            <v>E3</v>
          </cell>
          <cell r="C81" t="str">
            <v>15.4-u_</v>
          </cell>
          <cell r="D81" t="str">
            <v>#) ;]=ld= ux/fO{ ;Dd ;fdfGo df6f]df df6f] sf6L ;ju|]8 tof/ ug{] sfd !) ld= 9'jfgL / kG5fpGg] ;d]t .</v>
          </cell>
          <cell r="E81" t="str">
            <v>a=dL=</v>
          </cell>
          <cell r="G81">
            <v>26.4</v>
          </cell>
          <cell r="H81">
            <v>30.36</v>
          </cell>
        </row>
        <row r="82">
          <cell r="A82" t="str">
            <v>E4</v>
          </cell>
          <cell r="C82" t="str">
            <v>15.5-s_</v>
          </cell>
          <cell r="D82" t="str">
            <v>-@)–$)_Ü ;Dd 9'Ëf ldl;Psf] ;fdfGo df6f]df !) ;]=ld= ux/fO{ df6f] sf6L ;ju|]8 tof/ ug{] sfd  !) ld= ;Ddsf] 9'jfgL / kG5fpg] sfd .</v>
          </cell>
          <cell r="E82" t="str">
            <v>a=dL=</v>
          </cell>
          <cell r="G82">
            <v>28.6</v>
          </cell>
          <cell r="H82">
            <v>32.89</v>
          </cell>
        </row>
        <row r="83">
          <cell r="A83" t="str">
            <v>E5</v>
          </cell>
          <cell r="C83" t="str">
            <v>15.5-u_</v>
          </cell>
          <cell r="D83" t="str">
            <v>-@)–$)_Ü ;Dd 9'Ëf ldl;Psf] ;fdfGo df6f]df 2) ;]=ld= ux/fO{ df6f] sf6L ;ju|]8 tof/ ug{] sfd  !) ld= ;Ddsf] 9'jfgL / kG5fpg] sfd .</v>
          </cell>
          <cell r="E83" t="str">
            <v>a=dL=</v>
          </cell>
          <cell r="G83">
            <v>39.6</v>
          </cell>
          <cell r="H83">
            <v>45.54</v>
          </cell>
        </row>
        <row r="84">
          <cell r="A84" t="str">
            <v>E6</v>
          </cell>
          <cell r="C84" t="str">
            <v>15.5-ª_</v>
          </cell>
          <cell r="D84" t="str">
            <v>-@)–$)_Ü ;Dd 9'Ëf ldl;Psf] ;fdfGo df6f]df #) ;]=ld= ux/fO{ df6f] sf6L ;ju|]8 tof/ ug{] sfd  !) ld= ;Ddsf] 9'jfgL / kG5fpg] sfd .</v>
          </cell>
          <cell r="E84" t="str">
            <v>a=dL=</v>
          </cell>
          <cell r="G84">
            <v>51.695652173913047</v>
          </cell>
          <cell r="H84">
            <v>59.45</v>
          </cell>
        </row>
        <row r="85">
          <cell r="A85" t="str">
            <v>E7</v>
          </cell>
          <cell r="C85" t="str">
            <v>15.5-v_</v>
          </cell>
          <cell r="D85" t="str">
            <v>-$)—^)_Ü ;Dd 9'Ëf ldl;Psf] ;fdfGo df6f]df !) ;]=ld= ux/fO{ df6f] sf6L ;ju|]8 tof/ ug{] sfd  !) ld= ;Ddsf] 9'jfgL / kG5fpg] sfd .</v>
          </cell>
          <cell r="E85" t="str">
            <v>a=dL=</v>
          </cell>
          <cell r="G85">
            <v>31.895652173913042</v>
          </cell>
          <cell r="H85">
            <v>36.68</v>
          </cell>
        </row>
        <row r="86">
          <cell r="A86" t="str">
            <v>E8</v>
          </cell>
          <cell r="C86" t="str">
            <v>15.5-#_</v>
          </cell>
          <cell r="D86" t="str">
            <v>-$)—^)_Ü ;Dd 9'Ëf ldl;Psf] ;fdfGo df6f]df 2) ;]=ld= ux/fO{ df6f] sf6L ;ju|]8 tof/ ug{] sfd  !) ld= ;Ddsf] 9'jfgL / kG5fpg] sfd .</v>
          </cell>
          <cell r="E86" t="str">
            <v>a=dL=</v>
          </cell>
          <cell r="G86">
            <v>45.095652173913045</v>
          </cell>
          <cell r="H86">
            <v>51.86</v>
          </cell>
        </row>
        <row r="87">
          <cell r="A87" t="str">
            <v>E9</v>
          </cell>
          <cell r="C87" t="str">
            <v>15.5-r_</v>
          </cell>
          <cell r="D87" t="str">
            <v>-$)—^)_Ü ;Dd 9'Ëf ldl;Psf] ;fdfGo df6f]df #) ;]=ld= ux/fO{ df6f] sf6L ;ju|]8 tof/ ug{] sfd  !) ld= ;Ddsf] 9'jfgL / kG5fpg] sfd .</v>
          </cell>
          <cell r="E87" t="str">
            <v>a=dL=</v>
          </cell>
          <cell r="G87">
            <v>58.295652173913048</v>
          </cell>
          <cell r="H87">
            <v>67.040000000000006</v>
          </cell>
        </row>
        <row r="88">
          <cell r="A88" t="str">
            <v>E10</v>
          </cell>
          <cell r="C88" t="str">
            <v>15.9-s_</v>
          </cell>
          <cell r="D88" t="str">
            <v>!) ;]=ld= 7f]; df]6fO{df jfn'jf ldl;Psf] u|fe]nsf] ;jj]; cf]5\ofpg] sfd dfn ;fdfg nf]8 ug{], n}hfg], ;tx ldnfpg] !) ld= ;Dd 9'fjgL ug} cfbL sfd ;d]t .</v>
          </cell>
          <cell r="E88" t="str">
            <v>a=dL=</v>
          </cell>
          <cell r="G88">
            <v>119.12</v>
          </cell>
          <cell r="H88">
            <v>136.99</v>
          </cell>
        </row>
        <row r="89">
          <cell r="A89" t="str">
            <v>E11</v>
          </cell>
          <cell r="C89" t="str">
            <v>15.9-u_</v>
          </cell>
          <cell r="D89" t="str">
            <v>!% ;]=ld= 7f]; df]6fO{df jfn'jf ldl;Psf] u|fe]nsf] ;jj]; cf]5\ofpg] sfd dfn ;fdfg nf]8 ug{], n}hfg], ;tx ldnfpg] !) ld= ;Dd 9'fjgL ug} cfbL sfd ;d]t .</v>
          </cell>
          <cell r="E89" t="str">
            <v>a=dL=</v>
          </cell>
          <cell r="G89">
            <v>174.36</v>
          </cell>
          <cell r="H89">
            <v>200.52</v>
          </cell>
        </row>
        <row r="90">
          <cell r="A90" t="str">
            <v>E12</v>
          </cell>
          <cell r="C90" t="str">
            <v>15.12-cf_s</v>
          </cell>
          <cell r="D90" t="str">
            <v>^ ;]=ld= 7f]; df]6fO{df s'6]sf] 9'+ufdf w'nf] ldnfO{ -:6f]g 8:6 j08 dfsf8d sf];{_ cf]5\ofpg] sfd /f]8fnfO{ txdf ldnfO{ 9+ufsf] w'nf] km}nfpg] sfd ;d]t .</v>
          </cell>
          <cell r="E90" t="str">
            <v>a=dL=</v>
          </cell>
          <cell r="G90">
            <v>97.65</v>
          </cell>
          <cell r="H90">
            <v>112.33</v>
          </cell>
        </row>
        <row r="91">
          <cell r="A91" t="str">
            <v>E13</v>
          </cell>
          <cell r="C91" t="str">
            <v>15.12-cf_v</v>
          </cell>
          <cell r="D91" t="str">
            <v>* ;]=ld= 7f]; df]6fO{df s'6]sf] 9'+ufdf w'nf] ldnfO{ -:6f]g 8:6 j08 dfsf8d sf];{_ cf]5\ofpg] sfd /f]8fnfO{ txdf ldnfO{ 9+ufsf] w'nf] km}nfpg] sfd ;d]t .</v>
          </cell>
          <cell r="E91" t="str">
            <v>a=dL=</v>
          </cell>
          <cell r="G91">
            <v>133.47999999999999</v>
          </cell>
          <cell r="H91">
            <v>153.5</v>
          </cell>
        </row>
        <row r="92">
          <cell r="A92" t="str">
            <v>E14</v>
          </cell>
          <cell r="C92" t="str">
            <v>15.12-c_u</v>
          </cell>
          <cell r="D92" t="str">
            <v>!) ;]=ld= 7f]; df]6fO{df s'6]sf] 9'+ufdf w'nf] ldnfO{ -:6f]g 8:6 j08 dfsf8d sf];{_ cf]5\ofpg] sfd /f]8fnfO{ txdf ldnfO{ 9+ufsf] w'nf] km}nfpg] sfd ;d]t .</v>
          </cell>
          <cell r="E92" t="str">
            <v>a=dL=</v>
          </cell>
          <cell r="G92">
            <v>162.27000000000001</v>
          </cell>
          <cell r="H92">
            <v>186.61</v>
          </cell>
        </row>
        <row r="93">
          <cell r="A93" t="str">
            <v>E15</v>
          </cell>
          <cell r="C93" t="str">
            <v>15.12-c_r</v>
          </cell>
          <cell r="D93" t="str">
            <v>!% ;]=ld= 7f]; df]6fO{df s'6]sf] 9'+ufdf w'nf] ldnfO{ -:6f]g 8:6 j08 dfsf8d sf];{_ cf]5\ofpg] sfd /f]8fnfO{ txdf ldnfO{ 9+ufsf] w'nf] km}nfpg] sfd ;d]t .</v>
          </cell>
          <cell r="E93" t="str">
            <v>a=dL=</v>
          </cell>
          <cell r="G93">
            <v>217.45217391304348</v>
          </cell>
          <cell r="H93">
            <v>250.07</v>
          </cell>
        </row>
        <row r="94">
          <cell r="A94" t="str">
            <v>E16</v>
          </cell>
          <cell r="C94" t="str">
            <v>15.4-s_,15.5-s_,15.12-cf=u_</v>
          </cell>
          <cell r="D94" t="str">
            <v>!) ;]=ld= ux/fO{ ;Dd -k"/fgf] lkr ;8s ;tx_ vgk"/ u/L, kfgL 5sL{, sDk]Szg ;d]t u/L ;ju|]8 tof/ ug{] sfd .</v>
          </cell>
          <cell r="E94" t="str">
            <v>j=dL</v>
          </cell>
          <cell r="G94">
            <v>26.48</v>
          </cell>
          <cell r="H94">
            <v>30.46</v>
          </cell>
        </row>
        <row r="95">
          <cell r="A95" t="str">
            <v>E17</v>
          </cell>
          <cell r="D95" t="str">
            <v>k"/fg]f d+ufn km"6fO, Dofgxf]n se/ ldmls, ;"/lIft ;fy /fvL cfjZostf cg";f/ d+ufnsf] prfO{ 36j9 u/L se/ k"gM oyfj:yfgdf /fVg] sfd .</v>
          </cell>
          <cell r="E95" t="str">
            <v>;+Vof</v>
          </cell>
          <cell r="G95">
            <v>1000</v>
          </cell>
          <cell r="H95">
            <v>550</v>
          </cell>
        </row>
        <row r="96">
          <cell r="A96" t="str">
            <v>E18</v>
          </cell>
          <cell r="D96" t="str">
            <v>cfjZos ;fO{hsf] sf:6 cfO/gsf] r's'n;lxtsf] lu|8 se/ h8fg ug]{ sfd .</v>
          </cell>
          <cell r="E96" t="str">
            <v>;+Vof</v>
          </cell>
          <cell r="G96">
            <v>3000</v>
          </cell>
          <cell r="H96">
            <v>4500</v>
          </cell>
        </row>
        <row r="97">
          <cell r="A97" t="str">
            <v>E19</v>
          </cell>
          <cell r="D97" t="str">
            <v>sfnf]kq] ug]{ If]qdf emf/kft ;kmf ug]{, kmf]x/ ;kmf ug]{, vfN8fv"N8L k"g]{ cfbL sfd .</v>
          </cell>
          <cell r="E97" t="str">
            <v>Psd"i^</v>
          </cell>
          <cell r="G97">
            <v>0</v>
          </cell>
          <cell r="H97">
            <v>0</v>
          </cell>
        </row>
        <row r="98">
          <cell r="A98" t="str">
            <v>E20</v>
          </cell>
          <cell r="D98" t="str">
            <v>k"/fgf] u|fe]n ;8sdf jfn'jf ldl;Psf] u|fen /fvL kfgL 5sL{ /f]lnª u/L ;tx ;'wf/ ug]{ sfd .</v>
          </cell>
          <cell r="E98" t="str">
            <v>#=dL=</v>
          </cell>
          <cell r="G98">
            <v>0</v>
          </cell>
          <cell r="H98">
            <v>0</v>
          </cell>
        </row>
        <row r="99">
          <cell r="A99" t="str">
            <v>E21</v>
          </cell>
          <cell r="D99" t="str">
            <v>k"/fgf] 8An'=lj=Pd= ;txsf] cG8"n];g, u|]8, SofDj/ cfbL ldnfO{ jf6/ jfp08 d]sf8d ;tx ;"wf/ ug]{ sfo{ .</v>
          </cell>
          <cell r="E99" t="str">
            <v>#=dL=</v>
          </cell>
          <cell r="G99">
            <v>0</v>
          </cell>
          <cell r="H99">
            <v>0</v>
          </cell>
        </row>
        <row r="100">
          <cell r="A100" t="str">
            <v>F1</v>
          </cell>
          <cell r="C100" t="str">
            <v>15.16-s_</v>
          </cell>
          <cell r="D100" t="str">
            <v>jf6/ afp08 dfsf8d ;txdf dfyL tf/ a'|; / s'rf]jf6 ;tx ;kmf ug{] sfd  -lkr 5g{' eGbf klxn]_ .</v>
          </cell>
          <cell r="E100" t="str">
            <v>j=dL=</v>
          </cell>
          <cell r="G100">
            <v>2.75</v>
          </cell>
          <cell r="H100">
            <v>3.16</v>
          </cell>
        </row>
        <row r="101">
          <cell r="A101" t="str">
            <v>F2</v>
          </cell>
          <cell r="C101" t="str">
            <v>15.16-v_</v>
          </cell>
          <cell r="D101" t="str">
            <v>cGo ;8s ;txdf tf/ a'|; / s'rf] nufO{ ;kmf ug{] sfd .</v>
          </cell>
          <cell r="E101" t="str">
            <v>j=dL=</v>
          </cell>
          <cell r="G101">
            <v>2.1999999999999997</v>
          </cell>
          <cell r="H101">
            <v>2.5299999999999998</v>
          </cell>
        </row>
        <row r="102">
          <cell r="A102" t="str">
            <v>F3</v>
          </cell>
          <cell r="C102" t="str">
            <v>15.17-s_</v>
          </cell>
          <cell r="D102" t="str">
            <v>k'/fgf] lkr ;tx dfyL dfn ;fdfg pknJw u/L 6}+s sf]6 nufpg] sfd .  -bfp/fjf6 df; js{||_ -lj6'dLg ;d]t_</v>
          </cell>
          <cell r="E102" t="str">
            <v>j=dL=</v>
          </cell>
          <cell r="G102">
            <v>27.85</v>
          </cell>
          <cell r="H102">
            <v>32.020000000000003</v>
          </cell>
          <cell r="I102" t="str">
            <v>lj^"dLg ;d]t</v>
          </cell>
        </row>
        <row r="103">
          <cell r="A103" t="str">
            <v>F4</v>
          </cell>
          <cell r="C103" t="str">
            <v>15.17-s_</v>
          </cell>
          <cell r="D103" t="str">
            <v>k'/fgf] lkr ;tx dfyL dfn ;fdfg pknJw u/L 6}+s sf]6 nufpg] sfd .  -bfp/fjf6 df; js{||_ -lj6'dLg jfx]s_</v>
          </cell>
          <cell r="E103" t="str">
            <v>j=dL=</v>
          </cell>
          <cell r="G103">
            <v>0</v>
          </cell>
          <cell r="H103">
            <v>0</v>
          </cell>
          <cell r="I103" t="str">
            <v>lj^'ldg afx]s</v>
          </cell>
        </row>
        <row r="104">
          <cell r="A104" t="str">
            <v>F5</v>
          </cell>
          <cell r="C104" t="str">
            <v>15.17-v_</v>
          </cell>
          <cell r="D104" t="str">
            <v xml:space="preserve"> a];sf];{-;tx_ dfyL dfn ;fdfg pknJw u/L 6}+s sf]6 nufpg] sfd . -bfp/fjf6 df; js{||_ -lj6'dLg ;d]t_</v>
          </cell>
          <cell r="E104" t="str">
            <v>j=dL=</v>
          </cell>
          <cell r="G104">
            <v>45.04</v>
          </cell>
          <cell r="H104">
            <v>51.79</v>
          </cell>
          <cell r="I104" t="str">
            <v>lj^'ldg ;d]t</v>
          </cell>
        </row>
        <row r="105">
          <cell r="A105" t="str">
            <v>F6</v>
          </cell>
          <cell r="C105" t="str">
            <v>15.17-v_</v>
          </cell>
          <cell r="D105" t="str">
            <v xml:space="preserve"> a];sf];{-;tx_ dfyL dfn ;fdfg pknJw u/L 6}+s sf]6 nufpg] sfd . -bfp/fjf6 df; js{||_ -lj6'dLg jfx]s_</v>
          </cell>
          <cell r="E105" t="str">
            <v>j=dL=</v>
          </cell>
          <cell r="G105">
            <v>0</v>
          </cell>
          <cell r="H105">
            <v>0</v>
          </cell>
          <cell r="I105" t="str">
            <v>lj^'ldg afx]s</v>
          </cell>
        </row>
        <row r="106">
          <cell r="A106" t="str">
            <v>F7</v>
          </cell>
          <cell r="C106" t="str">
            <v>15.18-s_</v>
          </cell>
          <cell r="D106" t="str">
            <v>k'/fgf] lkr ;tx dfyL dfn ;fdfg pknJw u/L k|fOd sf]6 nufpg] sfd .  -bfp/fjf6 df; js{|| tyf s6Jofs %) Ü_ -lj6'dLg ;d]t_</v>
          </cell>
          <cell r="E106" t="str">
            <v>j=dL=</v>
          </cell>
          <cell r="G106">
            <v>22.713043478260868</v>
          </cell>
          <cell r="H106">
            <v>26.12</v>
          </cell>
          <cell r="I106" t="str">
            <v>lj^"dLg ;d]t</v>
          </cell>
        </row>
        <row r="107">
          <cell r="A107" t="str">
            <v>F8</v>
          </cell>
          <cell r="C107" t="str">
            <v>15.18-s_</v>
          </cell>
          <cell r="D107" t="str">
            <v>k'/fgf] lkr ;tx dfyL dfn ;fdfg pknJw u/L k|fOd sf]6 nufpg] sfd .  -bfp/fjf6 df; js{|| tyf s6Jofs %) Ü_ -lj6'dLg jfx]s_</v>
          </cell>
          <cell r="E107" t="str">
            <v>j=dL=</v>
          </cell>
          <cell r="G107">
            <v>0</v>
          </cell>
          <cell r="H107">
            <v>0</v>
          </cell>
          <cell r="I107" t="str">
            <v>lj^'ldg afx]s</v>
          </cell>
        </row>
        <row r="108">
          <cell r="A108" t="str">
            <v>F9</v>
          </cell>
          <cell r="C108" t="str">
            <v>15.18-v_</v>
          </cell>
          <cell r="D108" t="str">
            <v>a];sf];{ dfly k|fOd sf]6 nufpg] sfd dfn ;fdfg pknJw u/L  -bfp/fjf6 df; js{ tyf s6Jofs %) Ü{_ . -lj6'dLg ;d]t_</v>
          </cell>
          <cell r="E108" t="str">
            <v>j=dL=</v>
          </cell>
          <cell r="G108">
            <v>51.356521739130436</v>
          </cell>
          <cell r="H108">
            <v>59.06</v>
          </cell>
          <cell r="I108" t="str">
            <v>lj^"dLg ;d]t</v>
          </cell>
        </row>
        <row r="109">
          <cell r="A109" t="str">
            <v>F10</v>
          </cell>
          <cell r="C109" t="str">
            <v>15.18-v_</v>
          </cell>
          <cell r="D109" t="str">
            <v>a];sf];{ dfly k|fOd sf]6 nufpg] sfd dfn ;fdfg pknJw u/L  -bfp/fjf6 df; js{ tyf s6Jofs %) Ü{_ . -lj6'dLg jfx]s_</v>
          </cell>
          <cell r="E109" t="str">
            <v>j=dL=</v>
          </cell>
          <cell r="G109">
            <v>0</v>
          </cell>
          <cell r="H109">
            <v>0</v>
          </cell>
          <cell r="I109" t="str">
            <v>lj^'ldg afx]s</v>
          </cell>
        </row>
        <row r="110">
          <cell r="A110" t="str">
            <v>F11</v>
          </cell>
          <cell r="C110">
            <v>15.19</v>
          </cell>
          <cell r="D110" t="str">
            <v>Pssf]6 ;km{]; 8|\]l;Ë ug{] sfd . -:6Ln JxLn /f]n/ tyf bfp/fjf6 df; js{_ -lj6'dLg ;d]t_</v>
          </cell>
          <cell r="E110" t="str">
            <v>j=dL=</v>
          </cell>
          <cell r="G110">
            <v>106</v>
          </cell>
          <cell r="H110">
            <v>121.9</v>
          </cell>
          <cell r="I110" t="str">
            <v>lj^'ldg ;d]t</v>
          </cell>
        </row>
        <row r="111">
          <cell r="A111" t="str">
            <v>F12</v>
          </cell>
          <cell r="C111">
            <v>15.19</v>
          </cell>
          <cell r="D111" t="str">
            <v>Pssf]6 ;km{]; 8|\]l;Ë ug{] sfd . -:6Ln JxLn /f]n/ tyf bfp/fjf6 df; js{_ -lj6'dLg jfx]s_</v>
          </cell>
          <cell r="E111" t="str">
            <v>j=dL=</v>
          </cell>
          <cell r="G111">
            <v>0</v>
          </cell>
          <cell r="H111">
            <v>0</v>
          </cell>
          <cell r="I111" t="str">
            <v>lj^'ldg afx]s</v>
          </cell>
        </row>
        <row r="112">
          <cell r="A112" t="str">
            <v>F13</v>
          </cell>
          <cell r="C112">
            <v>15.19</v>
          </cell>
          <cell r="D112" t="str">
            <v>Pssf]6 ;km{]; 8|\]l;Ë ug{] sfd . -Go"d]l6s /f]n/ tyf bfp/fjf6 df; js{_ -lj6'dLg ;d]t_</v>
          </cell>
          <cell r="E112" t="str">
            <v>j=dL=</v>
          </cell>
          <cell r="G112">
            <v>106</v>
          </cell>
          <cell r="H112">
            <v>121.9</v>
          </cell>
          <cell r="I112" t="str">
            <v>lj^"dLg ;d]t</v>
          </cell>
        </row>
        <row r="113">
          <cell r="A113" t="str">
            <v>F14</v>
          </cell>
          <cell r="C113">
            <v>15.19</v>
          </cell>
          <cell r="D113" t="str">
            <v>Pssf]6 ;km{]; 8|\]l;Ë ug{] sfd . -Go"d]l6s /f]n/ tyf bfp/fjf6 df; js{_ -lj6'dLg jfx]s_</v>
          </cell>
          <cell r="E113" t="str">
            <v>j=dL=</v>
          </cell>
          <cell r="G113">
            <v>0</v>
          </cell>
          <cell r="H113">
            <v>0</v>
          </cell>
          <cell r="I113" t="str">
            <v>lj^'ldg afx]s</v>
          </cell>
        </row>
        <row r="114">
          <cell r="A114" t="str">
            <v>F15</v>
          </cell>
          <cell r="C114">
            <v>15.2</v>
          </cell>
          <cell r="D114" t="str">
            <v xml:space="preserve">b'O{ sf]6 ;km{]; 8|\]l;Ë ug{] sfd . -bfp/fjf6 df; js{ tyf :6Ln JxLn /f]n/ k|of]u u/L_ -lj6'dLg ;d]t_ </v>
          </cell>
          <cell r="E114" t="str">
            <v>j=dL=</v>
          </cell>
          <cell r="G114">
            <v>173</v>
          </cell>
          <cell r="H114">
            <v>198.95</v>
          </cell>
          <cell r="I114" t="str">
            <v>lj^"dLg ;d]t</v>
          </cell>
        </row>
        <row r="115">
          <cell r="A115" t="str">
            <v>F16</v>
          </cell>
          <cell r="C115">
            <v>15.2</v>
          </cell>
          <cell r="D115" t="str">
            <v xml:space="preserve">b'O{ sf]6 ;km{]; 8|\]l;Ë ug{] sfd . -bfp/fjf6 df; js{ tyf :6Ln JxLn /f]n/ k|of]u u/L_ -lj6'dLg jfx]s_ </v>
          </cell>
          <cell r="E115" t="str">
            <v>j=dL=</v>
          </cell>
          <cell r="G115">
            <v>0</v>
          </cell>
          <cell r="H115">
            <v>0</v>
          </cell>
          <cell r="I115" t="str">
            <v>lj^'ldg afx]s</v>
          </cell>
        </row>
        <row r="116">
          <cell r="A116" t="str">
            <v>F17</v>
          </cell>
          <cell r="C116">
            <v>15.2</v>
          </cell>
          <cell r="D116" t="str">
            <v>b'O{ sf]6 ;km{]; 8|\]l;Ë ug{] sfd .  -bfp/fjf6df; js{ tyf Go"d]l6s /f]n/ /f]n/ k|of]u u/L_ -lj6'dLg ;d]t_</v>
          </cell>
          <cell r="E116" t="str">
            <v>j=dL=</v>
          </cell>
          <cell r="G116">
            <v>177.50434782608696</v>
          </cell>
          <cell r="H116">
            <v>204.13</v>
          </cell>
          <cell r="I116" t="str">
            <v>lj^'ldg ;d]t</v>
          </cell>
        </row>
        <row r="117">
          <cell r="A117" t="str">
            <v>F18</v>
          </cell>
          <cell r="C117">
            <v>15.2</v>
          </cell>
          <cell r="D117" t="str">
            <v>b'O{ sf]6 ;km{]; 8|\]l;Ë ug{] sfd .  -bfp/fjf6df; js{ tyf Go"d]l6s /f]n/ /f]n/ k|of]u u/L_ -lj6'dLg jfx]s_</v>
          </cell>
          <cell r="E117" t="str">
            <v>j=dL=</v>
          </cell>
          <cell r="G117">
            <v>0</v>
          </cell>
          <cell r="H117">
            <v>0</v>
          </cell>
          <cell r="I117" t="str">
            <v>lj^'ldg afx]s</v>
          </cell>
        </row>
        <row r="118">
          <cell r="A118" t="str">
            <v>F19</v>
          </cell>
          <cell r="C118" t="str">
            <v>15.21-s_</v>
          </cell>
          <cell r="D118" t="str">
            <v>% ;]=ld= df]6fO{df ;]dLu|fp6LË ug{] sfd -bfp/fjf6 df;js{ _ -lj6'dLg ;d]t_</v>
          </cell>
          <cell r="E118" t="str">
            <v>j=dL=</v>
          </cell>
          <cell r="G118">
            <v>229.18260869565216</v>
          </cell>
          <cell r="H118">
            <v>263.56</v>
          </cell>
          <cell r="I118" t="str">
            <v>lj^"dLg ;d]t</v>
          </cell>
        </row>
        <row r="119">
          <cell r="A119" t="str">
            <v>F20</v>
          </cell>
          <cell r="C119" t="str">
            <v>15.21-s_</v>
          </cell>
          <cell r="D119" t="str">
            <v>% ;]=ld= df]6fO{df ;]dLu|fp6LË ug{] sfd -bfp/fjf6 df;js{ _ -lj6'dLg jfx]s_</v>
          </cell>
          <cell r="E119" t="str">
            <v>j=dL=</v>
          </cell>
          <cell r="G119">
            <v>0</v>
          </cell>
          <cell r="H119">
            <v>0</v>
          </cell>
          <cell r="I119" t="str">
            <v>lj^'ldg afx]s</v>
          </cell>
        </row>
        <row r="120">
          <cell r="A120" t="str">
            <v>F21</v>
          </cell>
          <cell r="C120" t="str">
            <v>15.21-s_</v>
          </cell>
          <cell r="D120" t="str">
            <v>% ;]=ld= df]6fO{df ;]dLu|fp6LË ug{] sfd -bfp/fjf6 Kofrjs{ _ -lj6'dLg ;d]t_</v>
          </cell>
          <cell r="E120" t="str">
            <v>j=dL=</v>
          </cell>
          <cell r="G120">
            <v>243.15652173913043</v>
          </cell>
          <cell r="H120">
            <v>279.63</v>
          </cell>
          <cell r="I120" t="str">
            <v>lj^"dLg ;d]t</v>
          </cell>
        </row>
        <row r="121">
          <cell r="A121" t="str">
            <v>F22</v>
          </cell>
          <cell r="C121" t="str">
            <v>15.21-s_</v>
          </cell>
          <cell r="D121" t="str">
            <v>% ;]=ld= df]6fO{df ;]dLu|fp6LË ug{] sfd -bfp/fjf6 Kofrjs{ _ -lj6'dLg jfx]s_</v>
          </cell>
          <cell r="E121" t="str">
            <v>j=dL=</v>
          </cell>
          <cell r="G121">
            <v>0</v>
          </cell>
          <cell r="H121">
            <v>0</v>
          </cell>
          <cell r="I121" t="str">
            <v>lj^'ldg afx]s</v>
          </cell>
        </row>
        <row r="122">
          <cell r="A122" t="str">
            <v>F23</v>
          </cell>
          <cell r="C122" t="str">
            <v>15.23-s_</v>
          </cell>
          <cell r="D122" t="str">
            <v>l;nsf]6 ug{] sfd sDk]S;g ;d]t-:6LnJxLn /f]n/ tyf bfp/fjf6df; js{_ - lrkl;n _ -lj6'dLg ;d]t_</v>
          </cell>
          <cell r="E122" t="str">
            <v>j=dL=</v>
          </cell>
          <cell r="G122">
            <v>77.8</v>
          </cell>
          <cell r="H122">
            <v>89.47</v>
          </cell>
          <cell r="I122" t="str">
            <v>lj^'ldg ;d]t</v>
          </cell>
        </row>
        <row r="123">
          <cell r="A123" t="str">
            <v>F24</v>
          </cell>
          <cell r="C123" t="str">
            <v>15.23-s_</v>
          </cell>
          <cell r="D123" t="str">
            <v>l;nsf]6 ug{] sfd sDk]S;g ;d]t-:6LnJxLn /f]n/ tyf bfp/fjf6df; js{_ - lrkl;n _ -lj6'dLg jfx]s_</v>
          </cell>
          <cell r="E123" t="str">
            <v>j=dL=</v>
          </cell>
          <cell r="G123">
            <v>0</v>
          </cell>
          <cell r="H123">
            <v>0</v>
          </cell>
          <cell r="I123" t="str">
            <v>lj^'ldg afx]s</v>
          </cell>
        </row>
        <row r="124">
          <cell r="A124" t="str">
            <v>F25</v>
          </cell>
          <cell r="C124" t="str">
            <v>15.23-s_</v>
          </cell>
          <cell r="D124" t="str">
            <v>l;nsf]6 ug{] sfd sDk]S;g ;d]t -Go"d]l6s /f]n/ tyf bfp/fjf6 df; js{_  - lrkl;n _ -lj6'dLg ;d]t_</v>
          </cell>
          <cell r="E124" t="str">
            <v>j=dL=</v>
          </cell>
          <cell r="G124">
            <v>80.356521739130429</v>
          </cell>
          <cell r="H124">
            <v>92.41</v>
          </cell>
          <cell r="I124" t="str">
            <v>lj^"dLg ;d]t</v>
          </cell>
        </row>
        <row r="125">
          <cell r="A125" t="str">
            <v>F26</v>
          </cell>
          <cell r="C125" t="str">
            <v>15.23-s_</v>
          </cell>
          <cell r="D125" t="str">
            <v>l;nsf]6 ug{] sfd sDk]S;g ;d]t -Go"d]l6s /f]n/ tyf bfp/fjf6 df; js{_  - lrkl;n _ -lj6'dLg jfx]s_</v>
          </cell>
          <cell r="E125" t="str">
            <v>j=dL=</v>
          </cell>
          <cell r="G125">
            <v>0</v>
          </cell>
          <cell r="H125">
            <v>0</v>
          </cell>
          <cell r="I125" t="str">
            <v>lj^'ldg afx]s</v>
          </cell>
        </row>
        <row r="126">
          <cell r="A126" t="str">
            <v>F27</v>
          </cell>
          <cell r="C126" t="str">
            <v>15.23-v_</v>
          </cell>
          <cell r="D126" t="str">
            <v>v;|f] jfn'jfjf6  l;nsf]6 ug{] sfd sDk]S;g ;d]t -Go"d]l6s /f]n/ tyf bfp/fjf6 df;js{ _ -lj6'dLg ;d]t_</v>
          </cell>
          <cell r="E126" t="str">
            <v>j=dL=</v>
          </cell>
          <cell r="G126">
            <v>57.817391304347815</v>
          </cell>
          <cell r="H126">
            <v>66.489999999999995</v>
          </cell>
          <cell r="I126" t="str">
            <v>lj^"dLg ;d]t</v>
          </cell>
        </row>
        <row r="127">
          <cell r="A127" t="str">
            <v>F28</v>
          </cell>
          <cell r="C127" t="str">
            <v>15.23-v_</v>
          </cell>
          <cell r="D127" t="str">
            <v>v;|f] jfn'jfjf6  l;nsf]6 ug{] sfd sDk]S;g ;d]t -Go"d]l6s /f]n/ tyf bfp/fjf6 df;js{ _ -lj6'dLg jfx]s_</v>
          </cell>
          <cell r="E127" t="str">
            <v>j=dL=</v>
          </cell>
          <cell r="G127">
            <v>0</v>
          </cell>
          <cell r="H127">
            <v>0</v>
          </cell>
          <cell r="I127" t="str">
            <v>lj^'ldg afx]s</v>
          </cell>
        </row>
        <row r="128">
          <cell r="A128" t="str">
            <v>F29</v>
          </cell>
          <cell r="C128" t="str">
            <v>15.24-s_</v>
          </cell>
          <cell r="D128" t="str">
            <v>$) ld=ld= df]6fO{sf lk|ldS; sfk{]6 ug{] sfd sDk]S;g ;d]t -bfp/fjf6 df;js{ _ -lj6'dLg ;d]t_</v>
          </cell>
          <cell r="E128" t="str">
            <v>j=dL=</v>
          </cell>
          <cell r="G128">
            <v>264.17391304347825</v>
          </cell>
          <cell r="H128">
            <v>303.8</v>
          </cell>
          <cell r="I128" t="str">
            <v>lj^'ldg ;d]t</v>
          </cell>
        </row>
        <row r="129">
          <cell r="A129" t="str">
            <v>F30</v>
          </cell>
          <cell r="C129" t="str">
            <v>15.24-s_</v>
          </cell>
          <cell r="D129" t="str">
            <v>$) ld=ld= df]6fO{sf lk|ldS; sfk{]6 ug{] sfd sDk]S;g ;d]t -bfp/fjf6 df;js{ _ -lj6'dLg jfx]s_</v>
          </cell>
          <cell r="E129" t="str">
            <v>j=dL=</v>
          </cell>
          <cell r="G129">
            <v>0</v>
          </cell>
          <cell r="H129">
            <v>0</v>
          </cell>
          <cell r="I129" t="str">
            <v>lj^'ldg afx]s</v>
          </cell>
        </row>
        <row r="130">
          <cell r="A130" t="str">
            <v>F31</v>
          </cell>
          <cell r="C130" t="str">
            <v>15.24-v_</v>
          </cell>
          <cell r="D130" t="str">
            <v>@) ld=ld= df]6fO{sf lk|ldS; sfk{]6 ug{] sfd sDk]S;g ;d]t -bfp/fjf6 df; js{ tyf b'a} /f]n/ k|of]u u/L_ -lj6'dLg ;d]t_</v>
          </cell>
          <cell r="E130" t="str">
            <v>j=dL=</v>
          </cell>
          <cell r="G130">
            <v>123.87826086956522</v>
          </cell>
          <cell r="H130">
            <v>142.46</v>
          </cell>
          <cell r="I130" t="str">
            <v>lj^"dLg ;d]t</v>
          </cell>
        </row>
        <row r="131">
          <cell r="A131" t="str">
            <v>F32</v>
          </cell>
          <cell r="C131" t="str">
            <v>15.24-v_</v>
          </cell>
          <cell r="D131" t="str">
            <v>@) ld=ld= df]6fO{sf lk|ldS; sfk{]6 ug{] sfd sDk]S;g ;d]t -bfp/fjf6 df; js{ tyf b'a} /f]n/ k|of]u u/L_ -lj6'dLg jfx]s_</v>
          </cell>
          <cell r="E131" t="str">
            <v>j=dL=</v>
          </cell>
          <cell r="G131">
            <v>0</v>
          </cell>
          <cell r="H131">
            <v>0</v>
          </cell>
          <cell r="I131" t="str">
            <v>lj^'ldg afx]s</v>
          </cell>
        </row>
        <row r="132">
          <cell r="A132" t="str">
            <v>F33</v>
          </cell>
          <cell r="C132" t="str">
            <v>15.24-v_</v>
          </cell>
          <cell r="D132" t="str">
            <v>@) ld=ld= df]6fO{sf lk|ldS; sfk{]6 ug{] sfd sDk]S;g ;d]t -bfp/fjf6 df; js{ tyf :6LnJxLn /f]n/ dfq k|of]u u/L_ -lj6'dLg ;d]t_</v>
          </cell>
          <cell r="E132" t="str">
            <v>j=dL=</v>
          </cell>
          <cell r="G132">
            <v>111.87826086956522</v>
          </cell>
          <cell r="H132">
            <v>128.66</v>
          </cell>
          <cell r="I132" t="str">
            <v>lj^"dLg ;d]t</v>
          </cell>
        </row>
        <row r="133">
          <cell r="A133" t="str">
            <v>F34</v>
          </cell>
          <cell r="C133" t="str">
            <v>15.24-v_</v>
          </cell>
          <cell r="D133" t="str">
            <v>@) ld=ld= df]6fO{sf lk|ldS; sfk{]6 ug{] sfd sDk]S;g ;d]t -bfp/fjf6 df; js{ tyf :6LnJxLn /f]n/ dfq k|of]u u/L_ -lj6'dLg jfx]s_</v>
          </cell>
          <cell r="E133" t="str">
            <v>j=dL=</v>
          </cell>
          <cell r="G133">
            <v>0</v>
          </cell>
          <cell r="H133">
            <v>0</v>
          </cell>
          <cell r="I133" t="str">
            <v>lj^'ldg afx]s</v>
          </cell>
        </row>
        <row r="134">
          <cell r="A134" t="str">
            <v>F35</v>
          </cell>
          <cell r="C134" t="str">
            <v>15.24-v_</v>
          </cell>
          <cell r="D134" t="str">
            <v>@) ld=ld= df]6fO{sf lk|ldS; sfk{]6 ug{] sfd sDk]S;g ;d]t -bfp/fjf6 Kofr sfo{sf] nflu tyf :6LnJxLn /f]n/ dfq k|of]u u/L _ -lj6'dLg ;d]t_</v>
          </cell>
          <cell r="E134" t="str">
            <v>j=dL=</v>
          </cell>
          <cell r="G134">
            <v>118.85217391304347</v>
          </cell>
          <cell r="H134">
            <v>136.68</v>
          </cell>
          <cell r="I134" t="str">
            <v>lj^'ldg ;d]t</v>
          </cell>
        </row>
        <row r="135">
          <cell r="A135" t="str">
            <v>F36</v>
          </cell>
          <cell r="C135" t="str">
            <v>15.24-v_</v>
          </cell>
          <cell r="D135" t="str">
            <v>@) ld=ld= df]6fO{sf lk|ldS; sfk{]6 ug{] sfd sDk]S;g ;d]t -bfp/fjf6 Kofr sfo{sf] nflu tyf :6LnJxLn /f]n/ dfq k|of]u u/L _ -lj6'dLg jfx]s_</v>
          </cell>
          <cell r="E135" t="str">
            <v>j=dL=</v>
          </cell>
          <cell r="G135">
            <v>0</v>
          </cell>
          <cell r="H135">
            <v>0</v>
          </cell>
          <cell r="I135" t="str">
            <v>lj^'ldg afx]s</v>
          </cell>
        </row>
        <row r="136">
          <cell r="A136" t="str">
            <v>F37</v>
          </cell>
          <cell r="C136" t="str">
            <v>15.17-s_</v>
          </cell>
          <cell r="D136" t="str">
            <v>k'/fgf] lkr ;tx dfyL dfn ;fdfg pknJw u/L 6}+s sf]6 nufpg] sfd . -dl§t]njf6 df; js{||_ -lj6'dLg ;d]t_</v>
          </cell>
          <cell r="E136" t="str">
            <v>j=dL=</v>
          </cell>
          <cell r="G136">
            <v>27.878260869565217</v>
          </cell>
          <cell r="H136">
            <v>32.06</v>
          </cell>
          <cell r="I136" t="str">
            <v>lj^'ldg ;d]t</v>
          </cell>
        </row>
        <row r="137">
          <cell r="A137" t="str">
            <v>F38</v>
          </cell>
          <cell r="C137" t="str">
            <v>15.17-s_</v>
          </cell>
          <cell r="D137" t="str">
            <v>k'/fgf] lkr ;tx dfyL dfn ;fdfg pknJw u/L 6}+s sf]6 nufpg] sfd . -dl§t]njf6 df; js{||_ -lj6'dLg jfx]s_</v>
          </cell>
          <cell r="E137" t="str">
            <v>j=dL=</v>
          </cell>
          <cell r="G137">
            <v>0</v>
          </cell>
          <cell r="H137">
            <v>0</v>
          </cell>
          <cell r="I137" t="str">
            <v>lj^'ldg afx]s</v>
          </cell>
        </row>
        <row r="138">
          <cell r="A138" t="str">
            <v>F39</v>
          </cell>
          <cell r="C138" t="str">
            <v>15.17-v_</v>
          </cell>
          <cell r="D138" t="str">
            <v xml:space="preserve"> a];sf];{-;tx_ dfyL dfn ;fdfg pknJw u/L 6}+s sf]6 nufpg] sfd . -dl§t]njf6 df; js{||_ -lj6'dLg ;d]t_</v>
          </cell>
          <cell r="E138" t="str">
            <v>j=dL=</v>
          </cell>
          <cell r="G138">
            <v>0</v>
          </cell>
          <cell r="H138">
            <v>0</v>
          </cell>
          <cell r="I138" t="str">
            <v>lj^"dLg ;d]t</v>
          </cell>
        </row>
        <row r="139">
          <cell r="A139" t="str">
            <v>F40</v>
          </cell>
          <cell r="C139" t="str">
            <v>15.17-v_</v>
          </cell>
          <cell r="D139" t="str">
            <v xml:space="preserve"> a];sf];{-;tx_ dfyL dfn ;fdfg pknJw u/L 6}+s sf]6 nufpg] sfd . -dl§t]njf6 df; js{||_ -lj6'dLg jfx]s_</v>
          </cell>
          <cell r="E139" t="str">
            <v>j=dL=</v>
          </cell>
          <cell r="G139">
            <v>0</v>
          </cell>
          <cell r="H139">
            <v>0</v>
          </cell>
          <cell r="I139" t="str">
            <v>lj^'ldg afx]s</v>
          </cell>
        </row>
        <row r="140">
          <cell r="A140" t="str">
            <v>F41</v>
          </cell>
          <cell r="C140" t="str">
            <v>15.18-s_</v>
          </cell>
          <cell r="D140" t="str">
            <v>k'/fgf] lkr ;tx dfyL dfn ;fdfg pknJw u/L k|fOd sf]6 nufpg] sfd . -dl§t]njf6 df; js{|| tyf s6Jofs %) Ü_ -lj6'dLg ;d]t_</v>
          </cell>
          <cell r="E140" t="str">
            <v>j=dL=</v>
          </cell>
          <cell r="G140">
            <v>0</v>
          </cell>
          <cell r="H140">
            <v>0</v>
          </cell>
          <cell r="I140" t="str">
            <v>lj^'ldg ;d]t</v>
          </cell>
        </row>
        <row r="141">
          <cell r="A141" t="str">
            <v>F42</v>
          </cell>
          <cell r="C141" t="str">
            <v>15.18-s_</v>
          </cell>
          <cell r="D141" t="str">
            <v>k'/fgf] lkr ;tx dfyL dfn ;fdfg pknJw u/L k|fOd sf]6 nufpg] sfd . -dl§t]njf6 df; js{|| tyf s6Jofs %) Ü_ -lj6'dLg jfx]s_</v>
          </cell>
          <cell r="E141" t="str">
            <v>j=dL=</v>
          </cell>
          <cell r="G141">
            <v>0</v>
          </cell>
          <cell r="H141">
            <v>0</v>
          </cell>
          <cell r="I141" t="str">
            <v>lj^'ldg afx]s</v>
          </cell>
        </row>
        <row r="142">
          <cell r="A142" t="str">
            <v>F43</v>
          </cell>
          <cell r="C142" t="str">
            <v>15.18-v_</v>
          </cell>
          <cell r="D142" t="str">
            <v>a];sf];{ dfly k|fOd sf]6 nufpg] sfd dfn ;fdfg pknJw u/L  . -dl§t]njf6 df; js{ tyf s6Jofs %) Ü_ -lj6'dLg ;d]t_</v>
          </cell>
          <cell r="E142" t="str">
            <v>j=dL=</v>
          </cell>
          <cell r="G142">
            <v>0</v>
          </cell>
          <cell r="H142">
            <v>0</v>
          </cell>
          <cell r="I142" t="str">
            <v>lj^"dLg ;d]t</v>
          </cell>
        </row>
        <row r="143">
          <cell r="A143" t="str">
            <v>F44</v>
          </cell>
          <cell r="C143" t="str">
            <v>15.18-v_</v>
          </cell>
          <cell r="D143" t="str">
            <v>a];sf];{ dfly k|fOd sf]6 nufpg] sfd dfn ;fdfg pknJw u/L  . -dl§t]njf6 df; js{ tyf s6Jofs %) Ü_ -lj6'dLg jfx]s_</v>
          </cell>
          <cell r="E143" t="str">
            <v>j=dL=</v>
          </cell>
          <cell r="G143">
            <v>0</v>
          </cell>
          <cell r="H143">
            <v>0</v>
          </cell>
          <cell r="I143" t="str">
            <v>lj^'ldg afx]s</v>
          </cell>
        </row>
        <row r="144">
          <cell r="A144" t="str">
            <v>F45</v>
          </cell>
          <cell r="C144">
            <v>15.19</v>
          </cell>
          <cell r="D144" t="str">
            <v>Pssf]6 ;km{]; 8|\]l;Ë ug{] sfd . -dl§t]njf6 df; js{ tyf :6Ln JxLn /f]n/ k|of]u u/L_ -lj6'dLg ;d]t_</v>
          </cell>
          <cell r="E144" t="str">
            <v>j=dL=</v>
          </cell>
          <cell r="G144">
            <v>0</v>
          </cell>
          <cell r="H144">
            <v>0</v>
          </cell>
          <cell r="I144" t="str">
            <v>lj^'ldg ;d]t</v>
          </cell>
        </row>
        <row r="145">
          <cell r="A145" t="str">
            <v>F46</v>
          </cell>
          <cell r="C145">
            <v>15.19</v>
          </cell>
          <cell r="D145" t="str">
            <v>Pssf]6 ;km{]; 8|\]l;Ë ug{] sfd . -dl§t]njf6 df; js{ tyf :6Ln JxLn /f]n/ k|of]u u/L_ -lj6'dLg jfx]s_</v>
          </cell>
          <cell r="E145" t="str">
            <v>j=dL=</v>
          </cell>
          <cell r="G145">
            <v>0</v>
          </cell>
          <cell r="H145">
            <v>0</v>
          </cell>
          <cell r="I145" t="str">
            <v>lj^'ldg afx]s</v>
          </cell>
        </row>
        <row r="146">
          <cell r="A146" t="str">
            <v>F47</v>
          </cell>
          <cell r="C146">
            <v>15.19</v>
          </cell>
          <cell r="D146" t="str">
            <v>Pssf]6 ;km{]; 8|\]l;Ë ug{] sfd . -dl§t]njf6 df; js{ tyf Go'd]]l6s /f]n/ k|of]u u/L_ -lj6'dLg ;d]t_</v>
          </cell>
          <cell r="E146" t="str">
            <v>j=dL=</v>
          </cell>
          <cell r="G146">
            <v>0</v>
          </cell>
          <cell r="H146">
            <v>0</v>
          </cell>
          <cell r="I146" t="str">
            <v>lj^"dLg ;d]t</v>
          </cell>
        </row>
        <row r="147">
          <cell r="A147" t="str">
            <v>F48</v>
          </cell>
          <cell r="C147">
            <v>15.19</v>
          </cell>
          <cell r="D147" t="str">
            <v>Pssf]6 ;km{]; 8|\]l;Ë ug{] sfd . -dl§t]njf6 df; js{ tyf Go'd]]l6s /f]n/ k|of]u u/L_ -lj6'dLg jfx]s_</v>
          </cell>
          <cell r="E147" t="str">
            <v>j=dL=</v>
          </cell>
          <cell r="G147">
            <v>0</v>
          </cell>
          <cell r="H147">
            <v>0</v>
          </cell>
          <cell r="I147" t="str">
            <v>lj^'ldg afx]s</v>
          </cell>
        </row>
        <row r="148">
          <cell r="A148" t="str">
            <v>F49</v>
          </cell>
          <cell r="C148">
            <v>15.2</v>
          </cell>
          <cell r="D148" t="str">
            <v>b'O{ sf]6 ;km{]; 8|\]l;Ë ug{] sfd . -dl§t]njf6 df; js{ tyf :6Ln JxLn /f]n/ k|of]u u/L_ -lj6'dLg ;d]t_</v>
          </cell>
          <cell r="E148" t="str">
            <v>j=dL=</v>
          </cell>
          <cell r="G148">
            <v>0</v>
          </cell>
          <cell r="H148">
            <v>0</v>
          </cell>
          <cell r="I148" t="str">
            <v>lj^'ldg ;d]t</v>
          </cell>
        </row>
        <row r="149">
          <cell r="A149" t="str">
            <v>F50</v>
          </cell>
          <cell r="C149">
            <v>15.2</v>
          </cell>
          <cell r="D149" t="str">
            <v>b'O{ sf]6 ;km{]; 8|\]l;Ë ug{] sfd . -dl§t]njf6 df; js{ tyf :6Ln JxLn /f]n/ k|of]u u/L_ -lj6'dLg jfx]s_</v>
          </cell>
          <cell r="E149" t="str">
            <v>j=dL=</v>
          </cell>
          <cell r="G149">
            <v>0</v>
          </cell>
          <cell r="H149">
            <v>0</v>
          </cell>
          <cell r="I149" t="str">
            <v>lj^'ldg afx]s</v>
          </cell>
        </row>
        <row r="150">
          <cell r="A150" t="str">
            <v>F51</v>
          </cell>
          <cell r="C150">
            <v>15.2</v>
          </cell>
          <cell r="D150" t="str">
            <v>b'O{ sf]6 ;km{]; 8|\]l;Ë ug{] sfd,df; js{ .  -dl§t]njf6 df; js{ tyf Go'd]]l6s /f]n/ k|of]u u/L_ -lj6'dLg ;d]t_</v>
          </cell>
          <cell r="E150" t="str">
            <v>j=dL=</v>
          </cell>
          <cell r="G150">
            <v>0</v>
          </cell>
          <cell r="H150">
            <v>0</v>
          </cell>
          <cell r="I150" t="str">
            <v>lj^"dLg ;d]t</v>
          </cell>
        </row>
        <row r="151">
          <cell r="A151" t="str">
            <v>F52</v>
          </cell>
          <cell r="C151">
            <v>15.2</v>
          </cell>
          <cell r="D151" t="str">
            <v>b'O{ sf]6 ;km{]; 8|\]l;Ë ug{] sfd,df; js{ .  -dl§t]njf6 df; js{ tyf Go'd]]l6s /f]n/ k|of]u u/L_ -lj6'dLg jfx]s_</v>
          </cell>
          <cell r="E151" t="str">
            <v>j=dL=</v>
          </cell>
          <cell r="G151">
            <v>0</v>
          </cell>
          <cell r="H151">
            <v>0</v>
          </cell>
          <cell r="I151" t="str">
            <v>lj^'ldg afx]s</v>
          </cell>
        </row>
        <row r="152">
          <cell r="A152" t="str">
            <v>F53</v>
          </cell>
          <cell r="C152" t="str">
            <v>15.21-s_</v>
          </cell>
          <cell r="D152" t="str">
            <v>% ;]=ld= df]6fO{df ;]dLu|fp6LË ug{] sfd  -lj6'dLg ;d]t_</v>
          </cell>
          <cell r="E152" t="str">
            <v>j=dL=</v>
          </cell>
          <cell r="G152">
            <v>0</v>
          </cell>
          <cell r="H152">
            <v>0</v>
          </cell>
          <cell r="I152" t="str">
            <v>lj^'ldg ;d]t</v>
          </cell>
        </row>
        <row r="153">
          <cell r="A153" t="str">
            <v>F54</v>
          </cell>
          <cell r="C153" t="str">
            <v>15.21-s_</v>
          </cell>
          <cell r="D153" t="str">
            <v>% ;]=ld= df]6fO{df ;]dLu|fp6LË ug{] sfd  -lj6'dLg jfx]s_</v>
          </cell>
          <cell r="E153" t="str">
            <v>j=dL=</v>
          </cell>
          <cell r="G153">
            <v>0</v>
          </cell>
          <cell r="H153">
            <v>0</v>
          </cell>
          <cell r="I153" t="str">
            <v>lj^'ldg afx]s</v>
          </cell>
        </row>
        <row r="154">
          <cell r="A154" t="str">
            <v>F55</v>
          </cell>
          <cell r="C154" t="str">
            <v>15.23-s_</v>
          </cell>
          <cell r="D154" t="str">
            <v xml:space="preserve">  l;nsf]6 ug{] sfd sDk]S;g ;d]t -dl§t]njf6 df; js{  , l:6n lXjn /f]n/ tyf Dffz{n Knf06 k|of]u u/L_ -lj6'dLg ;d]t_</v>
          </cell>
          <cell r="E154" t="str">
            <v>j=dL=</v>
          </cell>
          <cell r="G154">
            <v>0</v>
          </cell>
          <cell r="H154">
            <v>0</v>
          </cell>
          <cell r="I154" t="str">
            <v>lj^'ldg ;d]t</v>
          </cell>
        </row>
        <row r="155">
          <cell r="A155" t="str">
            <v>F56</v>
          </cell>
          <cell r="C155" t="str">
            <v>15.23-s_</v>
          </cell>
          <cell r="D155" t="str">
            <v xml:space="preserve">  l;nsf]6 ug{] sfd sDk]S;g ;d]t -dl§t]njf6 df; js{  , l:6n lXjn /f]n/ tyf Dffz{n Knf06 k|of]u u/L_ -lj6'dLg jfx]s_</v>
          </cell>
          <cell r="E155" t="str">
            <v>j=dL=</v>
          </cell>
          <cell r="G155">
            <v>0</v>
          </cell>
          <cell r="H155">
            <v>0</v>
          </cell>
          <cell r="I155" t="str">
            <v>lj^'ldg afx]s</v>
          </cell>
        </row>
        <row r="156">
          <cell r="A156" t="str">
            <v>F57</v>
          </cell>
          <cell r="C156" t="str">
            <v>15.23-s_</v>
          </cell>
          <cell r="D156" t="str">
            <v xml:space="preserve">  l;nsf]6 ug{] sfd sDk]S;g ;d]t  -dl§t]njf6 df; js{  , Go"d]l6s /f]n/ tyf Dffz{n Knf06 k|of]u u/L_ -lj6'dLg ;d]t_</v>
          </cell>
          <cell r="E156" t="str">
            <v>j=dL=</v>
          </cell>
          <cell r="G156">
            <v>0</v>
          </cell>
          <cell r="H156">
            <v>0</v>
          </cell>
          <cell r="I156" t="str">
            <v>lj^"dLg ;d]t</v>
          </cell>
        </row>
        <row r="157">
          <cell r="A157" t="str">
            <v>F58</v>
          </cell>
          <cell r="C157" t="str">
            <v>15.23-s_</v>
          </cell>
          <cell r="D157" t="str">
            <v xml:space="preserve">  l;nsf]6 ug{] sfd sDk]S;g ;d]t  -dl§t]njf6 df; js{  , Go"d]l6s /f]n/ tyf Dffz{n Knf06 k|of]u u/L_ -lj6'dLg jfx]s_</v>
          </cell>
          <cell r="E157" t="str">
            <v>j=dL=</v>
          </cell>
          <cell r="G157">
            <v>0</v>
          </cell>
          <cell r="H157">
            <v>0</v>
          </cell>
          <cell r="I157" t="str">
            <v>lj^'ldg afx]s</v>
          </cell>
        </row>
        <row r="158">
          <cell r="A158" t="str">
            <v>F59</v>
          </cell>
          <cell r="C158" t="str">
            <v>15.23-v_</v>
          </cell>
          <cell r="D158" t="str">
            <v>v;|f] jfn'jfjf6  l;nsf]6 ug{] sfd sDk]S;g ;d]t -dl§t]njf6 df; js{  , Go"d]l6s /f]n/ tyf Dffz{n Knf06 k|of]u u/L_ -lj6'dLg ;d]t_</v>
          </cell>
          <cell r="E158" t="str">
            <v>j=dL=</v>
          </cell>
          <cell r="G158">
            <v>55.095652173913045</v>
          </cell>
          <cell r="H158">
            <v>63.36</v>
          </cell>
          <cell r="I158" t="str">
            <v>lj^'ldg ;d]t</v>
          </cell>
        </row>
        <row r="159">
          <cell r="A159" t="str">
            <v>F60</v>
          </cell>
          <cell r="C159" t="str">
            <v>15.23-v_</v>
          </cell>
          <cell r="D159" t="str">
            <v>v;|f] jfn'jfjf6  l;nsf]6 ug{] sfd sDk]S;g ;d]t -dl§t]njf6 df; js{  , Go"d]l6s /f]n/ tyf Dffz{n Knf06 k|of]u u/L_ -lj6'dLg jfx]s_</v>
          </cell>
          <cell r="E159" t="str">
            <v>j=dL=</v>
          </cell>
          <cell r="G159">
            <v>0</v>
          </cell>
          <cell r="H159">
            <v>0</v>
          </cell>
          <cell r="I159" t="str">
            <v>lj^'ldg afx]s</v>
          </cell>
        </row>
        <row r="160">
          <cell r="A160" t="str">
            <v>F61</v>
          </cell>
          <cell r="C160" t="str">
            <v>15.23-v_</v>
          </cell>
          <cell r="D160" t="str">
            <v>v;|f] jfn'jfjf6  l;nsf]6 ug{] sfd sDk]S;g ;d]t -dl§t]njf6 df; js{ , :6Ln /f]n/ tyf Dffz{n Knf06 k|of]u u/L_ -lj6'dLg ;d]t_</v>
          </cell>
          <cell r="E160" t="str">
            <v>j=dL=</v>
          </cell>
          <cell r="G160">
            <v>0</v>
          </cell>
          <cell r="H160">
            <v>0</v>
          </cell>
          <cell r="I160" t="str">
            <v>lj^"dLg ;d]t</v>
          </cell>
        </row>
        <row r="161">
          <cell r="A161" t="str">
            <v>F62</v>
          </cell>
          <cell r="C161" t="str">
            <v>15.23-v_</v>
          </cell>
          <cell r="D161" t="str">
            <v>v;|f] jfn'jfjf6  l;nsf]6 ug{] sfd sDk]S;g ;d]t -dl§t]njf6 df; js{ , :6Ln /f]n/ tyf Dffz{n Knf06 k|of]u u/L_ -lj6'dLg jfx]s_</v>
          </cell>
          <cell r="E161" t="str">
            <v>j=dL=</v>
          </cell>
          <cell r="G161">
            <v>0</v>
          </cell>
          <cell r="H161">
            <v>0</v>
          </cell>
          <cell r="I161" t="str">
            <v>lj^'ldg afx]s</v>
          </cell>
        </row>
        <row r="162">
          <cell r="A162" t="str">
            <v>F63</v>
          </cell>
          <cell r="C162" t="str">
            <v>15.24-s_</v>
          </cell>
          <cell r="D162" t="str">
            <v xml:space="preserve">$) ld=ld= df]6fO{sf lk|ldS; sfk{]6 ug{] sfd sDk]S;g ;d]t . -dl§t]njf6 df; js{ , b'a} /f]n/ tyf Dffz{n Knf06 k|of]u u/L_ -lj6'dLg ;d]t_                           </v>
          </cell>
          <cell r="E162" t="str">
            <v>j=dL=</v>
          </cell>
          <cell r="G162">
            <v>256.88</v>
          </cell>
          <cell r="H162">
            <v>295.41000000000003</v>
          </cell>
          <cell r="I162" t="str">
            <v>lj^'ldg ;d]t</v>
          </cell>
        </row>
        <row r="163">
          <cell r="A163" t="str">
            <v>F64</v>
          </cell>
          <cell r="C163" t="str">
            <v>15.24-s_</v>
          </cell>
          <cell r="D163" t="str">
            <v xml:space="preserve">$) ld=ld= df]6fO{sf lk|ldS; sfk{]6 ug{] sfd sDk]S;g ;d]t . -dl§t]njf6 df; js{ , b'a} /f]n/ tyf Dffz{n Knf06 k|of]u u/L_ -lj6'dLg jfx]s_                           </v>
          </cell>
          <cell r="E163" t="str">
            <v>j=dL=</v>
          </cell>
          <cell r="G163">
            <v>0</v>
          </cell>
          <cell r="H163">
            <v>0</v>
          </cell>
          <cell r="I163" t="str">
            <v>lj^'ldg afx]s</v>
          </cell>
        </row>
        <row r="164">
          <cell r="A164" t="str">
            <v>F65</v>
          </cell>
          <cell r="C164" t="str">
            <v>15.24-v_</v>
          </cell>
          <cell r="D164" t="str">
            <v>@) ld=ld= df]6fO{sf lk|ldS; sfk{]6 ug{] sfd sDk]S;g ;d]t -dl§t]njf6 df; js{ , :6Ln /f]n/ dfq tyf Dffz{n Knf06 k|of]u u/L_ -lj6'dLg ;d]t_</v>
          </cell>
          <cell r="E164" t="str">
            <v>j=dL=</v>
          </cell>
          <cell r="G164">
            <v>118.45217391304348</v>
          </cell>
          <cell r="H164">
            <v>136.22</v>
          </cell>
          <cell r="I164" t="str">
            <v>lj^"dLg ;d]t</v>
          </cell>
        </row>
        <row r="165">
          <cell r="A165" t="str">
            <v>F66</v>
          </cell>
          <cell r="C165" t="str">
            <v>15.24-v_</v>
          </cell>
          <cell r="D165" t="str">
            <v>@) ld=ld= df]6fO{sf lk|ldS; sfk{]6 ug{] sfd sDk]S;g ;d]t -dl§t]njf6 df; js{ , :6Ln /f]n/ dfq tyf Dffz{n Knf06 k|of]u u/L_ -lj6'dLg jfx]s_</v>
          </cell>
          <cell r="E165" t="str">
            <v>j=dL=</v>
          </cell>
          <cell r="G165">
            <v>0</v>
          </cell>
          <cell r="H165">
            <v>0</v>
          </cell>
          <cell r="I165" t="str">
            <v>lj^'ldg afx]s</v>
          </cell>
        </row>
        <row r="166">
          <cell r="A166" t="str">
            <v>F67</v>
          </cell>
          <cell r="C166" t="str">
            <v>15.24-v_</v>
          </cell>
          <cell r="D166" t="str">
            <v>@) ld=ld= df]6fO{sf lk|ldS; sfk{]6 ug{] sfd sDk]S;g ;d]t -dl§t]njf6 df; js{ , b'a /f]n/ tyf Dffz{n Knf06 k|of]u u/L_ -lj6'dLg ;d]t_</v>
          </cell>
          <cell r="E166" t="str">
            <v>j=dL=</v>
          </cell>
          <cell r="G166">
            <v>130.46956521739131</v>
          </cell>
          <cell r="H166">
            <v>150.04</v>
          </cell>
          <cell r="I166" t="str">
            <v>lj^'ldg ;d]t</v>
          </cell>
        </row>
        <row r="167">
          <cell r="A167" t="str">
            <v>F68</v>
          </cell>
          <cell r="C167" t="str">
            <v>15.24-v_</v>
          </cell>
          <cell r="D167" t="str">
            <v>@) ld=ld= df]6fO{sf lk|ldS; sfk{]6 ug{] sfd sDk]S;g ;d]t -dl§t]njf6 df; js{ , b'a /f]n/ tyf Dffz{n Knf06 k|of]u u/L_ -lj6'dLg jfx]s_</v>
          </cell>
          <cell r="E167" t="str">
            <v>j=dL=</v>
          </cell>
          <cell r="G167">
            <v>0</v>
          </cell>
          <cell r="H167">
            <v>0</v>
          </cell>
          <cell r="I167" t="str">
            <v>lj^'ldg afx]s</v>
          </cell>
        </row>
        <row r="168">
          <cell r="A168" t="str">
            <v>G1</v>
          </cell>
          <cell r="C168" t="str">
            <v>16.5-s_</v>
          </cell>
          <cell r="D168" t="str">
            <v>Uofljog agfpg] sfd tf/ sf6\g], a'Gg] cflb sfd ;d]t if6sf]0fLo d]; ;fOh !))Û!@) ldld, d]; tf/ !) P; 8Jn' lh ;]Nj]h tf/ * P; 8Jn' lh       -x]le lh+s sf]6]8_ afs; ;fO{h @dL=x !dL=x !dL=</v>
          </cell>
          <cell r="E168" t="str">
            <v>afs;</v>
          </cell>
          <cell r="G168">
            <v>1046.4695652173914</v>
          </cell>
          <cell r="H168">
            <v>1203.44</v>
          </cell>
        </row>
        <row r="169">
          <cell r="A169" t="str">
            <v>G2</v>
          </cell>
          <cell r="C169" t="str">
            <v>16.5-v_</v>
          </cell>
          <cell r="D169" t="str">
            <v>Uofljog agfpg] sfd tf/ sf6\g], a'Gg] cflb sfd ;d]t if6sf]0fLo d]; ;fOh !))Û!@) ldld, d]; tf/ !) P; 8Jn' lh ;]Nj]h tf/ * P; 8Jn' lh       -x]le lh+s sf]6]8_ afs; ;fO{h #dL=x !dL=x !dL=</v>
          </cell>
          <cell r="E169" t="str">
            <v>afs;</v>
          </cell>
          <cell r="G169">
            <v>1499.4695652173914</v>
          </cell>
          <cell r="H169">
            <v>1724.39</v>
          </cell>
        </row>
        <row r="170">
          <cell r="A170" t="str">
            <v>G3</v>
          </cell>
          <cell r="C170" t="str">
            <v>16.5-u_</v>
          </cell>
          <cell r="D170" t="str">
            <v>Uofljog agfpg] sfd tf/ sf6\g], a'Gg] cflb sfd ;d]t if6sf]0fLo d]; ;fOh !))Û!@) ldld, d]; tf/ !) P; 8Jn' lh ;]Nj]h tf/ * P; 8Jn' lh       -x]le lh+s sf]6]8_ afs; ;fO{h @dL=x !dL=x )=%dL=</v>
          </cell>
          <cell r="E170" t="str">
            <v>afs;</v>
          </cell>
          <cell r="G170">
            <v>726.07826086956527</v>
          </cell>
          <cell r="H170">
            <v>834.99</v>
          </cell>
        </row>
        <row r="171">
          <cell r="A171" t="str">
            <v>G4</v>
          </cell>
          <cell r="C171" t="str">
            <v>16.5-#_</v>
          </cell>
          <cell r="D171" t="str">
            <v>Uofljog agfpg] sfd tf/ sf6\g], a'Gg] cflb sfd ;d]t if6sf]0fLo d]; ;fOh !))Û!@) ldld, d]; tf/ !) P; 8Jn' lh ;]Nj]h tf/ * P; 8Jn' lh       -x]le lh+s sf]6]8_ afs; ;fO{h #dL=x !dL=x )=%dL=</v>
          </cell>
          <cell r="E171" t="str">
            <v>afs;</v>
          </cell>
          <cell r="G171">
            <v>1049.9739130434782</v>
          </cell>
          <cell r="H171">
            <v>1207.47</v>
          </cell>
        </row>
        <row r="172">
          <cell r="A172" t="str">
            <v>G5</v>
          </cell>
          <cell r="C172" t="str">
            <v>16.7-s_</v>
          </cell>
          <cell r="D172" t="str">
            <v>Uofljog lgdf{0f ug{] 7fpdf /fVg] tGsfpg] tf/4f/f jS;f jfWg], dfyLjf6 aGb ug{] lh cfO jfO08LË tf/ !@ P; 8Jn' lh -x]le lh+s sf]6]8_ .          afs; ;fO{h @dL=x !dL=x !dL=</v>
          </cell>
          <cell r="E172" t="str">
            <v>afs;</v>
          </cell>
          <cell r="G172">
            <v>78.304347826086953</v>
          </cell>
          <cell r="H172">
            <v>90.05</v>
          </cell>
        </row>
        <row r="173">
          <cell r="A173" t="str">
            <v>G6</v>
          </cell>
          <cell r="C173" t="str">
            <v>16.7-v_</v>
          </cell>
          <cell r="D173" t="str">
            <v>Uofljog lgdf{0f ug{] 7fpdf /fVg] tGsfpg] tf/4f/f jS;f jfWg], dfyLjf6 aGb ug{] lh cfO jfO08LË tf/ !@ P; 8Jn' lh -x]le lh+s sf]6]8_ .             afs; ;fO{h #dL=x !dL=x !dL=</v>
          </cell>
          <cell r="E173" t="str">
            <v>afs;</v>
          </cell>
          <cell r="G173">
            <v>112.95652173913044</v>
          </cell>
          <cell r="H173">
            <v>129.9</v>
          </cell>
        </row>
        <row r="174">
          <cell r="A174" t="str">
            <v>G7</v>
          </cell>
          <cell r="C174" t="str">
            <v>16.7-u_</v>
          </cell>
          <cell r="D174" t="str">
            <v>Uofljog lgdf{0f ug{] 7fpdf /fVg] tGsfpg] tf/4f/f jS;f jfWg], dfyLjf6 aGb ug{] lh cfO jfO08LË tf/ !@ P; 8Jn' lh -x]le lh+s sf]6]8_ .            afs; ;fO{h @dL=x !dL=x )=%dL=</v>
          </cell>
          <cell r="E174" t="str">
            <v>afs;</v>
          </cell>
          <cell r="G174">
            <v>47.278260869565216</v>
          </cell>
          <cell r="H174">
            <v>54.37</v>
          </cell>
        </row>
        <row r="175">
          <cell r="A175" t="str">
            <v>G8</v>
          </cell>
          <cell r="C175" t="str">
            <v>16.7-#_</v>
          </cell>
          <cell r="D175" t="str">
            <v>Uofljog lgdf{0f ug{] 7fpdf /fVg] tGsfpg] tf/4f/f jS;f jfWg], dfyLjf6 aGb ug{] lh cfO jfO08LË tf/ !@ P; 8Jn' lh -x]le lh+s sf]6]8_ .           afs; ;fO{h #dL=x !dL=x )=%dL=</v>
          </cell>
          <cell r="E175" t="str">
            <v>afs;</v>
          </cell>
          <cell r="G175">
            <v>67.304347826086968</v>
          </cell>
          <cell r="H175">
            <v>77.400000000000006</v>
          </cell>
        </row>
        <row r="176">
          <cell r="A176" t="str">
            <v>G9</v>
          </cell>
          <cell r="C176">
            <v>16.11</v>
          </cell>
          <cell r="D176" t="str">
            <v>Uofljog s|]6df 9'Ëf eg{] sfd #) ld= ;Dd jf]sfgL ;d]t  -x]le lh+s sf]6]8_ .</v>
          </cell>
          <cell r="E176" t="str">
            <v>#=dL=</v>
          </cell>
          <cell r="G176">
            <v>1296.0173913043479</v>
          </cell>
          <cell r="H176">
            <v>1490.42</v>
          </cell>
        </row>
        <row r="177">
          <cell r="A177" t="str">
            <v>G10</v>
          </cell>
          <cell r="C177">
            <v>16.190000000000001</v>
          </cell>
          <cell r="D177" t="str">
            <v>afF;sf] ^ dL=dL= b]lv * dL=dL= Jof;sf] kfO{n agfO{ 7f]Sg] sfd, gfkL cg';f/sf] sf6\g] / 6'Kkf ltvfg]{ ;d]t kfO{nsf] ;+Vof * hldgdf uf8\g] !=@% dL=</v>
          </cell>
          <cell r="E177" t="str">
            <v>Ps %]sf</v>
          </cell>
          <cell r="G177">
            <v>253.8782608695652</v>
          </cell>
          <cell r="H177">
            <v>291.95999999999998</v>
          </cell>
        </row>
        <row r="178">
          <cell r="A178" t="str">
            <v>G11</v>
          </cell>
          <cell r="C178">
            <v>16.23</v>
          </cell>
          <cell r="D178" t="str">
            <v>l;d]G6sf] vfnL jf]/fdf :yfgLo jfn'jf e/L To;sf] d'v l;P/ 7fpFdf /fVg] sfd   - !) dL= ;Ddsf] b'/Ldf 9'jfgL ug]{ ;d]t_ .</v>
          </cell>
          <cell r="E178" t="str">
            <v>Ps af]/f</v>
          </cell>
          <cell r="G178">
            <v>2412.4956521739132</v>
          </cell>
          <cell r="H178">
            <v>2774.37</v>
          </cell>
        </row>
        <row r="179">
          <cell r="A179" t="str">
            <v>G12</v>
          </cell>
          <cell r="C179" t="str">
            <v>16.5,     16.7,/  16.11</v>
          </cell>
          <cell r="D179" t="str">
            <v>Uofljog agfpg] sfd tf/ sf6\g], a'Gg] cflb sfd ;d]t if6sf]0fLo d]; ;fOh !))Û!@) ldld, d]; tf/ !) P; 8Jn' lh ;]Nj]h tf/ * P; 8Jn' lh afs; ;fO{h .Uofljog lgdf{0f ug{] 7fpdf /fVg] tGsfpg] tf/4f/f jS;f jfWg], dfyLjf6 aGb ug{] lh cfO jfO08LË tf/ !@ P; 8Jn' lh -</v>
          </cell>
          <cell r="E179" t="str">
            <v>#=dL+</v>
          </cell>
          <cell r="G179">
            <v>1858.4086956521739</v>
          </cell>
          <cell r="H179">
            <v>2137.17</v>
          </cell>
        </row>
        <row r="180">
          <cell r="A180" t="str">
            <v>G13</v>
          </cell>
          <cell r="C180" t="str">
            <v>16.5,     16.7,/  16.11</v>
          </cell>
          <cell r="D180" t="str">
            <v>Uofljog agfpg] sfd tf/ sf6\g], a'Gg] cflb sfd ;d]t if6sf]0fLo d]; ;fOh !))Û!@) ldld, d]; tf/ !) P; 8Jn' lh ;]Nj]h tf/ * P; 8Jn' lh afs; ;fO{h .Uofljog lgdf{0f ug{] 7fpdf /fVg] tGsfpg] tf/4f/f jS;f jfWg], dfyLjf6 aGb ug{] lh cfO jfO08LË tf/ !@ P; 8Jn' lh -</v>
          </cell>
          <cell r="E180" t="str">
            <v>#=dL+</v>
          </cell>
          <cell r="G180">
            <v>1833.4869565217393</v>
          </cell>
          <cell r="H180">
            <v>2108.5100000000002</v>
          </cell>
        </row>
        <row r="181">
          <cell r="A181" t="str">
            <v>G14</v>
          </cell>
          <cell r="C181" t="str">
            <v>16.5,     16.7,/  16.11</v>
          </cell>
          <cell r="D181" t="str">
            <v>Uofljog agfpg] sfd tf/ sf6\g], a'Gg] cflb sfd ;d]t if6sf]0fLo d]; ;fOh !))Û!@) ldld, d]; tf/ !) P; 8Jn' lh ;]Nj]h tf/ * P; 8Jn' lh afs; ;fO{h .Uofljog lgdf{0f ug{] 7fpdf /fVg] tGsfpg] tf/4f/f jS;f jfWg], dfyLjf6 aGb ug{] lh cfO jfO08LË tf/ !@ P; 8Jn' lh -</v>
          </cell>
          <cell r="E181" t="str">
            <v>#=dL+</v>
          </cell>
          <cell r="G181">
            <v>0</v>
          </cell>
          <cell r="H181">
            <v>0</v>
          </cell>
        </row>
        <row r="182">
          <cell r="A182" t="str">
            <v>G15</v>
          </cell>
          <cell r="C182" t="str">
            <v>16.5,     16.7,/  16.11</v>
          </cell>
          <cell r="D182" t="str">
            <v>Uofljog agfpg] sfd tf/ sf6\g], a'Gg] cflb sfd ;d]t if6sf]0fLo d]; ;fOh !))Û!@) ldld, d]; tf/ !) P; 8Jn' lh ;]Nj]h tf/ * P; 8Jn' lh afs; ;fO{h .Uofljog lgdf{0f ug{] 7fpdf /fVg] tGsfpg] tf/4f/f jS;f jfWg], dfyLjf6 aGb ug{] lh cfO jfO08LË tf/ !@ P; 8Jn' lh -</v>
          </cell>
          <cell r="E182" t="str">
            <v>#=dL+</v>
          </cell>
          <cell r="G182">
            <v>0</v>
          </cell>
          <cell r="H182">
            <v>0</v>
          </cell>
        </row>
        <row r="183">
          <cell r="A183" t="str">
            <v>H1</v>
          </cell>
          <cell r="C183" t="str">
            <v>17.1-s_</v>
          </cell>
          <cell r="D183" t="str">
            <v>Pg kL #÷ !% ;]=ld= Jof;sf] cf/=l;=l;= Xo"d kfO{k / To;nfO{ rflx]g] :k]lzoN; !M@ l;d]G6 jfn'jf sf] d;nfdf / h'6 cflb nufO{ lj5\ofpg] sfd !)) ld= ;Dd 9'jfgL ;d]t . -x\o'd kfOk ;d]t_</v>
          </cell>
          <cell r="E183" t="str">
            <v>/=dL=</v>
          </cell>
          <cell r="G183">
            <v>640.70000000000005</v>
          </cell>
          <cell r="H183">
            <v>23577.8</v>
          </cell>
          <cell r="I183" t="str">
            <v>kfOk ;d]t</v>
          </cell>
        </row>
        <row r="184">
          <cell r="A184" t="str">
            <v>H2</v>
          </cell>
          <cell r="C184" t="str">
            <v>17.1-s_</v>
          </cell>
          <cell r="D184" t="str">
            <v>Pg kL #÷ !% ;]=ld= Jof;sf] cf/=l;=l;= Xo"d kfO{k / To;nfO{ rflx]g] :k]lzoN; !M@ l;d]G6 jfn'jf sf] d;nfdf / h'6 cflb nufO{ lj5\ofpg] sfd !)) ld= ;Dd 9'jfgL ;d]t . -x\o'd kfOk jfx]s_</v>
          </cell>
          <cell r="E184" t="str">
            <v>/=dL=</v>
          </cell>
          <cell r="G184">
            <v>0</v>
          </cell>
          <cell r="H184">
            <v>0</v>
          </cell>
          <cell r="I184" t="str">
            <v>kfOk afx]s</v>
          </cell>
        </row>
        <row r="185">
          <cell r="A185" t="str">
            <v>H3</v>
          </cell>
          <cell r="C185" t="str">
            <v>17.1-v_</v>
          </cell>
          <cell r="D185" t="str">
            <v>Pg kL #÷ @) ;]=ld= Jof;sf] cf/=l;=l;= Xo"d kfO{k / To;nfO{ rflx]g] :k]lzoN; !M@ l;d]G6 jfn'jf sf] d;nfdf / h'6 cflb nufO{ lj5\ofpg] sfd !)) ld= ;Dd 9'jfgL ;d]t . -x\o'd kfOk ;d]t_</v>
          </cell>
          <cell r="E185" t="str">
            <v>/=dL=</v>
          </cell>
          <cell r="G185">
            <v>853.5</v>
          </cell>
          <cell r="H185">
            <v>981.52</v>
          </cell>
          <cell r="I185" t="str">
            <v>kfOk ;d]t</v>
          </cell>
        </row>
        <row r="186">
          <cell r="A186" t="str">
            <v>H4</v>
          </cell>
          <cell r="C186" t="str">
            <v>17.1-v_</v>
          </cell>
          <cell r="D186" t="str">
            <v>Pg kL #÷ @) ;]=ld= Jof;sf] cf/=l;=l;= Xo"d kfO{k / To;nfO{ rflx]g] :k]lzoN; !M@ l;d]G6 jfn'jf sf] d;nfdf / h'6 cflb nufO{ lj5\ofpg] sfd !)) ld= ;Dd 9'jfgL ;d]t . -x\o'd kfOk jfx]s_</v>
          </cell>
          <cell r="E186" t="str">
            <v>/=dL=</v>
          </cell>
          <cell r="G186">
            <v>0</v>
          </cell>
          <cell r="H186">
            <v>0</v>
          </cell>
          <cell r="I186" t="str">
            <v>kfOk afx]s</v>
          </cell>
        </row>
        <row r="187">
          <cell r="A187" t="str">
            <v>H5</v>
          </cell>
          <cell r="C187" t="str">
            <v>17.1-u_</v>
          </cell>
          <cell r="D187" t="str">
            <v>Pg kL #÷ #) ;]=ld= Jof;sf] cf/ l;=l;= Xo"d kfO{k / To;nfO{ rflx]g] :k]lzoN; !M@ l;d]G6 jfn'jf sf] d;nfdf / h'6 cflb nufO{ lj5\ofpg] sfd !)) ld= ;Dd 9'jfgL ;d]t . -x\o'd kfOk ;d]t_</v>
          </cell>
          <cell r="E187" t="str">
            <v>/=dL=</v>
          </cell>
          <cell r="G187">
            <v>1464.4782608695652</v>
          </cell>
          <cell r="H187">
            <v>1684.15</v>
          </cell>
          <cell r="I187" t="str">
            <v>kfOk ;d]t</v>
          </cell>
        </row>
        <row r="188">
          <cell r="A188" t="str">
            <v>H6</v>
          </cell>
          <cell r="C188" t="str">
            <v>17.1-u_</v>
          </cell>
          <cell r="D188" t="str">
            <v>Pg kL #÷ #) ;]=ld= Jof;sf] cf/ l;=l;= Xo"d kfO{k / To;nfO{ rflx]g] :k]lzoN; !M@ l;d]G6 jfn'jf sf] d;nfdf / h'6 cflb nufO{ lj5\ofpg] sfd !)) ld= ;Dd 9'jfgL ;d]t . -x\o'd kfOk jfx]s_</v>
          </cell>
          <cell r="E188" t="str">
            <v>/=dL=</v>
          </cell>
          <cell r="G188">
            <v>0</v>
          </cell>
          <cell r="H188">
            <v>0</v>
          </cell>
          <cell r="I188" t="str">
            <v>kfOk afx]s</v>
          </cell>
        </row>
        <row r="189">
          <cell r="A189" t="str">
            <v>H7</v>
          </cell>
          <cell r="C189" t="str">
            <v>17.1-#_/-ª_</v>
          </cell>
          <cell r="D189" t="str">
            <v>Pg kL #÷ $% ;]=ld= Jof;sf] cf/ l;=l;= Xo"d kfO{k / To;nfO{ rflx]g] :k]lzoN; !M@ l;d]G6 jfn'jf sf] d;nfdf / h'6 cflb nufO{ lj5\ofpg] sfd !)) ld= ;Dd 9'jfgL ;d]t . -x\o'd kfOk ;d]t_</v>
          </cell>
          <cell r="E189" t="str">
            <v>/=dL=</v>
          </cell>
          <cell r="G189">
            <v>2068.84</v>
          </cell>
          <cell r="H189">
            <v>2379.17</v>
          </cell>
          <cell r="I189" t="str">
            <v>kfOk ;d]t</v>
          </cell>
        </row>
        <row r="190">
          <cell r="A190" t="str">
            <v>H8</v>
          </cell>
          <cell r="C190" t="str">
            <v>17.1-#_/-ª_</v>
          </cell>
          <cell r="D190" t="str">
            <v>Pg kL #÷ $% ;]=ld= Jof;sf] cf/ l;=l;= Xo"d kfO{k / To;nfO{ rflx]g] :k]lzoN; !M@ l;d]G6 jfn'jf sf] d;nfdf / h'6 cflb nufO{ lj5\ofpg] sfd !)) ld= ;Dd 9'jfgL ;d]t . -x\o'd kfOk jfx]s_</v>
          </cell>
          <cell r="E190" t="str">
            <v>/=dL=</v>
          </cell>
          <cell r="G190">
            <v>0</v>
          </cell>
          <cell r="H190">
            <v>0</v>
          </cell>
          <cell r="I190" t="str">
            <v>kfOk afx]s</v>
          </cell>
        </row>
        <row r="191">
          <cell r="A191" t="str">
            <v>H9</v>
          </cell>
          <cell r="C191" t="str">
            <v>17.1-r_</v>
          </cell>
          <cell r="D191" t="str">
            <v>Pg kL #÷ ^) ;]=ld= Jof;sf] cf/ l;=l;= Xo"d kfO{k / To;nfO{ rflx]g] :k]lzoN; !M@ l;d]G6 jfn'jf sf] d;nfdf / h'6 cflb nufO{ lj5\ofpg] sfd !)) ld= ;Dd 9'jfgL ;d]t . -x\o'd kfOk ;d]t_</v>
          </cell>
          <cell r="E191" t="str">
            <v>/=dL=</v>
          </cell>
          <cell r="G191">
            <v>4801.3565217391306</v>
          </cell>
          <cell r="H191">
            <v>5521.56</v>
          </cell>
          <cell r="I191" t="str">
            <v>kfOk ;d]t</v>
          </cell>
        </row>
        <row r="192">
          <cell r="A192" t="str">
            <v>H10</v>
          </cell>
          <cell r="C192" t="str">
            <v>17.1-r_</v>
          </cell>
          <cell r="D192" t="str">
            <v>Pg kL #÷ ^) ;]=ld= Jof;sf] cf/ l;=l;= Xo"d kfO{k / To;nfO{ rflx]g] :k]lzoN; !M@ l;d]G6 jfn'jf sf] d;nfdf / h'6 cflb nufO{ lj5\ofpg] sfd !)) ld= ;Dd 9'jfgL ;d]t . -x\o'd kfOk jfx]s_</v>
          </cell>
          <cell r="E192" t="str">
            <v>/=dL=</v>
          </cell>
          <cell r="G192">
            <v>0</v>
          </cell>
          <cell r="H192">
            <v>0</v>
          </cell>
          <cell r="I192" t="str">
            <v>kfOk afx]s</v>
          </cell>
        </row>
        <row r="193">
          <cell r="A193" t="str">
            <v>H11</v>
          </cell>
          <cell r="C193" t="str">
            <v>17.1-h_</v>
          </cell>
          <cell r="D193" t="str">
            <v>Pg kL #÷ () ;]=ld= Jof;sf] cf/ l;=l;= Xo"d kfO{k / To;nfO{ rflx]g] :k]lzoN; !M@ l;d]G6 jfn'jf sf] d;nfdf / h'6 cflb nufO{ lj5\ofpg] sfd !)) ld= ;Dd 9'jfgL ;d]t . -x\o'd kfOk ;d]t_</v>
          </cell>
          <cell r="E193" t="str">
            <v>/=dL=</v>
          </cell>
          <cell r="G193">
            <v>153643.6</v>
          </cell>
          <cell r="H193">
            <v>176690.14</v>
          </cell>
          <cell r="I193" t="str">
            <v>kfOk ;d]t</v>
          </cell>
        </row>
        <row r="194">
          <cell r="A194" t="str">
            <v>H12</v>
          </cell>
          <cell r="C194" t="str">
            <v>17.1-h_</v>
          </cell>
          <cell r="D194" t="str">
            <v>Pg kL #÷ () ;]=ld= Jof;sf] cf/ l;=l;= Xo"d kfO{k / To;nfO{ rflx]g] :k]lzoN; !M@ l;d]G6 jfn'jf sf] d;nfdf / h'6 cflb nufO{ lj5\ofpg] sfd !)) ld= ;Dd 9'jfgL ;d]t . -x\o'd kfOk jfx]s_</v>
          </cell>
          <cell r="E194" t="str">
            <v>/=dL=</v>
          </cell>
          <cell r="G194">
            <v>0</v>
          </cell>
          <cell r="H194">
            <v>0</v>
          </cell>
          <cell r="I194" t="str">
            <v>kfOk afx]s</v>
          </cell>
        </row>
        <row r="195">
          <cell r="A195" t="str">
            <v>H13</v>
          </cell>
          <cell r="C195" t="str">
            <v>17.1-em_</v>
          </cell>
          <cell r="D195" t="str">
            <v>Pg kL #÷ !@) ;]=ld= Jof;sf] cf/ l;=l;= Xo"d kfO{k / To;nfO{ rflx]g] :k]lzoN; !M@ l;d]G6 jfn'jf sf] d;nfdf / h'6 cflb nufO{ lj5\ofpg] sfd !)) ld= ;Dd 9'jfgL ;d]t . -x\o'd kfOk ;d]t_</v>
          </cell>
          <cell r="E195" t="str">
            <v>/=dL=</v>
          </cell>
          <cell r="G195">
            <v>211040.48695652175</v>
          </cell>
          <cell r="H195">
            <v>242696.56</v>
          </cell>
          <cell r="I195" t="str">
            <v>kfOk ;d]t</v>
          </cell>
        </row>
        <row r="196">
          <cell r="A196" t="str">
            <v>H14</v>
          </cell>
          <cell r="C196" t="str">
            <v>17.1-em_</v>
          </cell>
          <cell r="D196" t="str">
            <v>Pg kL #÷ !@) ;]=ld= Jof;sf] cf/ l;=l;= Xo"d kfO{k / To;nfO{ rflx]g] :k]lzoN; !M@ l;d]G6 jfn'jf sf] d;nfdf / h'6 cflb nufO{ lj5\ofpg] sfd !)) ld= ;Dd 9'jfgL ;d]t . -x\o'd kfOk jfx]s_</v>
          </cell>
          <cell r="E196" t="str">
            <v>/=dL=</v>
          </cell>
          <cell r="G196">
            <v>0</v>
          </cell>
          <cell r="H196">
            <v>0</v>
          </cell>
          <cell r="I196" t="str">
            <v>kfOk afx]s</v>
          </cell>
        </row>
      </sheetData>
      <sheetData sheetId="2" refreshError="1">
        <row r="2">
          <cell r="D2" t="str">
            <v>^.)%&amp;.%*</v>
          </cell>
        </row>
        <row r="5">
          <cell r="A5" t="str">
            <v>a</v>
          </cell>
          <cell r="B5" t="str">
            <v>hf]/kf6L uf]s0f{ blIf0f 9f]sf ;8s</v>
          </cell>
        </row>
        <row r="6">
          <cell r="A6" t="str">
            <v>b</v>
          </cell>
          <cell r="B6" t="str">
            <v>zfGtLgu/ hghfu[tL gu/ ;8s</v>
          </cell>
        </row>
        <row r="7">
          <cell r="A7" t="str">
            <v>c</v>
          </cell>
          <cell r="B7" t="str">
            <v>af+;af/L a'9fgLns07 ;8s</v>
          </cell>
        </row>
        <row r="8">
          <cell r="A8" t="str">
            <v>d</v>
          </cell>
          <cell r="B8" t="str">
            <v>l;gfd+un sflndf6L8f]n vl/sf] af]6 k|sfz ;Gof; cf&gt;d ;8s</v>
          </cell>
        </row>
        <row r="9">
          <cell r="A9" t="str">
            <v>e</v>
          </cell>
          <cell r="B9" t="str">
            <v>sflGtk'/ ejg k"j{ aGbgf cfon :6f]/ ;8s</v>
          </cell>
        </row>
        <row r="10">
          <cell r="A10" t="str">
            <v>f</v>
          </cell>
          <cell r="B10" t="str">
            <v>lkkf uf]Zjf/f 36[]s'nf] lkknaf]6 ;8s</v>
          </cell>
        </row>
        <row r="11">
          <cell r="A11" t="str">
            <v>g</v>
          </cell>
          <cell r="B11" t="str">
            <v>s'df/Lufn -uf}/L3f6_ af}4 blIf0f 9f]sf ;8s</v>
          </cell>
        </row>
        <row r="12">
          <cell r="A12" t="str">
            <v>h</v>
          </cell>
          <cell r="B12" t="str">
            <v>sfnf]k'n d}lqk'n -hfkfgL k'n_ ;8s</v>
          </cell>
        </row>
        <row r="13">
          <cell r="A13" t="str">
            <v>I</v>
          </cell>
          <cell r="B13" t="str">
            <v>af0fu+uf dfu{ afg]Zj/ ;8s</v>
          </cell>
        </row>
        <row r="14">
          <cell r="A14" t="str">
            <v>j</v>
          </cell>
          <cell r="B14" t="str">
            <v>uf}zfnf /ftf] k'n blIf0f ljuj]n xf]6n gk'Ub} zfGtLky</v>
          </cell>
        </row>
        <row r="15">
          <cell r="A15" t="str">
            <v>k</v>
          </cell>
          <cell r="B15" t="str">
            <v>gof+ afg]Zj/ z+vd'n dfu{ ;'?lr 6f]n ;8s</v>
          </cell>
        </row>
        <row r="16">
          <cell r="A16" t="str">
            <v>l</v>
          </cell>
          <cell r="B16" t="str">
            <v>gLn ;/:jtL :yfg 6's'rf vf]nf k"jf]{Q/ ;8s</v>
          </cell>
        </row>
        <row r="17">
          <cell r="A17" t="str">
            <v>m</v>
          </cell>
          <cell r="B17" t="str">
            <v>d"nkfgL uf=la=;= vx/]sf] d'v v/06f/ ;8s</v>
          </cell>
        </row>
        <row r="18">
          <cell r="A18" t="str">
            <v>n</v>
          </cell>
          <cell r="B18" t="str">
            <v>s'df/Lufn d}h'axfn ;8s</v>
          </cell>
        </row>
        <row r="19">
          <cell r="A19" t="str">
            <v>o</v>
          </cell>
          <cell r="B19" t="str">
            <v>lrlgof /fhb'tfjf; pQ/ 6's'rf vf]nf ;8s</v>
          </cell>
        </row>
        <row r="20">
          <cell r="A20" t="str">
            <v>p</v>
          </cell>
          <cell r="B20" t="str">
            <v>d}tLb]jL wf]lavf]nf k'n klZrd cgfdgu/ wf]lavf]nf k'n ;8s</v>
          </cell>
        </row>
        <row r="21">
          <cell r="A21" t="str">
            <v>q</v>
          </cell>
          <cell r="B21" t="str">
            <v>6+ufn u0f]z:yfg af6 uxgfkf]v/L hfg] / jl/k/L ;8s</v>
          </cell>
        </row>
        <row r="22">
          <cell r="A22" t="str">
            <v>r</v>
          </cell>
          <cell r="B22" t="str">
            <v>sfTofogL dfu{ vl/af]6 afg]Zj/ ;8s</v>
          </cell>
        </row>
        <row r="23">
          <cell r="A23" t="str">
            <v>s</v>
          </cell>
          <cell r="B23" t="str">
            <v>hl8a'6L k]K;Lsf]nf ;8s</v>
          </cell>
        </row>
        <row r="24">
          <cell r="A24" t="str">
            <v>t</v>
          </cell>
        </row>
        <row r="25">
          <cell r="A25" t="str">
            <v>u</v>
          </cell>
        </row>
        <row r="26">
          <cell r="A26" t="str">
            <v>v</v>
          </cell>
        </row>
        <row r="27">
          <cell r="A27" t="str">
            <v>w</v>
          </cell>
        </row>
        <row r="28">
          <cell r="A28" t="str">
            <v>x</v>
          </cell>
        </row>
        <row r="29">
          <cell r="A29" t="str">
            <v>y</v>
          </cell>
        </row>
        <row r="30">
          <cell r="A30" t="str">
            <v>z</v>
          </cell>
        </row>
        <row r="31">
          <cell r="A31" t="str">
            <v>a1</v>
          </cell>
        </row>
        <row r="32">
          <cell r="A32" t="str">
            <v>b1</v>
          </cell>
        </row>
        <row r="33">
          <cell r="A33" t="str">
            <v>c1</v>
          </cell>
        </row>
        <row r="34">
          <cell r="A34" t="str">
            <v>d1</v>
          </cell>
        </row>
        <row r="38">
          <cell r="A38" t="str">
            <v>b</v>
          </cell>
          <cell r="B38" t="str">
            <v>a6</v>
          </cell>
          <cell r="C38">
            <v>9.59</v>
          </cell>
        </row>
        <row r="39">
          <cell r="A39" t="str">
            <v>b</v>
          </cell>
          <cell r="B39" t="str">
            <v>b7</v>
          </cell>
          <cell r="C39">
            <v>46.21</v>
          </cell>
        </row>
        <row r="40">
          <cell r="A40" t="str">
            <v>b</v>
          </cell>
          <cell r="B40" t="str">
            <v>b5</v>
          </cell>
          <cell r="C40">
            <v>3.82</v>
          </cell>
        </row>
        <row r="41">
          <cell r="A41" t="str">
            <v>b</v>
          </cell>
          <cell r="B41" t="str">
            <v>d2</v>
          </cell>
          <cell r="C41">
            <v>1.59</v>
          </cell>
        </row>
        <row r="42">
          <cell r="A42" t="str">
            <v>b</v>
          </cell>
          <cell r="B42" t="str">
            <v>h3</v>
          </cell>
          <cell r="C42">
            <v>7.5</v>
          </cell>
        </row>
        <row r="43">
          <cell r="A43" t="str">
            <v>b</v>
          </cell>
          <cell r="B43" t="str">
            <v>e18</v>
          </cell>
          <cell r="C43">
            <v>3</v>
          </cell>
        </row>
        <row r="44">
          <cell r="A44" t="str">
            <v>b</v>
          </cell>
          <cell r="B44" t="str">
            <v>e17</v>
          </cell>
          <cell r="C44">
            <v>3</v>
          </cell>
        </row>
        <row r="45">
          <cell r="A45" t="str">
            <v>b</v>
          </cell>
          <cell r="B45" t="str">
            <v>e1</v>
          </cell>
          <cell r="C45">
            <v>550</v>
          </cell>
        </row>
        <row r="46">
          <cell r="A46" t="str">
            <v>b</v>
          </cell>
          <cell r="B46" t="str">
            <v>e11</v>
          </cell>
          <cell r="C46">
            <v>550</v>
          </cell>
        </row>
        <row r="47">
          <cell r="A47" t="str">
            <v>b</v>
          </cell>
          <cell r="B47" t="str">
            <v>e14</v>
          </cell>
          <cell r="C47">
            <v>550</v>
          </cell>
        </row>
        <row r="48">
          <cell r="A48" t="str">
            <v>b</v>
          </cell>
          <cell r="B48" t="str">
            <v>f1</v>
          </cell>
          <cell r="C48">
            <v>550</v>
          </cell>
        </row>
        <row r="49">
          <cell r="A49" t="str">
            <v>b</v>
          </cell>
          <cell r="B49" t="str">
            <v>f5</v>
          </cell>
          <cell r="C49">
            <v>550</v>
          </cell>
        </row>
        <row r="50">
          <cell r="A50" t="str">
            <v>b</v>
          </cell>
          <cell r="B50" t="str">
            <v>f63</v>
          </cell>
          <cell r="C50">
            <v>550</v>
          </cell>
        </row>
        <row r="51">
          <cell r="A51" t="str">
            <v>d</v>
          </cell>
          <cell r="B51" t="str">
            <v>a6</v>
          </cell>
          <cell r="C51">
            <v>22.16</v>
          </cell>
        </row>
        <row r="52">
          <cell r="A52" t="str">
            <v>d</v>
          </cell>
          <cell r="B52" t="str">
            <v>b7</v>
          </cell>
          <cell r="C52">
            <v>90.95</v>
          </cell>
        </row>
        <row r="53">
          <cell r="A53" t="str">
            <v>d</v>
          </cell>
          <cell r="B53" t="str">
            <v>b5</v>
          </cell>
          <cell r="C53">
            <v>7.95</v>
          </cell>
        </row>
        <row r="54">
          <cell r="A54" t="str">
            <v>d</v>
          </cell>
          <cell r="B54" t="str">
            <v>d2</v>
          </cell>
          <cell r="C54">
            <v>3.19</v>
          </cell>
        </row>
        <row r="55">
          <cell r="A55" t="str">
            <v>d</v>
          </cell>
          <cell r="B55" t="str">
            <v>h3</v>
          </cell>
          <cell r="C55">
            <v>10</v>
          </cell>
        </row>
        <row r="56">
          <cell r="A56" t="str">
            <v>d</v>
          </cell>
          <cell r="B56" t="str">
            <v>e18</v>
          </cell>
          <cell r="C56">
            <v>4</v>
          </cell>
        </row>
        <row r="57">
          <cell r="A57" t="str">
            <v>d</v>
          </cell>
          <cell r="B57" t="str">
            <v>e17</v>
          </cell>
          <cell r="C57">
            <v>4</v>
          </cell>
        </row>
        <row r="58">
          <cell r="A58" t="str">
            <v>d</v>
          </cell>
          <cell r="B58" t="str">
            <v>e1</v>
          </cell>
          <cell r="C58">
            <v>790</v>
          </cell>
        </row>
        <row r="59">
          <cell r="A59" t="str">
            <v>d</v>
          </cell>
          <cell r="B59" t="str">
            <v>e11</v>
          </cell>
          <cell r="C59">
            <v>790</v>
          </cell>
        </row>
        <row r="60">
          <cell r="A60" t="str">
            <v>d</v>
          </cell>
          <cell r="B60" t="str">
            <v>e14</v>
          </cell>
          <cell r="C60">
            <v>790</v>
          </cell>
        </row>
        <row r="61">
          <cell r="A61" t="str">
            <v>d</v>
          </cell>
          <cell r="B61" t="str">
            <v>f1</v>
          </cell>
          <cell r="C61">
            <v>790</v>
          </cell>
        </row>
        <row r="62">
          <cell r="A62" t="str">
            <v>d</v>
          </cell>
          <cell r="B62" t="str">
            <v>f5</v>
          </cell>
          <cell r="C62">
            <v>790</v>
          </cell>
        </row>
        <row r="63">
          <cell r="A63" t="str">
            <v>d</v>
          </cell>
          <cell r="B63" t="str">
            <v>f63</v>
          </cell>
          <cell r="C63">
            <v>790</v>
          </cell>
        </row>
        <row r="64">
          <cell r="A64" t="str">
            <v>e</v>
          </cell>
          <cell r="B64" t="str">
            <v>a6</v>
          </cell>
          <cell r="C64">
            <v>10.55</v>
          </cell>
        </row>
        <row r="65">
          <cell r="A65" t="str">
            <v>e</v>
          </cell>
          <cell r="B65" t="str">
            <v>b7</v>
          </cell>
          <cell r="C65">
            <v>50.21</v>
          </cell>
        </row>
        <row r="66">
          <cell r="A66" t="str">
            <v>e</v>
          </cell>
          <cell r="B66" t="str">
            <v>b5</v>
          </cell>
          <cell r="C66">
            <v>4.07</v>
          </cell>
        </row>
        <row r="67">
          <cell r="A67" t="str">
            <v>e</v>
          </cell>
          <cell r="B67" t="str">
            <v>d2</v>
          </cell>
          <cell r="C67">
            <v>1.74</v>
          </cell>
        </row>
        <row r="68">
          <cell r="A68" t="str">
            <v>e</v>
          </cell>
          <cell r="B68" t="str">
            <v>h3</v>
          </cell>
          <cell r="C68">
            <v>7.5</v>
          </cell>
        </row>
        <row r="69">
          <cell r="A69" t="str">
            <v>e</v>
          </cell>
          <cell r="B69" t="str">
            <v>e18</v>
          </cell>
          <cell r="C69">
            <v>3</v>
          </cell>
        </row>
        <row r="70">
          <cell r="A70" t="str">
            <v>e</v>
          </cell>
          <cell r="B70" t="str">
            <v>e17</v>
          </cell>
          <cell r="C70">
            <v>3</v>
          </cell>
        </row>
        <row r="71">
          <cell r="A71" t="str">
            <v>e</v>
          </cell>
          <cell r="B71" t="str">
            <v>e1</v>
          </cell>
          <cell r="C71">
            <v>500</v>
          </cell>
        </row>
        <row r="72">
          <cell r="A72" t="str">
            <v>e</v>
          </cell>
          <cell r="B72" t="str">
            <v>e11</v>
          </cell>
          <cell r="C72">
            <v>500</v>
          </cell>
        </row>
        <row r="73">
          <cell r="A73" t="str">
            <v>e</v>
          </cell>
          <cell r="B73" t="str">
            <v>e14</v>
          </cell>
          <cell r="C73">
            <v>500</v>
          </cell>
        </row>
        <row r="74">
          <cell r="A74" t="str">
            <v>e</v>
          </cell>
          <cell r="B74" t="str">
            <v>f1</v>
          </cell>
          <cell r="C74">
            <v>500</v>
          </cell>
        </row>
        <row r="75">
          <cell r="A75" t="str">
            <v>e</v>
          </cell>
          <cell r="B75" t="str">
            <v>f5</v>
          </cell>
          <cell r="C75">
            <v>500</v>
          </cell>
        </row>
        <row r="76">
          <cell r="A76" t="str">
            <v>e</v>
          </cell>
          <cell r="B76" t="str">
            <v>f63</v>
          </cell>
          <cell r="C76">
            <v>500</v>
          </cell>
        </row>
        <row r="77">
          <cell r="A77" t="str">
            <v>g</v>
          </cell>
          <cell r="B77" t="str">
            <v>a6</v>
          </cell>
          <cell r="C77">
            <v>16.88</v>
          </cell>
        </row>
        <row r="78">
          <cell r="A78" t="str">
            <v>g</v>
          </cell>
          <cell r="B78" t="str">
            <v>b7</v>
          </cell>
          <cell r="C78">
            <v>75.69</v>
          </cell>
        </row>
        <row r="79">
          <cell r="A79" t="str">
            <v>g</v>
          </cell>
          <cell r="B79" t="str">
            <v>b5</v>
          </cell>
          <cell r="C79">
            <v>6.28</v>
          </cell>
        </row>
        <row r="80">
          <cell r="A80" t="str">
            <v>g</v>
          </cell>
          <cell r="B80" t="str">
            <v>d2</v>
          </cell>
          <cell r="C80">
            <v>2.61</v>
          </cell>
        </row>
        <row r="81">
          <cell r="A81" t="str">
            <v>g</v>
          </cell>
          <cell r="B81" t="str">
            <v>h3</v>
          </cell>
          <cell r="C81">
            <v>12.5</v>
          </cell>
        </row>
        <row r="82">
          <cell r="A82" t="str">
            <v>g</v>
          </cell>
          <cell r="B82" t="str">
            <v>e18</v>
          </cell>
          <cell r="C82">
            <v>5</v>
          </cell>
        </row>
        <row r="83">
          <cell r="A83" t="str">
            <v>g</v>
          </cell>
          <cell r="B83" t="str">
            <v>e17</v>
          </cell>
          <cell r="C83">
            <v>5</v>
          </cell>
        </row>
        <row r="84">
          <cell r="A84" t="str">
            <v>g</v>
          </cell>
          <cell r="B84" t="str">
            <v>e1</v>
          </cell>
          <cell r="C84">
            <v>780</v>
          </cell>
        </row>
        <row r="85">
          <cell r="A85" t="str">
            <v>g</v>
          </cell>
          <cell r="B85" t="str">
            <v>e11</v>
          </cell>
          <cell r="C85">
            <v>780</v>
          </cell>
        </row>
        <row r="86">
          <cell r="A86" t="str">
            <v>g</v>
          </cell>
          <cell r="B86" t="str">
            <v>e14</v>
          </cell>
          <cell r="C86">
            <v>780</v>
          </cell>
        </row>
        <row r="87">
          <cell r="A87" t="str">
            <v>g</v>
          </cell>
          <cell r="B87" t="str">
            <v>f1</v>
          </cell>
          <cell r="C87">
            <v>780</v>
          </cell>
        </row>
        <row r="88">
          <cell r="A88" t="str">
            <v>g</v>
          </cell>
          <cell r="B88" t="str">
            <v>f5</v>
          </cell>
          <cell r="C88">
            <v>780</v>
          </cell>
        </row>
        <row r="89">
          <cell r="A89" t="str">
            <v>g</v>
          </cell>
          <cell r="B89" t="str">
            <v>f63</v>
          </cell>
          <cell r="C89">
            <v>780</v>
          </cell>
        </row>
        <row r="90">
          <cell r="A90" t="str">
            <v>h</v>
          </cell>
          <cell r="B90" t="str">
            <v>a6</v>
          </cell>
          <cell r="C90">
            <v>9.81</v>
          </cell>
        </row>
        <row r="91">
          <cell r="A91" t="str">
            <v>h</v>
          </cell>
          <cell r="B91" t="str">
            <v>c3</v>
          </cell>
          <cell r="C91">
            <v>1.1100000000000001</v>
          </cell>
        </row>
        <row r="92">
          <cell r="A92" t="str">
            <v>h</v>
          </cell>
          <cell r="B92" t="str">
            <v>c1</v>
          </cell>
          <cell r="C92">
            <v>11.93</v>
          </cell>
        </row>
        <row r="93">
          <cell r="A93" t="str">
            <v>h</v>
          </cell>
          <cell r="B93" t="str">
            <v>h7</v>
          </cell>
          <cell r="C93">
            <v>7.5</v>
          </cell>
        </row>
        <row r="94">
          <cell r="A94" t="str">
            <v>h</v>
          </cell>
          <cell r="B94" t="str">
            <v>a34</v>
          </cell>
          <cell r="C94">
            <v>3.95</v>
          </cell>
        </row>
        <row r="95">
          <cell r="A95" t="str">
            <v>h</v>
          </cell>
          <cell r="B95" t="str">
            <v>e1</v>
          </cell>
          <cell r="C95">
            <v>1650</v>
          </cell>
        </row>
        <row r="96">
          <cell r="A96" t="str">
            <v>h</v>
          </cell>
          <cell r="B96" t="str">
            <v>e11</v>
          </cell>
          <cell r="C96">
            <v>1650</v>
          </cell>
        </row>
        <row r="97">
          <cell r="A97" t="str">
            <v>h</v>
          </cell>
          <cell r="B97" t="str">
            <v>e14</v>
          </cell>
          <cell r="C97">
            <v>1650</v>
          </cell>
        </row>
        <row r="98">
          <cell r="A98" t="str">
            <v>h</v>
          </cell>
          <cell r="B98" t="str">
            <v>f1</v>
          </cell>
          <cell r="C98">
            <v>1650</v>
          </cell>
        </row>
        <row r="99">
          <cell r="A99" t="str">
            <v>h</v>
          </cell>
          <cell r="B99" t="str">
            <v>f5</v>
          </cell>
          <cell r="C99">
            <v>1650</v>
          </cell>
        </row>
        <row r="100">
          <cell r="A100" t="str">
            <v>h</v>
          </cell>
          <cell r="B100" t="str">
            <v>f63</v>
          </cell>
          <cell r="C100">
            <v>1650</v>
          </cell>
        </row>
        <row r="101">
          <cell r="A101" t="str">
            <v>i</v>
          </cell>
          <cell r="B101" t="str">
            <v>a6</v>
          </cell>
          <cell r="C101">
            <v>3.35</v>
          </cell>
        </row>
        <row r="102">
          <cell r="A102" t="str">
            <v>i</v>
          </cell>
          <cell r="B102" t="str">
            <v>b5</v>
          </cell>
          <cell r="C102">
            <v>1.0429999999999999</v>
          </cell>
        </row>
        <row r="103">
          <cell r="A103" t="str">
            <v>i</v>
          </cell>
          <cell r="B103" t="str">
            <v>h3</v>
          </cell>
          <cell r="C103">
            <v>7.5</v>
          </cell>
        </row>
        <row r="104">
          <cell r="A104" t="str">
            <v>i</v>
          </cell>
          <cell r="B104" t="str">
            <v>e18</v>
          </cell>
          <cell r="C104">
            <v>3</v>
          </cell>
        </row>
        <row r="105">
          <cell r="A105" t="str">
            <v>i</v>
          </cell>
          <cell r="B105" t="str">
            <v>e1</v>
          </cell>
          <cell r="C105">
            <v>720</v>
          </cell>
        </row>
        <row r="106">
          <cell r="A106" t="str">
            <v>i</v>
          </cell>
          <cell r="B106" t="str">
            <v>e11</v>
          </cell>
          <cell r="C106">
            <v>720</v>
          </cell>
        </row>
        <row r="107">
          <cell r="A107" t="str">
            <v>j</v>
          </cell>
          <cell r="B107" t="str">
            <v>a6</v>
          </cell>
          <cell r="C107">
            <v>8.83</v>
          </cell>
        </row>
        <row r="108">
          <cell r="A108" t="str">
            <v>j</v>
          </cell>
          <cell r="B108" t="str">
            <v>b7</v>
          </cell>
          <cell r="C108">
            <v>41.47</v>
          </cell>
        </row>
        <row r="109">
          <cell r="A109" t="str">
            <v>j</v>
          </cell>
          <cell r="B109" t="str">
            <v>b5</v>
          </cell>
          <cell r="C109">
            <v>1.22</v>
          </cell>
        </row>
        <row r="110">
          <cell r="A110" t="str">
            <v>j</v>
          </cell>
          <cell r="B110" t="str">
            <v>d2</v>
          </cell>
          <cell r="C110">
            <v>1.45</v>
          </cell>
        </row>
        <row r="111">
          <cell r="A111" t="str">
            <v>j</v>
          </cell>
          <cell r="B111" t="str">
            <v>h3</v>
          </cell>
          <cell r="C111">
            <v>5</v>
          </cell>
        </row>
        <row r="112">
          <cell r="A112" t="str">
            <v>j</v>
          </cell>
          <cell r="B112" t="str">
            <v>e18</v>
          </cell>
          <cell r="C112">
            <v>2</v>
          </cell>
        </row>
        <row r="113">
          <cell r="A113" t="str">
            <v>j</v>
          </cell>
          <cell r="B113" t="str">
            <v>e17</v>
          </cell>
          <cell r="C113">
            <v>2</v>
          </cell>
        </row>
        <row r="114">
          <cell r="A114" t="str">
            <v>j</v>
          </cell>
          <cell r="B114" t="str">
            <v>e1</v>
          </cell>
          <cell r="C114">
            <v>300</v>
          </cell>
        </row>
        <row r="115">
          <cell r="A115" t="str">
            <v>j</v>
          </cell>
          <cell r="B115" t="str">
            <v>e11</v>
          </cell>
          <cell r="C115">
            <v>300</v>
          </cell>
        </row>
        <row r="116">
          <cell r="A116" t="str">
            <v>j</v>
          </cell>
          <cell r="B116" t="str">
            <v>e14</v>
          </cell>
          <cell r="C116">
            <v>300</v>
          </cell>
        </row>
        <row r="117">
          <cell r="A117" t="str">
            <v>j</v>
          </cell>
          <cell r="B117" t="str">
            <v>f1</v>
          </cell>
          <cell r="C117">
            <v>300</v>
          </cell>
        </row>
        <row r="118">
          <cell r="A118" t="str">
            <v>j</v>
          </cell>
          <cell r="B118" t="str">
            <v>f5</v>
          </cell>
          <cell r="C118">
            <v>300</v>
          </cell>
        </row>
        <row r="119">
          <cell r="A119" t="str">
            <v>j</v>
          </cell>
          <cell r="B119" t="str">
            <v>f63</v>
          </cell>
          <cell r="C119">
            <v>300</v>
          </cell>
        </row>
        <row r="120">
          <cell r="A120" t="str">
            <v>k</v>
          </cell>
          <cell r="B120" t="str">
            <v>a6</v>
          </cell>
          <cell r="C120">
            <v>8.83</v>
          </cell>
        </row>
        <row r="121">
          <cell r="A121" t="str">
            <v>k</v>
          </cell>
          <cell r="B121" t="str">
            <v>b7</v>
          </cell>
          <cell r="C121">
            <v>41.47</v>
          </cell>
        </row>
        <row r="122">
          <cell r="A122" t="str">
            <v>k</v>
          </cell>
          <cell r="B122" t="str">
            <v>b5</v>
          </cell>
          <cell r="C122">
            <v>1.22</v>
          </cell>
        </row>
        <row r="123">
          <cell r="A123" t="str">
            <v>k</v>
          </cell>
          <cell r="B123" t="str">
            <v>d2</v>
          </cell>
          <cell r="C123">
            <v>1.45</v>
          </cell>
        </row>
        <row r="124">
          <cell r="A124" t="str">
            <v>k</v>
          </cell>
          <cell r="B124" t="str">
            <v>h3</v>
          </cell>
          <cell r="C124">
            <v>5</v>
          </cell>
        </row>
        <row r="125">
          <cell r="A125" t="str">
            <v>k</v>
          </cell>
          <cell r="B125" t="str">
            <v>e18</v>
          </cell>
          <cell r="C125">
            <v>2</v>
          </cell>
        </row>
        <row r="126">
          <cell r="A126" t="str">
            <v>k</v>
          </cell>
          <cell r="B126" t="str">
            <v>e17</v>
          </cell>
          <cell r="C126">
            <v>2</v>
          </cell>
        </row>
        <row r="127">
          <cell r="A127" t="str">
            <v>k</v>
          </cell>
          <cell r="B127" t="str">
            <v>e1</v>
          </cell>
          <cell r="C127">
            <v>300</v>
          </cell>
        </row>
        <row r="128">
          <cell r="A128" t="str">
            <v>k</v>
          </cell>
          <cell r="B128" t="str">
            <v>e11</v>
          </cell>
          <cell r="C128">
            <v>300</v>
          </cell>
        </row>
        <row r="129">
          <cell r="A129" t="str">
            <v>k</v>
          </cell>
          <cell r="B129" t="str">
            <v>e14</v>
          </cell>
          <cell r="C129">
            <v>300</v>
          </cell>
        </row>
        <row r="130">
          <cell r="A130" t="str">
            <v>k</v>
          </cell>
          <cell r="B130" t="str">
            <v>f1</v>
          </cell>
          <cell r="C130">
            <v>300</v>
          </cell>
        </row>
        <row r="131">
          <cell r="A131" t="str">
            <v>k</v>
          </cell>
          <cell r="B131" t="str">
            <v>f5</v>
          </cell>
          <cell r="C131">
            <v>300</v>
          </cell>
        </row>
        <row r="132">
          <cell r="A132" t="str">
            <v>k</v>
          </cell>
          <cell r="B132" t="str">
            <v>f63</v>
          </cell>
          <cell r="C132">
            <v>300</v>
          </cell>
        </row>
        <row r="133">
          <cell r="A133" t="str">
            <v>m</v>
          </cell>
          <cell r="B133" t="str">
            <v>e1</v>
          </cell>
          <cell r="C133">
            <v>370</v>
          </cell>
        </row>
        <row r="134">
          <cell r="A134" t="str">
            <v>m</v>
          </cell>
          <cell r="B134" t="str">
            <v>e10</v>
          </cell>
          <cell r="C134">
            <v>370</v>
          </cell>
        </row>
        <row r="135">
          <cell r="A135" t="str">
            <v>m</v>
          </cell>
          <cell r="B135" t="str">
            <v>e14</v>
          </cell>
          <cell r="C135">
            <v>370</v>
          </cell>
        </row>
        <row r="136">
          <cell r="A136" t="str">
            <v>m</v>
          </cell>
          <cell r="B136" t="str">
            <v>f1</v>
          </cell>
          <cell r="C136">
            <v>370</v>
          </cell>
        </row>
        <row r="137">
          <cell r="A137" t="str">
            <v>m</v>
          </cell>
          <cell r="B137" t="str">
            <v>f5</v>
          </cell>
          <cell r="C137">
            <v>370</v>
          </cell>
        </row>
        <row r="138">
          <cell r="A138" t="str">
            <v>m</v>
          </cell>
          <cell r="B138" t="str">
            <v>f63</v>
          </cell>
          <cell r="C138">
            <v>370</v>
          </cell>
        </row>
        <row r="139">
          <cell r="A139" t="str">
            <v>n</v>
          </cell>
          <cell r="B139" t="str">
            <v>e1</v>
          </cell>
          <cell r="C139">
            <v>850</v>
          </cell>
        </row>
        <row r="140">
          <cell r="A140" t="str">
            <v>n</v>
          </cell>
          <cell r="B140" t="str">
            <v>e11</v>
          </cell>
          <cell r="C140">
            <v>850</v>
          </cell>
        </row>
        <row r="141">
          <cell r="A141" t="str">
            <v>r</v>
          </cell>
          <cell r="B141" t="str">
            <v>a6</v>
          </cell>
          <cell r="C141">
            <v>11.27</v>
          </cell>
        </row>
        <row r="142">
          <cell r="A142" t="str">
            <v>r</v>
          </cell>
          <cell r="B142" t="str">
            <v>b7</v>
          </cell>
          <cell r="C142">
            <v>50.95</v>
          </cell>
        </row>
        <row r="143">
          <cell r="A143" t="str">
            <v>r</v>
          </cell>
          <cell r="B143" t="str">
            <v>b5</v>
          </cell>
          <cell r="C143">
            <v>3.14</v>
          </cell>
        </row>
        <row r="144">
          <cell r="A144" t="str">
            <v>r</v>
          </cell>
          <cell r="B144" t="str">
            <v>d2</v>
          </cell>
          <cell r="C144">
            <v>1.74</v>
          </cell>
        </row>
        <row r="145">
          <cell r="A145" t="str">
            <v>r</v>
          </cell>
          <cell r="B145" t="str">
            <v>h3</v>
          </cell>
          <cell r="C145">
            <v>10</v>
          </cell>
        </row>
        <row r="146">
          <cell r="A146" t="str">
            <v>r</v>
          </cell>
          <cell r="B146" t="str">
            <v>e18</v>
          </cell>
          <cell r="C146">
            <v>4</v>
          </cell>
        </row>
        <row r="147">
          <cell r="A147" t="str">
            <v>r</v>
          </cell>
          <cell r="B147" t="str">
            <v>e17</v>
          </cell>
          <cell r="C147">
            <v>4</v>
          </cell>
        </row>
        <row r="148">
          <cell r="A148" t="str">
            <v>r</v>
          </cell>
          <cell r="B148" t="str">
            <v>e1</v>
          </cell>
          <cell r="C148">
            <v>552</v>
          </cell>
        </row>
        <row r="149">
          <cell r="A149" t="str">
            <v>r</v>
          </cell>
          <cell r="B149" t="str">
            <v>e11</v>
          </cell>
          <cell r="C149">
            <v>552</v>
          </cell>
        </row>
        <row r="150">
          <cell r="A150" t="str">
            <v>r</v>
          </cell>
          <cell r="B150" t="str">
            <v>e14</v>
          </cell>
          <cell r="C150">
            <v>552</v>
          </cell>
        </row>
        <row r="151">
          <cell r="A151" t="str">
            <v>r</v>
          </cell>
          <cell r="B151" t="str">
            <v>f1</v>
          </cell>
          <cell r="C151">
            <v>552</v>
          </cell>
        </row>
        <row r="152">
          <cell r="A152" t="str">
            <v>r</v>
          </cell>
          <cell r="B152" t="str">
            <v>f5</v>
          </cell>
          <cell r="C152">
            <v>552</v>
          </cell>
        </row>
        <row r="153">
          <cell r="A153" t="str">
            <v>r</v>
          </cell>
          <cell r="B153" t="str">
            <v>f63</v>
          </cell>
          <cell r="C153">
            <v>552</v>
          </cell>
        </row>
        <row r="154">
          <cell r="A154" t="str">
            <v>a</v>
          </cell>
          <cell r="B154" t="str">
            <v>c5</v>
          </cell>
          <cell r="C154">
            <v>14</v>
          </cell>
        </row>
        <row r="155">
          <cell r="A155" t="str">
            <v>a</v>
          </cell>
          <cell r="B155" t="str">
            <v>e14</v>
          </cell>
          <cell r="C155">
            <v>700</v>
          </cell>
        </row>
        <row r="156">
          <cell r="A156" t="str">
            <v>a</v>
          </cell>
          <cell r="B156" t="str">
            <v>f1</v>
          </cell>
          <cell r="C156">
            <v>700</v>
          </cell>
        </row>
        <row r="157">
          <cell r="A157" t="str">
            <v>a</v>
          </cell>
          <cell r="B157" t="str">
            <v>f5</v>
          </cell>
          <cell r="C157">
            <v>700</v>
          </cell>
        </row>
        <row r="158">
          <cell r="A158" t="str">
            <v>a</v>
          </cell>
          <cell r="B158" t="str">
            <v>f63</v>
          </cell>
          <cell r="C158">
            <v>700</v>
          </cell>
        </row>
        <row r="159">
          <cell r="A159" t="str">
            <v>c</v>
          </cell>
          <cell r="B159" t="str">
            <v>a6</v>
          </cell>
          <cell r="C159">
            <v>16</v>
          </cell>
        </row>
        <row r="160">
          <cell r="A160" t="str">
            <v>c</v>
          </cell>
          <cell r="B160" t="str">
            <v>a32</v>
          </cell>
          <cell r="C160">
            <v>16</v>
          </cell>
        </row>
        <row r="161">
          <cell r="A161" t="str">
            <v>c</v>
          </cell>
          <cell r="B161" t="str">
            <v>b7</v>
          </cell>
          <cell r="C161">
            <v>120</v>
          </cell>
        </row>
        <row r="162">
          <cell r="A162" t="str">
            <v>c</v>
          </cell>
          <cell r="B162" t="str">
            <v>d2</v>
          </cell>
          <cell r="C162">
            <v>9</v>
          </cell>
        </row>
        <row r="163">
          <cell r="A163" t="str">
            <v>c</v>
          </cell>
          <cell r="B163" t="str">
            <v>e13</v>
          </cell>
          <cell r="C163">
            <v>1000</v>
          </cell>
        </row>
        <row r="164">
          <cell r="A164" t="str">
            <v>c</v>
          </cell>
          <cell r="B164" t="str">
            <v>e16</v>
          </cell>
          <cell r="C164">
            <v>750</v>
          </cell>
        </row>
        <row r="165">
          <cell r="A165" t="str">
            <v>c</v>
          </cell>
          <cell r="B165" t="str">
            <v>e18</v>
          </cell>
          <cell r="C165">
            <v>4</v>
          </cell>
        </row>
        <row r="166">
          <cell r="A166" t="str">
            <v>c</v>
          </cell>
          <cell r="B166" t="str">
            <v>f1</v>
          </cell>
          <cell r="C166">
            <v>1750</v>
          </cell>
        </row>
        <row r="167">
          <cell r="A167" t="str">
            <v>c</v>
          </cell>
          <cell r="B167" t="str">
            <v>f3</v>
          </cell>
          <cell r="C167">
            <v>1000</v>
          </cell>
        </row>
        <row r="168">
          <cell r="A168" t="str">
            <v>c</v>
          </cell>
          <cell r="B168" t="str">
            <v>f5</v>
          </cell>
          <cell r="C168">
            <v>750</v>
          </cell>
        </row>
        <row r="169">
          <cell r="A169" t="str">
            <v>c</v>
          </cell>
          <cell r="B169" t="str">
            <v>f63</v>
          </cell>
          <cell r="C169">
            <v>1750</v>
          </cell>
        </row>
        <row r="170">
          <cell r="A170" t="str">
            <v>f</v>
          </cell>
          <cell r="B170" t="str">
            <v>a6</v>
          </cell>
          <cell r="C170">
            <v>19</v>
          </cell>
        </row>
        <row r="171">
          <cell r="A171" t="str">
            <v>f</v>
          </cell>
          <cell r="B171" t="str">
            <v>a32</v>
          </cell>
          <cell r="C171">
            <v>19</v>
          </cell>
        </row>
        <row r="172">
          <cell r="A172" t="str">
            <v>f</v>
          </cell>
          <cell r="B172" t="str">
            <v>b7</v>
          </cell>
          <cell r="C172">
            <v>142.5</v>
          </cell>
        </row>
        <row r="173">
          <cell r="A173" t="str">
            <v>f</v>
          </cell>
          <cell r="B173" t="str">
            <v>d2</v>
          </cell>
          <cell r="C173">
            <v>9.5</v>
          </cell>
        </row>
        <row r="174">
          <cell r="A174" t="str">
            <v>f</v>
          </cell>
          <cell r="B174" t="str">
            <v>e13</v>
          </cell>
          <cell r="C174">
            <v>125</v>
          </cell>
        </row>
        <row r="175">
          <cell r="A175" t="str">
            <v>f</v>
          </cell>
          <cell r="B175" t="str">
            <v>e18</v>
          </cell>
          <cell r="C175">
            <v>7</v>
          </cell>
        </row>
        <row r="176">
          <cell r="A176" t="str">
            <v>f</v>
          </cell>
          <cell r="B176" t="str">
            <v>f1</v>
          </cell>
          <cell r="C176">
            <v>500</v>
          </cell>
        </row>
        <row r="177">
          <cell r="A177" t="str">
            <v>f</v>
          </cell>
          <cell r="B177" t="str">
            <v>f5</v>
          </cell>
          <cell r="C177">
            <v>500</v>
          </cell>
        </row>
        <row r="178">
          <cell r="A178" t="str">
            <v>f</v>
          </cell>
          <cell r="B178" t="str">
            <v>f63</v>
          </cell>
          <cell r="C178">
            <v>500</v>
          </cell>
        </row>
        <row r="179">
          <cell r="A179" t="str">
            <v>l</v>
          </cell>
          <cell r="B179" t="str">
            <v>e1</v>
          </cell>
          <cell r="C179">
            <v>1200</v>
          </cell>
        </row>
        <row r="180">
          <cell r="A180" t="str">
            <v>l</v>
          </cell>
          <cell r="B180" t="str">
            <v>e11</v>
          </cell>
          <cell r="C180">
            <v>1200</v>
          </cell>
        </row>
        <row r="181">
          <cell r="A181" t="str">
            <v>o</v>
          </cell>
          <cell r="B181" t="str">
            <v>a6</v>
          </cell>
          <cell r="C181">
            <v>35</v>
          </cell>
        </row>
        <row r="182">
          <cell r="A182" t="str">
            <v>o</v>
          </cell>
          <cell r="B182" t="str">
            <v>a32</v>
          </cell>
          <cell r="C182">
            <v>35</v>
          </cell>
        </row>
        <row r="183">
          <cell r="A183" t="str">
            <v>o</v>
          </cell>
          <cell r="B183" t="str">
            <v>c1</v>
          </cell>
          <cell r="C183">
            <v>45</v>
          </cell>
        </row>
        <row r="184">
          <cell r="A184" t="str">
            <v>o</v>
          </cell>
          <cell r="B184" t="str">
            <v>e1</v>
          </cell>
          <cell r="C184">
            <v>320</v>
          </cell>
        </row>
        <row r="185">
          <cell r="A185" t="str">
            <v>o</v>
          </cell>
          <cell r="B185" t="str">
            <v>e11</v>
          </cell>
          <cell r="C185">
            <v>320</v>
          </cell>
        </row>
        <row r="186">
          <cell r="A186" t="str">
            <v>p</v>
          </cell>
          <cell r="B186" t="str">
            <v>e1</v>
          </cell>
          <cell r="C186">
            <v>1200</v>
          </cell>
        </row>
        <row r="187">
          <cell r="A187" t="str">
            <v>p</v>
          </cell>
          <cell r="B187" t="str">
            <v>e11</v>
          </cell>
          <cell r="C187">
            <v>1200</v>
          </cell>
        </row>
        <row r="188">
          <cell r="A188" t="str">
            <v>q</v>
          </cell>
          <cell r="B188" t="str">
            <v>e12</v>
          </cell>
          <cell r="C188">
            <v>350</v>
          </cell>
        </row>
        <row r="189">
          <cell r="A189" t="str">
            <v>q</v>
          </cell>
          <cell r="B189" t="str">
            <v>f1</v>
          </cell>
          <cell r="C189">
            <v>1125</v>
          </cell>
        </row>
        <row r="190">
          <cell r="A190" t="str">
            <v>q</v>
          </cell>
          <cell r="B190" t="str">
            <v>f5</v>
          </cell>
          <cell r="C190">
            <v>1125</v>
          </cell>
        </row>
        <row r="191">
          <cell r="A191" t="str">
            <v>q</v>
          </cell>
          <cell r="B191" t="str">
            <v>f63</v>
          </cell>
          <cell r="C191">
            <v>1125</v>
          </cell>
        </row>
        <row r="192">
          <cell r="A192" t="str">
            <v>s</v>
          </cell>
          <cell r="B192" t="str">
            <v>f1</v>
          </cell>
          <cell r="C192">
            <v>1900</v>
          </cell>
        </row>
        <row r="193">
          <cell r="A193" t="str">
            <v>s</v>
          </cell>
          <cell r="B193" t="str">
            <v>f5</v>
          </cell>
          <cell r="C193">
            <v>1900</v>
          </cell>
        </row>
        <row r="194">
          <cell r="A194" t="str">
            <v>s</v>
          </cell>
          <cell r="B194" t="str">
            <v>f63</v>
          </cell>
          <cell r="C194">
            <v>1900</v>
          </cell>
        </row>
        <row r="195">
          <cell r="A195" t="str">
            <v>end</v>
          </cell>
        </row>
      </sheetData>
      <sheetData sheetId="3"/>
      <sheetData sheetId="4"/>
      <sheetData sheetId="5"/>
      <sheetData sheetId="6"/>
      <sheetData sheetId="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s"/>
      <sheetName val="schedule of rates"/>
      <sheetName val="TranspAnalysis"/>
      <sheetName val="Database"/>
      <sheetName val="RateAnalysis"/>
      <sheetName val="qtty_est."/>
      <sheetName val="AbsOfCost"/>
      <sheetName val="combined"/>
      <sheetName val="BOQ"/>
      <sheetName val="bill "/>
      <sheetName val="completion report"/>
      <sheetName val="Progres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f Rates"/>
      <sheetName val="Rates"/>
      <sheetName val="Rate Analysis"/>
    </sheetNames>
    <sheetDataSet>
      <sheetData sheetId="0" refreshError="1"/>
      <sheetData sheetId="1" refreshError="1">
        <row r="6">
          <cell r="D6">
            <v>287.5</v>
          </cell>
        </row>
        <row r="18">
          <cell r="G18">
            <v>77192.331999999995</v>
          </cell>
        </row>
        <row r="21">
          <cell r="G21">
            <v>82902.618000000002</v>
          </cell>
        </row>
        <row r="45">
          <cell r="G45">
            <v>90000</v>
          </cell>
        </row>
        <row r="46">
          <cell r="G46">
            <v>285</v>
          </cell>
        </row>
        <row r="48">
          <cell r="G48">
            <v>0.10927920000000001</v>
          </cell>
        </row>
        <row r="55">
          <cell r="G55">
            <v>132</v>
          </cell>
        </row>
        <row r="63">
          <cell r="D63">
            <v>3500</v>
          </cell>
        </row>
        <row r="65">
          <cell r="D65">
            <v>470</v>
          </cell>
        </row>
        <row r="66">
          <cell r="D66">
            <v>100</v>
          </cell>
        </row>
        <row r="67">
          <cell r="D67">
            <v>150</v>
          </cell>
        </row>
        <row r="82">
          <cell r="D82">
            <v>450</v>
          </cell>
        </row>
        <row r="91">
          <cell r="D91">
            <v>1150</v>
          </cell>
        </row>
      </sheetData>
      <sheetData sheetId="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 rate"/>
      <sheetName val="Collection"/>
      <sheetName val="transportation"/>
      <sheetName val="Rate analysis"/>
      <sheetName val="Summary of rates"/>
    </sheetNames>
    <sheetDataSet>
      <sheetData sheetId="0" refreshError="1">
        <row r="9">
          <cell r="M9">
            <v>320</v>
          </cell>
        </row>
        <row r="37">
          <cell r="P37">
            <v>1303.4000000000001</v>
          </cell>
        </row>
      </sheetData>
      <sheetData sheetId="1" refreshError="1"/>
      <sheetData sheetId="2" refreshError="1"/>
      <sheetData sheetId="3" refreshError="1"/>
      <sheetData sheetId="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
      <sheetName val="Aoc"/>
      <sheetName val="Sheet2"/>
      <sheetName val="Sheet1"/>
    </sheetNames>
    <sheetDataSet>
      <sheetData sheetId="0" refreshError="1"/>
      <sheetData sheetId="1" refreshError="1"/>
      <sheetData sheetId="2">
        <row r="6">
          <cell r="J6">
            <v>88.49</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update Rate"/>
      <sheetName val="Update Descrip"/>
      <sheetName val="Table of Content 1"/>
      <sheetName val="Table of Content 2"/>
    </sheetNames>
    <sheetDataSet>
      <sheetData sheetId="0" refreshError="1"/>
      <sheetData sheetId="1" refreshError="1"/>
      <sheetData sheetId="2" refreshError="1">
        <row r="6">
          <cell r="E6">
            <v>325</v>
          </cell>
        </row>
        <row r="92">
          <cell r="E92">
            <v>488.26</v>
          </cell>
        </row>
      </sheetData>
      <sheetData sheetId="3" refreshError="1"/>
      <sheetData sheetId="4" refreshError="1"/>
      <sheetData sheetId="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s"/>
      <sheetName val="schedule of rates"/>
      <sheetName val="TranspAnalysis"/>
      <sheetName val="Database"/>
      <sheetName val="RateAnalysis"/>
      <sheetName val="qtty_est."/>
      <sheetName val="BOQ"/>
      <sheetName val="bill "/>
      <sheetName val="completion report"/>
      <sheetName val="Progres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Veh"/>
      <sheetName val="Summary of Rates"/>
      <sheetName val="Rate Analysis"/>
    </sheetNames>
    <sheetDataSet>
      <sheetData sheetId="0">
        <row r="38">
          <cell r="G38">
            <v>230</v>
          </cell>
        </row>
        <row r="56">
          <cell r="D56">
            <v>1770</v>
          </cell>
        </row>
        <row r="87">
          <cell r="D87">
            <v>800</v>
          </cell>
        </row>
      </sheetData>
      <sheetData sheetId="1"/>
      <sheetData sheetId="2"/>
      <sheetData sheetId="3"/>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material rate"/>
      <sheetName val="transportation"/>
      <sheetName val="Collection"/>
      <sheetName val="Rate analysis"/>
      <sheetName val="calculation sheet"/>
      <sheetName val="transp data"/>
      <sheetName val="Final Summary of Rates"/>
      <sheetName val="Summary (Checklist)"/>
      <sheetName val="rate analysis add"/>
      <sheetName val="EW by Machine"/>
      <sheetName val="Sheet1"/>
      <sheetName val="Sheet2"/>
      <sheetName val="Sheet3"/>
    </sheetNames>
    <sheetDataSet>
      <sheetData sheetId="0" refreshError="1"/>
      <sheetData sheetId="1">
        <row r="5">
          <cell r="N5">
            <v>670</v>
          </cell>
        </row>
        <row r="28">
          <cell r="H28">
            <v>1940.4</v>
          </cell>
        </row>
        <row r="107">
          <cell r="H107">
            <v>207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sheetName val="Collection"/>
      <sheetName val="transportation"/>
      <sheetName val="Rate analysis"/>
    </sheetNames>
    <sheetDataSet>
      <sheetData sheetId="0">
        <row r="57">
          <cell r="D57">
            <v>249</v>
          </cell>
        </row>
        <row r="60">
          <cell r="D60">
            <v>1918.33</v>
          </cell>
        </row>
      </sheetData>
      <sheetData sheetId="1"/>
      <sheetData sheetId="2"/>
      <sheetData sheetId="3"/>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sheetName val="Collection"/>
      <sheetName val="transportation kk"/>
      <sheetName val="Rate analysis"/>
    </sheetNames>
    <sheetDataSet>
      <sheetData sheetId="0">
        <row r="19">
          <cell r="N19">
            <v>84.31</v>
          </cell>
        </row>
        <row r="20">
          <cell r="N20">
            <v>84.31</v>
          </cell>
        </row>
        <row r="21">
          <cell r="N21">
            <v>88.31</v>
          </cell>
        </row>
      </sheetData>
      <sheetData sheetId="1" refreshError="1"/>
      <sheetData sheetId="2" refreshError="1"/>
      <sheetData sheetId="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f Rates"/>
      <sheetName val="Rates"/>
      <sheetName val="Rate Analysis"/>
      <sheetName val="Mat. collection"/>
      <sheetName val="Transportation"/>
      <sheetName val="man hole"/>
      <sheetName val="catch_basin"/>
      <sheetName val="Strom Water Drain"/>
      <sheetName val="Railing"/>
      <sheetName val="Sheet1"/>
    </sheetNames>
    <sheetDataSet>
      <sheetData sheetId="0" refreshError="1"/>
      <sheetData sheetId="1" refreshError="1">
        <row r="6">
          <cell r="D6">
            <v>500</v>
          </cell>
        </row>
        <row r="46">
          <cell r="G46">
            <v>248.4</v>
          </cell>
        </row>
        <row r="103">
          <cell r="D103">
            <v>1600</v>
          </cell>
        </row>
        <row r="111">
          <cell r="D111">
            <v>500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aoc"/>
      <sheetName val="4summary"/>
      <sheetName val="4boq"/>
      <sheetName val="aoc"/>
      <sheetName val="summary"/>
    </sheetNames>
    <sheetDataSet>
      <sheetData sheetId="0">
        <row r="1">
          <cell r="C1" t="str">
            <v>sfnf]kq]</v>
          </cell>
          <cell r="D1" t="str">
            <v>&amp;]=g+=M</v>
          </cell>
          <cell r="E1" t="str">
            <v>4.059.60</v>
          </cell>
          <cell r="F1" t="str">
            <v>cf=j=M</v>
          </cell>
          <cell r="G1" t="str">
            <v>059.60</v>
          </cell>
        </row>
        <row r="2">
          <cell r="B2" t="str">
            <v>a</v>
          </cell>
          <cell r="C2" t="str">
            <v>l;kmn kfgL ^\of+sL cf]/fnf] ;*s</v>
          </cell>
          <cell r="D2" t="str">
            <v>&amp;]=;'=g+=M</v>
          </cell>
          <cell r="E2" t="str">
            <v>3.059.60</v>
          </cell>
        </row>
        <row r="3">
          <cell r="B3" t="str">
            <v>sf]8</v>
          </cell>
          <cell r="C3" t="str">
            <v>sfo{ laj/0f</v>
          </cell>
          <cell r="D3" t="str">
            <v>OsfO{</v>
          </cell>
          <cell r="E3" t="str">
            <v>kl/df0f</v>
          </cell>
          <cell r="F3" t="str">
            <v>b/</v>
          </cell>
          <cell r="G3" t="str">
            <v>/sd</v>
          </cell>
        </row>
        <row r="4">
          <cell r="B4" t="str">
            <v>e1</v>
          </cell>
          <cell r="C4" t="str">
            <v>10 ;]=ld= ux/fO{ ;Dd ;fdfGo df^f]df df^f] sf^L ;ju|]* tof/ ug{] sfd 10 ld= ("jfgL / kG%fpGg] ;d]t .</v>
          </cell>
          <cell r="D4" t="str">
            <v>a=dL=</v>
          </cell>
          <cell r="E4">
            <v>321</v>
          </cell>
          <cell r="F4">
            <v>15.18</v>
          </cell>
          <cell r="G4">
            <v>4872.78</v>
          </cell>
        </row>
        <row r="5">
          <cell r="B5" t="str">
            <v>e10</v>
          </cell>
          <cell r="C5" t="str">
            <v>10 ;]=ld= &amp;f]; df]^fO{df jfn"jf ldl;Psf] u|fe]nsf] ;jj]; cf]%\ofpg] sfd dfn ;fdfg nf]* ug{], n}hfg], ;tx ldnfpg] 10 ld=;Dd ("jfgL ug]{ cfbL sfd ;d]t .</v>
          </cell>
          <cell r="D5" t="str">
            <v>a=dL=</v>
          </cell>
          <cell r="E5">
            <v>321</v>
          </cell>
          <cell r="F5">
            <v>136.97999999999999</v>
          </cell>
          <cell r="G5">
            <v>43970.58</v>
          </cell>
        </row>
        <row r="6">
          <cell r="B6" t="str">
            <v>e14</v>
          </cell>
          <cell r="C6" t="str">
            <v>10 ;]=ld= &amp;f]; df]^fO{df s"^]sf] ("+ufdf w"nf] ldnfO{ -:^f]g *:^ j)* d]sf*d sf];{_ cf]%\ofpg] sfd /f]*fnfO{ txdf ldnfO{ (+ufsf] w"nf] km}nfpg] sfd ;d]t .</v>
          </cell>
          <cell r="D6" t="str">
            <v>a=dL=</v>
          </cell>
          <cell r="E6">
            <v>321</v>
          </cell>
          <cell r="F6">
            <v>186.61</v>
          </cell>
          <cell r="G6">
            <v>59901.81</v>
          </cell>
        </row>
        <row r="7">
          <cell r="B7" t="str">
            <v>f54</v>
          </cell>
          <cell r="C7" t="str">
            <v>5 ;]=ld= df]^fO{df ;]dLu|fp^Lé ug{] sfd -lj^"dLg jfx]s_</v>
          </cell>
          <cell r="D7" t="str">
            <v>j=dL=</v>
          </cell>
          <cell r="E7">
            <v>321</v>
          </cell>
          <cell r="F7">
            <v>141.56</v>
          </cell>
          <cell r="G7">
            <v>45440.76</v>
          </cell>
        </row>
        <row r="8">
          <cell r="B8" t="str">
            <v>f40</v>
          </cell>
          <cell r="C8" t="str">
            <v>a];sf];{-;tx_ dfly dfn ;fdfg pknJw u/L ^]s sf]^ nufpg] sfd . -dl§t]njf^ df; js{||_ -lj^"dLg jfx]s_</v>
          </cell>
          <cell r="D8" t="str">
            <v>j=dL=</v>
          </cell>
          <cell r="E8">
            <v>321</v>
          </cell>
          <cell r="F8">
            <v>15.64</v>
          </cell>
          <cell r="G8">
            <v>5020.4399999999996</v>
          </cell>
        </row>
        <row r="9">
          <cell r="B9" t="str">
            <v>f34</v>
          </cell>
          <cell r="C9" t="str">
            <v>20 ld=ld= df]^fO{sf lk|ldS; sfk{]^ ug{] sfd sDk]S;g ;d]t -bfp/fjf^ df; js{ tyf :^LnJxLn /f]n/ dfq k|of]u u/L_ -lj^"dLg jfx]s_</v>
          </cell>
          <cell r="D9" t="str">
            <v>j=dL=</v>
          </cell>
          <cell r="E9">
            <v>321</v>
          </cell>
          <cell r="F9">
            <v>86.38</v>
          </cell>
          <cell r="G9">
            <v>27727.98</v>
          </cell>
        </row>
        <row r="10">
          <cell r="C10">
            <v>0</v>
          </cell>
          <cell r="D10">
            <v>0</v>
          </cell>
          <cell r="F10">
            <v>0</v>
          </cell>
          <cell r="G10">
            <v>0</v>
          </cell>
        </row>
        <row r="11">
          <cell r="C11">
            <v>0</v>
          </cell>
          <cell r="D11">
            <v>0</v>
          </cell>
          <cell r="F11">
            <v>0</v>
          </cell>
          <cell r="G11">
            <v>0</v>
          </cell>
        </row>
        <row r="12">
          <cell r="C12">
            <v>0</v>
          </cell>
          <cell r="D12">
            <v>0</v>
          </cell>
          <cell r="F12">
            <v>0</v>
          </cell>
          <cell r="G12">
            <v>0</v>
          </cell>
        </row>
        <row r="13">
          <cell r="C13">
            <v>0</v>
          </cell>
          <cell r="D13">
            <v>0</v>
          </cell>
          <cell r="F13">
            <v>0</v>
          </cell>
          <cell r="G13">
            <v>0</v>
          </cell>
        </row>
        <row r="14">
          <cell r="C14">
            <v>0</v>
          </cell>
          <cell r="D14">
            <v>0</v>
          </cell>
          <cell r="F14">
            <v>0</v>
          </cell>
          <cell r="G14">
            <v>0</v>
          </cell>
        </row>
        <row r="15">
          <cell r="C15">
            <v>0</v>
          </cell>
          <cell r="D15">
            <v>0</v>
          </cell>
          <cell r="F15">
            <v>0</v>
          </cell>
          <cell r="G15">
            <v>0</v>
          </cell>
        </row>
        <row r="16">
          <cell r="C16">
            <v>0</v>
          </cell>
          <cell r="D16">
            <v>0</v>
          </cell>
          <cell r="F16">
            <v>0</v>
          </cell>
          <cell r="G16">
            <v>0</v>
          </cell>
        </row>
        <row r="17">
          <cell r="C17">
            <v>0</v>
          </cell>
          <cell r="D17">
            <v>0</v>
          </cell>
          <cell r="F17">
            <v>0</v>
          </cell>
          <cell r="G17">
            <v>0</v>
          </cell>
        </row>
        <row r="18">
          <cell r="C18">
            <v>0</v>
          </cell>
          <cell r="D18">
            <v>0</v>
          </cell>
          <cell r="F18">
            <v>0</v>
          </cell>
          <cell r="G18">
            <v>0</v>
          </cell>
        </row>
        <row r="19">
          <cell r="C19">
            <v>0</v>
          </cell>
          <cell r="D19">
            <v>0</v>
          </cell>
          <cell r="F19">
            <v>0</v>
          </cell>
          <cell r="G19">
            <v>0</v>
          </cell>
        </row>
        <row r="20">
          <cell r="C20" t="str">
            <v>hDdf</v>
          </cell>
          <cell r="G20">
            <v>186934.35</v>
          </cell>
        </row>
        <row r="21">
          <cell r="C21" t="str">
            <v>pk/f]Qm sfdsf] nflu cfjZos kg]{ 80.100 lj^"dLg</v>
          </cell>
        </row>
        <row r="22">
          <cell r="C22" t="str">
            <v>(321*6.22)</v>
          </cell>
          <cell r="D22" t="str">
            <v>d]=^g</v>
          </cell>
          <cell r="E22">
            <v>1.996</v>
          </cell>
          <cell r="F22">
            <v>23.87</v>
          </cell>
          <cell r="G22">
            <v>47644.52</v>
          </cell>
        </row>
        <row r="23">
          <cell r="C23" t="str">
            <v>hDdf</v>
          </cell>
          <cell r="G23">
            <v>234578.87</v>
          </cell>
        </row>
        <row r="24">
          <cell r="C24" t="str">
            <v>d'=c=s= 10 k|ltzt</v>
          </cell>
          <cell r="G24">
            <v>23457.88</v>
          </cell>
        </row>
        <row r="25">
          <cell r="C25" t="str">
            <v>sG^]gh]G;L 5 k|ltzt</v>
          </cell>
          <cell r="G25">
            <v>11728.94</v>
          </cell>
        </row>
        <row r="26">
          <cell r="C26" t="str">
            <v>s'n hDdf</v>
          </cell>
          <cell r="G26">
            <v>269765.69</v>
          </cell>
        </row>
      </sheetData>
      <sheetData sheetId="1"/>
      <sheetData sheetId="2"/>
      <sheetData sheetId="3" refreshError="1"/>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_Rate-071-72"/>
      <sheetName val="District Rate 071-72"/>
      <sheetName val="Basic_Rate 071-72"/>
      <sheetName val="EW Machine"/>
      <sheetName val="Steel"/>
      <sheetName val="aoc block-median"/>
      <sheetName val="detail block median"/>
      <sheetName val="aoc block-greenbelt"/>
      <sheetName val="detail block greenbelt"/>
      <sheetName val="aoc-catchpit-RCC"/>
      <sheetName val="aoc-manhole-brick"/>
      <sheetName val="Detail-manhole-brick"/>
      <sheetName val="aoc-manhole-rcc"/>
      <sheetName val="Detail-manhole-rcc "/>
      <sheetName val="Sheet1"/>
    </sheetNames>
    <sheetDataSet>
      <sheetData sheetId="0"/>
      <sheetData sheetId="1">
        <row r="26">
          <cell r="D26">
            <v>1975.68</v>
          </cell>
        </row>
        <row r="32">
          <cell r="D32">
            <v>14860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aoc"/>
      <sheetName val="4summary"/>
      <sheetName val="4boq"/>
      <sheetName val="aoc"/>
      <sheetName val="summary"/>
    </sheetNames>
    <sheetDataSet>
      <sheetData sheetId="0"/>
      <sheetData sheetId="1"/>
      <sheetData sheetId="2"/>
      <sheetData sheetId="3" refreshError="1"/>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tract of Cost"/>
      <sheetName val="Measurement"/>
      <sheetName val="RD-CutFill"/>
      <sheetName val="RD-MWRET"/>
      <sheetName val="Drain"/>
      <sheetName val="Rates"/>
      <sheetName val="Summary of Rates"/>
      <sheetName val="Rate Analysis"/>
      <sheetName val="Bar bending"/>
      <sheetName val="BoQ"/>
    </sheetNames>
    <sheetDataSet>
      <sheetData sheetId="0" refreshError="1"/>
      <sheetData sheetId="1" refreshError="1"/>
      <sheetData sheetId="2" refreshError="1"/>
      <sheetData sheetId="3" refreshError="1"/>
      <sheetData sheetId="4" refreshError="1"/>
      <sheetData sheetId="5">
        <row r="3">
          <cell r="D3">
            <v>120</v>
          </cell>
        </row>
      </sheetData>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aoc"/>
      <sheetName val="4summary"/>
      <sheetName val="4boq"/>
      <sheetName val="aoc"/>
      <sheetName val="summary"/>
    </sheetNames>
    <sheetDataSet>
      <sheetData sheetId="0">
        <row r="1">
          <cell r="C1" t="str">
            <v>sfnf]kq]</v>
          </cell>
          <cell r="D1" t="str">
            <v>&amp;]=g+=M</v>
          </cell>
          <cell r="E1" t="str">
            <v>4.059.60</v>
          </cell>
          <cell r="F1" t="str">
            <v>cf=j=M</v>
          </cell>
          <cell r="G1" t="str">
            <v>059.60</v>
          </cell>
        </row>
        <row r="2">
          <cell r="B2" t="str">
            <v>a</v>
          </cell>
          <cell r="C2" t="str">
            <v>l;kmn kfgL ^\of+sL cf]/fnf] ;*s</v>
          </cell>
          <cell r="D2" t="str">
            <v>&amp;]=;'=g+=M</v>
          </cell>
          <cell r="E2" t="str">
            <v>3.059.60</v>
          </cell>
        </row>
        <row r="3">
          <cell r="B3" t="str">
            <v>sf]8</v>
          </cell>
          <cell r="C3" t="str">
            <v>sfo{ laj/0f</v>
          </cell>
          <cell r="D3" t="str">
            <v>OsfO{</v>
          </cell>
          <cell r="E3" t="str">
            <v>kl/df0f</v>
          </cell>
          <cell r="F3" t="str">
            <v>b/</v>
          </cell>
          <cell r="G3" t="str">
            <v>/sd</v>
          </cell>
        </row>
        <row r="4">
          <cell r="B4" t="str">
            <v>e1</v>
          </cell>
          <cell r="C4" t="str">
            <v>10 ;]=ld= ux/fO{ ;Dd ;fdfGo df^f]df df^f] sf^L ;ju|]* tof/ ug{] sfd 10 ld= ("jfgL / kG%fpGg] ;d]t .</v>
          </cell>
          <cell r="D4" t="str">
            <v>a=dL=</v>
          </cell>
          <cell r="E4">
            <v>321</v>
          </cell>
          <cell r="F4">
            <v>15.18</v>
          </cell>
          <cell r="G4">
            <v>4872.78</v>
          </cell>
        </row>
        <row r="5">
          <cell r="B5" t="str">
            <v>e10</v>
          </cell>
          <cell r="C5" t="str">
            <v>10 ;]=ld= &amp;f]; df]^fO{df jfn"jf ldl;Psf] u|fe]nsf] ;jj]; cf]%\ofpg] sfd dfn ;fdfg nf]* ug{], n}hfg], ;tx ldnfpg] 10 ld=;Dd ("jfgL ug]{ cfbL sfd ;d]t .</v>
          </cell>
          <cell r="D5" t="str">
            <v>a=dL=</v>
          </cell>
          <cell r="E5">
            <v>321</v>
          </cell>
          <cell r="F5">
            <v>136.97999999999999</v>
          </cell>
          <cell r="G5">
            <v>43970.58</v>
          </cell>
        </row>
        <row r="6">
          <cell r="B6" t="str">
            <v>e14</v>
          </cell>
          <cell r="C6" t="str">
            <v>10 ;]=ld= &amp;f]; df]^fO{df s"^]sf] ("+ufdf w"nf] ldnfO{ -:^f]g *:^ j)* d]sf*d sf];{_ cf]%\ofpg] sfd /f]*fnfO{ txdf ldnfO{ (+ufsf] w"nf] km}nfpg] sfd ;d]t .</v>
          </cell>
          <cell r="D6" t="str">
            <v>a=dL=</v>
          </cell>
          <cell r="E6">
            <v>321</v>
          </cell>
          <cell r="F6">
            <v>186.61</v>
          </cell>
          <cell r="G6">
            <v>59901.81</v>
          </cell>
        </row>
        <row r="7">
          <cell r="B7" t="str">
            <v>f54</v>
          </cell>
          <cell r="C7" t="str">
            <v>5 ;]=ld= df]^fO{df ;]dLu|fp^Lé ug{] sfd -lj^"dLg jfx]s_</v>
          </cell>
          <cell r="D7" t="str">
            <v>j=dL=</v>
          </cell>
          <cell r="E7">
            <v>321</v>
          </cell>
          <cell r="F7">
            <v>141.56</v>
          </cell>
          <cell r="G7">
            <v>45440.76</v>
          </cell>
        </row>
        <row r="8">
          <cell r="B8" t="str">
            <v>f40</v>
          </cell>
          <cell r="C8" t="str">
            <v>a];sf];{-;tx_ dfly dfn ;fdfg pknJw u/L ^]s sf]^ nufpg] sfd . -dl§t]njf^ df; js{||_ -lj^"dLg jfx]s_</v>
          </cell>
          <cell r="D8" t="str">
            <v>j=dL=</v>
          </cell>
          <cell r="E8">
            <v>321</v>
          </cell>
          <cell r="F8">
            <v>15.64</v>
          </cell>
          <cell r="G8">
            <v>5020.4399999999996</v>
          </cell>
        </row>
        <row r="9">
          <cell r="B9" t="str">
            <v>f34</v>
          </cell>
          <cell r="C9" t="str">
            <v>20 ld=ld= df]^fO{sf lk|ldS; sfk{]^ ug{] sfd sDk]S;g ;d]t -bfp/fjf^ df; js{ tyf :^LnJxLn /f]n/ dfq k|of]u u/L_ -lj^"dLg jfx]s_</v>
          </cell>
          <cell r="D9" t="str">
            <v>j=dL=</v>
          </cell>
          <cell r="E9">
            <v>321</v>
          </cell>
          <cell r="F9">
            <v>86.38</v>
          </cell>
          <cell r="G9">
            <v>27727.98</v>
          </cell>
        </row>
        <row r="10">
          <cell r="C10">
            <v>0</v>
          </cell>
          <cell r="D10">
            <v>0</v>
          </cell>
          <cell r="F10">
            <v>0</v>
          </cell>
          <cell r="G10">
            <v>0</v>
          </cell>
        </row>
        <row r="11">
          <cell r="C11">
            <v>0</v>
          </cell>
          <cell r="D11">
            <v>0</v>
          </cell>
          <cell r="F11">
            <v>0</v>
          </cell>
          <cell r="G11">
            <v>0</v>
          </cell>
        </row>
        <row r="12">
          <cell r="C12">
            <v>0</v>
          </cell>
          <cell r="D12">
            <v>0</v>
          </cell>
          <cell r="F12">
            <v>0</v>
          </cell>
          <cell r="G12">
            <v>0</v>
          </cell>
        </row>
        <row r="13">
          <cell r="C13">
            <v>0</v>
          </cell>
          <cell r="D13">
            <v>0</v>
          </cell>
          <cell r="F13">
            <v>0</v>
          </cell>
          <cell r="G13">
            <v>0</v>
          </cell>
        </row>
        <row r="14">
          <cell r="C14">
            <v>0</v>
          </cell>
          <cell r="D14">
            <v>0</v>
          </cell>
          <cell r="F14">
            <v>0</v>
          </cell>
          <cell r="G14">
            <v>0</v>
          </cell>
        </row>
        <row r="15">
          <cell r="C15">
            <v>0</v>
          </cell>
          <cell r="D15">
            <v>0</v>
          </cell>
          <cell r="F15">
            <v>0</v>
          </cell>
          <cell r="G15">
            <v>0</v>
          </cell>
        </row>
        <row r="16">
          <cell r="C16">
            <v>0</v>
          </cell>
          <cell r="D16">
            <v>0</v>
          </cell>
          <cell r="F16">
            <v>0</v>
          </cell>
          <cell r="G16">
            <v>0</v>
          </cell>
        </row>
        <row r="17">
          <cell r="C17">
            <v>0</v>
          </cell>
          <cell r="D17">
            <v>0</v>
          </cell>
          <cell r="F17">
            <v>0</v>
          </cell>
          <cell r="G17">
            <v>0</v>
          </cell>
        </row>
        <row r="18">
          <cell r="C18">
            <v>0</v>
          </cell>
          <cell r="D18">
            <v>0</v>
          </cell>
          <cell r="F18">
            <v>0</v>
          </cell>
          <cell r="G18">
            <v>0</v>
          </cell>
        </row>
        <row r="19">
          <cell r="C19">
            <v>0</v>
          </cell>
          <cell r="D19">
            <v>0</v>
          </cell>
          <cell r="F19">
            <v>0</v>
          </cell>
          <cell r="G19">
            <v>0</v>
          </cell>
        </row>
        <row r="20">
          <cell r="C20" t="str">
            <v>hDdf</v>
          </cell>
          <cell r="G20">
            <v>186934.35</v>
          </cell>
        </row>
        <row r="21">
          <cell r="C21" t="str">
            <v>pk/f]Qm sfdsf] nflu cfjZos kg]{ 80.100 lj^"dLg</v>
          </cell>
        </row>
        <row r="22">
          <cell r="C22" t="str">
            <v>(321*6.22)</v>
          </cell>
          <cell r="D22" t="str">
            <v>d]=^g</v>
          </cell>
          <cell r="E22">
            <v>1.996</v>
          </cell>
          <cell r="F22">
            <v>23.87</v>
          </cell>
          <cell r="G22">
            <v>47644.52</v>
          </cell>
        </row>
        <row r="23">
          <cell r="C23" t="str">
            <v>hDdf</v>
          </cell>
          <cell r="G23">
            <v>234578.87</v>
          </cell>
        </row>
        <row r="24">
          <cell r="C24" t="str">
            <v>d'=c=s= 10 k|ltzt</v>
          </cell>
          <cell r="G24">
            <v>23457.88</v>
          </cell>
        </row>
        <row r="25">
          <cell r="C25" t="str">
            <v>sG^]gh]G;L 5 k|ltzt</v>
          </cell>
          <cell r="G25">
            <v>11728.94</v>
          </cell>
        </row>
        <row r="26">
          <cell r="C26" t="str">
            <v>s'n hDdf</v>
          </cell>
          <cell r="G26">
            <v>269765.69</v>
          </cell>
        </row>
        <row r="27">
          <cell r="C27" t="str">
            <v>sfnf]kq]</v>
          </cell>
          <cell r="D27" t="str">
            <v>&amp;]=g+=M</v>
          </cell>
          <cell r="E27" t="str">
            <v>7.059.60</v>
          </cell>
          <cell r="F27" t="str">
            <v>cf=j=M</v>
          </cell>
          <cell r="G27" t="str">
            <v>059.60</v>
          </cell>
        </row>
        <row r="28">
          <cell r="D28" t="str">
            <v>&amp;]=;'=g+=M</v>
          </cell>
          <cell r="E28" t="str">
            <v>3.059.60</v>
          </cell>
        </row>
        <row r="29">
          <cell r="B29" t="str">
            <v>Code</v>
          </cell>
          <cell r="C29" t="str">
            <v>sfo{ laj/0f</v>
          </cell>
          <cell r="D29" t="str">
            <v>PsfO{</v>
          </cell>
          <cell r="E29" t="str">
            <v>kl/df0f</v>
          </cell>
          <cell r="F29" t="str">
            <v>b/</v>
          </cell>
          <cell r="G29" t="str">
            <v>/sd</v>
          </cell>
        </row>
        <row r="30">
          <cell r="C30">
            <v>0</v>
          </cell>
          <cell r="D30">
            <v>0</v>
          </cell>
          <cell r="F30">
            <v>0</v>
          </cell>
          <cell r="G30">
            <v>0</v>
          </cell>
        </row>
        <row r="31">
          <cell r="C31">
            <v>0</v>
          </cell>
          <cell r="D31">
            <v>0</v>
          </cell>
          <cell r="F31">
            <v>0</v>
          </cell>
          <cell r="G31">
            <v>0</v>
          </cell>
        </row>
        <row r="32">
          <cell r="C32">
            <v>0</v>
          </cell>
          <cell r="D32">
            <v>0</v>
          </cell>
          <cell r="F32">
            <v>0</v>
          </cell>
          <cell r="G32">
            <v>0</v>
          </cell>
        </row>
        <row r="33">
          <cell r="C33">
            <v>0</v>
          </cell>
          <cell r="D33">
            <v>0</v>
          </cell>
          <cell r="F33">
            <v>0</v>
          </cell>
          <cell r="G33">
            <v>0</v>
          </cell>
        </row>
        <row r="34">
          <cell r="C34">
            <v>0</v>
          </cell>
          <cell r="D34">
            <v>0</v>
          </cell>
          <cell r="F34">
            <v>0</v>
          </cell>
          <cell r="G34">
            <v>0</v>
          </cell>
        </row>
        <row r="35">
          <cell r="C35">
            <v>0</v>
          </cell>
          <cell r="D35">
            <v>0</v>
          </cell>
          <cell r="F35">
            <v>0</v>
          </cell>
          <cell r="G35">
            <v>0</v>
          </cell>
        </row>
        <row r="36">
          <cell r="C36">
            <v>0</v>
          </cell>
          <cell r="D36">
            <v>0</v>
          </cell>
          <cell r="F36">
            <v>0</v>
          </cell>
          <cell r="G36">
            <v>0</v>
          </cell>
        </row>
        <row r="37">
          <cell r="C37">
            <v>0</v>
          </cell>
          <cell r="D37">
            <v>0</v>
          </cell>
          <cell r="F37">
            <v>0</v>
          </cell>
          <cell r="G37">
            <v>0</v>
          </cell>
        </row>
        <row r="38">
          <cell r="C38">
            <v>0</v>
          </cell>
          <cell r="D38">
            <v>0</v>
          </cell>
          <cell r="F38">
            <v>0</v>
          </cell>
          <cell r="G38">
            <v>0</v>
          </cell>
        </row>
        <row r="39">
          <cell r="C39">
            <v>0</v>
          </cell>
          <cell r="D39">
            <v>0</v>
          </cell>
          <cell r="F39">
            <v>0</v>
          </cell>
          <cell r="G39">
            <v>0</v>
          </cell>
        </row>
        <row r="40">
          <cell r="C40">
            <v>0</v>
          </cell>
          <cell r="D40">
            <v>0</v>
          </cell>
          <cell r="F40">
            <v>0</v>
          </cell>
          <cell r="G40">
            <v>0</v>
          </cell>
        </row>
        <row r="41">
          <cell r="C41">
            <v>0</v>
          </cell>
          <cell r="D41">
            <v>0</v>
          </cell>
          <cell r="F41">
            <v>0</v>
          </cell>
          <cell r="G41">
            <v>0</v>
          </cell>
        </row>
        <row r="42">
          <cell r="C42">
            <v>0</v>
          </cell>
          <cell r="D42">
            <v>0</v>
          </cell>
          <cell r="F42">
            <v>0</v>
          </cell>
          <cell r="G42">
            <v>0</v>
          </cell>
        </row>
        <row r="43">
          <cell r="C43">
            <v>0</v>
          </cell>
          <cell r="D43">
            <v>0</v>
          </cell>
          <cell r="F43">
            <v>0</v>
          </cell>
          <cell r="G43">
            <v>0</v>
          </cell>
        </row>
        <row r="44">
          <cell r="C44">
            <v>0</v>
          </cell>
          <cell r="D44">
            <v>0</v>
          </cell>
          <cell r="F44">
            <v>0</v>
          </cell>
          <cell r="G44">
            <v>0</v>
          </cell>
        </row>
        <row r="45">
          <cell r="C45" t="str">
            <v>hDdf</v>
          </cell>
          <cell r="G45">
            <v>0</v>
          </cell>
        </row>
        <row r="46">
          <cell r="C46" t="str">
            <v>pk/f]Qm sfdsf] nflu cfjZos kg]{ 80.100 lj^"dLg</v>
          </cell>
        </row>
        <row r="47">
          <cell r="C47" t="str">
            <v>(220*6.795)</v>
          </cell>
          <cell r="D47" t="str">
            <v>d]=^g</v>
          </cell>
          <cell r="E47">
            <v>1.494</v>
          </cell>
          <cell r="F47">
            <v>23.87</v>
          </cell>
          <cell r="G47">
            <v>35660</v>
          </cell>
        </row>
        <row r="48">
          <cell r="C48" t="str">
            <v>hDdf</v>
          </cell>
          <cell r="G48">
            <v>35660</v>
          </cell>
        </row>
        <row r="49">
          <cell r="C49" t="str">
            <v>d'=c=s= 10 k|ltzt</v>
          </cell>
          <cell r="G49">
            <v>3566</v>
          </cell>
        </row>
        <row r="50">
          <cell r="C50" t="str">
            <v>sG^]gh]G;L 5 k|ltzt</v>
          </cell>
          <cell r="G50">
            <v>1783</v>
          </cell>
        </row>
        <row r="51">
          <cell r="C51" t="str">
            <v>s'n hDdf</v>
          </cell>
          <cell r="G51">
            <v>41009</v>
          </cell>
        </row>
        <row r="52">
          <cell r="C52" t="str">
            <v>sfnf]kq]</v>
          </cell>
          <cell r="D52" t="str">
            <v>&amp;]=g+=M</v>
          </cell>
          <cell r="E52" t="str">
            <v>7.059.60</v>
          </cell>
          <cell r="F52" t="str">
            <v>cf=j=M</v>
          </cell>
          <cell r="G52" t="str">
            <v>059.60</v>
          </cell>
        </row>
        <row r="53">
          <cell r="D53" t="str">
            <v>&amp;]=;'=g+=M</v>
          </cell>
          <cell r="E53" t="str">
            <v>3.059.60</v>
          </cell>
        </row>
        <row r="54">
          <cell r="B54" t="str">
            <v>Code</v>
          </cell>
          <cell r="C54" t="str">
            <v>sfo{ laj/0f</v>
          </cell>
          <cell r="D54" t="str">
            <v>PsfO{</v>
          </cell>
          <cell r="E54" t="str">
            <v>kl/df0f</v>
          </cell>
          <cell r="F54" t="str">
            <v>b/</v>
          </cell>
          <cell r="G54" t="str">
            <v>/sd</v>
          </cell>
        </row>
        <row r="55">
          <cell r="C55">
            <v>0</v>
          </cell>
          <cell r="D55">
            <v>0</v>
          </cell>
          <cell r="F55">
            <v>0</v>
          </cell>
          <cell r="G55">
            <v>0</v>
          </cell>
        </row>
        <row r="56">
          <cell r="C56">
            <v>0</v>
          </cell>
          <cell r="D56">
            <v>0</v>
          </cell>
          <cell r="F56">
            <v>0</v>
          </cell>
          <cell r="G56">
            <v>0</v>
          </cell>
        </row>
        <row r="57">
          <cell r="C57">
            <v>0</v>
          </cell>
          <cell r="D57">
            <v>0</v>
          </cell>
          <cell r="F57">
            <v>0</v>
          </cell>
          <cell r="G57">
            <v>0</v>
          </cell>
        </row>
        <row r="58">
          <cell r="C58">
            <v>0</v>
          </cell>
          <cell r="D58">
            <v>0</v>
          </cell>
          <cell r="F58">
            <v>0</v>
          </cell>
          <cell r="G58">
            <v>0</v>
          </cell>
        </row>
        <row r="59">
          <cell r="C59">
            <v>0</v>
          </cell>
          <cell r="D59">
            <v>0</v>
          </cell>
          <cell r="F59">
            <v>0</v>
          </cell>
          <cell r="G59">
            <v>0</v>
          </cell>
        </row>
        <row r="60">
          <cell r="C60">
            <v>0</v>
          </cell>
          <cell r="D60">
            <v>0</v>
          </cell>
          <cell r="F60">
            <v>0</v>
          </cell>
          <cell r="G60">
            <v>0</v>
          </cell>
        </row>
        <row r="61">
          <cell r="C61">
            <v>0</v>
          </cell>
          <cell r="D61">
            <v>0</v>
          </cell>
          <cell r="F61">
            <v>0</v>
          </cell>
          <cell r="G61">
            <v>0</v>
          </cell>
        </row>
        <row r="62">
          <cell r="C62">
            <v>0</v>
          </cell>
          <cell r="D62">
            <v>0</v>
          </cell>
          <cell r="F62">
            <v>0</v>
          </cell>
          <cell r="G62">
            <v>0</v>
          </cell>
        </row>
        <row r="63">
          <cell r="C63">
            <v>0</v>
          </cell>
          <cell r="D63">
            <v>0</v>
          </cell>
          <cell r="F63">
            <v>0</v>
          </cell>
          <cell r="G63">
            <v>0</v>
          </cell>
        </row>
        <row r="64">
          <cell r="C64">
            <v>0</v>
          </cell>
          <cell r="D64">
            <v>0</v>
          </cell>
          <cell r="F64">
            <v>0</v>
          </cell>
          <cell r="G64">
            <v>0</v>
          </cell>
        </row>
        <row r="65">
          <cell r="C65">
            <v>0</v>
          </cell>
          <cell r="D65">
            <v>0</v>
          </cell>
          <cell r="F65">
            <v>0</v>
          </cell>
          <cell r="G65">
            <v>0</v>
          </cell>
        </row>
        <row r="66">
          <cell r="C66">
            <v>0</v>
          </cell>
          <cell r="D66">
            <v>0</v>
          </cell>
          <cell r="F66">
            <v>0</v>
          </cell>
          <cell r="G66">
            <v>0</v>
          </cell>
        </row>
        <row r="67">
          <cell r="C67">
            <v>0</v>
          </cell>
          <cell r="D67">
            <v>0</v>
          </cell>
          <cell r="F67">
            <v>0</v>
          </cell>
          <cell r="G67">
            <v>0</v>
          </cell>
        </row>
        <row r="68">
          <cell r="C68">
            <v>0</v>
          </cell>
          <cell r="D68">
            <v>0</v>
          </cell>
          <cell r="F68">
            <v>0</v>
          </cell>
          <cell r="G68">
            <v>0</v>
          </cell>
        </row>
        <row r="69">
          <cell r="C69">
            <v>0</v>
          </cell>
          <cell r="D69">
            <v>0</v>
          </cell>
          <cell r="F69">
            <v>0</v>
          </cell>
          <cell r="G69">
            <v>0</v>
          </cell>
        </row>
        <row r="70">
          <cell r="C70" t="str">
            <v>hDdf</v>
          </cell>
          <cell r="G70">
            <v>0</v>
          </cell>
        </row>
        <row r="71">
          <cell r="C71" t="str">
            <v>pk/f]Qm sfdsf] nflu cfjZos kg]{ 80.100 lj^"dLg</v>
          </cell>
        </row>
        <row r="72">
          <cell r="C72" t="str">
            <v>(1204.18*6.26)</v>
          </cell>
          <cell r="D72" t="str">
            <v>d]=^g</v>
          </cell>
          <cell r="E72">
            <v>7.5380000000000003</v>
          </cell>
          <cell r="F72">
            <v>23.87</v>
          </cell>
          <cell r="G72">
            <v>179930</v>
          </cell>
        </row>
        <row r="73">
          <cell r="C73" t="str">
            <v>hDdf</v>
          </cell>
          <cell r="G73">
            <v>179930</v>
          </cell>
        </row>
        <row r="74">
          <cell r="C74" t="str">
            <v>d'=c=s= 10 k|ltzt</v>
          </cell>
          <cell r="G74">
            <v>17993</v>
          </cell>
        </row>
        <row r="75">
          <cell r="C75" t="str">
            <v>sG^]gh]G;L 5 k|ltzt</v>
          </cell>
          <cell r="G75">
            <v>8996.5</v>
          </cell>
        </row>
        <row r="76">
          <cell r="C76" t="str">
            <v>s'n hDdf</v>
          </cell>
          <cell r="G76">
            <v>206919.5</v>
          </cell>
        </row>
      </sheetData>
      <sheetData sheetId="1"/>
      <sheetData sheetId="2"/>
      <sheetData sheetId="3" refreshError="1"/>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oQ"/>
      <sheetName val="Abstract"/>
      <sheetName val="Detailed"/>
      <sheetName val="steel quantity"/>
      <sheetName val="Summary of Rates"/>
      <sheetName val="Rates"/>
      <sheetName val="Rate Analysis"/>
    </sheetNames>
    <sheetDataSet>
      <sheetData sheetId="0"/>
      <sheetData sheetId="1"/>
      <sheetData sheetId="2"/>
      <sheetData sheetId="3"/>
      <sheetData sheetId="4"/>
      <sheetData sheetId="5"/>
      <sheetData sheetId="6">
        <row r="95">
          <cell r="D95">
            <v>550</v>
          </cell>
        </row>
      </sheetData>
      <sheetData sheetId="7"/>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sheetName val="Collection"/>
      <sheetName val="transportation kk"/>
      <sheetName val="Rate Analysis"/>
      <sheetName val="Summary of rates"/>
    </sheetNames>
    <sheetDataSet>
      <sheetData sheetId="0">
        <row r="41">
          <cell r="N41">
            <v>68</v>
          </cell>
        </row>
      </sheetData>
      <sheetData sheetId="1"/>
      <sheetData sheetId="2"/>
      <sheetData sheetId="3"/>
      <sheetData sheetId="4"/>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ate "/>
      <sheetName val="machine"/>
      <sheetName val="manual"/>
      <sheetName val="slides"/>
    </sheetNames>
    <sheetDataSet>
      <sheetData sheetId="0"/>
      <sheetData sheetId="1"/>
      <sheetData sheetId="2">
        <row r="6">
          <cell r="J6">
            <v>93.12</v>
          </cell>
        </row>
        <row r="7">
          <cell r="R7">
            <v>475</v>
          </cell>
        </row>
      </sheetData>
      <sheetData sheetId="3"/>
      <sheetData sheetId="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oc"/>
      <sheetName val="summary"/>
      <sheetName val="4aoc"/>
      <sheetName val="4summary"/>
      <sheetName val="4boq"/>
      <sheetName val="District Rate"/>
      <sheetName val="Rate summary"/>
    </sheetNames>
    <sheetDataSet>
      <sheetData sheetId="0" refreshError="1"/>
      <sheetData sheetId="1"/>
      <sheetData sheetId="2" refreshError="1"/>
      <sheetData sheetId="3"/>
      <sheetData sheetId="4"/>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oc"/>
      <sheetName val="summary"/>
      <sheetName val="4aoc"/>
      <sheetName val="4summary"/>
      <sheetName val="4boq"/>
    </sheetNames>
    <sheetDataSet>
      <sheetData sheetId="0" refreshError="1"/>
      <sheetData sheetId="1" refreshError="1"/>
      <sheetData sheetId="2" refreshError="1">
        <row r="1">
          <cell r="C1" t="str">
            <v>sfnf]kq]</v>
          </cell>
          <cell r="D1" t="str">
            <v>&amp;]=g+=M</v>
          </cell>
          <cell r="E1" t="str">
            <v>4.059.60</v>
          </cell>
          <cell r="F1" t="str">
            <v>cf=j=M</v>
          </cell>
          <cell r="G1" t="str">
            <v>059.60</v>
          </cell>
        </row>
        <row r="2">
          <cell r="B2" t="str">
            <v>a</v>
          </cell>
          <cell r="C2" t="str">
            <v>l;kmn kfgL ^\of+sL cf]/fnf] ;*s</v>
          </cell>
          <cell r="D2" t="str">
            <v>&amp;]=;'=g+=M</v>
          </cell>
          <cell r="E2" t="str">
            <v>3.059.60</v>
          </cell>
        </row>
        <row r="3">
          <cell r="B3" t="str">
            <v>sf]8</v>
          </cell>
          <cell r="C3" t="str">
            <v>sfo{ laj/0f</v>
          </cell>
          <cell r="D3" t="str">
            <v>OsfO{</v>
          </cell>
          <cell r="E3" t="str">
            <v>kl/df0f</v>
          </cell>
          <cell r="F3" t="str">
            <v>b/</v>
          </cell>
          <cell r="G3" t="str">
            <v>/sd</v>
          </cell>
        </row>
        <row r="4">
          <cell r="B4" t="str">
            <v>e1</v>
          </cell>
          <cell r="C4" t="str">
            <v>10 ;]=ld= ux/fO{ ;Dd ;fdfGo df^f]df df^f] sf^L ;ju|]* tof/ ug{] sfd 10 ld= ("jfgL / kG%fpGg] ;d]t .</v>
          </cell>
          <cell r="D4" t="str">
            <v>a=dL=</v>
          </cell>
          <cell r="E4">
            <v>321</v>
          </cell>
          <cell r="F4">
            <v>15.18</v>
          </cell>
          <cell r="G4">
            <v>4872.78</v>
          </cell>
        </row>
        <row r="5">
          <cell r="B5" t="str">
            <v>e10</v>
          </cell>
          <cell r="C5" t="str">
            <v>10 ;]=ld= &amp;f]; df]^fO{df jfn"jf ldl;Psf] u|fe]nsf] ;jj]; cf]%\ofpg] sfd dfn ;fdfg nf]* ug{], n}hfg], ;tx ldnfpg] 10 ld=;Dd ("jfgL ug]{ cfbL sfd ;d]t .</v>
          </cell>
          <cell r="D5" t="str">
            <v>a=dL=</v>
          </cell>
          <cell r="E5">
            <v>321</v>
          </cell>
          <cell r="F5">
            <v>136.97999999999999</v>
          </cell>
          <cell r="G5">
            <v>43970.58</v>
          </cell>
        </row>
        <row r="6">
          <cell r="B6" t="str">
            <v>e14</v>
          </cell>
          <cell r="C6" t="str">
            <v>10 ;]=ld= &amp;f]; df]^fO{df s"^]sf] ("+ufdf w"nf] ldnfO{ -:^f]g *:^ j)* d]sf*d sf];{_ cf]%\ofpg] sfd /f]*fnfO{ txdf ldnfO{ (+ufsf] w"nf] km}nfpg] sfd ;d]t .</v>
          </cell>
          <cell r="D6" t="str">
            <v>a=dL=</v>
          </cell>
          <cell r="E6">
            <v>321</v>
          </cell>
          <cell r="F6">
            <v>186.61</v>
          </cell>
          <cell r="G6">
            <v>59901.81</v>
          </cell>
        </row>
        <row r="7">
          <cell r="B7" t="str">
            <v>f54</v>
          </cell>
          <cell r="C7" t="str">
            <v>5 ;]=ld= df]^fO{df ;]dLu|fp^Lé ug{] sfd -lj^"dLg jfx]s_</v>
          </cell>
          <cell r="D7" t="str">
            <v>j=dL=</v>
          </cell>
          <cell r="E7">
            <v>321</v>
          </cell>
          <cell r="F7">
            <v>141.56</v>
          </cell>
          <cell r="G7">
            <v>45440.76</v>
          </cell>
        </row>
        <row r="8">
          <cell r="B8" t="str">
            <v>f40</v>
          </cell>
          <cell r="C8" t="str">
            <v>a];sf];{-;tx_ dfly dfn ;fdfg pknJw u/L ^]s sf]^ nufpg] sfd . -dl§t]njf^ df; js{||_ -lj^"dLg jfx]s_</v>
          </cell>
          <cell r="D8" t="str">
            <v>j=dL=</v>
          </cell>
          <cell r="E8">
            <v>321</v>
          </cell>
          <cell r="F8">
            <v>15.64</v>
          </cell>
          <cell r="G8">
            <v>5020.4399999999996</v>
          </cell>
        </row>
        <row r="9">
          <cell r="B9" t="str">
            <v>f34</v>
          </cell>
          <cell r="C9" t="str">
            <v>20 ld=ld= df]^fO{sf lk|ldS; sfk{]^ ug{] sfd sDk]S;g ;d]t -bfp/fjf^ df; js{ tyf :^LnJxLn /f]n/ dfq k|of]u u/L_ -lj^"dLg jfx]s_</v>
          </cell>
          <cell r="D9" t="str">
            <v>j=dL=</v>
          </cell>
          <cell r="E9">
            <v>321</v>
          </cell>
          <cell r="F9">
            <v>86.38</v>
          </cell>
          <cell r="G9">
            <v>27727.98</v>
          </cell>
        </row>
        <row r="10">
          <cell r="C10">
            <v>0</v>
          </cell>
          <cell r="D10">
            <v>0</v>
          </cell>
          <cell r="F10">
            <v>0</v>
          </cell>
          <cell r="G10">
            <v>0</v>
          </cell>
        </row>
        <row r="11">
          <cell r="C11">
            <v>0</v>
          </cell>
          <cell r="D11">
            <v>0</v>
          </cell>
          <cell r="F11">
            <v>0</v>
          </cell>
          <cell r="G11">
            <v>0</v>
          </cell>
        </row>
        <row r="12">
          <cell r="C12">
            <v>0</v>
          </cell>
          <cell r="D12">
            <v>0</v>
          </cell>
          <cell r="F12">
            <v>0</v>
          </cell>
          <cell r="G12">
            <v>0</v>
          </cell>
        </row>
        <row r="13">
          <cell r="C13">
            <v>0</v>
          </cell>
          <cell r="D13">
            <v>0</v>
          </cell>
          <cell r="F13">
            <v>0</v>
          </cell>
          <cell r="G13">
            <v>0</v>
          </cell>
        </row>
        <row r="14">
          <cell r="C14">
            <v>0</v>
          </cell>
          <cell r="D14">
            <v>0</v>
          </cell>
          <cell r="F14">
            <v>0</v>
          </cell>
          <cell r="G14">
            <v>0</v>
          </cell>
        </row>
        <row r="15">
          <cell r="C15">
            <v>0</v>
          </cell>
          <cell r="D15">
            <v>0</v>
          </cell>
          <cell r="F15">
            <v>0</v>
          </cell>
          <cell r="G15">
            <v>0</v>
          </cell>
        </row>
        <row r="16">
          <cell r="C16">
            <v>0</v>
          </cell>
          <cell r="D16">
            <v>0</v>
          </cell>
          <cell r="F16">
            <v>0</v>
          </cell>
          <cell r="G16">
            <v>0</v>
          </cell>
        </row>
        <row r="17">
          <cell r="C17">
            <v>0</v>
          </cell>
          <cell r="D17">
            <v>0</v>
          </cell>
          <cell r="F17">
            <v>0</v>
          </cell>
          <cell r="G17">
            <v>0</v>
          </cell>
        </row>
        <row r="18">
          <cell r="C18">
            <v>0</v>
          </cell>
          <cell r="D18">
            <v>0</v>
          </cell>
          <cell r="F18">
            <v>0</v>
          </cell>
          <cell r="G18">
            <v>0</v>
          </cell>
        </row>
        <row r="19">
          <cell r="C19">
            <v>0</v>
          </cell>
          <cell r="D19">
            <v>0</v>
          </cell>
          <cell r="F19">
            <v>0</v>
          </cell>
          <cell r="G19">
            <v>0</v>
          </cell>
        </row>
        <row r="20">
          <cell r="C20" t="str">
            <v>hDdf</v>
          </cell>
          <cell r="G20">
            <v>186934.35</v>
          </cell>
        </row>
        <row r="21">
          <cell r="C21" t="str">
            <v>pk/f]Qm sfdsf] nflu cfjZos kg]{ 80.100 lj^"dLg</v>
          </cell>
        </row>
        <row r="22">
          <cell r="C22" t="str">
            <v>(321*6.22)</v>
          </cell>
          <cell r="D22" t="str">
            <v>d]=^g</v>
          </cell>
          <cell r="E22">
            <v>1.996</v>
          </cell>
          <cell r="F22">
            <v>23.87</v>
          </cell>
          <cell r="G22">
            <v>47644.52</v>
          </cell>
        </row>
        <row r="23">
          <cell r="C23" t="str">
            <v>hDdf</v>
          </cell>
          <cell r="G23">
            <v>234578.87</v>
          </cell>
        </row>
        <row r="24">
          <cell r="C24" t="str">
            <v>d'=c=s= 10 k|ltzt</v>
          </cell>
          <cell r="G24">
            <v>23457.88</v>
          </cell>
        </row>
        <row r="25">
          <cell r="C25" t="str">
            <v>sG^]gh]G;L 5 k|ltzt</v>
          </cell>
          <cell r="G25">
            <v>11728.94</v>
          </cell>
        </row>
        <row r="26">
          <cell r="C26" t="str">
            <v>s'n hDdf</v>
          </cell>
          <cell r="G26">
            <v>269765.69</v>
          </cell>
        </row>
        <row r="27">
          <cell r="C27" t="str">
            <v>sfnf]kq]</v>
          </cell>
          <cell r="D27" t="str">
            <v>&amp;]=g+=M</v>
          </cell>
          <cell r="E27" t="str">
            <v>7.059.60</v>
          </cell>
          <cell r="F27" t="str">
            <v>cf=j=M</v>
          </cell>
          <cell r="G27" t="str">
            <v>059.60</v>
          </cell>
        </row>
        <row r="28">
          <cell r="D28" t="str">
            <v>&amp;]=;'=g+=M</v>
          </cell>
          <cell r="E28" t="str">
            <v>3.059.60</v>
          </cell>
        </row>
        <row r="29">
          <cell r="B29" t="str">
            <v>Code</v>
          </cell>
          <cell r="C29" t="str">
            <v>sfo{ laj/0f</v>
          </cell>
          <cell r="D29" t="str">
            <v>PsfO{</v>
          </cell>
          <cell r="E29" t="str">
            <v>kl/df0f</v>
          </cell>
          <cell r="F29" t="str">
            <v>b/</v>
          </cell>
          <cell r="G29" t="str">
            <v>/sd</v>
          </cell>
        </row>
        <row r="30">
          <cell r="C30">
            <v>0</v>
          </cell>
          <cell r="D30">
            <v>0</v>
          </cell>
          <cell r="F30">
            <v>0</v>
          </cell>
          <cell r="G30">
            <v>0</v>
          </cell>
        </row>
        <row r="31">
          <cell r="C31">
            <v>0</v>
          </cell>
          <cell r="D31">
            <v>0</v>
          </cell>
          <cell r="F31">
            <v>0</v>
          </cell>
          <cell r="G31">
            <v>0</v>
          </cell>
        </row>
        <row r="32">
          <cell r="C32">
            <v>0</v>
          </cell>
          <cell r="D32">
            <v>0</v>
          </cell>
          <cell r="F32">
            <v>0</v>
          </cell>
          <cell r="G32">
            <v>0</v>
          </cell>
        </row>
        <row r="33">
          <cell r="C33">
            <v>0</v>
          </cell>
          <cell r="D33">
            <v>0</v>
          </cell>
          <cell r="F33">
            <v>0</v>
          </cell>
          <cell r="G33">
            <v>0</v>
          </cell>
        </row>
        <row r="34">
          <cell r="C34">
            <v>0</v>
          </cell>
          <cell r="D34">
            <v>0</v>
          </cell>
          <cell r="F34">
            <v>0</v>
          </cell>
          <cell r="G34">
            <v>0</v>
          </cell>
        </row>
        <row r="35">
          <cell r="C35">
            <v>0</v>
          </cell>
          <cell r="D35">
            <v>0</v>
          </cell>
          <cell r="F35">
            <v>0</v>
          </cell>
          <cell r="G35">
            <v>0</v>
          </cell>
        </row>
        <row r="36">
          <cell r="C36">
            <v>0</v>
          </cell>
          <cell r="D36">
            <v>0</v>
          </cell>
          <cell r="F36">
            <v>0</v>
          </cell>
          <cell r="G36">
            <v>0</v>
          </cell>
        </row>
        <row r="37">
          <cell r="C37">
            <v>0</v>
          </cell>
          <cell r="D37">
            <v>0</v>
          </cell>
          <cell r="F37">
            <v>0</v>
          </cell>
          <cell r="G37">
            <v>0</v>
          </cell>
        </row>
        <row r="38">
          <cell r="C38">
            <v>0</v>
          </cell>
          <cell r="D38">
            <v>0</v>
          </cell>
          <cell r="F38">
            <v>0</v>
          </cell>
          <cell r="G38">
            <v>0</v>
          </cell>
        </row>
        <row r="39">
          <cell r="C39">
            <v>0</v>
          </cell>
          <cell r="D39">
            <v>0</v>
          </cell>
          <cell r="F39">
            <v>0</v>
          </cell>
          <cell r="G39">
            <v>0</v>
          </cell>
        </row>
        <row r="40">
          <cell r="C40">
            <v>0</v>
          </cell>
          <cell r="D40">
            <v>0</v>
          </cell>
          <cell r="F40">
            <v>0</v>
          </cell>
          <cell r="G40">
            <v>0</v>
          </cell>
        </row>
        <row r="41">
          <cell r="C41">
            <v>0</v>
          </cell>
          <cell r="D41">
            <v>0</v>
          </cell>
          <cell r="F41">
            <v>0</v>
          </cell>
          <cell r="G41">
            <v>0</v>
          </cell>
        </row>
        <row r="42">
          <cell r="C42">
            <v>0</v>
          </cell>
          <cell r="D42">
            <v>0</v>
          </cell>
          <cell r="F42">
            <v>0</v>
          </cell>
          <cell r="G42">
            <v>0</v>
          </cell>
        </row>
        <row r="43">
          <cell r="C43">
            <v>0</v>
          </cell>
          <cell r="D43">
            <v>0</v>
          </cell>
          <cell r="F43">
            <v>0</v>
          </cell>
          <cell r="G43">
            <v>0</v>
          </cell>
        </row>
        <row r="44">
          <cell r="C44">
            <v>0</v>
          </cell>
          <cell r="D44">
            <v>0</v>
          </cell>
          <cell r="F44">
            <v>0</v>
          </cell>
          <cell r="G44">
            <v>0</v>
          </cell>
        </row>
        <row r="45">
          <cell r="C45" t="str">
            <v>hDdf</v>
          </cell>
          <cell r="G45">
            <v>0</v>
          </cell>
        </row>
        <row r="46">
          <cell r="C46" t="str">
            <v>pk/f]Qm sfdsf] nflu cfjZos kg]{ 80.100 lj^"dLg</v>
          </cell>
        </row>
        <row r="47">
          <cell r="C47" t="str">
            <v>(220*6.795)</v>
          </cell>
          <cell r="D47" t="str">
            <v>d]=^g</v>
          </cell>
          <cell r="E47">
            <v>1.494</v>
          </cell>
          <cell r="F47">
            <v>23.87</v>
          </cell>
          <cell r="G47">
            <v>35660</v>
          </cell>
        </row>
        <row r="48">
          <cell r="C48" t="str">
            <v>hDdf</v>
          </cell>
          <cell r="G48">
            <v>35660</v>
          </cell>
        </row>
        <row r="49">
          <cell r="C49" t="str">
            <v>d'=c=s= 10 k|ltzt</v>
          </cell>
          <cell r="G49">
            <v>3566</v>
          </cell>
        </row>
        <row r="50">
          <cell r="C50" t="str">
            <v>sG^]gh]G;L 5 k|ltzt</v>
          </cell>
          <cell r="G50">
            <v>1783</v>
          </cell>
        </row>
        <row r="51">
          <cell r="C51" t="str">
            <v>s'n hDdf</v>
          </cell>
          <cell r="G51">
            <v>41009</v>
          </cell>
        </row>
        <row r="52">
          <cell r="C52" t="str">
            <v>sfnf]kq]</v>
          </cell>
          <cell r="D52" t="str">
            <v>&amp;]=g+=M</v>
          </cell>
          <cell r="E52" t="str">
            <v>7.059.60</v>
          </cell>
          <cell r="F52" t="str">
            <v>cf=j=M</v>
          </cell>
          <cell r="G52" t="str">
            <v>059.60</v>
          </cell>
        </row>
        <row r="53">
          <cell r="D53" t="str">
            <v>&amp;]=;'=g+=M</v>
          </cell>
          <cell r="E53" t="str">
            <v>3.059.60</v>
          </cell>
        </row>
        <row r="54">
          <cell r="B54" t="str">
            <v>Code</v>
          </cell>
          <cell r="C54" t="str">
            <v>sfo{ laj/0f</v>
          </cell>
          <cell r="D54" t="str">
            <v>PsfO{</v>
          </cell>
          <cell r="E54" t="str">
            <v>kl/df0f</v>
          </cell>
          <cell r="F54" t="str">
            <v>b/</v>
          </cell>
          <cell r="G54" t="str">
            <v>/sd</v>
          </cell>
        </row>
        <row r="55">
          <cell r="C55">
            <v>0</v>
          </cell>
          <cell r="D55">
            <v>0</v>
          </cell>
          <cell r="F55">
            <v>0</v>
          </cell>
          <cell r="G55">
            <v>0</v>
          </cell>
        </row>
        <row r="56">
          <cell r="C56">
            <v>0</v>
          </cell>
          <cell r="D56">
            <v>0</v>
          </cell>
          <cell r="F56">
            <v>0</v>
          </cell>
          <cell r="G56">
            <v>0</v>
          </cell>
        </row>
        <row r="57">
          <cell r="C57">
            <v>0</v>
          </cell>
          <cell r="D57">
            <v>0</v>
          </cell>
          <cell r="F57">
            <v>0</v>
          </cell>
          <cell r="G57">
            <v>0</v>
          </cell>
        </row>
        <row r="58">
          <cell r="C58">
            <v>0</v>
          </cell>
          <cell r="D58">
            <v>0</v>
          </cell>
          <cell r="F58">
            <v>0</v>
          </cell>
          <cell r="G58">
            <v>0</v>
          </cell>
        </row>
        <row r="59">
          <cell r="C59">
            <v>0</v>
          </cell>
          <cell r="D59">
            <v>0</v>
          </cell>
          <cell r="F59">
            <v>0</v>
          </cell>
          <cell r="G59">
            <v>0</v>
          </cell>
        </row>
        <row r="60">
          <cell r="C60">
            <v>0</v>
          </cell>
          <cell r="D60">
            <v>0</v>
          </cell>
          <cell r="F60">
            <v>0</v>
          </cell>
          <cell r="G60">
            <v>0</v>
          </cell>
        </row>
        <row r="61">
          <cell r="C61">
            <v>0</v>
          </cell>
          <cell r="D61">
            <v>0</v>
          </cell>
          <cell r="F61">
            <v>0</v>
          </cell>
          <cell r="G61">
            <v>0</v>
          </cell>
        </row>
        <row r="62">
          <cell r="C62">
            <v>0</v>
          </cell>
          <cell r="D62">
            <v>0</v>
          </cell>
          <cell r="F62">
            <v>0</v>
          </cell>
          <cell r="G62">
            <v>0</v>
          </cell>
        </row>
        <row r="63">
          <cell r="C63">
            <v>0</v>
          </cell>
          <cell r="D63">
            <v>0</v>
          </cell>
          <cell r="F63">
            <v>0</v>
          </cell>
          <cell r="G63">
            <v>0</v>
          </cell>
        </row>
        <row r="64">
          <cell r="C64">
            <v>0</v>
          </cell>
          <cell r="D64">
            <v>0</v>
          </cell>
          <cell r="F64">
            <v>0</v>
          </cell>
          <cell r="G64">
            <v>0</v>
          </cell>
        </row>
        <row r="65">
          <cell r="C65">
            <v>0</v>
          </cell>
          <cell r="D65">
            <v>0</v>
          </cell>
          <cell r="F65">
            <v>0</v>
          </cell>
          <cell r="G65">
            <v>0</v>
          </cell>
        </row>
        <row r="66">
          <cell r="C66">
            <v>0</v>
          </cell>
          <cell r="D66">
            <v>0</v>
          </cell>
          <cell r="F66">
            <v>0</v>
          </cell>
          <cell r="G66">
            <v>0</v>
          </cell>
        </row>
        <row r="67">
          <cell r="C67">
            <v>0</v>
          </cell>
          <cell r="D67">
            <v>0</v>
          </cell>
          <cell r="F67">
            <v>0</v>
          </cell>
          <cell r="G67">
            <v>0</v>
          </cell>
        </row>
        <row r="68">
          <cell r="C68">
            <v>0</v>
          </cell>
          <cell r="D68">
            <v>0</v>
          </cell>
          <cell r="F68">
            <v>0</v>
          </cell>
          <cell r="G68">
            <v>0</v>
          </cell>
        </row>
        <row r="69">
          <cell r="C69">
            <v>0</v>
          </cell>
          <cell r="D69">
            <v>0</v>
          </cell>
          <cell r="F69">
            <v>0</v>
          </cell>
          <cell r="G69">
            <v>0</v>
          </cell>
        </row>
        <row r="70">
          <cell r="C70" t="str">
            <v>hDdf</v>
          </cell>
          <cell r="G70">
            <v>0</v>
          </cell>
        </row>
        <row r="71">
          <cell r="C71" t="str">
            <v>pk/f]Qm sfdsf] nflu cfjZos kg]{ 80.100 lj^"dLg</v>
          </cell>
        </row>
        <row r="72">
          <cell r="C72" t="str">
            <v>(1204.18*6.26)</v>
          </cell>
          <cell r="D72" t="str">
            <v>d]=^g</v>
          </cell>
          <cell r="E72">
            <v>7.5380000000000003</v>
          </cell>
          <cell r="F72">
            <v>23.87</v>
          </cell>
          <cell r="G72">
            <v>179930</v>
          </cell>
        </row>
        <row r="73">
          <cell r="C73" t="str">
            <v>hDdf</v>
          </cell>
          <cell r="G73">
            <v>179930</v>
          </cell>
        </row>
        <row r="74">
          <cell r="C74" t="str">
            <v>d'=c=s= 10 k|ltzt</v>
          </cell>
          <cell r="G74">
            <v>17993</v>
          </cell>
        </row>
        <row r="75">
          <cell r="C75" t="str">
            <v>sG^]gh]G;L 5 k|ltzt</v>
          </cell>
          <cell r="G75">
            <v>8996.5</v>
          </cell>
        </row>
        <row r="76">
          <cell r="C76" t="str">
            <v>s'n hDdf</v>
          </cell>
          <cell r="G76">
            <v>206919.5</v>
          </cell>
        </row>
      </sheetData>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f Rates"/>
      <sheetName val="Rates"/>
      <sheetName val="Rate Analysis"/>
    </sheetNames>
    <sheetDataSet>
      <sheetData sheetId="0"/>
      <sheetData sheetId="1">
        <row r="5">
          <cell r="D5">
            <v>225</v>
          </cell>
        </row>
      </sheetData>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DPE Pipe chart"/>
      <sheetName val="transportation"/>
      <sheetName val="Collection"/>
      <sheetName val="material rate"/>
      <sheetName val="cover page"/>
      <sheetName val="Final_Summary_Rate_2074-75"/>
      <sheetName val="Summary_Rate_2074-75"/>
      <sheetName val="sec_100"/>
      <sheetName val="Sec-200"/>
      <sheetName val="Sec-700"/>
      <sheetName val="sec-800"/>
      <sheetName val="Sec-900"/>
      <sheetName val="Sec-1000"/>
      <sheetName val="Sec-1200"/>
      <sheetName val="Sec-1300"/>
      <sheetName val="Sec-1400"/>
      <sheetName val="Sec-1500"/>
      <sheetName val="Sec-2000"/>
      <sheetName val="Sec-2200 "/>
      <sheetName val="Sec-2400"/>
      <sheetName val="Sec-2500"/>
      <sheetName val="Sec-2600"/>
      <sheetName val="Sec-2900"/>
      <sheetName val="Sec-3100"/>
      <sheetName val="Building norms"/>
      <sheetName val="calculation sheet"/>
      <sheetName val="transp data"/>
      <sheetName val="Final Summary of Rates"/>
      <sheetName val="Summary (Checklist)"/>
      <sheetName val="Rate analysis"/>
      <sheetName val="rate analysis add"/>
      <sheetName val="Addational-Bridge Rate analysis"/>
      <sheetName val="Sheet1"/>
      <sheetName val="DBM &amp;other"/>
      <sheetName val="Sheet3"/>
      <sheetName val="Sheet4"/>
      <sheetName val="Addational-Bridge Rate anal (2"/>
    </sheetNames>
    <sheetDataSet>
      <sheetData sheetId="0"/>
      <sheetData sheetId="1">
        <row r="8">
          <cell r="N8">
            <v>324.87</v>
          </cell>
        </row>
      </sheetData>
      <sheetData sheetId="2"/>
      <sheetData sheetId="3">
        <row r="4">
          <cell r="N4">
            <v>740</v>
          </cell>
        </row>
        <row r="5">
          <cell r="H5">
            <v>1700</v>
          </cell>
        </row>
        <row r="25">
          <cell r="H25">
            <v>158760</v>
          </cell>
        </row>
        <row r="27">
          <cell r="H27">
            <v>945</v>
          </cell>
        </row>
        <row r="29">
          <cell r="H29">
            <v>2200</v>
          </cell>
        </row>
        <row r="36">
          <cell r="H36">
            <v>85000</v>
          </cell>
        </row>
        <row r="38">
          <cell r="P38">
            <v>1200</v>
          </cell>
        </row>
        <row r="42">
          <cell r="H42">
            <v>95</v>
          </cell>
        </row>
        <row r="47">
          <cell r="H47">
            <v>3000</v>
          </cell>
        </row>
        <row r="48">
          <cell r="H48">
            <v>4600</v>
          </cell>
        </row>
        <row r="50">
          <cell r="P50">
            <v>1400</v>
          </cell>
        </row>
        <row r="52">
          <cell r="P52">
            <v>6810</v>
          </cell>
        </row>
        <row r="54">
          <cell r="P54">
            <v>440</v>
          </cell>
        </row>
        <row r="55">
          <cell r="P55">
            <v>130</v>
          </cell>
        </row>
        <row r="57">
          <cell r="P57">
            <v>400</v>
          </cell>
        </row>
        <row r="58">
          <cell r="P58">
            <v>260</v>
          </cell>
        </row>
        <row r="59">
          <cell r="P59">
            <v>1200</v>
          </cell>
        </row>
        <row r="60">
          <cell r="P60">
            <v>400</v>
          </cell>
        </row>
        <row r="61">
          <cell r="P61">
            <v>300</v>
          </cell>
        </row>
        <row r="67">
          <cell r="H67">
            <v>347</v>
          </cell>
        </row>
        <row r="68">
          <cell r="P68">
            <v>1430</v>
          </cell>
        </row>
        <row r="69">
          <cell r="H69">
            <v>319</v>
          </cell>
        </row>
        <row r="70">
          <cell r="P70">
            <v>3810</v>
          </cell>
        </row>
        <row r="71">
          <cell r="H71">
            <v>468.92</v>
          </cell>
        </row>
        <row r="72">
          <cell r="P72">
            <v>2800</v>
          </cell>
        </row>
        <row r="73">
          <cell r="P73">
            <v>3965</v>
          </cell>
        </row>
        <row r="74">
          <cell r="P74">
            <v>3810</v>
          </cell>
        </row>
        <row r="76">
          <cell r="H76">
            <v>1515</v>
          </cell>
          <cell r="P76">
            <v>3630</v>
          </cell>
        </row>
        <row r="77">
          <cell r="P77">
            <v>110</v>
          </cell>
        </row>
        <row r="78">
          <cell r="P78">
            <v>440</v>
          </cell>
        </row>
        <row r="95">
          <cell r="H95">
            <v>569.75</v>
          </cell>
        </row>
        <row r="101">
          <cell r="H101">
            <v>170</v>
          </cell>
        </row>
        <row r="102">
          <cell r="H102">
            <v>154</v>
          </cell>
        </row>
        <row r="103">
          <cell r="H103">
            <v>85.69</v>
          </cell>
        </row>
        <row r="106">
          <cell r="H106">
            <v>289</v>
          </cell>
        </row>
        <row r="132">
          <cell r="H132">
            <v>2120</v>
          </cell>
        </row>
        <row r="133">
          <cell r="H133">
            <v>2817</v>
          </cell>
        </row>
        <row r="134">
          <cell r="H134">
            <v>3997</v>
          </cell>
        </row>
        <row r="138">
          <cell r="H138">
            <v>83</v>
          </cell>
        </row>
        <row r="142">
          <cell r="H142">
            <v>250</v>
          </cell>
        </row>
        <row r="143">
          <cell r="H143">
            <v>15000</v>
          </cell>
        </row>
        <row r="144">
          <cell r="H144">
            <v>15.5</v>
          </cell>
        </row>
        <row r="145">
          <cell r="H145">
            <v>0.65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995">
          <cell r="F995">
            <v>5255.75</v>
          </cell>
        </row>
      </sheetData>
      <sheetData sheetId="30"/>
      <sheetData sheetId="31"/>
      <sheetData sheetId="32"/>
      <sheetData sheetId="33"/>
      <sheetData sheetId="34"/>
      <sheetData sheetId="35"/>
      <sheetData sheetId="3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tract for agreement"/>
      <sheetName val="Recurrent Estimate"/>
      <sheetName val="Data Input Sheet "/>
      <sheetName val="Rate analysis"/>
      <sheetName val="Summary Rate_new"/>
      <sheetName val="Material Collection"/>
      <sheetName val="Transport"/>
    </sheetNames>
    <sheetDataSet>
      <sheetData sheetId="0"/>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900"/>
      <sheetName val="cover page"/>
      <sheetName val="material rate (2)"/>
      <sheetName val="material rate"/>
      <sheetName val="Gabion MachineMade"/>
      <sheetName val="transportation"/>
      <sheetName val="Collection"/>
      <sheetName val="calculation sheet"/>
      <sheetName val="transp data"/>
      <sheetName val="Final Summary of Rates (2)"/>
      <sheetName val="Final Summary of Rates"/>
      <sheetName val="Summary (Checklist)"/>
      <sheetName val="Rate analysis"/>
      <sheetName val="manhole"/>
      <sheetName val="TRP"/>
      <sheetName val="bistar"/>
      <sheetName val="rate  (excavtion)"/>
      <sheetName val="rate (roadway)"/>
      <sheetName val="machine"/>
      <sheetName val="manual"/>
      <sheetName val="EW Machine"/>
      <sheetName val="Additional rate"/>
      <sheetName val="Sec-2200 "/>
      <sheetName val="slides"/>
      <sheetName val="sheet 1"/>
      <sheetName val="Sheet2"/>
      <sheetName val="Sheet1"/>
      <sheetName val="building"/>
    </sheetNames>
    <sheetDataSet>
      <sheetData sheetId="0" refreshError="1"/>
      <sheetData sheetId="1" refreshError="1"/>
      <sheetData sheetId="2" refreshError="1"/>
      <sheetData sheetId="3">
        <row r="4">
          <cell r="N4">
            <v>960</v>
          </cell>
        </row>
        <row r="5">
          <cell r="H5">
            <v>2019.42</v>
          </cell>
          <cell r="N5">
            <v>700</v>
          </cell>
        </row>
        <row r="10">
          <cell r="N10">
            <v>640</v>
          </cell>
        </row>
        <row r="15">
          <cell r="P15">
            <v>89.38</v>
          </cell>
        </row>
        <row r="16">
          <cell r="P16">
            <v>89.38</v>
          </cell>
        </row>
        <row r="17">
          <cell r="P17">
            <v>100.88</v>
          </cell>
        </row>
        <row r="18">
          <cell r="H18">
            <v>3104.64</v>
          </cell>
        </row>
        <row r="21">
          <cell r="H21">
            <v>14.54</v>
          </cell>
        </row>
        <row r="24">
          <cell r="H24">
            <v>54684</v>
          </cell>
        </row>
        <row r="26">
          <cell r="H26">
            <v>1447.89</v>
          </cell>
          <cell r="P26">
            <v>1600</v>
          </cell>
        </row>
        <row r="27">
          <cell r="H27">
            <v>2222.64</v>
          </cell>
        </row>
        <row r="28">
          <cell r="P28">
            <v>700</v>
          </cell>
        </row>
        <row r="29">
          <cell r="H29">
            <v>16820</v>
          </cell>
          <cell r="P29">
            <v>700</v>
          </cell>
        </row>
        <row r="30">
          <cell r="P30">
            <v>550</v>
          </cell>
        </row>
        <row r="31">
          <cell r="H31">
            <v>0.32</v>
          </cell>
          <cell r="P31">
            <v>1000</v>
          </cell>
        </row>
        <row r="32">
          <cell r="H32">
            <v>73.88</v>
          </cell>
          <cell r="P32">
            <v>180</v>
          </cell>
        </row>
        <row r="33">
          <cell r="P33">
            <v>260</v>
          </cell>
        </row>
        <row r="34">
          <cell r="H34">
            <v>88940</v>
          </cell>
          <cell r="P34">
            <v>250</v>
          </cell>
        </row>
        <row r="35">
          <cell r="H35">
            <v>85840</v>
          </cell>
          <cell r="P35">
            <v>300</v>
          </cell>
        </row>
        <row r="36">
          <cell r="H36">
            <v>88940</v>
          </cell>
          <cell r="P36">
            <v>300</v>
          </cell>
        </row>
        <row r="37">
          <cell r="P37">
            <v>1000</v>
          </cell>
        </row>
        <row r="38">
          <cell r="P38">
            <v>470</v>
          </cell>
        </row>
        <row r="39">
          <cell r="H39">
            <v>101.77</v>
          </cell>
          <cell r="P39">
            <v>100</v>
          </cell>
        </row>
        <row r="40">
          <cell r="P40">
            <v>1400</v>
          </cell>
        </row>
        <row r="41">
          <cell r="H41">
            <v>107</v>
          </cell>
          <cell r="P41">
            <v>150</v>
          </cell>
        </row>
        <row r="42">
          <cell r="H42">
            <v>107</v>
          </cell>
          <cell r="P42">
            <v>0</v>
          </cell>
        </row>
        <row r="43">
          <cell r="P43">
            <v>0</v>
          </cell>
        </row>
        <row r="44">
          <cell r="P44">
            <v>1300</v>
          </cell>
        </row>
        <row r="46">
          <cell r="P46">
            <v>1500</v>
          </cell>
        </row>
        <row r="47">
          <cell r="P47">
            <v>300</v>
          </cell>
        </row>
        <row r="48">
          <cell r="P48">
            <v>400</v>
          </cell>
        </row>
        <row r="49">
          <cell r="H49">
            <v>5905</v>
          </cell>
          <cell r="P49">
            <v>1000</v>
          </cell>
        </row>
        <row r="50">
          <cell r="H50">
            <v>8190</v>
          </cell>
          <cell r="P50">
            <v>1400</v>
          </cell>
        </row>
        <row r="51">
          <cell r="H51">
            <v>11593</v>
          </cell>
        </row>
        <row r="52">
          <cell r="H52">
            <v>15332</v>
          </cell>
        </row>
        <row r="54">
          <cell r="H54">
            <v>30</v>
          </cell>
        </row>
        <row r="55">
          <cell r="H55">
            <v>112</v>
          </cell>
        </row>
        <row r="61">
          <cell r="H61">
            <v>612.75</v>
          </cell>
        </row>
        <row r="64">
          <cell r="H64">
            <v>562</v>
          </cell>
        </row>
        <row r="65">
          <cell r="H65">
            <v>509</v>
          </cell>
        </row>
        <row r="66">
          <cell r="H66">
            <v>19</v>
          </cell>
        </row>
        <row r="67">
          <cell r="H67">
            <v>255</v>
          </cell>
        </row>
        <row r="69">
          <cell r="H69">
            <v>365</v>
          </cell>
        </row>
        <row r="70">
          <cell r="H70">
            <v>2183.87</v>
          </cell>
        </row>
        <row r="71">
          <cell r="H71">
            <v>249.69</v>
          </cell>
        </row>
        <row r="73">
          <cell r="H73">
            <v>490</v>
          </cell>
        </row>
        <row r="74">
          <cell r="H74">
            <v>670</v>
          </cell>
        </row>
        <row r="75">
          <cell r="H75">
            <v>1060</v>
          </cell>
        </row>
        <row r="76">
          <cell r="H76">
            <v>1573</v>
          </cell>
        </row>
        <row r="77">
          <cell r="H77">
            <v>297.36</v>
          </cell>
        </row>
        <row r="78">
          <cell r="H78">
            <v>34162</v>
          </cell>
        </row>
        <row r="79">
          <cell r="H79">
            <v>117</v>
          </cell>
        </row>
        <row r="84">
          <cell r="H84">
            <v>2504.88</v>
          </cell>
        </row>
        <row r="85">
          <cell r="H85">
            <v>3316.32</v>
          </cell>
        </row>
        <row r="86">
          <cell r="H86">
            <v>3104.64</v>
          </cell>
        </row>
        <row r="87">
          <cell r="H87">
            <v>3139.92</v>
          </cell>
        </row>
        <row r="88">
          <cell r="H88">
            <v>2892.96</v>
          </cell>
        </row>
        <row r="96">
          <cell r="H96">
            <v>526.75</v>
          </cell>
        </row>
        <row r="97">
          <cell r="H97">
            <v>537.5</v>
          </cell>
        </row>
        <row r="98">
          <cell r="H98">
            <v>817</v>
          </cell>
        </row>
        <row r="101">
          <cell r="H101">
            <v>550.79999999999995</v>
          </cell>
        </row>
        <row r="102">
          <cell r="H102">
            <v>165</v>
          </cell>
        </row>
        <row r="103">
          <cell r="H103">
            <v>150</v>
          </cell>
        </row>
        <row r="104">
          <cell r="H104">
            <v>100</v>
          </cell>
        </row>
        <row r="105">
          <cell r="H105">
            <v>31405</v>
          </cell>
        </row>
        <row r="106">
          <cell r="H106">
            <v>1690</v>
          </cell>
        </row>
      </sheetData>
      <sheetData sheetId="4" refreshError="1"/>
      <sheetData sheetId="5">
        <row r="10">
          <cell r="N10">
            <v>0</v>
          </cell>
        </row>
        <row r="12">
          <cell r="N12">
            <v>0</v>
          </cell>
        </row>
        <row r="14">
          <cell r="N14">
            <v>0</v>
          </cell>
        </row>
        <row r="16">
          <cell r="N16">
            <v>0</v>
          </cell>
        </row>
        <row r="18">
          <cell r="N18">
            <v>0</v>
          </cell>
        </row>
        <row r="19">
          <cell r="N19">
            <v>0</v>
          </cell>
        </row>
        <row r="20">
          <cell r="N20">
            <v>0</v>
          </cell>
        </row>
        <row r="23">
          <cell r="N23">
            <v>0</v>
          </cell>
        </row>
        <row r="24">
          <cell r="N24">
            <v>0</v>
          </cell>
        </row>
        <row r="29">
          <cell r="N29">
            <v>0</v>
          </cell>
        </row>
        <row r="30">
          <cell r="N30">
            <v>0</v>
          </cell>
        </row>
        <row r="31">
          <cell r="N31">
            <v>0</v>
          </cell>
        </row>
      </sheetData>
      <sheetData sheetId="6" refreshError="1"/>
      <sheetData sheetId="7" refreshError="1"/>
      <sheetData sheetId="8" refreshError="1"/>
      <sheetData sheetId="9" refreshError="1"/>
      <sheetData sheetId="10" refreshError="1"/>
      <sheetData sheetId="11" refreshError="1"/>
      <sheetData sheetId="12">
        <row r="137">
          <cell r="D137">
            <v>0.05</v>
          </cell>
        </row>
        <row r="138">
          <cell r="D138">
            <v>3.25</v>
          </cell>
        </row>
        <row r="173">
          <cell r="D173">
            <v>0.01</v>
          </cell>
        </row>
        <row r="174">
          <cell r="D174">
            <v>2.42</v>
          </cell>
        </row>
        <row r="299">
          <cell r="F299">
            <v>648.9</v>
          </cell>
        </row>
        <row r="1019">
          <cell r="F1019">
            <v>6643.17</v>
          </cell>
        </row>
        <row r="1032">
          <cell r="R1032">
            <v>659.72</v>
          </cell>
        </row>
        <row r="1179">
          <cell r="F1179">
            <v>11971.87</v>
          </cell>
        </row>
        <row r="1195">
          <cell r="F1195">
            <v>12520</v>
          </cell>
        </row>
        <row r="1226">
          <cell r="F1226">
            <v>13568.85</v>
          </cell>
        </row>
        <row r="1362">
          <cell r="D1362">
            <v>0.9</v>
          </cell>
          <cell r="I1362">
            <v>0.375</v>
          </cell>
        </row>
        <row r="1363">
          <cell r="D1363">
            <v>9</v>
          </cell>
          <cell r="I1363">
            <v>0.57999999999999996</v>
          </cell>
        </row>
        <row r="1364">
          <cell r="I1364">
            <v>0.45</v>
          </cell>
        </row>
        <row r="1600">
          <cell r="J1600">
            <v>3104.64</v>
          </cell>
        </row>
        <row r="1612">
          <cell r="D1612">
            <v>1.5</v>
          </cell>
          <cell r="I1612">
            <v>560</v>
          </cell>
          <cell r="J1612">
            <v>14.54</v>
          </cell>
        </row>
        <row r="1613">
          <cell r="D1613">
            <v>3</v>
          </cell>
          <cell r="I1613">
            <v>0.09</v>
          </cell>
        </row>
        <row r="1614">
          <cell r="I1614">
            <v>0.25</v>
          </cell>
          <cell r="J1614">
            <v>3104.64</v>
          </cell>
        </row>
      </sheetData>
      <sheetData sheetId="13" refreshError="1"/>
      <sheetData sheetId="14" refreshError="1"/>
      <sheetData sheetId="15" refreshError="1"/>
      <sheetData sheetId="16" refreshError="1"/>
      <sheetData sheetId="17" refreshError="1"/>
      <sheetData sheetId="18">
        <row r="8">
          <cell r="P8">
            <v>32.74</v>
          </cell>
        </row>
        <row r="17">
          <cell r="P17">
            <v>39.51</v>
          </cell>
        </row>
        <row r="26">
          <cell r="P26">
            <v>62.09</v>
          </cell>
        </row>
        <row r="35">
          <cell r="P35">
            <v>81.099999999999994</v>
          </cell>
        </row>
      </sheetData>
      <sheetData sheetId="19">
        <row r="8">
          <cell r="P8">
            <v>621.86</v>
          </cell>
        </row>
        <row r="17">
          <cell r="P17">
            <v>829.15</v>
          </cell>
        </row>
        <row r="26">
          <cell r="P26">
            <v>2280.16</v>
          </cell>
        </row>
        <row r="35">
          <cell r="P35">
            <v>9949.7999999999993</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sheetName val="ABS_mg"/>
      <sheetName val="ABS"/>
      <sheetName val="Rate"/>
      <sheetName val="Detailed"/>
      <sheetName val="Collection"/>
      <sheetName val="transportation kk"/>
      <sheetName val="EWvolume"/>
      <sheetName val="Rate Analysis"/>
      <sheetName val="Summary of rate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4"/>
  <sheetViews>
    <sheetView workbookViewId="0">
      <selection sqref="A1:I1"/>
    </sheetView>
  </sheetViews>
  <sheetFormatPr defaultRowHeight="15" x14ac:dyDescent="0.25"/>
  <cols>
    <col min="1" max="2" width="15.7109375" customWidth="1"/>
  </cols>
  <sheetData>
    <row r="1" spans="1:11" ht="15.75" x14ac:dyDescent="0.25">
      <c r="A1" s="415" t="s">
        <v>0</v>
      </c>
      <c r="B1" s="415"/>
      <c r="C1" s="415"/>
      <c r="D1" s="415"/>
      <c r="E1" s="415"/>
      <c r="F1" s="415"/>
      <c r="G1" s="415"/>
      <c r="H1" s="415"/>
      <c r="I1" s="415"/>
    </row>
    <row r="2" spans="1:11" ht="15.75" x14ac:dyDescent="0.25">
      <c r="A2" s="415" t="s">
        <v>1</v>
      </c>
      <c r="B2" s="415"/>
      <c r="C2" s="415"/>
      <c r="D2" s="415"/>
      <c r="E2" s="415"/>
      <c r="F2" s="415"/>
      <c r="G2" s="415"/>
      <c r="H2" s="415"/>
      <c r="I2" s="415"/>
    </row>
    <row r="3" spans="1:11" ht="15.75" x14ac:dyDescent="0.25">
      <c r="A3" s="416" t="s">
        <v>2</v>
      </c>
      <c r="B3" s="416"/>
      <c r="C3" s="416"/>
      <c r="D3" s="416"/>
      <c r="E3" s="416"/>
      <c r="F3" s="416"/>
      <c r="G3" s="416"/>
      <c r="H3" s="416"/>
      <c r="I3" s="416"/>
    </row>
    <row r="4" spans="1:11" x14ac:dyDescent="0.25">
      <c r="A4" s="417" t="s">
        <v>3</v>
      </c>
      <c r="B4" s="417"/>
      <c r="C4" s="417"/>
      <c r="D4" s="417"/>
      <c r="E4" s="417"/>
      <c r="F4" s="417"/>
      <c r="G4" s="417"/>
      <c r="H4" s="417"/>
      <c r="I4" s="417"/>
    </row>
    <row r="5" spans="1:11" x14ac:dyDescent="0.25">
      <c r="A5" s="417" t="s">
        <v>4</v>
      </c>
      <c r="B5" s="417"/>
      <c r="C5" s="417"/>
      <c r="D5" s="417"/>
      <c r="E5" s="417"/>
      <c r="F5" s="417"/>
      <c r="G5" s="417"/>
      <c r="H5" s="417"/>
      <c r="I5" s="417"/>
    </row>
    <row r="7" spans="1:11" ht="15.75" x14ac:dyDescent="0.25">
      <c r="A7" s="418" t="s">
        <v>5</v>
      </c>
      <c r="B7" s="418"/>
      <c r="C7" s="417"/>
      <c r="D7" s="417"/>
      <c r="E7" s="417"/>
    </row>
    <row r="8" spans="1:11" ht="15.75" x14ac:dyDescent="0.25">
      <c r="A8" s="418" t="s">
        <v>6</v>
      </c>
      <c r="B8" s="418"/>
      <c r="C8" s="417"/>
      <c r="D8" s="417"/>
      <c r="E8" s="417"/>
    </row>
    <row r="9" spans="1:11" ht="15.75" x14ac:dyDescent="0.25">
      <c r="A9" s="418" t="s">
        <v>7</v>
      </c>
      <c r="B9" s="418"/>
      <c r="C9" s="417"/>
      <c r="D9" s="417"/>
      <c r="E9" s="417"/>
    </row>
    <row r="10" spans="1:11" ht="15.75" x14ac:dyDescent="0.25">
      <c r="A10" s="418" t="s">
        <v>8</v>
      </c>
      <c r="B10" s="418"/>
      <c r="C10" s="417"/>
      <c r="D10" s="417"/>
      <c r="E10" s="417"/>
    </row>
    <row r="12" spans="1:11" ht="15.75" x14ac:dyDescent="0.25">
      <c r="A12" s="419" t="s">
        <v>9</v>
      </c>
      <c r="B12" s="419"/>
      <c r="C12" s="419"/>
      <c r="D12" s="419"/>
      <c r="E12" s="419"/>
      <c r="F12" s="419"/>
      <c r="G12" s="419"/>
      <c r="H12" s="419"/>
      <c r="I12" s="419"/>
      <c r="J12" s="419"/>
      <c r="K12" s="419"/>
    </row>
    <row r="14" spans="1:11" ht="15.75" x14ac:dyDescent="0.25">
      <c r="A14" s="419" t="s">
        <v>10</v>
      </c>
      <c r="B14" s="419"/>
      <c r="C14" s="419"/>
      <c r="D14" s="419"/>
      <c r="E14" s="419"/>
      <c r="F14" s="419"/>
      <c r="G14" s="419"/>
      <c r="H14" s="419"/>
      <c r="I14" s="419"/>
      <c r="J14" s="419"/>
      <c r="K14" s="419"/>
    </row>
  </sheetData>
  <mergeCells count="15">
    <mergeCell ref="A10:B10"/>
    <mergeCell ref="C10:E10"/>
    <mergeCell ref="A12:K12"/>
    <mergeCell ref="A14:K14"/>
    <mergeCell ref="A7:B7"/>
    <mergeCell ref="C7:E7"/>
    <mergeCell ref="A8:B8"/>
    <mergeCell ref="C8:E8"/>
    <mergeCell ref="A9:B9"/>
    <mergeCell ref="C9:E9"/>
    <mergeCell ref="A1:I1"/>
    <mergeCell ref="A2:I2"/>
    <mergeCell ref="A3:I3"/>
    <mergeCell ref="A4:I4"/>
    <mergeCell ref="A5:I5"/>
  </mergeCells>
  <pageMargins left="0.5" right="0.5" top="0.5" bottom="0.5" header="0.3" footer="0.3"/>
  <pageSetup paperSize="9" scale="81" fitToHeight="0" orientation="portrait" useFirstPageNumber="1"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03"/>
  <sheetViews>
    <sheetView view="pageBreakPreview" topLeftCell="A382" zoomScale="90" zoomScaleSheetLayoutView="90" workbookViewId="0">
      <selection activeCell="X88" sqref="X88"/>
    </sheetView>
  </sheetViews>
  <sheetFormatPr defaultColWidth="9.140625" defaultRowHeight="15.75" x14ac:dyDescent="0.25"/>
  <cols>
    <col min="1" max="1" width="9.140625" style="195"/>
    <col min="2" max="2" width="13.7109375" style="195" customWidth="1"/>
    <col min="3" max="3" width="5.7109375" style="195" customWidth="1"/>
    <col min="4" max="4" width="8.85546875" style="195" bestFit="1" customWidth="1"/>
    <col min="5" max="5" width="9" style="195" bestFit="1" customWidth="1"/>
    <col min="6" max="6" width="11.7109375" style="195" bestFit="1" customWidth="1"/>
    <col min="7" max="7" width="40.7109375" style="195" customWidth="1"/>
    <col min="8" max="8" width="7.7109375" style="217" customWidth="1"/>
    <col min="9" max="9" width="12.7109375" style="195" bestFit="1" customWidth="1"/>
    <col min="10" max="11" width="12.5703125" style="195" bestFit="1" customWidth="1"/>
    <col min="12" max="12" width="20.7109375" style="195" customWidth="1"/>
    <col min="13" max="13" width="7.7109375" style="195" customWidth="1"/>
    <col min="14" max="14" width="8.85546875" style="195" bestFit="1" customWidth="1"/>
    <col min="15" max="15" width="10.42578125" style="195" bestFit="1" customWidth="1"/>
    <col min="16" max="16" width="10.5703125" style="195" bestFit="1" customWidth="1"/>
    <col min="17" max="17" width="18.7109375" style="195" customWidth="1"/>
    <col min="18" max="18" width="7.7109375" style="195" customWidth="1"/>
    <col min="19" max="20" width="9.140625" style="195"/>
    <col min="21" max="21" width="14.42578125" style="212" bestFit="1" customWidth="1"/>
    <col min="22" max="24" width="9.140625" style="195"/>
    <col min="25" max="25" width="10.140625" style="195" bestFit="1" customWidth="1"/>
    <col min="26" max="16384" width="9.140625" style="195"/>
  </cols>
  <sheetData>
    <row r="1" spans="1:21" x14ac:dyDescent="0.25">
      <c r="A1" s="432" t="s">
        <v>2352</v>
      </c>
      <c r="B1" s="432"/>
      <c r="C1" s="432"/>
      <c r="D1" s="432"/>
      <c r="E1" s="432"/>
      <c r="F1" s="432"/>
      <c r="G1" s="432"/>
      <c r="H1" s="432"/>
      <c r="I1" s="432"/>
      <c r="J1" s="432"/>
      <c r="K1" s="432"/>
      <c r="L1" s="432"/>
      <c r="M1" s="432"/>
      <c r="N1" s="432"/>
      <c r="O1" s="432"/>
      <c r="P1" s="432"/>
      <c r="Q1" s="432"/>
      <c r="R1" s="432"/>
      <c r="S1" s="432"/>
      <c r="T1" s="432"/>
      <c r="U1" s="432"/>
    </row>
    <row r="2" spans="1:21" s="263" customFormat="1" x14ac:dyDescent="0.25">
      <c r="A2" s="432" t="s">
        <v>2342</v>
      </c>
      <c r="B2" s="432"/>
      <c r="C2" s="432"/>
      <c r="D2" s="432"/>
      <c r="E2" s="432"/>
      <c r="F2" s="432"/>
      <c r="G2" s="432"/>
      <c r="H2" s="432"/>
      <c r="I2" s="432"/>
      <c r="J2" s="432"/>
      <c r="K2" s="432"/>
      <c r="L2" s="432"/>
      <c r="M2" s="432"/>
      <c r="N2" s="432"/>
      <c r="O2" s="432"/>
      <c r="P2" s="432"/>
      <c r="Q2" s="432"/>
      <c r="R2" s="432"/>
      <c r="S2" s="432"/>
      <c r="T2" s="432"/>
      <c r="U2" s="432"/>
    </row>
    <row r="3" spans="1:21" x14ac:dyDescent="0.25">
      <c r="A3" s="471" t="s">
        <v>11</v>
      </c>
      <c r="B3" s="471"/>
      <c r="C3" s="471"/>
      <c r="D3" s="471"/>
      <c r="E3" s="471"/>
      <c r="F3" s="471"/>
      <c r="G3" s="471"/>
      <c r="H3" s="471"/>
      <c r="I3" s="471"/>
      <c r="J3" s="471"/>
      <c r="K3" s="471"/>
      <c r="L3" s="471"/>
      <c r="M3" s="471"/>
      <c r="N3" s="471"/>
      <c r="O3" s="471"/>
      <c r="P3" s="471"/>
      <c r="Q3" s="471"/>
      <c r="R3" s="471"/>
      <c r="S3" s="471"/>
      <c r="T3" s="471"/>
      <c r="U3" s="471"/>
    </row>
    <row r="5" spans="1:21" x14ac:dyDescent="0.25">
      <c r="A5" s="538" t="s">
        <v>12</v>
      </c>
      <c r="B5" s="538"/>
      <c r="C5" s="540" t="s">
        <v>44</v>
      </c>
      <c r="D5" s="540"/>
      <c r="E5" s="540"/>
      <c r="F5" s="540"/>
      <c r="G5" s="540"/>
      <c r="H5" s="540"/>
      <c r="I5" s="540"/>
      <c r="J5" s="540"/>
      <c r="K5" s="540"/>
      <c r="L5" s="540"/>
      <c r="M5" s="540"/>
      <c r="N5" s="540"/>
      <c r="O5" s="540"/>
      <c r="P5" s="540"/>
      <c r="Q5" s="540"/>
      <c r="R5" s="540"/>
      <c r="S5" s="540"/>
      <c r="T5" s="540"/>
      <c r="U5" s="541" t="s">
        <v>45</v>
      </c>
    </row>
    <row r="6" spans="1:21" x14ac:dyDescent="0.25">
      <c r="A6" s="538"/>
      <c r="B6" s="538"/>
      <c r="C6" s="540"/>
      <c r="D6" s="540"/>
      <c r="E6" s="540"/>
      <c r="F6" s="540"/>
      <c r="G6" s="540"/>
      <c r="H6" s="540"/>
      <c r="I6" s="540"/>
      <c r="J6" s="540"/>
      <c r="K6" s="540"/>
      <c r="L6" s="540"/>
      <c r="M6" s="540"/>
      <c r="N6" s="540"/>
      <c r="O6" s="540"/>
      <c r="P6" s="540"/>
      <c r="Q6" s="540"/>
      <c r="R6" s="540"/>
      <c r="S6" s="540"/>
      <c r="T6" s="540"/>
      <c r="U6" s="541"/>
    </row>
    <row r="7" spans="1:21" x14ac:dyDescent="0.25">
      <c r="A7" s="539" t="s">
        <v>43</v>
      </c>
      <c r="B7" s="539"/>
      <c r="C7" s="540"/>
      <c r="D7" s="540"/>
      <c r="E7" s="540"/>
      <c r="F7" s="540"/>
      <c r="G7" s="540"/>
      <c r="H7" s="540"/>
      <c r="I7" s="540"/>
      <c r="J7" s="540"/>
      <c r="K7" s="540"/>
      <c r="L7" s="540"/>
      <c r="M7" s="540"/>
      <c r="N7" s="540"/>
      <c r="O7" s="540"/>
      <c r="P7" s="540"/>
      <c r="Q7" s="540"/>
      <c r="R7" s="540"/>
      <c r="S7" s="540"/>
      <c r="T7" s="540"/>
      <c r="U7" s="541"/>
    </row>
    <row r="8" spans="1:21" x14ac:dyDescent="0.25">
      <c r="A8" s="542" t="s">
        <v>16</v>
      </c>
      <c r="B8" s="543" t="s">
        <v>18</v>
      </c>
      <c r="C8" s="543"/>
      <c r="D8" s="543"/>
      <c r="E8" s="543"/>
      <c r="F8" s="543"/>
      <c r="G8" s="543" t="s">
        <v>24</v>
      </c>
      <c r="H8" s="543"/>
      <c r="I8" s="543"/>
      <c r="J8" s="543"/>
      <c r="K8" s="543"/>
      <c r="L8" s="543" t="s">
        <v>25</v>
      </c>
      <c r="M8" s="543"/>
      <c r="N8" s="543"/>
      <c r="O8" s="543"/>
      <c r="P8" s="543"/>
      <c r="Q8" s="543" t="s">
        <v>26</v>
      </c>
      <c r="R8" s="543"/>
      <c r="S8" s="543"/>
      <c r="T8" s="543"/>
      <c r="U8" s="543"/>
    </row>
    <row r="9" spans="1:21" x14ac:dyDescent="0.25">
      <c r="A9" s="542"/>
      <c r="B9" s="182" t="s">
        <v>19</v>
      </c>
      <c r="C9" s="182" t="s">
        <v>20</v>
      </c>
      <c r="D9" s="182" t="s">
        <v>21</v>
      </c>
      <c r="E9" s="182" t="s">
        <v>22</v>
      </c>
      <c r="F9" s="182" t="s">
        <v>23</v>
      </c>
      <c r="G9" s="182" t="s">
        <v>19</v>
      </c>
      <c r="H9" s="216" t="s">
        <v>20</v>
      </c>
      <c r="I9" s="182" t="s">
        <v>21</v>
      </c>
      <c r="J9" s="182" t="s">
        <v>22</v>
      </c>
      <c r="K9" s="182" t="s">
        <v>23</v>
      </c>
      <c r="L9" s="182" t="s">
        <v>19</v>
      </c>
      <c r="M9" s="182" t="s">
        <v>20</v>
      </c>
      <c r="N9" s="182" t="s">
        <v>21</v>
      </c>
      <c r="O9" s="182" t="s">
        <v>22</v>
      </c>
      <c r="P9" s="182" t="s">
        <v>23</v>
      </c>
      <c r="Q9" s="182" t="s">
        <v>19</v>
      </c>
      <c r="R9" s="182" t="s">
        <v>20</v>
      </c>
      <c r="S9" s="182" t="s">
        <v>21</v>
      </c>
      <c r="T9" s="182" t="s">
        <v>22</v>
      </c>
      <c r="U9" s="211" t="s">
        <v>23</v>
      </c>
    </row>
    <row r="10" spans="1:21" ht="47.25" x14ac:dyDescent="0.25">
      <c r="A10" s="183" t="s">
        <v>46</v>
      </c>
      <c r="B10" s="182" t="s">
        <v>47</v>
      </c>
      <c r="C10" s="182" t="s">
        <v>28</v>
      </c>
      <c r="D10" s="182">
        <v>0.1</v>
      </c>
      <c r="E10" s="182">
        <f>skilled</f>
        <v>1245</v>
      </c>
      <c r="F10" s="184">
        <f>(D10*E10)</f>
        <v>124.5</v>
      </c>
      <c r="G10" s="182" t="s">
        <v>48</v>
      </c>
      <c r="H10" s="216" t="s">
        <v>49</v>
      </c>
      <c r="I10" s="182">
        <v>1</v>
      </c>
      <c r="J10" s="182">
        <v>15000</v>
      </c>
      <c r="K10" s="182">
        <f>(I10*J10)</f>
        <v>15000</v>
      </c>
    </row>
    <row r="11" spans="1:21" x14ac:dyDescent="0.25">
      <c r="B11" s="182" t="s">
        <v>29</v>
      </c>
      <c r="C11" s="182" t="s">
        <v>28</v>
      </c>
      <c r="D11" s="182">
        <v>0.5</v>
      </c>
      <c r="E11" s="182">
        <f>unskilled</f>
        <v>935</v>
      </c>
      <c r="F11" s="184">
        <f>(D11*E11)</f>
        <v>467.5</v>
      </c>
    </row>
    <row r="12" spans="1:21" x14ac:dyDescent="0.25">
      <c r="A12" s="537" t="s">
        <v>30</v>
      </c>
      <c r="B12" s="537"/>
      <c r="C12" s="537"/>
      <c r="D12" s="537"/>
      <c r="E12" s="537"/>
      <c r="F12" s="184">
        <f>SUM(F9:F11)</f>
        <v>592</v>
      </c>
      <c r="G12" s="537" t="s">
        <v>31</v>
      </c>
      <c r="H12" s="537"/>
      <c r="I12" s="537"/>
      <c r="J12" s="537"/>
      <c r="K12" s="184">
        <f>SUM(K9:K11)</f>
        <v>15000</v>
      </c>
      <c r="L12" s="537" t="s">
        <v>32</v>
      </c>
      <c r="M12" s="537"/>
      <c r="N12" s="537"/>
      <c r="O12" s="537"/>
      <c r="P12" s="184">
        <f>SUM(P9:P11)</f>
        <v>0</v>
      </c>
      <c r="Q12" s="537" t="s">
        <v>38</v>
      </c>
      <c r="R12" s="537"/>
      <c r="S12" s="537"/>
      <c r="T12" s="537"/>
      <c r="U12" s="223">
        <f>SUM(U9:U11)</f>
        <v>0</v>
      </c>
    </row>
    <row r="13" spans="1:21" x14ac:dyDescent="0.25">
      <c r="A13" s="537" t="s">
        <v>33</v>
      </c>
      <c r="B13" s="537"/>
      <c r="C13" s="537"/>
      <c r="D13" s="537"/>
      <c r="E13" s="537"/>
      <c r="F13" s="184">
        <f>SUM(F12+K12+P12)</f>
        <v>15592</v>
      </c>
      <c r="G13" s="537" t="s">
        <v>39</v>
      </c>
      <c r="H13" s="537"/>
      <c r="I13" s="537"/>
      <c r="J13" s="537"/>
      <c r="K13" s="184">
        <f>SUM(F12+K12+P12+U12)</f>
        <v>15592</v>
      </c>
      <c r="L13" s="537" t="s">
        <v>40</v>
      </c>
      <c r="M13" s="537"/>
      <c r="N13" s="537"/>
      <c r="O13" s="537"/>
      <c r="P13" s="184">
        <f>SUM(K13*0.15)</f>
        <v>2338.7999999999997</v>
      </c>
      <c r="Q13" s="537" t="s">
        <v>41</v>
      </c>
      <c r="R13" s="537"/>
      <c r="S13" s="537"/>
      <c r="T13" s="537"/>
      <c r="U13" s="223">
        <f>SUM(K13+P13)</f>
        <v>17930.8</v>
      </c>
    </row>
    <row r="14" spans="1:21" x14ac:dyDescent="0.25">
      <c r="Q14" s="537" t="s">
        <v>42</v>
      </c>
      <c r="R14" s="537"/>
      <c r="S14" s="537"/>
      <c r="T14" s="537"/>
      <c r="U14" s="224">
        <f>ROUND((U13/1),2)</f>
        <v>17930.8</v>
      </c>
    </row>
    <row r="15" spans="1:21" x14ac:dyDescent="0.25">
      <c r="A15" s="544"/>
      <c r="B15" s="544"/>
      <c r="C15" s="544"/>
      <c r="D15" s="544"/>
      <c r="E15" s="544"/>
      <c r="F15" s="544"/>
      <c r="G15" s="544"/>
      <c r="H15" s="544"/>
      <c r="I15" s="544"/>
      <c r="J15" s="544"/>
      <c r="K15" s="544"/>
      <c r="L15" s="544"/>
      <c r="M15" s="544"/>
      <c r="N15" s="544"/>
      <c r="O15" s="544"/>
      <c r="P15" s="544"/>
      <c r="Q15" s="544"/>
      <c r="R15" s="544"/>
      <c r="S15" s="544"/>
      <c r="T15" s="544"/>
      <c r="U15" s="544"/>
    </row>
    <row r="16" spans="1:21" x14ac:dyDescent="0.25">
      <c r="A16" s="538" t="s">
        <v>12</v>
      </c>
      <c r="B16" s="538"/>
      <c r="C16" s="540" t="s">
        <v>51</v>
      </c>
      <c r="D16" s="540"/>
      <c r="E16" s="540"/>
      <c r="F16" s="540"/>
      <c r="G16" s="540"/>
      <c r="H16" s="540"/>
      <c r="I16" s="540"/>
      <c r="J16" s="540"/>
      <c r="K16" s="540"/>
      <c r="L16" s="540"/>
      <c r="M16" s="540"/>
      <c r="N16" s="540"/>
      <c r="O16" s="540"/>
      <c r="P16" s="540"/>
      <c r="Q16" s="540"/>
      <c r="R16" s="540"/>
      <c r="S16" s="540"/>
      <c r="T16" s="540"/>
      <c r="U16" s="541" t="s">
        <v>52</v>
      </c>
    </row>
    <row r="17" spans="1:21" x14ac:dyDescent="0.25">
      <c r="A17" s="538"/>
      <c r="B17" s="538"/>
      <c r="C17" s="540"/>
      <c r="D17" s="540"/>
      <c r="E17" s="540"/>
      <c r="F17" s="540"/>
      <c r="G17" s="540"/>
      <c r="H17" s="540"/>
      <c r="I17" s="540"/>
      <c r="J17" s="540"/>
      <c r="K17" s="540"/>
      <c r="L17" s="540"/>
      <c r="M17" s="540"/>
      <c r="N17" s="540"/>
      <c r="O17" s="540"/>
      <c r="P17" s="540"/>
      <c r="Q17" s="540"/>
      <c r="R17" s="540"/>
      <c r="S17" s="540"/>
      <c r="T17" s="540"/>
      <c r="U17" s="541"/>
    </row>
    <row r="18" spans="1:21" x14ac:dyDescent="0.25">
      <c r="A18" s="539" t="s">
        <v>50</v>
      </c>
      <c r="B18" s="539"/>
      <c r="C18" s="540"/>
      <c r="D18" s="540"/>
      <c r="E18" s="540"/>
      <c r="F18" s="540"/>
      <c r="G18" s="540"/>
      <c r="H18" s="540"/>
      <c r="I18" s="540"/>
      <c r="J18" s="540"/>
      <c r="K18" s="540"/>
      <c r="L18" s="540"/>
      <c r="M18" s="540"/>
      <c r="N18" s="540"/>
      <c r="O18" s="540"/>
      <c r="P18" s="540"/>
      <c r="Q18" s="540"/>
      <c r="R18" s="540"/>
      <c r="S18" s="540"/>
      <c r="T18" s="540"/>
      <c r="U18" s="541"/>
    </row>
    <row r="19" spans="1:21" x14ac:dyDescent="0.25">
      <c r="A19" s="542" t="s">
        <v>16</v>
      </c>
      <c r="B19" s="543" t="s">
        <v>18</v>
      </c>
      <c r="C19" s="543"/>
      <c r="D19" s="543"/>
      <c r="E19" s="543"/>
      <c r="F19" s="543"/>
      <c r="G19" s="543" t="s">
        <v>24</v>
      </c>
      <c r="H19" s="543"/>
      <c r="I19" s="543"/>
      <c r="J19" s="543"/>
      <c r="K19" s="543"/>
      <c r="L19" s="543" t="s">
        <v>25</v>
      </c>
      <c r="M19" s="543"/>
      <c r="N19" s="543"/>
      <c r="O19" s="543"/>
      <c r="P19" s="543"/>
      <c r="Q19" s="543" t="s">
        <v>26</v>
      </c>
      <c r="R19" s="543"/>
      <c r="S19" s="543"/>
      <c r="T19" s="543"/>
      <c r="U19" s="543"/>
    </row>
    <row r="20" spans="1:21" x14ac:dyDescent="0.25">
      <c r="A20" s="542"/>
      <c r="B20" s="182" t="s">
        <v>19</v>
      </c>
      <c r="C20" s="182" t="s">
        <v>20</v>
      </c>
      <c r="D20" s="182" t="s">
        <v>21</v>
      </c>
      <c r="E20" s="182" t="s">
        <v>22</v>
      </c>
      <c r="F20" s="182" t="s">
        <v>23</v>
      </c>
      <c r="G20" s="182" t="s">
        <v>19</v>
      </c>
      <c r="H20" s="216" t="s">
        <v>20</v>
      </c>
      <c r="I20" s="182" t="s">
        <v>21</v>
      </c>
      <c r="J20" s="182" t="s">
        <v>22</v>
      </c>
      <c r="K20" s="182" t="s">
        <v>23</v>
      </c>
      <c r="L20" s="182" t="s">
        <v>19</v>
      </c>
      <c r="M20" s="182" t="s">
        <v>20</v>
      </c>
      <c r="N20" s="182" t="s">
        <v>21</v>
      </c>
      <c r="O20" s="182" t="s">
        <v>22</v>
      </c>
      <c r="P20" s="182" t="s">
        <v>23</v>
      </c>
      <c r="Q20" s="182" t="s">
        <v>19</v>
      </c>
      <c r="R20" s="182" t="s">
        <v>20</v>
      </c>
      <c r="S20" s="182" t="s">
        <v>21</v>
      </c>
      <c r="T20" s="182" t="s">
        <v>22</v>
      </c>
      <c r="U20" s="211" t="s">
        <v>23</v>
      </c>
    </row>
    <row r="21" spans="1:21" ht="47.25" x14ac:dyDescent="0.25">
      <c r="A21" s="183"/>
      <c r="G21" s="182" t="s">
        <v>44</v>
      </c>
      <c r="H21" s="216" t="s">
        <v>49</v>
      </c>
      <c r="I21" s="182">
        <v>0</v>
      </c>
      <c r="J21" s="183">
        <f>(K13/1)</f>
        <v>15592</v>
      </c>
      <c r="K21" s="184">
        <f>(I21*J21)</f>
        <v>0</v>
      </c>
    </row>
    <row r="22" spans="1:21" x14ac:dyDescent="0.25">
      <c r="A22" s="537" t="s">
        <v>30</v>
      </c>
      <c r="B22" s="537"/>
      <c r="C22" s="537"/>
      <c r="D22" s="537"/>
      <c r="E22" s="537"/>
      <c r="F22" s="184">
        <f>SUM(F20:F21)</f>
        <v>0</v>
      </c>
      <c r="G22" s="537" t="s">
        <v>31</v>
      </c>
      <c r="H22" s="537"/>
      <c r="I22" s="537"/>
      <c r="J22" s="537"/>
      <c r="K22" s="184">
        <f>SUM(K20:K21)</f>
        <v>0</v>
      </c>
      <c r="L22" s="537" t="s">
        <v>32</v>
      </c>
      <c r="M22" s="537"/>
      <c r="N22" s="537"/>
      <c r="O22" s="537"/>
      <c r="P22" s="184">
        <f>SUM(P20:P21)</f>
        <v>0</v>
      </c>
      <c r="Q22" s="537" t="s">
        <v>38</v>
      </c>
      <c r="R22" s="537"/>
      <c r="S22" s="537"/>
      <c r="T22" s="537"/>
      <c r="U22" s="223">
        <f>SUM(U20:U21)</f>
        <v>0</v>
      </c>
    </row>
    <row r="23" spans="1:21" x14ac:dyDescent="0.25">
      <c r="A23" s="537" t="s">
        <v>33</v>
      </c>
      <c r="B23" s="537"/>
      <c r="C23" s="537"/>
      <c r="D23" s="537"/>
      <c r="E23" s="537"/>
      <c r="F23" s="184">
        <f>SUM(F22+K22+P22)</f>
        <v>0</v>
      </c>
      <c r="G23" s="537" t="s">
        <v>39</v>
      </c>
      <c r="H23" s="537"/>
      <c r="I23" s="537"/>
      <c r="J23" s="537"/>
      <c r="K23" s="184">
        <f>SUM(F22+K22+P22+U22)</f>
        <v>0</v>
      </c>
      <c r="L23" s="537" t="s">
        <v>40</v>
      </c>
      <c r="M23" s="537"/>
      <c r="N23" s="537"/>
      <c r="O23" s="537"/>
      <c r="P23" s="184">
        <f>SUM(K23*0.15)</f>
        <v>0</v>
      </c>
      <c r="Q23" s="537" t="s">
        <v>41</v>
      </c>
      <c r="R23" s="537"/>
      <c r="S23" s="537"/>
      <c r="T23" s="537"/>
      <c r="U23" s="223">
        <f>SUM(K23+P23)</f>
        <v>0</v>
      </c>
    </row>
    <row r="24" spans="1:21" x14ac:dyDescent="0.25">
      <c r="Q24" s="537" t="s">
        <v>42</v>
      </c>
      <c r="R24" s="537"/>
      <c r="S24" s="537"/>
      <c r="T24" s="537"/>
      <c r="U24" s="224">
        <v>0</v>
      </c>
    </row>
    <row r="25" spans="1:21" x14ac:dyDescent="0.25">
      <c r="A25" s="544"/>
      <c r="B25" s="544"/>
      <c r="C25" s="544"/>
      <c r="D25" s="544"/>
      <c r="E25" s="544"/>
      <c r="F25" s="544"/>
      <c r="G25" s="544"/>
      <c r="H25" s="544"/>
      <c r="I25" s="544"/>
      <c r="J25" s="544"/>
      <c r="K25" s="544"/>
      <c r="L25" s="544"/>
      <c r="M25" s="544"/>
      <c r="N25" s="544"/>
      <c r="O25" s="544"/>
      <c r="P25" s="544"/>
      <c r="Q25" s="544"/>
      <c r="R25" s="544"/>
      <c r="S25" s="544"/>
      <c r="T25" s="544"/>
      <c r="U25" s="544"/>
    </row>
    <row r="26" spans="1:21" x14ac:dyDescent="0.25">
      <c r="A26" s="538" t="s">
        <v>12</v>
      </c>
      <c r="B26" s="538"/>
      <c r="C26" s="540" t="s">
        <v>54</v>
      </c>
      <c r="D26" s="540"/>
      <c r="E26" s="540"/>
      <c r="F26" s="540"/>
      <c r="G26" s="540"/>
      <c r="H26" s="540"/>
      <c r="I26" s="540"/>
      <c r="J26" s="540"/>
      <c r="K26" s="540"/>
      <c r="L26" s="540"/>
      <c r="M26" s="540"/>
      <c r="N26" s="540"/>
      <c r="O26" s="540"/>
      <c r="P26" s="540"/>
      <c r="Q26" s="540"/>
      <c r="R26" s="540"/>
      <c r="S26" s="540"/>
      <c r="T26" s="540"/>
      <c r="U26" s="541" t="s">
        <v>55</v>
      </c>
    </row>
    <row r="27" spans="1:21" x14ac:dyDescent="0.25">
      <c r="A27" s="538"/>
      <c r="B27" s="538"/>
      <c r="C27" s="540"/>
      <c r="D27" s="540"/>
      <c r="E27" s="540"/>
      <c r="F27" s="540"/>
      <c r="G27" s="540"/>
      <c r="H27" s="540"/>
      <c r="I27" s="540"/>
      <c r="J27" s="540"/>
      <c r="K27" s="540"/>
      <c r="L27" s="540"/>
      <c r="M27" s="540"/>
      <c r="N27" s="540"/>
      <c r="O27" s="540"/>
      <c r="P27" s="540"/>
      <c r="Q27" s="540"/>
      <c r="R27" s="540"/>
      <c r="S27" s="540"/>
      <c r="T27" s="540"/>
      <c r="U27" s="541"/>
    </row>
    <row r="28" spans="1:21" ht="45" customHeight="1" x14ac:dyDescent="0.25">
      <c r="A28" s="539" t="s">
        <v>53</v>
      </c>
      <c r="B28" s="539"/>
      <c r="C28" s="540"/>
      <c r="D28" s="540"/>
      <c r="E28" s="540"/>
      <c r="F28" s="540"/>
      <c r="G28" s="540"/>
      <c r="H28" s="540"/>
      <c r="I28" s="540"/>
      <c r="J28" s="540"/>
      <c r="K28" s="540"/>
      <c r="L28" s="540"/>
      <c r="M28" s="540"/>
      <c r="N28" s="540"/>
      <c r="O28" s="540"/>
      <c r="P28" s="540"/>
      <c r="Q28" s="540"/>
      <c r="R28" s="540"/>
      <c r="S28" s="540"/>
      <c r="T28" s="540"/>
      <c r="U28" s="541"/>
    </row>
    <row r="29" spans="1:21" x14ac:dyDescent="0.25">
      <c r="A29" s="542" t="s">
        <v>16</v>
      </c>
      <c r="B29" s="543" t="s">
        <v>18</v>
      </c>
      <c r="C29" s="543"/>
      <c r="D29" s="543"/>
      <c r="E29" s="543"/>
      <c r="F29" s="543"/>
      <c r="G29" s="543" t="s">
        <v>24</v>
      </c>
      <c r="H29" s="543"/>
      <c r="I29" s="543"/>
      <c r="J29" s="543"/>
      <c r="K29" s="543"/>
      <c r="L29" s="543" t="s">
        <v>25</v>
      </c>
      <c r="M29" s="543"/>
      <c r="N29" s="543"/>
      <c r="O29" s="543"/>
      <c r="P29" s="543"/>
      <c r="Q29" s="543" t="s">
        <v>26</v>
      </c>
      <c r="R29" s="543"/>
      <c r="S29" s="543"/>
      <c r="T29" s="543"/>
      <c r="U29" s="543"/>
    </row>
    <row r="30" spans="1:21" x14ac:dyDescent="0.25">
      <c r="A30" s="542"/>
      <c r="B30" s="182" t="s">
        <v>19</v>
      </c>
      <c r="C30" s="182" t="s">
        <v>20</v>
      </c>
      <c r="D30" s="182" t="s">
        <v>21</v>
      </c>
      <c r="E30" s="182" t="s">
        <v>22</v>
      </c>
      <c r="F30" s="182" t="s">
        <v>23</v>
      </c>
      <c r="G30" s="182" t="s">
        <v>19</v>
      </c>
      <c r="H30" s="216" t="s">
        <v>20</v>
      </c>
      <c r="I30" s="182" t="s">
        <v>21</v>
      </c>
      <c r="J30" s="182" t="s">
        <v>22</v>
      </c>
      <c r="K30" s="182" t="s">
        <v>23</v>
      </c>
      <c r="L30" s="182" t="s">
        <v>19</v>
      </c>
      <c r="M30" s="182" t="s">
        <v>20</v>
      </c>
      <c r="N30" s="182" t="s">
        <v>21</v>
      </c>
      <c r="O30" s="182" t="s">
        <v>22</v>
      </c>
      <c r="P30" s="182" t="s">
        <v>23</v>
      </c>
      <c r="Q30" s="182" t="s">
        <v>19</v>
      </c>
      <c r="R30" s="182" t="s">
        <v>20</v>
      </c>
      <c r="S30" s="182" t="s">
        <v>21</v>
      </c>
      <c r="T30" s="182" t="s">
        <v>22</v>
      </c>
      <c r="U30" s="211" t="s">
        <v>23</v>
      </c>
    </row>
    <row r="31" spans="1:21" x14ac:dyDescent="0.25">
      <c r="A31" s="183" t="s">
        <v>56</v>
      </c>
      <c r="B31" s="182" t="s">
        <v>29</v>
      </c>
      <c r="C31" s="182" t="s">
        <v>28</v>
      </c>
      <c r="D31" s="182">
        <v>6</v>
      </c>
      <c r="E31" s="182">
        <f>unskilled</f>
        <v>935</v>
      </c>
      <c r="F31" s="184">
        <f>(D31*E31)</f>
        <v>5610</v>
      </c>
      <c r="L31" s="182" t="s">
        <v>57</v>
      </c>
      <c r="M31" s="182" t="s">
        <v>58</v>
      </c>
      <c r="N31" s="182">
        <v>12</v>
      </c>
      <c r="O31" s="182">
        <f>dozer</f>
        <v>4188</v>
      </c>
      <c r="P31" s="184">
        <f>(N31*O31)</f>
        <v>50256</v>
      </c>
    </row>
    <row r="32" spans="1:21" x14ac:dyDescent="0.25">
      <c r="A32" s="537" t="s">
        <v>30</v>
      </c>
      <c r="B32" s="537"/>
      <c r="C32" s="537"/>
      <c r="D32" s="537"/>
      <c r="E32" s="537"/>
      <c r="F32" s="184">
        <f>SUM(F30:F31)</f>
        <v>5610</v>
      </c>
      <c r="G32" s="537" t="s">
        <v>31</v>
      </c>
      <c r="H32" s="537"/>
      <c r="I32" s="537"/>
      <c r="J32" s="537"/>
      <c r="K32" s="184">
        <f>SUM(K30:K31)</f>
        <v>0</v>
      </c>
      <c r="L32" s="537" t="s">
        <v>32</v>
      </c>
      <c r="M32" s="537"/>
      <c r="N32" s="537"/>
      <c r="O32" s="537"/>
      <c r="P32" s="184">
        <f>SUM(P30:P31)</f>
        <v>50256</v>
      </c>
      <c r="Q32" s="537" t="s">
        <v>38</v>
      </c>
      <c r="R32" s="537"/>
      <c r="S32" s="537"/>
      <c r="T32" s="537"/>
      <c r="U32" s="223">
        <f>SUM(U30:U31)</f>
        <v>0</v>
      </c>
    </row>
    <row r="33" spans="1:21" x14ac:dyDescent="0.25">
      <c r="A33" s="537" t="s">
        <v>33</v>
      </c>
      <c r="B33" s="537"/>
      <c r="C33" s="537"/>
      <c r="D33" s="537"/>
      <c r="E33" s="537"/>
      <c r="F33" s="184">
        <f>SUM(F32+K32+P32)</f>
        <v>55866</v>
      </c>
      <c r="G33" s="537" t="s">
        <v>39</v>
      </c>
      <c r="H33" s="537"/>
      <c r="I33" s="537"/>
      <c r="J33" s="537"/>
      <c r="K33" s="184">
        <f>SUM(F32+K32+P32+U32)</f>
        <v>55866</v>
      </c>
      <c r="L33" s="537" t="s">
        <v>40</v>
      </c>
      <c r="M33" s="537"/>
      <c r="N33" s="537"/>
      <c r="O33" s="537"/>
      <c r="P33" s="184">
        <f>SUM(K33*0.15)</f>
        <v>8379.9</v>
      </c>
      <c r="Q33" s="537" t="s">
        <v>41</v>
      </c>
      <c r="R33" s="537"/>
      <c r="S33" s="537"/>
      <c r="T33" s="537"/>
      <c r="U33" s="223">
        <f>SUM(K33+P33)</f>
        <v>64245.9</v>
      </c>
    </row>
    <row r="34" spans="1:21" x14ac:dyDescent="0.25">
      <c r="Q34" s="537" t="s">
        <v>42</v>
      </c>
      <c r="R34" s="537"/>
      <c r="S34" s="537"/>
      <c r="T34" s="537"/>
      <c r="U34" s="224">
        <f>ROUND((U33/10000),2)</f>
        <v>6.42</v>
      </c>
    </row>
    <row r="35" spans="1:21" x14ac:dyDescent="0.25">
      <c r="A35" s="544"/>
      <c r="B35" s="544"/>
      <c r="C35" s="544"/>
      <c r="D35" s="544"/>
      <c r="E35" s="544"/>
      <c r="F35" s="544"/>
      <c r="G35" s="544"/>
      <c r="H35" s="544"/>
      <c r="I35" s="544"/>
      <c r="J35" s="544"/>
      <c r="K35" s="544"/>
      <c r="L35" s="544"/>
      <c r="M35" s="544"/>
      <c r="N35" s="544"/>
      <c r="O35" s="544"/>
      <c r="P35" s="544"/>
      <c r="Q35" s="544"/>
      <c r="R35" s="544"/>
      <c r="S35" s="544"/>
      <c r="T35" s="544"/>
      <c r="U35" s="544"/>
    </row>
    <row r="36" spans="1:21" x14ac:dyDescent="0.25">
      <c r="A36" s="538" t="s">
        <v>12</v>
      </c>
      <c r="B36" s="538"/>
      <c r="C36" s="540" t="s">
        <v>60</v>
      </c>
      <c r="D36" s="540"/>
      <c r="E36" s="540"/>
      <c r="F36" s="540"/>
      <c r="G36" s="540"/>
      <c r="H36" s="540"/>
      <c r="I36" s="540"/>
      <c r="J36" s="540"/>
      <c r="K36" s="540"/>
      <c r="L36" s="540"/>
      <c r="M36" s="540"/>
      <c r="N36" s="540"/>
      <c r="O36" s="540"/>
      <c r="P36" s="540"/>
      <c r="Q36" s="540"/>
      <c r="R36" s="540"/>
      <c r="S36" s="540"/>
      <c r="T36" s="540"/>
      <c r="U36" s="541" t="s">
        <v>61</v>
      </c>
    </row>
    <row r="37" spans="1:21" x14ac:dyDescent="0.25">
      <c r="A37" s="538"/>
      <c r="B37" s="538"/>
      <c r="C37" s="540"/>
      <c r="D37" s="540"/>
      <c r="E37" s="540"/>
      <c r="F37" s="540"/>
      <c r="G37" s="540"/>
      <c r="H37" s="540"/>
      <c r="I37" s="540"/>
      <c r="J37" s="540"/>
      <c r="K37" s="540"/>
      <c r="L37" s="540"/>
      <c r="M37" s="540"/>
      <c r="N37" s="540"/>
      <c r="O37" s="540"/>
      <c r="P37" s="540"/>
      <c r="Q37" s="540"/>
      <c r="R37" s="540"/>
      <c r="S37" s="540"/>
      <c r="T37" s="540"/>
      <c r="U37" s="541"/>
    </row>
    <row r="38" spans="1:21" ht="35.1" customHeight="1" x14ac:dyDescent="0.25">
      <c r="A38" s="539" t="s">
        <v>59</v>
      </c>
      <c r="B38" s="539"/>
      <c r="C38" s="540"/>
      <c r="D38" s="540"/>
      <c r="E38" s="540"/>
      <c r="F38" s="540"/>
      <c r="G38" s="540"/>
      <c r="H38" s="540"/>
      <c r="I38" s="540"/>
      <c r="J38" s="540"/>
      <c r="K38" s="540"/>
      <c r="L38" s="540"/>
      <c r="M38" s="540"/>
      <c r="N38" s="540"/>
      <c r="O38" s="540"/>
      <c r="P38" s="540"/>
      <c r="Q38" s="540"/>
      <c r="R38" s="540"/>
      <c r="S38" s="540"/>
      <c r="T38" s="540"/>
      <c r="U38" s="541"/>
    </row>
    <row r="39" spans="1:21" x14ac:dyDescent="0.25">
      <c r="A39" s="542" t="s">
        <v>16</v>
      </c>
      <c r="B39" s="543" t="s">
        <v>18</v>
      </c>
      <c r="C39" s="543"/>
      <c r="D39" s="543"/>
      <c r="E39" s="543"/>
      <c r="F39" s="543"/>
      <c r="G39" s="543" t="s">
        <v>24</v>
      </c>
      <c r="H39" s="543"/>
      <c r="I39" s="543"/>
      <c r="J39" s="543"/>
      <c r="K39" s="543"/>
      <c r="L39" s="543" t="s">
        <v>25</v>
      </c>
      <c r="M39" s="543"/>
      <c r="N39" s="543"/>
      <c r="O39" s="543"/>
      <c r="P39" s="543"/>
      <c r="Q39" s="543" t="s">
        <v>26</v>
      </c>
      <c r="R39" s="543"/>
      <c r="S39" s="543"/>
      <c r="T39" s="543"/>
      <c r="U39" s="543"/>
    </row>
    <row r="40" spans="1:21" x14ac:dyDescent="0.25">
      <c r="A40" s="542"/>
      <c r="B40" s="182" t="s">
        <v>19</v>
      </c>
      <c r="C40" s="182" t="s">
        <v>20</v>
      </c>
      <c r="D40" s="182" t="s">
        <v>21</v>
      </c>
      <c r="E40" s="182" t="s">
        <v>22</v>
      </c>
      <c r="F40" s="182" t="s">
        <v>23</v>
      </c>
      <c r="G40" s="182" t="s">
        <v>19</v>
      </c>
      <c r="H40" s="216" t="s">
        <v>20</v>
      </c>
      <c r="I40" s="182" t="s">
        <v>21</v>
      </c>
      <c r="J40" s="182" t="s">
        <v>22</v>
      </c>
      <c r="K40" s="182" t="s">
        <v>23</v>
      </c>
      <c r="L40" s="182" t="s">
        <v>19</v>
      </c>
      <c r="M40" s="182" t="s">
        <v>20</v>
      </c>
      <c r="N40" s="182" t="s">
        <v>21</v>
      </c>
      <c r="O40" s="182" t="s">
        <v>22</v>
      </c>
      <c r="P40" s="182" t="s">
        <v>23</v>
      </c>
      <c r="Q40" s="182" t="s">
        <v>19</v>
      </c>
      <c r="R40" s="182" t="s">
        <v>20</v>
      </c>
      <c r="S40" s="182" t="s">
        <v>21</v>
      </c>
      <c r="T40" s="182" t="s">
        <v>22</v>
      </c>
      <c r="U40" s="211" t="s">
        <v>23</v>
      </c>
    </row>
    <row r="41" spans="1:21" ht="31.5" x14ac:dyDescent="0.25">
      <c r="A41" s="183" t="s">
        <v>62</v>
      </c>
      <c r="B41" s="182" t="s">
        <v>47</v>
      </c>
      <c r="C41" s="182" t="s">
        <v>28</v>
      </c>
      <c r="D41" s="182">
        <v>1</v>
      </c>
      <c r="E41" s="182">
        <f>skilled</f>
        <v>1245</v>
      </c>
      <c r="F41" s="184">
        <f>(D41*E41)</f>
        <v>1245</v>
      </c>
      <c r="L41" s="182" t="s">
        <v>63</v>
      </c>
      <c r="M41" s="182" t="s">
        <v>58</v>
      </c>
      <c r="N41" s="182">
        <v>6</v>
      </c>
      <c r="O41" s="182">
        <f>air_compressor</f>
        <v>1190</v>
      </c>
      <c r="P41" s="184">
        <f>(N41*O41)</f>
        <v>7140</v>
      </c>
    </row>
    <row r="42" spans="1:21" ht="31.5" x14ac:dyDescent="0.25">
      <c r="B42" s="182" t="s">
        <v>29</v>
      </c>
      <c r="C42" s="182" t="s">
        <v>28</v>
      </c>
      <c r="D42" s="182">
        <v>6</v>
      </c>
      <c r="E42" s="182">
        <f>unskilled</f>
        <v>935</v>
      </c>
      <c r="F42" s="184">
        <f>(D42*E42)</f>
        <v>5610</v>
      </c>
      <c r="L42" s="182" t="s">
        <v>64</v>
      </c>
      <c r="M42" s="182" t="s">
        <v>58</v>
      </c>
      <c r="N42" s="182">
        <v>6</v>
      </c>
      <c r="O42" s="182">
        <f>drilling_machine_with_bit_and_accessories</f>
        <v>629</v>
      </c>
      <c r="P42" s="184">
        <f>(N42*O42)</f>
        <v>3774</v>
      </c>
    </row>
    <row r="43" spans="1:21" x14ac:dyDescent="0.25">
      <c r="L43" s="182" t="s">
        <v>65</v>
      </c>
      <c r="M43" s="182" t="s">
        <v>58</v>
      </c>
      <c r="N43" s="182">
        <v>6</v>
      </c>
      <c r="O43" s="182">
        <f>tractor</f>
        <v>868</v>
      </c>
      <c r="P43" s="184">
        <f>(N43*O43)</f>
        <v>5208</v>
      </c>
    </row>
    <row r="44" spans="1:21" x14ac:dyDescent="0.25">
      <c r="A44" s="537" t="s">
        <v>30</v>
      </c>
      <c r="B44" s="537"/>
      <c r="C44" s="537"/>
      <c r="D44" s="537"/>
      <c r="E44" s="537"/>
      <c r="F44" s="184">
        <f>SUM(F40:F43)</f>
        <v>6855</v>
      </c>
      <c r="G44" s="537" t="s">
        <v>31</v>
      </c>
      <c r="H44" s="537"/>
      <c r="I44" s="537"/>
      <c r="J44" s="537"/>
      <c r="K44" s="184">
        <f>SUM(K40:K43)</f>
        <v>0</v>
      </c>
      <c r="L44" s="537" t="s">
        <v>32</v>
      </c>
      <c r="M44" s="537"/>
      <c r="N44" s="537"/>
      <c r="O44" s="537"/>
      <c r="P44" s="184">
        <f>SUM(P40:P43)</f>
        <v>16122</v>
      </c>
      <c r="Q44" s="537" t="s">
        <v>38</v>
      </c>
      <c r="R44" s="537"/>
      <c r="S44" s="537"/>
      <c r="T44" s="537"/>
      <c r="U44" s="223">
        <f>SUM(U40:U43)</f>
        <v>0</v>
      </c>
    </row>
    <row r="45" spans="1:21" x14ac:dyDescent="0.25">
      <c r="A45" s="537" t="s">
        <v>33</v>
      </c>
      <c r="B45" s="537"/>
      <c r="C45" s="537"/>
      <c r="D45" s="537"/>
      <c r="E45" s="537"/>
      <c r="F45" s="184">
        <f>SUM(F44+K44+P44)</f>
        <v>22977</v>
      </c>
      <c r="G45" s="537" t="s">
        <v>39</v>
      </c>
      <c r="H45" s="537"/>
      <c r="I45" s="537"/>
      <c r="J45" s="537"/>
      <c r="K45" s="184">
        <f>SUM(F44+K44+P44+U44)</f>
        <v>22977</v>
      </c>
      <c r="L45" s="537" t="s">
        <v>40</v>
      </c>
      <c r="M45" s="537"/>
      <c r="N45" s="537"/>
      <c r="O45" s="537"/>
      <c r="P45" s="184">
        <f>SUM(K45*0.15)</f>
        <v>3446.5499999999997</v>
      </c>
      <c r="Q45" s="537" t="s">
        <v>41</v>
      </c>
      <c r="R45" s="537"/>
      <c r="S45" s="537"/>
      <c r="T45" s="537"/>
      <c r="U45" s="223">
        <f>SUM(K45+P45)</f>
        <v>26423.55</v>
      </c>
    </row>
    <row r="46" spans="1:21" x14ac:dyDescent="0.25">
      <c r="Q46" s="537" t="s">
        <v>42</v>
      </c>
      <c r="R46" s="537"/>
      <c r="S46" s="537"/>
      <c r="T46" s="537"/>
      <c r="U46" s="224">
        <f>ROUND((U45/10),2)</f>
        <v>2642.36</v>
      </c>
    </row>
    <row r="47" spans="1:21" x14ac:dyDescent="0.25">
      <c r="A47" s="544"/>
      <c r="B47" s="544"/>
      <c r="C47" s="544"/>
      <c r="D47" s="544"/>
      <c r="E47" s="544"/>
      <c r="F47" s="544"/>
      <c r="G47" s="544"/>
      <c r="H47" s="544"/>
      <c r="I47" s="544"/>
      <c r="J47" s="544"/>
      <c r="K47" s="544"/>
      <c r="L47" s="544"/>
      <c r="M47" s="544"/>
      <c r="N47" s="544"/>
      <c r="O47" s="544"/>
      <c r="P47" s="544"/>
      <c r="Q47" s="544"/>
      <c r="R47" s="544"/>
      <c r="S47" s="544"/>
      <c r="T47" s="544"/>
      <c r="U47" s="544"/>
    </row>
    <row r="48" spans="1:21" x14ac:dyDescent="0.25">
      <c r="A48" s="538" t="s">
        <v>12</v>
      </c>
      <c r="B48" s="538"/>
      <c r="C48" s="540" t="s">
        <v>66</v>
      </c>
      <c r="D48" s="540"/>
      <c r="E48" s="540"/>
      <c r="F48" s="540"/>
      <c r="G48" s="540"/>
      <c r="H48" s="540"/>
      <c r="I48" s="540"/>
      <c r="J48" s="540"/>
      <c r="K48" s="540"/>
      <c r="L48" s="540"/>
      <c r="M48" s="540"/>
      <c r="N48" s="540"/>
      <c r="O48" s="540"/>
      <c r="P48" s="540"/>
      <c r="Q48" s="540"/>
      <c r="R48" s="540"/>
      <c r="S48" s="540"/>
      <c r="T48" s="540"/>
      <c r="U48" s="541" t="s">
        <v>61</v>
      </c>
    </row>
    <row r="49" spans="1:21" x14ac:dyDescent="0.25">
      <c r="A49" s="538"/>
      <c r="B49" s="538"/>
      <c r="C49" s="540"/>
      <c r="D49" s="540"/>
      <c r="E49" s="540"/>
      <c r="F49" s="540"/>
      <c r="G49" s="540"/>
      <c r="H49" s="540"/>
      <c r="I49" s="540"/>
      <c r="J49" s="540"/>
      <c r="K49" s="540"/>
      <c r="L49" s="540"/>
      <c r="M49" s="540"/>
      <c r="N49" s="540"/>
      <c r="O49" s="540"/>
      <c r="P49" s="540"/>
      <c r="Q49" s="540"/>
      <c r="R49" s="540"/>
      <c r="S49" s="540"/>
      <c r="T49" s="540"/>
      <c r="U49" s="541"/>
    </row>
    <row r="50" spans="1:21" ht="33.950000000000003" customHeight="1" x14ac:dyDescent="0.25">
      <c r="A50" s="539" t="s">
        <v>59</v>
      </c>
      <c r="B50" s="539"/>
      <c r="C50" s="540"/>
      <c r="D50" s="540"/>
      <c r="E50" s="540"/>
      <c r="F50" s="540"/>
      <c r="G50" s="540"/>
      <c r="H50" s="540"/>
      <c r="I50" s="540"/>
      <c r="J50" s="540"/>
      <c r="K50" s="540"/>
      <c r="L50" s="540"/>
      <c r="M50" s="540"/>
      <c r="N50" s="540"/>
      <c r="O50" s="540"/>
      <c r="P50" s="540"/>
      <c r="Q50" s="540"/>
      <c r="R50" s="540"/>
      <c r="S50" s="540"/>
      <c r="T50" s="540"/>
      <c r="U50" s="541"/>
    </row>
    <row r="51" spans="1:21" x14ac:dyDescent="0.25">
      <c r="A51" s="542" t="s">
        <v>16</v>
      </c>
      <c r="B51" s="543" t="s">
        <v>18</v>
      </c>
      <c r="C51" s="543"/>
      <c r="D51" s="543"/>
      <c r="E51" s="543"/>
      <c r="F51" s="543"/>
      <c r="G51" s="543" t="s">
        <v>24</v>
      </c>
      <c r="H51" s="543"/>
      <c r="I51" s="543"/>
      <c r="J51" s="543"/>
      <c r="K51" s="543"/>
      <c r="L51" s="543" t="s">
        <v>25</v>
      </c>
      <c r="M51" s="543"/>
      <c r="N51" s="543"/>
      <c r="O51" s="543"/>
      <c r="P51" s="543"/>
      <c r="Q51" s="543" t="s">
        <v>26</v>
      </c>
      <c r="R51" s="543"/>
      <c r="S51" s="543"/>
      <c r="T51" s="543"/>
      <c r="U51" s="543"/>
    </row>
    <row r="52" spans="1:21" x14ac:dyDescent="0.25">
      <c r="A52" s="542"/>
      <c r="B52" s="182" t="s">
        <v>19</v>
      </c>
      <c r="C52" s="182" t="s">
        <v>20</v>
      </c>
      <c r="D52" s="182" t="s">
        <v>21</v>
      </c>
      <c r="E52" s="182" t="s">
        <v>22</v>
      </c>
      <c r="F52" s="182" t="s">
        <v>23</v>
      </c>
      <c r="G52" s="182" t="s">
        <v>19</v>
      </c>
      <c r="H52" s="216" t="s">
        <v>20</v>
      </c>
      <c r="I52" s="182" t="s">
        <v>21</v>
      </c>
      <c r="J52" s="182" t="s">
        <v>22</v>
      </c>
      <c r="K52" s="182" t="s">
        <v>23</v>
      </c>
      <c r="L52" s="182" t="s">
        <v>19</v>
      </c>
      <c r="M52" s="182" t="s">
        <v>20</v>
      </c>
      <c r="N52" s="182" t="s">
        <v>21</v>
      </c>
      <c r="O52" s="182" t="s">
        <v>22</v>
      </c>
      <c r="P52" s="182" t="s">
        <v>23</v>
      </c>
      <c r="Q52" s="182" t="s">
        <v>19</v>
      </c>
      <c r="R52" s="182" t="s">
        <v>20</v>
      </c>
      <c r="S52" s="182" t="s">
        <v>21</v>
      </c>
      <c r="T52" s="182" t="s">
        <v>22</v>
      </c>
      <c r="U52" s="211" t="s">
        <v>23</v>
      </c>
    </row>
    <row r="53" spans="1:21" x14ac:dyDescent="0.25">
      <c r="A53" s="183" t="s">
        <v>67</v>
      </c>
      <c r="B53" s="182" t="s">
        <v>47</v>
      </c>
      <c r="C53" s="182" t="s">
        <v>28</v>
      </c>
      <c r="D53" s="182">
        <v>1</v>
      </c>
      <c r="E53" s="182">
        <f>skilled</f>
        <v>1245</v>
      </c>
      <c r="F53" s="184">
        <f>(D53*E53)</f>
        <v>1245</v>
      </c>
      <c r="L53" s="182" t="s">
        <v>65</v>
      </c>
      <c r="M53" s="182" t="s">
        <v>58</v>
      </c>
      <c r="N53" s="182">
        <v>6</v>
      </c>
      <c r="O53" s="182">
        <f>tractor</f>
        <v>868</v>
      </c>
      <c r="P53" s="184">
        <f>(N53*O53)</f>
        <v>5208</v>
      </c>
    </row>
    <row r="54" spans="1:21" x14ac:dyDescent="0.25">
      <c r="B54" s="182" t="s">
        <v>29</v>
      </c>
      <c r="C54" s="182" t="s">
        <v>28</v>
      </c>
      <c r="D54" s="182">
        <v>10</v>
      </c>
      <c r="E54" s="182">
        <f>unskilled</f>
        <v>935</v>
      </c>
      <c r="F54" s="184">
        <f>(D54*E54)</f>
        <v>9350</v>
      </c>
    </row>
    <row r="55" spans="1:21" x14ac:dyDescent="0.25">
      <c r="A55" s="537" t="s">
        <v>30</v>
      </c>
      <c r="B55" s="537"/>
      <c r="C55" s="537"/>
      <c r="D55" s="537"/>
      <c r="E55" s="537"/>
      <c r="F55" s="184">
        <f>SUM(F52:F54)</f>
        <v>10595</v>
      </c>
      <c r="G55" s="537" t="s">
        <v>31</v>
      </c>
      <c r="H55" s="537"/>
      <c r="I55" s="537"/>
      <c r="J55" s="537"/>
      <c r="K55" s="184">
        <f>SUM(K52:K54)</f>
        <v>0</v>
      </c>
      <c r="L55" s="537" t="s">
        <v>32</v>
      </c>
      <c r="M55" s="537"/>
      <c r="N55" s="537"/>
      <c r="O55" s="537"/>
      <c r="P55" s="184">
        <f>SUM(P52:P54)</f>
        <v>5208</v>
      </c>
      <c r="Q55" s="537" t="s">
        <v>38</v>
      </c>
      <c r="R55" s="537"/>
      <c r="S55" s="537"/>
      <c r="T55" s="537"/>
      <c r="U55" s="223">
        <f>SUM(U52:U54)</f>
        <v>0</v>
      </c>
    </row>
    <row r="56" spans="1:21" x14ac:dyDescent="0.25">
      <c r="A56" s="537" t="s">
        <v>33</v>
      </c>
      <c r="B56" s="537"/>
      <c r="C56" s="537"/>
      <c r="D56" s="537"/>
      <c r="E56" s="537"/>
      <c r="F56" s="184">
        <f>SUM(F55+K55+P55)</f>
        <v>15803</v>
      </c>
      <c r="G56" s="537" t="s">
        <v>39</v>
      </c>
      <c r="H56" s="537"/>
      <c r="I56" s="537"/>
      <c r="J56" s="537"/>
      <c r="K56" s="184">
        <f>SUM(F55+K55+P55+U55)</f>
        <v>15803</v>
      </c>
      <c r="L56" s="537" t="s">
        <v>40</v>
      </c>
      <c r="M56" s="537"/>
      <c r="N56" s="537"/>
      <c r="O56" s="537"/>
      <c r="P56" s="184">
        <f>SUM(K56*0.15)</f>
        <v>2370.4499999999998</v>
      </c>
      <c r="Q56" s="537" t="s">
        <v>41</v>
      </c>
      <c r="R56" s="537"/>
      <c r="S56" s="537"/>
      <c r="T56" s="537"/>
      <c r="U56" s="223">
        <f>SUM(K56+P56)</f>
        <v>18173.45</v>
      </c>
    </row>
    <row r="57" spans="1:21" x14ac:dyDescent="0.25">
      <c r="Q57" s="537" t="s">
        <v>42</v>
      </c>
      <c r="R57" s="537"/>
      <c r="S57" s="537"/>
      <c r="T57" s="537"/>
      <c r="U57" s="224">
        <f>ROUND((U56/10),2)</f>
        <v>1817.35</v>
      </c>
    </row>
    <row r="58" spans="1:21" x14ac:dyDescent="0.25">
      <c r="A58" s="544"/>
      <c r="B58" s="544"/>
      <c r="C58" s="544"/>
      <c r="D58" s="544"/>
      <c r="E58" s="544"/>
      <c r="F58" s="544"/>
      <c r="G58" s="544"/>
      <c r="H58" s="544"/>
      <c r="I58" s="544"/>
      <c r="J58" s="544"/>
      <c r="K58" s="544"/>
      <c r="L58" s="544"/>
      <c r="M58" s="544"/>
      <c r="N58" s="544"/>
      <c r="O58" s="544"/>
      <c r="P58" s="544"/>
      <c r="Q58" s="544"/>
      <c r="R58" s="544"/>
      <c r="S58" s="544"/>
      <c r="T58" s="544"/>
      <c r="U58" s="544"/>
    </row>
    <row r="59" spans="1:21" x14ac:dyDescent="0.25">
      <c r="A59" s="538" t="s">
        <v>12</v>
      </c>
      <c r="B59" s="538"/>
      <c r="C59" s="540" t="s">
        <v>68</v>
      </c>
      <c r="D59" s="540"/>
      <c r="E59" s="540"/>
      <c r="F59" s="540"/>
      <c r="G59" s="540"/>
      <c r="H59" s="540"/>
      <c r="I59" s="540"/>
      <c r="J59" s="540"/>
      <c r="K59" s="540"/>
      <c r="L59" s="540"/>
      <c r="M59" s="540"/>
      <c r="N59" s="540"/>
      <c r="O59" s="540"/>
      <c r="P59" s="540"/>
      <c r="Q59" s="540"/>
      <c r="R59" s="540"/>
      <c r="S59" s="540"/>
      <c r="T59" s="540"/>
      <c r="U59" s="541" t="s">
        <v>61</v>
      </c>
    </row>
    <row r="60" spans="1:21" x14ac:dyDescent="0.25">
      <c r="A60" s="538"/>
      <c r="B60" s="538"/>
      <c r="C60" s="540"/>
      <c r="D60" s="540"/>
      <c r="E60" s="540"/>
      <c r="F60" s="540"/>
      <c r="G60" s="540"/>
      <c r="H60" s="540"/>
      <c r="I60" s="540"/>
      <c r="J60" s="540"/>
      <c r="K60" s="540"/>
      <c r="L60" s="540"/>
      <c r="M60" s="540"/>
      <c r="N60" s="540"/>
      <c r="O60" s="540"/>
      <c r="P60" s="540"/>
      <c r="Q60" s="540"/>
      <c r="R60" s="540"/>
      <c r="S60" s="540"/>
      <c r="T60" s="540"/>
      <c r="U60" s="541"/>
    </row>
    <row r="61" spans="1:21" ht="26.1" customHeight="1" x14ac:dyDescent="0.25">
      <c r="A61" s="539" t="s">
        <v>59</v>
      </c>
      <c r="B61" s="539"/>
      <c r="C61" s="540"/>
      <c r="D61" s="540"/>
      <c r="E61" s="540"/>
      <c r="F61" s="540"/>
      <c r="G61" s="540"/>
      <c r="H61" s="540"/>
      <c r="I61" s="540"/>
      <c r="J61" s="540"/>
      <c r="K61" s="540"/>
      <c r="L61" s="540"/>
      <c r="M61" s="540"/>
      <c r="N61" s="540"/>
      <c r="O61" s="540"/>
      <c r="P61" s="540"/>
      <c r="Q61" s="540"/>
      <c r="R61" s="540"/>
      <c r="S61" s="540"/>
      <c r="T61" s="540"/>
      <c r="U61" s="541"/>
    </row>
    <row r="62" spans="1:21" x14ac:dyDescent="0.25">
      <c r="A62" s="542" t="s">
        <v>16</v>
      </c>
      <c r="B62" s="543" t="s">
        <v>18</v>
      </c>
      <c r="C62" s="543"/>
      <c r="D62" s="543"/>
      <c r="E62" s="543"/>
      <c r="F62" s="543"/>
      <c r="G62" s="543" t="s">
        <v>24</v>
      </c>
      <c r="H62" s="543"/>
      <c r="I62" s="543"/>
      <c r="J62" s="543"/>
      <c r="K62" s="543"/>
      <c r="L62" s="543" t="s">
        <v>25</v>
      </c>
      <c r="M62" s="543"/>
      <c r="N62" s="543"/>
      <c r="O62" s="543"/>
      <c r="P62" s="543"/>
      <c r="Q62" s="543" t="s">
        <v>26</v>
      </c>
      <c r="R62" s="543"/>
      <c r="S62" s="543"/>
      <c r="T62" s="543"/>
      <c r="U62" s="543"/>
    </row>
    <row r="63" spans="1:21" x14ac:dyDescent="0.25">
      <c r="A63" s="542"/>
      <c r="B63" s="182" t="s">
        <v>19</v>
      </c>
      <c r="C63" s="182" t="s">
        <v>20</v>
      </c>
      <c r="D63" s="182" t="s">
        <v>21</v>
      </c>
      <c r="E63" s="182" t="s">
        <v>22</v>
      </c>
      <c r="F63" s="182" t="s">
        <v>23</v>
      </c>
      <c r="G63" s="182" t="s">
        <v>19</v>
      </c>
      <c r="H63" s="216" t="s">
        <v>20</v>
      </c>
      <c r="I63" s="182" t="s">
        <v>21</v>
      </c>
      <c r="J63" s="182" t="s">
        <v>22</v>
      </c>
      <c r="K63" s="182" t="s">
        <v>23</v>
      </c>
      <c r="L63" s="182" t="s">
        <v>19</v>
      </c>
      <c r="M63" s="182" t="s">
        <v>20</v>
      </c>
      <c r="N63" s="182" t="s">
        <v>21</v>
      </c>
      <c r="O63" s="182" t="s">
        <v>22</v>
      </c>
      <c r="P63" s="182" t="s">
        <v>23</v>
      </c>
      <c r="Q63" s="182" t="s">
        <v>19</v>
      </c>
      <c r="R63" s="182" t="s">
        <v>20</v>
      </c>
      <c r="S63" s="182" t="s">
        <v>21</v>
      </c>
      <c r="T63" s="182" t="s">
        <v>22</v>
      </c>
      <c r="U63" s="211" t="s">
        <v>23</v>
      </c>
    </row>
    <row r="64" spans="1:21" x14ac:dyDescent="0.25">
      <c r="A64" s="183" t="s">
        <v>69</v>
      </c>
      <c r="B64" s="182" t="s">
        <v>47</v>
      </c>
      <c r="C64" s="182" t="s">
        <v>28</v>
      </c>
      <c r="D64" s="182">
        <v>1</v>
      </c>
      <c r="E64" s="182">
        <f>skilled</f>
        <v>1245</v>
      </c>
      <c r="F64" s="184">
        <f>(D64*E64)</f>
        <v>1245</v>
      </c>
      <c r="L64" s="182" t="s">
        <v>65</v>
      </c>
      <c r="M64" s="182" t="s">
        <v>58</v>
      </c>
      <c r="N64" s="182">
        <v>6</v>
      </c>
      <c r="O64" s="182">
        <f>tractor</f>
        <v>868</v>
      </c>
      <c r="P64" s="184">
        <f>(N64*O64)</f>
        <v>5208</v>
      </c>
    </row>
    <row r="65" spans="1:21" x14ac:dyDescent="0.25">
      <c r="B65" s="182" t="s">
        <v>29</v>
      </c>
      <c r="C65" s="182" t="s">
        <v>28</v>
      </c>
      <c r="D65" s="182">
        <v>10</v>
      </c>
      <c r="E65" s="182">
        <f>unskilled</f>
        <v>935</v>
      </c>
      <c r="F65" s="184">
        <f>(D65*E65)</f>
        <v>9350</v>
      </c>
    </row>
    <row r="66" spans="1:21" x14ac:dyDescent="0.25">
      <c r="A66" s="537" t="s">
        <v>30</v>
      </c>
      <c r="B66" s="537"/>
      <c r="C66" s="537"/>
      <c r="D66" s="537"/>
      <c r="E66" s="537"/>
      <c r="F66" s="184">
        <f>SUM(F63:F65)</f>
        <v>10595</v>
      </c>
      <c r="G66" s="537" t="s">
        <v>31</v>
      </c>
      <c r="H66" s="537"/>
      <c r="I66" s="537"/>
      <c r="J66" s="537"/>
      <c r="K66" s="184">
        <f>SUM(K63:K65)</f>
        <v>0</v>
      </c>
      <c r="L66" s="537" t="s">
        <v>32</v>
      </c>
      <c r="M66" s="537"/>
      <c r="N66" s="537"/>
      <c r="O66" s="537"/>
      <c r="P66" s="184">
        <f>SUM(P63:P65)</f>
        <v>5208</v>
      </c>
      <c r="Q66" s="537" t="s">
        <v>38</v>
      </c>
      <c r="R66" s="537"/>
      <c r="S66" s="537"/>
      <c r="T66" s="537"/>
      <c r="U66" s="223">
        <f>SUM(U63:U65)</f>
        <v>0</v>
      </c>
    </row>
    <row r="67" spans="1:21" x14ac:dyDescent="0.25">
      <c r="A67" s="537" t="s">
        <v>33</v>
      </c>
      <c r="B67" s="537"/>
      <c r="C67" s="537"/>
      <c r="D67" s="537"/>
      <c r="E67" s="537"/>
      <c r="F67" s="184">
        <f>SUM(F66+K66+P66)</f>
        <v>15803</v>
      </c>
      <c r="G67" s="537" t="s">
        <v>39</v>
      </c>
      <c r="H67" s="537"/>
      <c r="I67" s="537"/>
      <c r="J67" s="537"/>
      <c r="K67" s="184">
        <f>SUM(F66+K66+P66+U66)</f>
        <v>15803</v>
      </c>
      <c r="L67" s="537" t="s">
        <v>40</v>
      </c>
      <c r="M67" s="537"/>
      <c r="N67" s="537"/>
      <c r="O67" s="537"/>
      <c r="P67" s="184">
        <f>SUM(K67*0.15)</f>
        <v>2370.4499999999998</v>
      </c>
      <c r="Q67" s="537" t="s">
        <v>41</v>
      </c>
      <c r="R67" s="537"/>
      <c r="S67" s="537"/>
      <c r="T67" s="537"/>
      <c r="U67" s="223">
        <f>SUM(K67+P67)</f>
        <v>18173.45</v>
      </c>
    </row>
    <row r="68" spans="1:21" x14ac:dyDescent="0.25">
      <c r="Q68" s="537" t="s">
        <v>42</v>
      </c>
      <c r="R68" s="537"/>
      <c r="S68" s="537"/>
      <c r="T68" s="537"/>
      <c r="U68" s="224">
        <f>ROUND((U67/10),2)</f>
        <v>1817.35</v>
      </c>
    </row>
    <row r="69" spans="1:21" x14ac:dyDescent="0.25">
      <c r="A69" s="544"/>
      <c r="B69" s="544"/>
      <c r="C69" s="544"/>
      <c r="D69" s="544"/>
      <c r="E69" s="544"/>
      <c r="F69" s="544"/>
      <c r="G69" s="544"/>
      <c r="H69" s="544"/>
      <c r="I69" s="544"/>
      <c r="J69" s="544"/>
      <c r="K69" s="544"/>
      <c r="L69" s="544"/>
      <c r="M69" s="544"/>
      <c r="N69" s="544"/>
      <c r="O69" s="544"/>
      <c r="P69" s="544"/>
      <c r="Q69" s="544"/>
      <c r="R69" s="544"/>
      <c r="S69" s="544"/>
      <c r="T69" s="544"/>
      <c r="U69" s="544"/>
    </row>
    <row r="70" spans="1:21" x14ac:dyDescent="0.25">
      <c r="A70" s="538" t="s">
        <v>12</v>
      </c>
      <c r="B70" s="538"/>
      <c r="C70" s="540" t="s">
        <v>71</v>
      </c>
      <c r="D70" s="540"/>
      <c r="E70" s="540"/>
      <c r="F70" s="540"/>
      <c r="G70" s="540"/>
      <c r="H70" s="540"/>
      <c r="I70" s="540"/>
      <c r="J70" s="540"/>
      <c r="K70" s="540"/>
      <c r="L70" s="540"/>
      <c r="M70" s="540"/>
      <c r="N70" s="540"/>
      <c r="O70" s="540"/>
      <c r="P70" s="540"/>
      <c r="Q70" s="540"/>
      <c r="R70" s="540"/>
      <c r="S70" s="540"/>
      <c r="T70" s="540"/>
      <c r="U70" s="541" t="s">
        <v>72</v>
      </c>
    </row>
    <row r="71" spans="1:21" x14ac:dyDescent="0.25">
      <c r="A71" s="538"/>
      <c r="B71" s="538"/>
      <c r="C71" s="540"/>
      <c r="D71" s="540"/>
      <c r="E71" s="540"/>
      <c r="F71" s="540"/>
      <c r="G71" s="540"/>
      <c r="H71" s="540"/>
      <c r="I71" s="540"/>
      <c r="J71" s="540"/>
      <c r="K71" s="540"/>
      <c r="L71" s="540"/>
      <c r="M71" s="540"/>
      <c r="N71" s="540"/>
      <c r="O71" s="540"/>
      <c r="P71" s="540"/>
      <c r="Q71" s="540"/>
      <c r="R71" s="540"/>
      <c r="S71" s="540"/>
      <c r="T71" s="540"/>
      <c r="U71" s="541"/>
    </row>
    <row r="72" spans="1:21" ht="27" customHeight="1" x14ac:dyDescent="0.25">
      <c r="A72" s="539" t="s">
        <v>70</v>
      </c>
      <c r="B72" s="539"/>
      <c r="C72" s="540"/>
      <c r="D72" s="540"/>
      <c r="E72" s="540"/>
      <c r="F72" s="540"/>
      <c r="G72" s="540"/>
      <c r="H72" s="540"/>
      <c r="I72" s="540"/>
      <c r="J72" s="540"/>
      <c r="K72" s="540"/>
      <c r="L72" s="540"/>
      <c r="M72" s="540"/>
      <c r="N72" s="540"/>
      <c r="O72" s="540"/>
      <c r="P72" s="540"/>
      <c r="Q72" s="540"/>
      <c r="R72" s="540"/>
      <c r="S72" s="540"/>
      <c r="T72" s="540"/>
      <c r="U72" s="541"/>
    </row>
    <row r="73" spans="1:21" x14ac:dyDescent="0.25">
      <c r="A73" s="542" t="s">
        <v>16</v>
      </c>
      <c r="B73" s="543" t="s">
        <v>18</v>
      </c>
      <c r="C73" s="543"/>
      <c r="D73" s="543"/>
      <c r="E73" s="543"/>
      <c r="F73" s="543"/>
      <c r="G73" s="543" t="s">
        <v>24</v>
      </c>
      <c r="H73" s="543"/>
      <c r="I73" s="543"/>
      <c r="J73" s="543"/>
      <c r="K73" s="543"/>
      <c r="L73" s="543" t="s">
        <v>25</v>
      </c>
      <c r="M73" s="543"/>
      <c r="N73" s="543"/>
      <c r="O73" s="543"/>
      <c r="P73" s="543"/>
      <c r="Q73" s="543" t="s">
        <v>26</v>
      </c>
      <c r="R73" s="543"/>
      <c r="S73" s="543"/>
      <c r="T73" s="543"/>
      <c r="U73" s="543"/>
    </row>
    <row r="74" spans="1:21" x14ac:dyDescent="0.25">
      <c r="A74" s="542"/>
      <c r="B74" s="182" t="s">
        <v>19</v>
      </c>
      <c r="C74" s="182" t="s">
        <v>20</v>
      </c>
      <c r="D74" s="182" t="s">
        <v>21</v>
      </c>
      <c r="E74" s="182" t="s">
        <v>22</v>
      </c>
      <c r="F74" s="182" t="s">
        <v>23</v>
      </c>
      <c r="G74" s="182" t="s">
        <v>19</v>
      </c>
      <c r="H74" s="216" t="s">
        <v>20</v>
      </c>
      <c r="I74" s="182" t="s">
        <v>21</v>
      </c>
      <c r="J74" s="182" t="s">
        <v>22</v>
      </c>
      <c r="K74" s="182" t="s">
        <v>23</v>
      </c>
      <c r="L74" s="182" t="s">
        <v>19</v>
      </c>
      <c r="M74" s="182" t="s">
        <v>20</v>
      </c>
      <c r="N74" s="182" t="s">
        <v>21</v>
      </c>
      <c r="O74" s="182" t="s">
        <v>22</v>
      </c>
      <c r="P74" s="182" t="s">
        <v>23</v>
      </c>
      <c r="Q74" s="182" t="s">
        <v>19</v>
      </c>
      <c r="R74" s="182" t="s">
        <v>20</v>
      </c>
      <c r="S74" s="182" t="s">
        <v>21</v>
      </c>
      <c r="T74" s="182" t="s">
        <v>22</v>
      </c>
      <c r="U74" s="211" t="s">
        <v>23</v>
      </c>
    </row>
    <row r="75" spans="1:21" x14ac:dyDescent="0.25">
      <c r="A75" s="183" t="s">
        <v>73</v>
      </c>
      <c r="B75" s="182" t="s">
        <v>47</v>
      </c>
      <c r="C75" s="182" t="s">
        <v>28</v>
      </c>
      <c r="D75" s="182">
        <v>3</v>
      </c>
      <c r="E75" s="182">
        <f>skilled</f>
        <v>1245</v>
      </c>
      <c r="F75" s="184">
        <f>(D75*E75)</f>
        <v>3735</v>
      </c>
      <c r="G75" s="182" t="s">
        <v>74</v>
      </c>
      <c r="H75" s="216" t="s">
        <v>75</v>
      </c>
      <c r="I75" s="182">
        <v>50</v>
      </c>
      <c r="J75" s="182">
        <f>adopted_rate_HDPE_pipe_110_mm</f>
        <v>484</v>
      </c>
      <c r="K75" s="182">
        <f>(I75*J75)</f>
        <v>24200</v>
      </c>
      <c r="L75" s="182" t="s">
        <v>76</v>
      </c>
      <c r="M75" s="182" t="s">
        <v>58</v>
      </c>
      <c r="N75" s="182">
        <v>6</v>
      </c>
      <c r="O75" s="182">
        <f>generator</f>
        <v>855</v>
      </c>
      <c r="P75" s="184">
        <f>(N75*O75)</f>
        <v>5130</v>
      </c>
    </row>
    <row r="76" spans="1:21" x14ac:dyDescent="0.25">
      <c r="B76" s="182" t="s">
        <v>29</v>
      </c>
      <c r="C76" s="182" t="s">
        <v>28</v>
      </c>
      <c r="D76" s="182">
        <v>3</v>
      </c>
      <c r="E76" s="182">
        <f>unskilled</f>
        <v>935</v>
      </c>
      <c r="F76" s="184">
        <f>(D76*E76)</f>
        <v>2805</v>
      </c>
      <c r="L76" s="182" t="s">
        <v>77</v>
      </c>
      <c r="M76" s="182" t="s">
        <v>58</v>
      </c>
      <c r="N76" s="182">
        <v>6</v>
      </c>
      <c r="O76" s="182">
        <f>screw_jack</f>
        <v>53</v>
      </c>
      <c r="P76" s="184">
        <f>(N76*O76)</f>
        <v>318</v>
      </c>
    </row>
    <row r="77" spans="1:21" x14ac:dyDescent="0.25">
      <c r="L77" s="182" t="s">
        <v>78</v>
      </c>
      <c r="M77" s="182" t="s">
        <v>58</v>
      </c>
      <c r="N77" s="182">
        <v>6</v>
      </c>
      <c r="O77" s="182">
        <f>electric_heating_plate</f>
        <v>89</v>
      </c>
      <c r="P77" s="184">
        <f>(N77*O77)</f>
        <v>534</v>
      </c>
    </row>
    <row r="78" spans="1:21" x14ac:dyDescent="0.25">
      <c r="L78" s="182" t="s">
        <v>79</v>
      </c>
      <c r="M78" s="182"/>
      <c r="P78" s="184">
        <f>F79*3/100</f>
        <v>196.2</v>
      </c>
    </row>
    <row r="79" spans="1:21" x14ac:dyDescent="0.25">
      <c r="A79" s="537" t="s">
        <v>30</v>
      </c>
      <c r="B79" s="537"/>
      <c r="C79" s="537"/>
      <c r="D79" s="537"/>
      <c r="E79" s="537"/>
      <c r="F79" s="184">
        <f>SUM(F74:F78)</f>
        <v>6540</v>
      </c>
      <c r="G79" s="537" t="s">
        <v>31</v>
      </c>
      <c r="H79" s="537"/>
      <c r="I79" s="537"/>
      <c r="J79" s="537"/>
      <c r="K79" s="184">
        <f>SUM(K74:K78)</f>
        <v>24200</v>
      </c>
      <c r="L79" s="537" t="s">
        <v>32</v>
      </c>
      <c r="M79" s="537"/>
      <c r="N79" s="537"/>
      <c r="O79" s="537"/>
      <c r="P79" s="184">
        <f>SUM(P74:P78)</f>
        <v>6178.2</v>
      </c>
      <c r="Q79" s="537" t="s">
        <v>38</v>
      </c>
      <c r="R79" s="537"/>
      <c r="S79" s="537"/>
      <c r="T79" s="537"/>
      <c r="U79" s="223">
        <f>SUM(U74:U78)</f>
        <v>0</v>
      </c>
    </row>
    <row r="80" spans="1:21" x14ac:dyDescent="0.25">
      <c r="A80" s="537" t="s">
        <v>33</v>
      </c>
      <c r="B80" s="537"/>
      <c r="C80" s="537"/>
      <c r="D80" s="537"/>
      <c r="E80" s="537"/>
      <c r="F80" s="184">
        <f>SUM(F79+K79+P79)</f>
        <v>36918.199999999997</v>
      </c>
      <c r="G80" s="537" t="s">
        <v>39</v>
      </c>
      <c r="H80" s="537"/>
      <c r="I80" s="537"/>
      <c r="J80" s="537"/>
      <c r="K80" s="184">
        <f>SUM(F79+K79+P79+U79)</f>
        <v>36918.199999999997</v>
      </c>
      <c r="L80" s="537" t="s">
        <v>40</v>
      </c>
      <c r="M80" s="537"/>
      <c r="N80" s="537"/>
      <c r="O80" s="537"/>
      <c r="P80" s="184">
        <f>SUM(K80*0.15)</f>
        <v>5537.73</v>
      </c>
      <c r="Q80" s="537" t="s">
        <v>41</v>
      </c>
      <c r="R80" s="537"/>
      <c r="S80" s="537"/>
      <c r="T80" s="537"/>
      <c r="U80" s="223">
        <f>SUM(K80+P80)</f>
        <v>42455.929999999993</v>
      </c>
    </row>
    <row r="81" spans="1:21" x14ac:dyDescent="0.25">
      <c r="Q81" s="537" t="s">
        <v>42</v>
      </c>
      <c r="R81" s="537"/>
      <c r="S81" s="537"/>
      <c r="T81" s="537"/>
      <c r="U81" s="224">
        <f>ROUND((U80/50),2)</f>
        <v>849.12</v>
      </c>
    </row>
    <row r="82" spans="1:21" x14ac:dyDescent="0.25">
      <c r="A82" s="544"/>
      <c r="B82" s="544"/>
      <c r="C82" s="544"/>
      <c r="D82" s="544"/>
      <c r="E82" s="544"/>
      <c r="F82" s="544"/>
      <c r="G82" s="544"/>
      <c r="H82" s="544"/>
      <c r="I82" s="544"/>
      <c r="J82" s="544"/>
      <c r="K82" s="544"/>
      <c r="L82" s="544"/>
      <c r="M82" s="544"/>
      <c r="N82" s="544"/>
      <c r="O82" s="544"/>
      <c r="P82" s="544"/>
      <c r="Q82" s="544"/>
      <c r="R82" s="544"/>
      <c r="S82" s="544"/>
      <c r="T82" s="544"/>
      <c r="U82" s="544"/>
    </row>
    <row r="83" spans="1:21" x14ac:dyDescent="0.25">
      <c r="A83" s="538" t="s">
        <v>12</v>
      </c>
      <c r="B83" s="538"/>
      <c r="C83" s="540" t="s">
        <v>80</v>
      </c>
      <c r="D83" s="540"/>
      <c r="E83" s="540"/>
      <c r="F83" s="540"/>
      <c r="G83" s="540"/>
      <c r="H83" s="540"/>
      <c r="I83" s="540"/>
      <c r="J83" s="540"/>
      <c r="K83" s="540"/>
      <c r="L83" s="540"/>
      <c r="M83" s="540"/>
      <c r="N83" s="540"/>
      <c r="O83" s="540"/>
      <c r="P83" s="540"/>
      <c r="Q83" s="540"/>
      <c r="R83" s="540"/>
      <c r="S83" s="540"/>
      <c r="T83" s="540"/>
      <c r="U83" s="541" t="s">
        <v>81</v>
      </c>
    </row>
    <row r="84" spans="1:21" x14ac:dyDescent="0.25">
      <c r="A84" s="538"/>
      <c r="B84" s="538"/>
      <c r="C84" s="540"/>
      <c r="D84" s="540"/>
      <c r="E84" s="540"/>
      <c r="F84" s="540"/>
      <c r="G84" s="540"/>
      <c r="H84" s="540"/>
      <c r="I84" s="540"/>
      <c r="J84" s="540"/>
      <c r="K84" s="540"/>
      <c r="L84" s="540"/>
      <c r="M84" s="540"/>
      <c r="N84" s="540"/>
      <c r="O84" s="540"/>
      <c r="P84" s="540"/>
      <c r="Q84" s="540"/>
      <c r="R84" s="540"/>
      <c r="S84" s="540"/>
      <c r="T84" s="540"/>
      <c r="U84" s="541"/>
    </row>
    <row r="85" spans="1:21" x14ac:dyDescent="0.25">
      <c r="A85" s="539" t="s">
        <v>70</v>
      </c>
      <c r="B85" s="539"/>
      <c r="C85" s="540"/>
      <c r="D85" s="540"/>
      <c r="E85" s="540"/>
      <c r="F85" s="540"/>
      <c r="G85" s="540"/>
      <c r="H85" s="540"/>
      <c r="I85" s="540"/>
      <c r="J85" s="540"/>
      <c r="K85" s="540"/>
      <c r="L85" s="540"/>
      <c r="M85" s="540"/>
      <c r="N85" s="540"/>
      <c r="O85" s="540"/>
      <c r="P85" s="540"/>
      <c r="Q85" s="540"/>
      <c r="R85" s="540"/>
      <c r="S85" s="540"/>
      <c r="T85" s="540"/>
      <c r="U85" s="541"/>
    </row>
    <row r="86" spans="1:21" x14ac:dyDescent="0.25">
      <c r="A86" s="542" t="s">
        <v>16</v>
      </c>
      <c r="B86" s="543" t="s">
        <v>18</v>
      </c>
      <c r="C86" s="543"/>
      <c r="D86" s="543"/>
      <c r="E86" s="543"/>
      <c r="F86" s="543"/>
      <c r="G86" s="543" t="s">
        <v>24</v>
      </c>
      <c r="H86" s="543"/>
      <c r="I86" s="543"/>
      <c r="J86" s="543"/>
      <c r="K86" s="543"/>
      <c r="L86" s="543" t="s">
        <v>25</v>
      </c>
      <c r="M86" s="543"/>
      <c r="N86" s="543"/>
      <c r="O86" s="543"/>
      <c r="P86" s="543"/>
      <c r="Q86" s="543" t="s">
        <v>26</v>
      </c>
      <c r="R86" s="543"/>
      <c r="S86" s="543"/>
      <c r="T86" s="543"/>
      <c r="U86" s="543"/>
    </row>
    <row r="87" spans="1:21" x14ac:dyDescent="0.25">
      <c r="A87" s="542"/>
      <c r="B87" s="182" t="s">
        <v>19</v>
      </c>
      <c r="C87" s="182" t="s">
        <v>20</v>
      </c>
      <c r="D87" s="182" t="s">
        <v>21</v>
      </c>
      <c r="E87" s="182" t="s">
        <v>22</v>
      </c>
      <c r="F87" s="182" t="s">
        <v>23</v>
      </c>
      <c r="G87" s="182" t="s">
        <v>19</v>
      </c>
      <c r="H87" s="216" t="s">
        <v>20</v>
      </c>
      <c r="I87" s="182" t="s">
        <v>21</v>
      </c>
      <c r="J87" s="182" t="s">
        <v>22</v>
      </c>
      <c r="K87" s="182" t="s">
        <v>23</v>
      </c>
      <c r="L87" s="182" t="s">
        <v>19</v>
      </c>
      <c r="M87" s="182" t="s">
        <v>20</v>
      </c>
      <c r="N87" s="182" t="s">
        <v>21</v>
      </c>
      <c r="O87" s="182" t="s">
        <v>22</v>
      </c>
      <c r="P87" s="182" t="s">
        <v>23</v>
      </c>
      <c r="Q87" s="182" t="s">
        <v>19</v>
      </c>
      <c r="R87" s="182" t="s">
        <v>20</v>
      </c>
      <c r="S87" s="182" t="s">
        <v>21</v>
      </c>
      <c r="T87" s="182" t="s">
        <v>22</v>
      </c>
      <c r="U87" s="211" t="s">
        <v>23</v>
      </c>
    </row>
    <row r="88" spans="1:21" ht="63" x14ac:dyDescent="0.25">
      <c r="A88" s="183" t="s">
        <v>82</v>
      </c>
      <c r="B88" s="182" t="s">
        <v>47</v>
      </c>
      <c r="C88" s="182" t="s">
        <v>28</v>
      </c>
      <c r="D88" s="182">
        <v>1</v>
      </c>
      <c r="E88" s="182">
        <f>skilled</f>
        <v>1245</v>
      </c>
      <c r="F88" s="184">
        <f>(D88*E88)</f>
        <v>1245</v>
      </c>
      <c r="G88" s="182" t="s">
        <v>83</v>
      </c>
      <c r="H88" s="216" t="s">
        <v>84</v>
      </c>
      <c r="I88" s="182">
        <v>0.08</v>
      </c>
      <c r="J88" s="182">
        <v>3104.64</v>
      </c>
      <c r="K88" s="182">
        <f>(I88*J88)</f>
        <v>248.37119999999999</v>
      </c>
      <c r="L88" s="182" t="s">
        <v>87</v>
      </c>
      <c r="M88" s="182"/>
      <c r="P88" s="184">
        <f>F91*3/100</f>
        <v>177.6</v>
      </c>
    </row>
    <row r="89" spans="1:21" x14ac:dyDescent="0.25">
      <c r="B89" s="182" t="s">
        <v>29</v>
      </c>
      <c r="C89" s="182" t="s">
        <v>28</v>
      </c>
      <c r="D89" s="182">
        <v>5</v>
      </c>
      <c r="E89" s="182">
        <f>unskilled</f>
        <v>935</v>
      </c>
      <c r="F89" s="184">
        <f>(D89*E89)</f>
        <v>4675</v>
      </c>
      <c r="G89" s="182" t="s">
        <v>85</v>
      </c>
      <c r="H89" s="216" t="s">
        <v>35</v>
      </c>
      <c r="I89" s="182">
        <v>0.06</v>
      </c>
      <c r="J89" s="182">
        <f>adopted_rate_cement</f>
        <v>13031</v>
      </c>
      <c r="K89" s="182">
        <f>(I89*J89)</f>
        <v>781.86</v>
      </c>
    </row>
    <row r="90" spans="1:21" x14ac:dyDescent="0.25">
      <c r="G90" s="182" t="s">
        <v>86</v>
      </c>
      <c r="H90" s="216" t="s">
        <v>75</v>
      </c>
      <c r="I90" s="182">
        <v>12.5</v>
      </c>
      <c r="J90" s="182">
        <f>adopted_rate_hume_pipe_dia_300_mm</f>
        <v>3140</v>
      </c>
      <c r="K90" s="182">
        <f>(I90*J90)</f>
        <v>39250</v>
      </c>
    </row>
    <row r="91" spans="1:21" x14ac:dyDescent="0.25">
      <c r="A91" s="537" t="s">
        <v>30</v>
      </c>
      <c r="B91" s="537"/>
      <c r="C91" s="537"/>
      <c r="D91" s="537"/>
      <c r="E91" s="537"/>
      <c r="F91" s="184">
        <f>SUM(F87:F90)</f>
        <v>5920</v>
      </c>
      <c r="G91" s="537" t="s">
        <v>31</v>
      </c>
      <c r="H91" s="537"/>
      <c r="I91" s="537"/>
      <c r="J91" s="537"/>
      <c r="K91" s="184">
        <f>SUM(K87:K90)</f>
        <v>40280.231200000002</v>
      </c>
      <c r="L91" s="537" t="s">
        <v>32</v>
      </c>
      <c r="M91" s="537"/>
      <c r="N91" s="537"/>
      <c r="O91" s="537"/>
      <c r="P91" s="184">
        <f>SUM(P87:P90)</f>
        <v>177.6</v>
      </c>
      <c r="Q91" s="537" t="s">
        <v>38</v>
      </c>
      <c r="R91" s="537"/>
      <c r="S91" s="537"/>
      <c r="T91" s="537"/>
      <c r="U91" s="223">
        <f>SUM(U87:U90)</f>
        <v>0</v>
      </c>
    </row>
    <row r="92" spans="1:21" x14ac:dyDescent="0.25">
      <c r="A92" s="537" t="s">
        <v>33</v>
      </c>
      <c r="B92" s="537"/>
      <c r="C92" s="537"/>
      <c r="D92" s="537"/>
      <c r="E92" s="537"/>
      <c r="F92" s="184">
        <f>SUM(F91+K91+P91)</f>
        <v>46377.831200000001</v>
      </c>
      <c r="G92" s="537" t="s">
        <v>39</v>
      </c>
      <c r="H92" s="537"/>
      <c r="I92" s="537"/>
      <c r="J92" s="537"/>
      <c r="K92" s="184">
        <f>SUM(F91+K91+P91+U91)</f>
        <v>46377.831200000001</v>
      </c>
      <c r="L92" s="537" t="s">
        <v>40</v>
      </c>
      <c r="M92" s="537"/>
      <c r="N92" s="537"/>
      <c r="O92" s="537"/>
      <c r="P92" s="184">
        <f>SUM(K92*0.15)</f>
        <v>6956.6746800000001</v>
      </c>
      <c r="Q92" s="537" t="s">
        <v>41</v>
      </c>
      <c r="R92" s="537"/>
      <c r="S92" s="537"/>
      <c r="T92" s="537"/>
      <c r="U92" s="223">
        <f>SUM(K92+P92)</f>
        <v>53334.505879999997</v>
      </c>
    </row>
    <row r="93" spans="1:21" x14ac:dyDescent="0.25">
      <c r="Q93" s="537" t="s">
        <v>42</v>
      </c>
      <c r="R93" s="537"/>
      <c r="S93" s="537"/>
      <c r="T93" s="537"/>
      <c r="U93" s="224">
        <f>ROUND((U92/12.5),2)</f>
        <v>4266.76</v>
      </c>
    </row>
    <row r="94" spans="1:21" x14ac:dyDescent="0.25">
      <c r="A94" s="544"/>
      <c r="B94" s="544"/>
      <c r="C94" s="544"/>
      <c r="D94" s="544"/>
      <c r="E94" s="544"/>
      <c r="F94" s="544"/>
      <c r="G94" s="544"/>
      <c r="H94" s="544"/>
      <c r="I94" s="544"/>
      <c r="J94" s="544"/>
      <c r="K94" s="544"/>
      <c r="L94" s="544"/>
      <c r="M94" s="544"/>
      <c r="N94" s="544"/>
      <c r="O94" s="544"/>
      <c r="P94" s="544"/>
      <c r="Q94" s="544"/>
      <c r="R94" s="544"/>
      <c r="S94" s="544"/>
      <c r="T94" s="544"/>
      <c r="U94" s="544"/>
    </row>
    <row r="95" spans="1:21" x14ac:dyDescent="0.25">
      <c r="A95" s="538" t="s">
        <v>12</v>
      </c>
      <c r="B95" s="538"/>
      <c r="C95" s="540" t="s">
        <v>88</v>
      </c>
      <c r="D95" s="540"/>
      <c r="E95" s="540"/>
      <c r="F95" s="540"/>
      <c r="G95" s="540"/>
      <c r="H95" s="540"/>
      <c r="I95" s="540"/>
      <c r="J95" s="540"/>
      <c r="K95" s="540"/>
      <c r="L95" s="540"/>
      <c r="M95" s="540"/>
      <c r="N95" s="540"/>
      <c r="O95" s="540"/>
      <c r="P95" s="540"/>
      <c r="Q95" s="540"/>
      <c r="R95" s="540"/>
      <c r="S95" s="540"/>
      <c r="T95" s="540"/>
      <c r="U95" s="541" t="s">
        <v>81</v>
      </c>
    </row>
    <row r="96" spans="1:21" x14ac:dyDescent="0.25">
      <c r="A96" s="538"/>
      <c r="B96" s="538"/>
      <c r="C96" s="540"/>
      <c r="D96" s="540"/>
      <c r="E96" s="540"/>
      <c r="F96" s="540"/>
      <c r="G96" s="540"/>
      <c r="H96" s="540"/>
      <c r="I96" s="540"/>
      <c r="J96" s="540"/>
      <c r="K96" s="540"/>
      <c r="L96" s="540"/>
      <c r="M96" s="540"/>
      <c r="N96" s="540"/>
      <c r="O96" s="540"/>
      <c r="P96" s="540"/>
      <c r="Q96" s="540"/>
      <c r="R96" s="540"/>
      <c r="S96" s="540"/>
      <c r="T96" s="540"/>
      <c r="U96" s="541"/>
    </row>
    <row r="97" spans="1:21" x14ac:dyDescent="0.25">
      <c r="A97" s="539" t="s">
        <v>70</v>
      </c>
      <c r="B97" s="539"/>
      <c r="C97" s="540"/>
      <c r="D97" s="540"/>
      <c r="E97" s="540"/>
      <c r="F97" s="540"/>
      <c r="G97" s="540"/>
      <c r="H97" s="540"/>
      <c r="I97" s="540"/>
      <c r="J97" s="540"/>
      <c r="K97" s="540"/>
      <c r="L97" s="540"/>
      <c r="M97" s="540"/>
      <c r="N97" s="540"/>
      <c r="O97" s="540"/>
      <c r="P97" s="540"/>
      <c r="Q97" s="540"/>
      <c r="R97" s="540"/>
      <c r="S97" s="540"/>
      <c r="T97" s="540"/>
      <c r="U97" s="541"/>
    </row>
    <row r="98" spans="1:21" x14ac:dyDescent="0.25">
      <c r="A98" s="542" t="s">
        <v>16</v>
      </c>
      <c r="B98" s="543" t="s">
        <v>18</v>
      </c>
      <c r="C98" s="543"/>
      <c r="D98" s="543"/>
      <c r="E98" s="543"/>
      <c r="F98" s="543"/>
      <c r="G98" s="543" t="s">
        <v>24</v>
      </c>
      <c r="H98" s="543"/>
      <c r="I98" s="543"/>
      <c r="J98" s="543"/>
      <c r="K98" s="543"/>
      <c r="L98" s="543" t="s">
        <v>25</v>
      </c>
      <c r="M98" s="543"/>
      <c r="N98" s="543"/>
      <c r="O98" s="543"/>
      <c r="P98" s="543"/>
      <c r="Q98" s="543" t="s">
        <v>26</v>
      </c>
      <c r="R98" s="543"/>
      <c r="S98" s="543"/>
      <c r="T98" s="543"/>
      <c r="U98" s="543"/>
    </row>
    <row r="99" spans="1:21" x14ac:dyDescent="0.25">
      <c r="A99" s="542"/>
      <c r="B99" s="182" t="s">
        <v>19</v>
      </c>
      <c r="C99" s="182" t="s">
        <v>20</v>
      </c>
      <c r="D99" s="182" t="s">
        <v>21</v>
      </c>
      <c r="E99" s="182" t="s">
        <v>22</v>
      </c>
      <c r="F99" s="182" t="s">
        <v>23</v>
      </c>
      <c r="G99" s="182" t="s">
        <v>19</v>
      </c>
      <c r="H99" s="216" t="s">
        <v>20</v>
      </c>
      <c r="I99" s="182" t="s">
        <v>21</v>
      </c>
      <c r="J99" s="182" t="s">
        <v>22</v>
      </c>
      <c r="K99" s="182" t="s">
        <v>23</v>
      </c>
      <c r="L99" s="182" t="s">
        <v>19</v>
      </c>
      <c r="M99" s="182" t="s">
        <v>20</v>
      </c>
      <c r="N99" s="182" t="s">
        <v>21</v>
      </c>
      <c r="O99" s="182" t="s">
        <v>22</v>
      </c>
      <c r="P99" s="182" t="s">
        <v>23</v>
      </c>
      <c r="Q99" s="182" t="s">
        <v>19</v>
      </c>
      <c r="R99" s="182" t="s">
        <v>20</v>
      </c>
      <c r="S99" s="182" t="s">
        <v>21</v>
      </c>
      <c r="T99" s="182" t="s">
        <v>22</v>
      </c>
      <c r="U99" s="211" t="s">
        <v>23</v>
      </c>
    </row>
    <row r="100" spans="1:21" ht="63" x14ac:dyDescent="0.25">
      <c r="A100" s="183" t="s">
        <v>89</v>
      </c>
      <c r="B100" s="182" t="s">
        <v>47</v>
      </c>
      <c r="C100" s="182" t="s">
        <v>28</v>
      </c>
      <c r="D100" s="182">
        <v>1</v>
      </c>
      <c r="E100" s="182">
        <f>skilled</f>
        <v>1245</v>
      </c>
      <c r="F100" s="184">
        <f>(D100*E100)</f>
        <v>1245</v>
      </c>
      <c r="G100" s="182" t="s">
        <v>83</v>
      </c>
      <c r="H100" s="216" t="s">
        <v>84</v>
      </c>
      <c r="I100" s="182">
        <v>0.09</v>
      </c>
      <c r="J100" s="182">
        <f>J88</f>
        <v>3104.64</v>
      </c>
      <c r="K100" s="182">
        <f>(I100*J100)</f>
        <v>279.41759999999999</v>
      </c>
      <c r="L100" s="182" t="s">
        <v>87</v>
      </c>
      <c r="M100" s="182"/>
      <c r="P100" s="184">
        <f>F103*3/100</f>
        <v>205.65</v>
      </c>
    </row>
    <row r="101" spans="1:21" x14ac:dyDescent="0.25">
      <c r="B101" s="182" t="s">
        <v>29</v>
      </c>
      <c r="C101" s="182" t="s">
        <v>28</v>
      </c>
      <c r="D101" s="182">
        <v>6</v>
      </c>
      <c r="E101" s="182">
        <f>unskilled</f>
        <v>935</v>
      </c>
      <c r="F101" s="184">
        <f>(D101*E101)</f>
        <v>5610</v>
      </c>
      <c r="G101" s="182" t="s">
        <v>85</v>
      </c>
      <c r="H101" s="216" t="s">
        <v>35</v>
      </c>
      <c r="I101" s="182">
        <v>7.0000000000000007E-2</v>
      </c>
      <c r="J101" s="182">
        <f>adopted_rate_cement</f>
        <v>13031</v>
      </c>
      <c r="K101" s="182">
        <f>(I101*J101)</f>
        <v>912.17000000000007</v>
      </c>
    </row>
    <row r="102" spans="1:21" x14ac:dyDescent="0.25">
      <c r="G102" s="182" t="s">
        <v>90</v>
      </c>
      <c r="H102" s="216" t="s">
        <v>75</v>
      </c>
      <c r="I102" s="182">
        <v>12.5</v>
      </c>
      <c r="J102" s="182">
        <f>adopted_rate_hume_pipe_dia_450_mm</f>
        <v>4500</v>
      </c>
      <c r="K102" s="182">
        <f>(I102*J102)</f>
        <v>56250</v>
      </c>
    </row>
    <row r="103" spans="1:21" x14ac:dyDescent="0.25">
      <c r="A103" s="537" t="s">
        <v>30</v>
      </c>
      <c r="B103" s="537"/>
      <c r="C103" s="537"/>
      <c r="D103" s="537"/>
      <c r="E103" s="537"/>
      <c r="F103" s="184">
        <f>SUM(F99:F102)</f>
        <v>6855</v>
      </c>
      <c r="G103" s="537" t="s">
        <v>31</v>
      </c>
      <c r="H103" s="537"/>
      <c r="I103" s="537"/>
      <c r="J103" s="537"/>
      <c r="K103" s="184">
        <f>SUM(K99:K102)</f>
        <v>57441.587599999999</v>
      </c>
      <c r="L103" s="537" t="s">
        <v>32</v>
      </c>
      <c r="M103" s="537"/>
      <c r="N103" s="537"/>
      <c r="O103" s="537"/>
      <c r="P103" s="184">
        <f>SUM(P99:P102)</f>
        <v>205.65</v>
      </c>
      <c r="Q103" s="537" t="s">
        <v>38</v>
      </c>
      <c r="R103" s="537"/>
      <c r="S103" s="537"/>
      <c r="T103" s="537"/>
      <c r="U103" s="223">
        <f>SUM(U99:U102)</f>
        <v>0</v>
      </c>
    </row>
    <row r="104" spans="1:21" x14ac:dyDescent="0.25">
      <c r="A104" s="537" t="s">
        <v>33</v>
      </c>
      <c r="B104" s="537"/>
      <c r="C104" s="537"/>
      <c r="D104" s="537"/>
      <c r="E104" s="537"/>
      <c r="F104" s="184">
        <f>SUM(F103+K103+P103)</f>
        <v>64502.2376</v>
      </c>
      <c r="G104" s="537" t="s">
        <v>39</v>
      </c>
      <c r="H104" s="537"/>
      <c r="I104" s="537"/>
      <c r="J104" s="537"/>
      <c r="K104" s="184">
        <f>SUM(F103+K103+P103+U103)</f>
        <v>64502.2376</v>
      </c>
      <c r="L104" s="537" t="s">
        <v>40</v>
      </c>
      <c r="M104" s="537"/>
      <c r="N104" s="537"/>
      <c r="O104" s="537"/>
      <c r="P104" s="184">
        <f>SUM(K104*0.15)</f>
        <v>9675.3356399999993</v>
      </c>
      <c r="Q104" s="537" t="s">
        <v>41</v>
      </c>
      <c r="R104" s="537"/>
      <c r="S104" s="537"/>
      <c r="T104" s="537"/>
      <c r="U104" s="223">
        <f>SUM(K104+P104)</f>
        <v>74177.573239999998</v>
      </c>
    </row>
    <row r="105" spans="1:21" x14ac:dyDescent="0.25">
      <c r="Q105" s="537" t="s">
        <v>42</v>
      </c>
      <c r="R105" s="537"/>
      <c r="S105" s="537"/>
      <c r="T105" s="537"/>
      <c r="U105" s="224">
        <f>ROUND((U104/12.5),2)</f>
        <v>5934.21</v>
      </c>
    </row>
    <row r="106" spans="1:21" x14ac:dyDescent="0.25">
      <c r="A106" s="544"/>
      <c r="B106" s="544"/>
      <c r="C106" s="544"/>
      <c r="D106" s="544"/>
      <c r="E106" s="544"/>
      <c r="F106" s="544"/>
      <c r="G106" s="544"/>
      <c r="H106" s="544"/>
      <c r="I106" s="544"/>
      <c r="J106" s="544"/>
      <c r="K106" s="544"/>
      <c r="L106" s="544"/>
      <c r="M106" s="544"/>
      <c r="N106" s="544"/>
      <c r="O106" s="544"/>
      <c r="P106" s="544"/>
      <c r="Q106" s="544"/>
      <c r="R106" s="544"/>
      <c r="S106" s="544"/>
      <c r="T106" s="544"/>
      <c r="U106" s="544"/>
    </row>
    <row r="107" spans="1:21" x14ac:dyDescent="0.25">
      <c r="A107" s="538" t="s">
        <v>12</v>
      </c>
      <c r="B107" s="538"/>
      <c r="C107" s="540" t="s">
        <v>91</v>
      </c>
      <c r="D107" s="540"/>
      <c r="E107" s="540"/>
      <c r="F107" s="540"/>
      <c r="G107" s="540"/>
      <c r="H107" s="540"/>
      <c r="I107" s="540"/>
      <c r="J107" s="540"/>
      <c r="K107" s="540"/>
      <c r="L107" s="540"/>
      <c r="M107" s="540"/>
      <c r="N107" s="540"/>
      <c r="O107" s="540"/>
      <c r="P107" s="540"/>
      <c r="Q107" s="540"/>
      <c r="R107" s="540"/>
      <c r="S107" s="540"/>
      <c r="T107" s="540"/>
      <c r="U107" s="541" t="s">
        <v>81</v>
      </c>
    </row>
    <row r="108" spans="1:21" x14ac:dyDescent="0.25">
      <c r="A108" s="538"/>
      <c r="B108" s="538"/>
      <c r="C108" s="540"/>
      <c r="D108" s="540"/>
      <c r="E108" s="540"/>
      <c r="F108" s="540"/>
      <c r="G108" s="540"/>
      <c r="H108" s="540"/>
      <c r="I108" s="540"/>
      <c r="J108" s="540"/>
      <c r="K108" s="540"/>
      <c r="L108" s="540"/>
      <c r="M108" s="540"/>
      <c r="N108" s="540"/>
      <c r="O108" s="540"/>
      <c r="P108" s="540"/>
      <c r="Q108" s="540"/>
      <c r="R108" s="540"/>
      <c r="S108" s="540"/>
      <c r="T108" s="540"/>
      <c r="U108" s="541"/>
    </row>
    <row r="109" spans="1:21" x14ac:dyDescent="0.25">
      <c r="A109" s="539" t="s">
        <v>70</v>
      </c>
      <c r="B109" s="539"/>
      <c r="C109" s="540"/>
      <c r="D109" s="540"/>
      <c r="E109" s="540"/>
      <c r="F109" s="540"/>
      <c r="G109" s="540"/>
      <c r="H109" s="540"/>
      <c r="I109" s="540"/>
      <c r="J109" s="540"/>
      <c r="K109" s="540"/>
      <c r="L109" s="540"/>
      <c r="M109" s="540"/>
      <c r="N109" s="540"/>
      <c r="O109" s="540"/>
      <c r="P109" s="540"/>
      <c r="Q109" s="540"/>
      <c r="R109" s="540"/>
      <c r="S109" s="540"/>
      <c r="T109" s="540"/>
      <c r="U109" s="541"/>
    </row>
    <row r="110" spans="1:21" x14ac:dyDescent="0.25">
      <c r="A110" s="542" t="s">
        <v>16</v>
      </c>
      <c r="B110" s="543" t="s">
        <v>18</v>
      </c>
      <c r="C110" s="543"/>
      <c r="D110" s="543"/>
      <c r="E110" s="543"/>
      <c r="F110" s="543"/>
      <c r="G110" s="543" t="s">
        <v>24</v>
      </c>
      <c r="H110" s="543"/>
      <c r="I110" s="543"/>
      <c r="J110" s="543"/>
      <c r="K110" s="543"/>
      <c r="L110" s="543" t="s">
        <v>25</v>
      </c>
      <c r="M110" s="543"/>
      <c r="N110" s="543"/>
      <c r="O110" s="543"/>
      <c r="P110" s="543"/>
      <c r="Q110" s="543" t="s">
        <v>26</v>
      </c>
      <c r="R110" s="543"/>
      <c r="S110" s="543"/>
      <c r="T110" s="543"/>
      <c r="U110" s="543"/>
    </row>
    <row r="111" spans="1:21" x14ac:dyDescent="0.25">
      <c r="A111" s="542"/>
      <c r="B111" s="182" t="s">
        <v>19</v>
      </c>
      <c r="C111" s="182" t="s">
        <v>20</v>
      </c>
      <c r="D111" s="182" t="s">
        <v>21</v>
      </c>
      <c r="E111" s="182" t="s">
        <v>22</v>
      </c>
      <c r="F111" s="182" t="s">
        <v>23</v>
      </c>
      <c r="G111" s="182" t="s">
        <v>19</v>
      </c>
      <c r="H111" s="216" t="s">
        <v>20</v>
      </c>
      <c r="I111" s="182" t="s">
        <v>21</v>
      </c>
      <c r="J111" s="182" t="s">
        <v>22</v>
      </c>
      <c r="K111" s="182" t="s">
        <v>23</v>
      </c>
      <c r="L111" s="182" t="s">
        <v>19</v>
      </c>
      <c r="M111" s="182" t="s">
        <v>20</v>
      </c>
      <c r="N111" s="182" t="s">
        <v>21</v>
      </c>
      <c r="O111" s="182" t="s">
        <v>22</v>
      </c>
      <c r="P111" s="182" t="s">
        <v>23</v>
      </c>
      <c r="Q111" s="182" t="s">
        <v>19</v>
      </c>
      <c r="R111" s="182" t="s">
        <v>20</v>
      </c>
      <c r="S111" s="182" t="s">
        <v>21</v>
      </c>
      <c r="T111" s="182" t="s">
        <v>22</v>
      </c>
      <c r="U111" s="211" t="s">
        <v>23</v>
      </c>
    </row>
    <row r="112" spans="1:21" ht="63" x14ac:dyDescent="0.25">
      <c r="A112" s="183" t="s">
        <v>92</v>
      </c>
      <c r="B112" s="182" t="s">
        <v>47</v>
      </c>
      <c r="C112" s="182" t="s">
        <v>28</v>
      </c>
      <c r="D112" s="182">
        <v>1</v>
      </c>
      <c r="E112" s="182">
        <f>skilled</f>
        <v>1245</v>
      </c>
      <c r="F112" s="184">
        <f>(D112*E112)</f>
        <v>1245</v>
      </c>
      <c r="G112" s="182" t="s">
        <v>83</v>
      </c>
      <c r="H112" s="216" t="s">
        <v>84</v>
      </c>
      <c r="I112" s="182">
        <v>0.1</v>
      </c>
      <c r="J112" s="182">
        <f>J100</f>
        <v>3104.64</v>
      </c>
      <c r="K112" s="182">
        <f>(I112*J112)</f>
        <v>310.464</v>
      </c>
      <c r="L112" s="182" t="s">
        <v>87</v>
      </c>
      <c r="M112" s="182"/>
      <c r="P112" s="184">
        <f>F115*3/100</f>
        <v>233.7</v>
      </c>
    </row>
    <row r="113" spans="1:21" x14ac:dyDescent="0.25">
      <c r="B113" s="182" t="s">
        <v>29</v>
      </c>
      <c r="C113" s="182" t="s">
        <v>28</v>
      </c>
      <c r="D113" s="182">
        <v>7</v>
      </c>
      <c r="E113" s="182">
        <f>unskilled</f>
        <v>935</v>
      </c>
      <c r="F113" s="184">
        <f>(D113*E113)</f>
        <v>6545</v>
      </c>
      <c r="G113" s="182" t="s">
        <v>85</v>
      </c>
      <c r="H113" s="216" t="s">
        <v>35</v>
      </c>
      <c r="I113" s="182">
        <v>0.08</v>
      </c>
      <c r="J113" s="182">
        <f>adopted_rate_cement</f>
        <v>13031</v>
      </c>
      <c r="K113" s="182">
        <f>(I113*J113)</f>
        <v>1042.48</v>
      </c>
    </row>
    <row r="114" spans="1:21" x14ac:dyDescent="0.25">
      <c r="G114" s="182" t="s">
        <v>93</v>
      </c>
      <c r="H114" s="216" t="s">
        <v>75</v>
      </c>
      <c r="I114" s="182">
        <v>12.5</v>
      </c>
      <c r="J114" s="182">
        <f>adopted_rate_hume_pipe_dia_600_mm</f>
        <v>6200</v>
      </c>
      <c r="K114" s="182">
        <f>(I114*J114)</f>
        <v>77500</v>
      </c>
    </row>
    <row r="115" spans="1:21" x14ac:dyDescent="0.25">
      <c r="A115" s="537" t="s">
        <v>30</v>
      </c>
      <c r="B115" s="537"/>
      <c r="C115" s="537"/>
      <c r="D115" s="537"/>
      <c r="E115" s="537"/>
      <c r="F115" s="184">
        <f>SUM(F111:F114)</f>
        <v>7790</v>
      </c>
      <c r="G115" s="537" t="s">
        <v>31</v>
      </c>
      <c r="H115" s="537"/>
      <c r="I115" s="537"/>
      <c r="J115" s="537"/>
      <c r="K115" s="184">
        <f>SUM(K111:K114)</f>
        <v>78852.944000000003</v>
      </c>
      <c r="L115" s="537" t="s">
        <v>32</v>
      </c>
      <c r="M115" s="537"/>
      <c r="N115" s="537"/>
      <c r="O115" s="537"/>
      <c r="P115" s="184">
        <f>SUM(P111:P114)</f>
        <v>233.7</v>
      </c>
      <c r="Q115" s="537" t="s">
        <v>38</v>
      </c>
      <c r="R115" s="537"/>
      <c r="S115" s="537"/>
      <c r="T115" s="537"/>
      <c r="U115" s="223">
        <f>SUM(U111:U114)</f>
        <v>0</v>
      </c>
    </row>
    <row r="116" spans="1:21" x14ac:dyDescent="0.25">
      <c r="A116" s="537" t="s">
        <v>33</v>
      </c>
      <c r="B116" s="537"/>
      <c r="C116" s="537"/>
      <c r="D116" s="537"/>
      <c r="E116" s="537"/>
      <c r="F116" s="184">
        <f>SUM(F115+K115+P115)</f>
        <v>86876.644</v>
      </c>
      <c r="G116" s="537" t="s">
        <v>39</v>
      </c>
      <c r="H116" s="537"/>
      <c r="I116" s="537"/>
      <c r="J116" s="537"/>
      <c r="K116" s="184">
        <f>SUM(F115+K115+P115+U115)</f>
        <v>86876.644</v>
      </c>
      <c r="L116" s="537" t="s">
        <v>40</v>
      </c>
      <c r="M116" s="537"/>
      <c r="N116" s="537"/>
      <c r="O116" s="537"/>
      <c r="P116" s="184">
        <f>SUM(K116*0.15)</f>
        <v>13031.4966</v>
      </c>
      <c r="Q116" s="537" t="s">
        <v>41</v>
      </c>
      <c r="R116" s="537"/>
      <c r="S116" s="537"/>
      <c r="T116" s="537"/>
      <c r="U116" s="223">
        <f>SUM(K116+P116)</f>
        <v>99908.140599999999</v>
      </c>
    </row>
    <row r="117" spans="1:21" x14ac:dyDescent="0.25">
      <c r="Q117" s="537" t="s">
        <v>42</v>
      </c>
      <c r="R117" s="537"/>
      <c r="S117" s="537"/>
      <c r="T117" s="537"/>
      <c r="U117" s="224">
        <f>ROUND((U116/12.5),2)</f>
        <v>7992.65</v>
      </c>
    </row>
    <row r="118" spans="1:21" x14ac:dyDescent="0.25">
      <c r="A118" s="544"/>
      <c r="B118" s="544"/>
      <c r="C118" s="544"/>
      <c r="D118" s="544"/>
      <c r="E118" s="544"/>
      <c r="F118" s="544"/>
      <c r="G118" s="544"/>
      <c r="H118" s="544"/>
      <c r="I118" s="544"/>
      <c r="J118" s="544"/>
      <c r="K118" s="544"/>
      <c r="L118" s="544"/>
      <c r="M118" s="544"/>
      <c r="N118" s="544"/>
      <c r="O118" s="544"/>
      <c r="P118" s="544"/>
      <c r="Q118" s="544"/>
      <c r="R118" s="544"/>
      <c r="S118" s="544"/>
      <c r="T118" s="544"/>
      <c r="U118" s="544"/>
    </row>
    <row r="119" spans="1:21" x14ac:dyDescent="0.25">
      <c r="A119" s="538" t="s">
        <v>12</v>
      </c>
      <c r="B119" s="538"/>
      <c r="C119" s="540" t="s">
        <v>94</v>
      </c>
      <c r="D119" s="540"/>
      <c r="E119" s="540"/>
      <c r="F119" s="540"/>
      <c r="G119" s="540"/>
      <c r="H119" s="540"/>
      <c r="I119" s="540"/>
      <c r="J119" s="540"/>
      <c r="K119" s="540"/>
      <c r="L119" s="540"/>
      <c r="M119" s="540"/>
      <c r="N119" s="540"/>
      <c r="O119" s="540"/>
      <c r="P119" s="540"/>
      <c r="Q119" s="540"/>
      <c r="R119" s="540"/>
      <c r="S119" s="540"/>
      <c r="T119" s="540"/>
      <c r="U119" s="541" t="s">
        <v>81</v>
      </c>
    </row>
    <row r="120" spans="1:21" x14ac:dyDescent="0.25">
      <c r="A120" s="538"/>
      <c r="B120" s="538"/>
      <c r="C120" s="540"/>
      <c r="D120" s="540"/>
      <c r="E120" s="540"/>
      <c r="F120" s="540"/>
      <c r="G120" s="540"/>
      <c r="H120" s="540"/>
      <c r="I120" s="540"/>
      <c r="J120" s="540"/>
      <c r="K120" s="540"/>
      <c r="L120" s="540"/>
      <c r="M120" s="540"/>
      <c r="N120" s="540"/>
      <c r="O120" s="540"/>
      <c r="P120" s="540"/>
      <c r="Q120" s="540"/>
      <c r="R120" s="540"/>
      <c r="S120" s="540"/>
      <c r="T120" s="540"/>
      <c r="U120" s="541"/>
    </row>
    <row r="121" spans="1:21" x14ac:dyDescent="0.25">
      <c r="A121" s="539" t="s">
        <v>70</v>
      </c>
      <c r="B121" s="539"/>
      <c r="C121" s="540"/>
      <c r="D121" s="540"/>
      <c r="E121" s="540"/>
      <c r="F121" s="540"/>
      <c r="G121" s="540"/>
      <c r="H121" s="540"/>
      <c r="I121" s="540"/>
      <c r="J121" s="540"/>
      <c r="K121" s="540"/>
      <c r="L121" s="540"/>
      <c r="M121" s="540"/>
      <c r="N121" s="540"/>
      <c r="O121" s="540"/>
      <c r="P121" s="540"/>
      <c r="Q121" s="540"/>
      <c r="R121" s="540"/>
      <c r="S121" s="540"/>
      <c r="T121" s="540"/>
      <c r="U121" s="541"/>
    </row>
    <row r="122" spans="1:21" x14ac:dyDescent="0.25">
      <c r="A122" s="542" t="s">
        <v>16</v>
      </c>
      <c r="B122" s="543" t="s">
        <v>18</v>
      </c>
      <c r="C122" s="543"/>
      <c r="D122" s="543"/>
      <c r="E122" s="543"/>
      <c r="F122" s="543"/>
      <c r="G122" s="543" t="s">
        <v>24</v>
      </c>
      <c r="H122" s="543"/>
      <c r="I122" s="543"/>
      <c r="J122" s="543"/>
      <c r="K122" s="543"/>
      <c r="L122" s="543" t="s">
        <v>25</v>
      </c>
      <c r="M122" s="543"/>
      <c r="N122" s="543"/>
      <c r="O122" s="543"/>
      <c r="P122" s="543"/>
      <c r="Q122" s="543" t="s">
        <v>26</v>
      </c>
      <c r="R122" s="543"/>
      <c r="S122" s="543"/>
      <c r="T122" s="543"/>
      <c r="U122" s="543"/>
    </row>
    <row r="123" spans="1:21" x14ac:dyDescent="0.25">
      <c r="A123" s="542"/>
      <c r="B123" s="182" t="s">
        <v>19</v>
      </c>
      <c r="C123" s="182" t="s">
        <v>20</v>
      </c>
      <c r="D123" s="182" t="s">
        <v>21</v>
      </c>
      <c r="E123" s="182" t="s">
        <v>22</v>
      </c>
      <c r="F123" s="182" t="s">
        <v>23</v>
      </c>
      <c r="G123" s="182" t="s">
        <v>19</v>
      </c>
      <c r="H123" s="216" t="s">
        <v>20</v>
      </c>
      <c r="I123" s="182" t="s">
        <v>21</v>
      </c>
      <c r="J123" s="182" t="s">
        <v>22</v>
      </c>
      <c r="K123" s="182" t="s">
        <v>23</v>
      </c>
      <c r="L123" s="182" t="s">
        <v>19</v>
      </c>
      <c r="M123" s="182" t="s">
        <v>20</v>
      </c>
      <c r="N123" s="182" t="s">
        <v>21</v>
      </c>
      <c r="O123" s="182" t="s">
        <v>22</v>
      </c>
      <c r="P123" s="182" t="s">
        <v>23</v>
      </c>
      <c r="Q123" s="182" t="s">
        <v>19</v>
      </c>
      <c r="R123" s="182" t="s">
        <v>20</v>
      </c>
      <c r="S123" s="182" t="s">
        <v>21</v>
      </c>
      <c r="T123" s="182" t="s">
        <v>22</v>
      </c>
      <c r="U123" s="211" t="s">
        <v>23</v>
      </c>
    </row>
    <row r="124" spans="1:21" ht="63" x14ac:dyDescent="0.25">
      <c r="A124" s="183" t="s">
        <v>95</v>
      </c>
      <c r="B124" s="182" t="s">
        <v>47</v>
      </c>
      <c r="C124" s="182" t="s">
        <v>28</v>
      </c>
      <c r="D124" s="182">
        <v>1</v>
      </c>
      <c r="E124" s="182">
        <f>skilled</f>
        <v>1245</v>
      </c>
      <c r="F124" s="184">
        <f>(D124*E124)</f>
        <v>1245</v>
      </c>
      <c r="G124" s="182" t="s">
        <v>83</v>
      </c>
      <c r="H124" s="216" t="s">
        <v>84</v>
      </c>
      <c r="I124" s="182">
        <v>0.12</v>
      </c>
      <c r="J124" s="182">
        <f>J112</f>
        <v>3104.64</v>
      </c>
      <c r="K124" s="182">
        <f>(I124*J124)</f>
        <v>372.55679999999995</v>
      </c>
      <c r="L124" s="182" t="s">
        <v>87</v>
      </c>
      <c r="M124" s="182"/>
      <c r="P124" s="184">
        <f>F127*3/100</f>
        <v>261.75</v>
      </c>
    </row>
    <row r="125" spans="1:21" x14ac:dyDescent="0.25">
      <c r="B125" s="182" t="s">
        <v>29</v>
      </c>
      <c r="C125" s="182" t="s">
        <v>28</v>
      </c>
      <c r="D125" s="182">
        <v>8</v>
      </c>
      <c r="E125" s="182">
        <f>unskilled</f>
        <v>935</v>
      </c>
      <c r="F125" s="184">
        <f>(D125*E125)</f>
        <v>7480</v>
      </c>
      <c r="G125" s="182" t="s">
        <v>85</v>
      </c>
      <c r="H125" s="216" t="s">
        <v>35</v>
      </c>
      <c r="I125" s="182">
        <v>0.09</v>
      </c>
      <c r="J125" s="182">
        <f>adopted_rate_cement</f>
        <v>13031</v>
      </c>
      <c r="K125" s="182">
        <f>(I125*J125)</f>
        <v>1172.79</v>
      </c>
    </row>
    <row r="126" spans="1:21" x14ac:dyDescent="0.25">
      <c r="G126" s="182" t="s">
        <v>96</v>
      </c>
      <c r="H126" s="216" t="s">
        <v>75</v>
      </c>
      <c r="I126" s="182">
        <v>12.5</v>
      </c>
      <c r="J126" s="182">
        <f>adopted_rate_hume_pipe_dia_900_mm</f>
        <v>12172</v>
      </c>
      <c r="K126" s="182">
        <f>(I126*J126)</f>
        <v>152150</v>
      </c>
    </row>
    <row r="127" spans="1:21" x14ac:dyDescent="0.25">
      <c r="A127" s="537" t="s">
        <v>30</v>
      </c>
      <c r="B127" s="537"/>
      <c r="C127" s="537"/>
      <c r="D127" s="537"/>
      <c r="E127" s="537"/>
      <c r="F127" s="184">
        <f>SUM(F123:F126)</f>
        <v>8725</v>
      </c>
      <c r="G127" s="537" t="s">
        <v>31</v>
      </c>
      <c r="H127" s="537"/>
      <c r="I127" s="537"/>
      <c r="J127" s="537"/>
      <c r="K127" s="184">
        <f>SUM(K123:K126)</f>
        <v>153695.3468</v>
      </c>
      <c r="L127" s="537" t="s">
        <v>32</v>
      </c>
      <c r="M127" s="537"/>
      <c r="N127" s="537"/>
      <c r="O127" s="537"/>
      <c r="P127" s="184">
        <f>SUM(P123:P126)</f>
        <v>261.75</v>
      </c>
      <c r="Q127" s="537" t="s">
        <v>38</v>
      </c>
      <c r="R127" s="537"/>
      <c r="S127" s="537"/>
      <c r="T127" s="537"/>
      <c r="U127" s="223">
        <f>SUM(U123:U126)</f>
        <v>0</v>
      </c>
    </row>
    <row r="128" spans="1:21" x14ac:dyDescent="0.25">
      <c r="A128" s="537" t="s">
        <v>33</v>
      </c>
      <c r="B128" s="537"/>
      <c r="C128" s="537"/>
      <c r="D128" s="537"/>
      <c r="E128" s="537"/>
      <c r="F128" s="184">
        <f>SUM(F127+K127+P127)</f>
        <v>162682.0968</v>
      </c>
      <c r="G128" s="537" t="s">
        <v>39</v>
      </c>
      <c r="H128" s="537"/>
      <c r="I128" s="537"/>
      <c r="J128" s="537"/>
      <c r="K128" s="184">
        <f>SUM(F127+K127+P127+U127)</f>
        <v>162682.0968</v>
      </c>
      <c r="L128" s="537" t="s">
        <v>40</v>
      </c>
      <c r="M128" s="537"/>
      <c r="N128" s="537"/>
      <c r="O128" s="537"/>
      <c r="P128" s="184">
        <f>SUM(K128*0.15)</f>
        <v>24402.31452</v>
      </c>
      <c r="Q128" s="537" t="s">
        <v>41</v>
      </c>
      <c r="R128" s="537"/>
      <c r="S128" s="537"/>
      <c r="T128" s="537"/>
      <c r="U128" s="223">
        <f>SUM(K128+P128)</f>
        <v>187084.41132000001</v>
      </c>
    </row>
    <row r="129" spans="1:21" x14ac:dyDescent="0.25">
      <c r="Q129" s="537" t="s">
        <v>42</v>
      </c>
      <c r="R129" s="537"/>
      <c r="S129" s="537"/>
      <c r="T129" s="537"/>
      <c r="U129" s="224">
        <f>ROUND((U128/12.5),2)</f>
        <v>14966.75</v>
      </c>
    </row>
    <row r="130" spans="1:21" x14ac:dyDescent="0.25">
      <c r="A130" s="544"/>
      <c r="B130" s="544"/>
      <c r="C130" s="544"/>
      <c r="D130" s="544"/>
      <c r="E130" s="544"/>
      <c r="F130" s="544"/>
      <c r="G130" s="544"/>
      <c r="H130" s="544"/>
      <c r="I130" s="544"/>
      <c r="J130" s="544"/>
      <c r="K130" s="544"/>
      <c r="L130" s="544"/>
      <c r="M130" s="544"/>
      <c r="N130" s="544"/>
      <c r="O130" s="544"/>
      <c r="P130" s="544"/>
      <c r="Q130" s="544"/>
      <c r="R130" s="544"/>
      <c r="S130" s="544"/>
      <c r="T130" s="544"/>
      <c r="U130" s="544"/>
    </row>
    <row r="131" spans="1:21" x14ac:dyDescent="0.25">
      <c r="A131" s="538" t="s">
        <v>12</v>
      </c>
      <c r="B131" s="538"/>
      <c r="C131" s="540" t="s">
        <v>97</v>
      </c>
      <c r="D131" s="540"/>
      <c r="E131" s="540"/>
      <c r="F131" s="540"/>
      <c r="G131" s="540"/>
      <c r="H131" s="540"/>
      <c r="I131" s="540"/>
      <c r="J131" s="540"/>
      <c r="K131" s="540"/>
      <c r="L131" s="540"/>
      <c r="M131" s="540"/>
      <c r="N131" s="540"/>
      <c r="O131" s="540"/>
      <c r="P131" s="540"/>
      <c r="Q131" s="540"/>
      <c r="R131" s="540"/>
      <c r="S131" s="540"/>
      <c r="T131" s="540"/>
      <c r="U131" s="541" t="s">
        <v>81</v>
      </c>
    </row>
    <row r="132" spans="1:21" x14ac:dyDescent="0.25">
      <c r="A132" s="538"/>
      <c r="B132" s="538"/>
      <c r="C132" s="540"/>
      <c r="D132" s="540"/>
      <c r="E132" s="540"/>
      <c r="F132" s="540"/>
      <c r="G132" s="540"/>
      <c r="H132" s="540"/>
      <c r="I132" s="540"/>
      <c r="J132" s="540"/>
      <c r="K132" s="540"/>
      <c r="L132" s="540"/>
      <c r="M132" s="540"/>
      <c r="N132" s="540"/>
      <c r="O132" s="540"/>
      <c r="P132" s="540"/>
      <c r="Q132" s="540"/>
      <c r="R132" s="540"/>
      <c r="S132" s="540"/>
      <c r="T132" s="540"/>
      <c r="U132" s="541"/>
    </row>
    <row r="133" spans="1:21" x14ac:dyDescent="0.25">
      <c r="A133" s="539" t="s">
        <v>70</v>
      </c>
      <c r="B133" s="539"/>
      <c r="C133" s="540"/>
      <c r="D133" s="540"/>
      <c r="E133" s="540"/>
      <c r="F133" s="540"/>
      <c r="G133" s="540"/>
      <c r="H133" s="540"/>
      <c r="I133" s="540"/>
      <c r="J133" s="540"/>
      <c r="K133" s="540"/>
      <c r="L133" s="540"/>
      <c r="M133" s="540"/>
      <c r="N133" s="540"/>
      <c r="O133" s="540"/>
      <c r="P133" s="540"/>
      <c r="Q133" s="540"/>
      <c r="R133" s="540"/>
      <c r="S133" s="540"/>
      <c r="T133" s="540"/>
      <c r="U133" s="541"/>
    </row>
    <row r="134" spans="1:21" x14ac:dyDescent="0.25">
      <c r="A134" s="542" t="s">
        <v>16</v>
      </c>
      <c r="B134" s="543" t="s">
        <v>18</v>
      </c>
      <c r="C134" s="543"/>
      <c r="D134" s="543"/>
      <c r="E134" s="543"/>
      <c r="F134" s="543"/>
      <c r="G134" s="543" t="s">
        <v>24</v>
      </c>
      <c r="H134" s="543"/>
      <c r="I134" s="543"/>
      <c r="J134" s="543"/>
      <c r="K134" s="543"/>
      <c r="L134" s="543" t="s">
        <v>25</v>
      </c>
      <c r="M134" s="543"/>
      <c r="N134" s="543"/>
      <c r="O134" s="543"/>
      <c r="P134" s="543"/>
      <c r="Q134" s="543" t="s">
        <v>26</v>
      </c>
      <c r="R134" s="543"/>
      <c r="S134" s="543"/>
      <c r="T134" s="543"/>
      <c r="U134" s="543"/>
    </row>
    <row r="135" spans="1:21" x14ac:dyDescent="0.25">
      <c r="A135" s="542"/>
      <c r="B135" s="182" t="s">
        <v>19</v>
      </c>
      <c r="C135" s="182" t="s">
        <v>20</v>
      </c>
      <c r="D135" s="182" t="s">
        <v>21</v>
      </c>
      <c r="E135" s="182" t="s">
        <v>22</v>
      </c>
      <c r="F135" s="182" t="s">
        <v>23</v>
      </c>
      <c r="G135" s="182" t="s">
        <v>19</v>
      </c>
      <c r="H135" s="216" t="s">
        <v>20</v>
      </c>
      <c r="I135" s="182" t="s">
        <v>21</v>
      </c>
      <c r="J135" s="182" t="s">
        <v>22</v>
      </c>
      <c r="K135" s="182" t="s">
        <v>23</v>
      </c>
      <c r="L135" s="182" t="s">
        <v>19</v>
      </c>
      <c r="M135" s="182" t="s">
        <v>20</v>
      </c>
      <c r="N135" s="182" t="s">
        <v>21</v>
      </c>
      <c r="O135" s="182" t="s">
        <v>22</v>
      </c>
      <c r="P135" s="182" t="s">
        <v>23</v>
      </c>
      <c r="Q135" s="182" t="s">
        <v>19</v>
      </c>
      <c r="R135" s="182" t="s">
        <v>20</v>
      </c>
      <c r="S135" s="182" t="s">
        <v>21</v>
      </c>
      <c r="T135" s="182" t="s">
        <v>22</v>
      </c>
      <c r="U135" s="211" t="s">
        <v>23</v>
      </c>
    </row>
    <row r="136" spans="1:21" ht="63" x14ac:dyDescent="0.25">
      <c r="A136" s="183" t="s">
        <v>98</v>
      </c>
      <c r="B136" s="182" t="s">
        <v>47</v>
      </c>
      <c r="C136" s="182" t="s">
        <v>28</v>
      </c>
      <c r="D136" s="182">
        <v>1.5</v>
      </c>
      <c r="E136" s="182">
        <f>skilled</f>
        <v>1245</v>
      </c>
      <c r="F136" s="184">
        <f>(D136*E136)</f>
        <v>1867.5</v>
      </c>
      <c r="G136" s="182" t="s">
        <v>83</v>
      </c>
      <c r="H136" s="216" t="s">
        <v>84</v>
      </c>
      <c r="I136" s="182">
        <v>0.14000000000000001</v>
      </c>
      <c r="J136" s="182">
        <f>J124</f>
        <v>3104.64</v>
      </c>
      <c r="K136" s="182">
        <f>(I136*J136)</f>
        <v>434.64960000000002</v>
      </c>
      <c r="L136" s="182" t="s">
        <v>87</v>
      </c>
      <c r="M136" s="182"/>
      <c r="P136" s="184">
        <f>F139*3/100</f>
        <v>336.52499999999998</v>
      </c>
    </row>
    <row r="137" spans="1:21" x14ac:dyDescent="0.25">
      <c r="B137" s="182" t="s">
        <v>29</v>
      </c>
      <c r="C137" s="182" t="s">
        <v>28</v>
      </c>
      <c r="D137" s="182">
        <v>10</v>
      </c>
      <c r="E137" s="182">
        <f>unskilled</f>
        <v>935</v>
      </c>
      <c r="F137" s="184">
        <f>(D137*E137)</f>
        <v>9350</v>
      </c>
      <c r="G137" s="182" t="s">
        <v>85</v>
      </c>
      <c r="H137" s="216" t="s">
        <v>35</v>
      </c>
      <c r="I137" s="182">
        <v>0.1</v>
      </c>
      <c r="J137" s="182">
        <f>adopted_rate_cement</f>
        <v>13031</v>
      </c>
      <c r="K137" s="182">
        <f>(I137*J137)</f>
        <v>1303.1000000000001</v>
      </c>
    </row>
    <row r="138" spans="1:21" x14ac:dyDescent="0.25">
      <c r="G138" s="182" t="s">
        <v>99</v>
      </c>
      <c r="H138" s="216" t="s">
        <v>75</v>
      </c>
      <c r="I138" s="182">
        <v>12.5</v>
      </c>
      <c r="J138" s="182">
        <f>adopted_rate_hume_pipe_dia_1000_mm</f>
        <v>13525</v>
      </c>
      <c r="K138" s="182">
        <f>(I138*J138)</f>
        <v>169062.5</v>
      </c>
    </row>
    <row r="139" spans="1:21" x14ac:dyDescent="0.25">
      <c r="A139" s="537" t="s">
        <v>30</v>
      </c>
      <c r="B139" s="537"/>
      <c r="C139" s="537"/>
      <c r="D139" s="537"/>
      <c r="E139" s="537"/>
      <c r="F139" s="184">
        <f>SUM(F135:F138)</f>
        <v>11217.5</v>
      </c>
      <c r="G139" s="537" t="s">
        <v>31</v>
      </c>
      <c r="H139" s="537"/>
      <c r="I139" s="537"/>
      <c r="J139" s="537"/>
      <c r="K139" s="184">
        <f>SUM(K135:K138)</f>
        <v>170800.24960000001</v>
      </c>
      <c r="L139" s="537" t="s">
        <v>32</v>
      </c>
      <c r="M139" s="537"/>
      <c r="N139" s="537"/>
      <c r="O139" s="537"/>
      <c r="P139" s="184">
        <f>SUM(P135:P138)</f>
        <v>336.52499999999998</v>
      </c>
      <c r="Q139" s="537" t="s">
        <v>38</v>
      </c>
      <c r="R139" s="537"/>
      <c r="S139" s="537"/>
      <c r="T139" s="537"/>
      <c r="U139" s="223">
        <f>SUM(U135:U138)</f>
        <v>0</v>
      </c>
    </row>
    <row r="140" spans="1:21" x14ac:dyDescent="0.25">
      <c r="A140" s="537" t="s">
        <v>33</v>
      </c>
      <c r="B140" s="537"/>
      <c r="C140" s="537"/>
      <c r="D140" s="537"/>
      <c r="E140" s="537"/>
      <c r="F140" s="184">
        <f>SUM(F139+K139+P139)</f>
        <v>182354.2746</v>
      </c>
      <c r="G140" s="537" t="s">
        <v>39</v>
      </c>
      <c r="H140" s="537"/>
      <c r="I140" s="537"/>
      <c r="J140" s="537"/>
      <c r="K140" s="184">
        <f>SUM(F139+K139+P139+U139)</f>
        <v>182354.2746</v>
      </c>
      <c r="L140" s="537" t="s">
        <v>40</v>
      </c>
      <c r="M140" s="537"/>
      <c r="N140" s="537"/>
      <c r="O140" s="537"/>
      <c r="P140" s="184">
        <f>SUM(K140*0.15)</f>
        <v>27353.141189999998</v>
      </c>
      <c r="Q140" s="537" t="s">
        <v>41</v>
      </c>
      <c r="R140" s="537"/>
      <c r="S140" s="537"/>
      <c r="T140" s="537"/>
      <c r="U140" s="223">
        <f>SUM(K140+P140)</f>
        <v>209707.41579</v>
      </c>
    </row>
    <row r="141" spans="1:21" x14ac:dyDescent="0.25">
      <c r="Q141" s="537" t="s">
        <v>42</v>
      </c>
      <c r="R141" s="537"/>
      <c r="S141" s="537"/>
      <c r="T141" s="537"/>
      <c r="U141" s="224">
        <f>ROUND((U140/12.5),2)</f>
        <v>16776.59</v>
      </c>
    </row>
    <row r="142" spans="1:21" x14ac:dyDescent="0.25">
      <c r="A142" s="544"/>
      <c r="B142" s="544"/>
      <c r="C142" s="544"/>
      <c r="D142" s="544"/>
      <c r="E142" s="544"/>
      <c r="F142" s="544"/>
      <c r="G142" s="544"/>
      <c r="H142" s="544"/>
      <c r="I142" s="544"/>
      <c r="J142" s="544"/>
      <c r="K142" s="544"/>
      <c r="L142" s="544"/>
      <c r="M142" s="544"/>
      <c r="N142" s="544"/>
      <c r="O142" s="544"/>
      <c r="P142" s="544"/>
      <c r="Q142" s="544"/>
      <c r="R142" s="544"/>
      <c r="S142" s="544"/>
      <c r="T142" s="544"/>
      <c r="U142" s="544"/>
    </row>
    <row r="143" spans="1:21" x14ac:dyDescent="0.25">
      <c r="A143" s="538" t="s">
        <v>12</v>
      </c>
      <c r="B143" s="538"/>
      <c r="C143" s="540" t="s">
        <v>100</v>
      </c>
      <c r="D143" s="540"/>
      <c r="E143" s="540"/>
      <c r="F143" s="540"/>
      <c r="G143" s="540"/>
      <c r="H143" s="540"/>
      <c r="I143" s="540"/>
      <c r="J143" s="540"/>
      <c r="K143" s="540"/>
      <c r="L143" s="540"/>
      <c r="M143" s="540"/>
      <c r="N143" s="540"/>
      <c r="O143" s="540"/>
      <c r="P143" s="540"/>
      <c r="Q143" s="540"/>
      <c r="R143" s="540"/>
      <c r="S143" s="540"/>
      <c r="T143" s="540"/>
      <c r="U143" s="541" t="s">
        <v>81</v>
      </c>
    </row>
    <row r="144" spans="1:21" x14ac:dyDescent="0.25">
      <c r="A144" s="538"/>
      <c r="B144" s="538"/>
      <c r="C144" s="540"/>
      <c r="D144" s="540"/>
      <c r="E144" s="540"/>
      <c r="F144" s="540"/>
      <c r="G144" s="540"/>
      <c r="H144" s="540"/>
      <c r="I144" s="540"/>
      <c r="J144" s="540"/>
      <c r="K144" s="540"/>
      <c r="L144" s="540"/>
      <c r="M144" s="540"/>
      <c r="N144" s="540"/>
      <c r="O144" s="540"/>
      <c r="P144" s="540"/>
      <c r="Q144" s="540"/>
      <c r="R144" s="540"/>
      <c r="S144" s="540"/>
      <c r="T144" s="540"/>
      <c r="U144" s="541"/>
    </row>
    <row r="145" spans="1:21" x14ac:dyDescent="0.25">
      <c r="A145" s="539" t="s">
        <v>70</v>
      </c>
      <c r="B145" s="539"/>
      <c r="C145" s="540"/>
      <c r="D145" s="540"/>
      <c r="E145" s="540"/>
      <c r="F145" s="540"/>
      <c r="G145" s="540"/>
      <c r="H145" s="540"/>
      <c r="I145" s="540"/>
      <c r="J145" s="540"/>
      <c r="K145" s="540"/>
      <c r="L145" s="540"/>
      <c r="M145" s="540"/>
      <c r="N145" s="540"/>
      <c r="O145" s="540"/>
      <c r="P145" s="540"/>
      <c r="Q145" s="540"/>
      <c r="R145" s="540"/>
      <c r="S145" s="540"/>
      <c r="T145" s="540"/>
      <c r="U145" s="541"/>
    </row>
    <row r="146" spans="1:21" x14ac:dyDescent="0.25">
      <c r="A146" s="542" t="s">
        <v>16</v>
      </c>
      <c r="B146" s="543" t="s">
        <v>18</v>
      </c>
      <c r="C146" s="543"/>
      <c r="D146" s="543"/>
      <c r="E146" s="543"/>
      <c r="F146" s="543"/>
      <c r="G146" s="543" t="s">
        <v>24</v>
      </c>
      <c r="H146" s="543"/>
      <c r="I146" s="543"/>
      <c r="J146" s="543"/>
      <c r="K146" s="543"/>
      <c r="L146" s="543" t="s">
        <v>25</v>
      </c>
      <c r="M146" s="543"/>
      <c r="N146" s="543"/>
      <c r="O146" s="543"/>
      <c r="P146" s="543"/>
      <c r="Q146" s="543" t="s">
        <v>26</v>
      </c>
      <c r="R146" s="543"/>
      <c r="S146" s="543"/>
      <c r="T146" s="543"/>
      <c r="U146" s="543"/>
    </row>
    <row r="147" spans="1:21" x14ac:dyDescent="0.25">
      <c r="A147" s="542"/>
      <c r="B147" s="182" t="s">
        <v>19</v>
      </c>
      <c r="C147" s="182" t="s">
        <v>20</v>
      </c>
      <c r="D147" s="182" t="s">
        <v>21</v>
      </c>
      <c r="E147" s="182" t="s">
        <v>22</v>
      </c>
      <c r="F147" s="182" t="s">
        <v>23</v>
      </c>
      <c r="G147" s="182" t="s">
        <v>19</v>
      </c>
      <c r="H147" s="216" t="s">
        <v>20</v>
      </c>
      <c r="I147" s="182" t="s">
        <v>21</v>
      </c>
      <c r="J147" s="182" t="s">
        <v>22</v>
      </c>
      <c r="K147" s="182" t="s">
        <v>23</v>
      </c>
      <c r="L147" s="182" t="s">
        <v>19</v>
      </c>
      <c r="M147" s="182" t="s">
        <v>20</v>
      </c>
      <c r="N147" s="182" t="s">
        <v>21</v>
      </c>
      <c r="O147" s="182" t="s">
        <v>22</v>
      </c>
      <c r="P147" s="182" t="s">
        <v>23</v>
      </c>
      <c r="Q147" s="182" t="s">
        <v>19</v>
      </c>
      <c r="R147" s="182" t="s">
        <v>20</v>
      </c>
      <c r="S147" s="182" t="s">
        <v>21</v>
      </c>
      <c r="T147" s="182" t="s">
        <v>22</v>
      </c>
      <c r="U147" s="211" t="s">
        <v>23</v>
      </c>
    </row>
    <row r="148" spans="1:21" ht="63" x14ac:dyDescent="0.25">
      <c r="A148" s="183" t="s">
        <v>101</v>
      </c>
      <c r="B148" s="182" t="s">
        <v>47</v>
      </c>
      <c r="C148" s="182" t="s">
        <v>28</v>
      </c>
      <c r="D148" s="182">
        <v>2</v>
      </c>
      <c r="E148" s="182">
        <f>skilled</f>
        <v>1245</v>
      </c>
      <c r="F148" s="184">
        <f>(D148*E148)</f>
        <v>2490</v>
      </c>
      <c r="G148" s="182" t="s">
        <v>83</v>
      </c>
      <c r="H148" s="216" t="s">
        <v>84</v>
      </c>
      <c r="I148" s="182">
        <v>0.18</v>
      </c>
      <c r="J148" s="182">
        <f>J136</f>
        <v>3104.64</v>
      </c>
      <c r="K148" s="182">
        <f>(I148*J148)</f>
        <v>558.83519999999999</v>
      </c>
      <c r="L148" s="182" t="s">
        <v>87</v>
      </c>
      <c r="M148" s="182"/>
      <c r="P148" s="184">
        <f>F151*3/100</f>
        <v>411.3</v>
      </c>
    </row>
    <row r="149" spans="1:21" x14ac:dyDescent="0.25">
      <c r="B149" s="182" t="s">
        <v>29</v>
      </c>
      <c r="C149" s="182" t="s">
        <v>28</v>
      </c>
      <c r="D149" s="182">
        <v>12</v>
      </c>
      <c r="E149" s="182">
        <f>unskilled</f>
        <v>935</v>
      </c>
      <c r="F149" s="184">
        <f>(D149*E149)</f>
        <v>11220</v>
      </c>
      <c r="G149" s="182" t="s">
        <v>85</v>
      </c>
      <c r="H149" s="216" t="s">
        <v>35</v>
      </c>
      <c r="I149" s="182">
        <v>0.14000000000000001</v>
      </c>
      <c r="J149" s="182">
        <f>adopted_rate_cement</f>
        <v>13031</v>
      </c>
      <c r="K149" s="182">
        <f>(I149*J149)</f>
        <v>1824.3400000000001</v>
      </c>
    </row>
    <row r="150" spans="1:21" x14ac:dyDescent="0.25">
      <c r="G150" s="182" t="s">
        <v>102</v>
      </c>
      <c r="H150" s="216" t="s">
        <v>75</v>
      </c>
      <c r="I150" s="182">
        <v>12.5</v>
      </c>
      <c r="J150" s="182">
        <f>adopted_rate_hume_pipe_dia_1200_mm</f>
        <v>16100</v>
      </c>
      <c r="K150" s="182">
        <f>(I150*J150)</f>
        <v>201250</v>
      </c>
    </row>
    <row r="151" spans="1:21" x14ac:dyDescent="0.25">
      <c r="A151" s="537" t="s">
        <v>30</v>
      </c>
      <c r="B151" s="537"/>
      <c r="C151" s="537"/>
      <c r="D151" s="537"/>
      <c r="E151" s="537"/>
      <c r="F151" s="184">
        <f>SUM(F147:F150)</f>
        <v>13710</v>
      </c>
      <c r="G151" s="537" t="s">
        <v>31</v>
      </c>
      <c r="H151" s="537"/>
      <c r="I151" s="537"/>
      <c r="J151" s="537"/>
      <c r="K151" s="184">
        <f>SUM(K147:K150)</f>
        <v>203633.1752</v>
      </c>
      <c r="L151" s="537" t="s">
        <v>32</v>
      </c>
      <c r="M151" s="537"/>
      <c r="N151" s="537"/>
      <c r="O151" s="537"/>
      <c r="P151" s="184">
        <f>SUM(P147:P150)</f>
        <v>411.3</v>
      </c>
      <c r="Q151" s="537" t="s">
        <v>38</v>
      </c>
      <c r="R151" s="537"/>
      <c r="S151" s="537"/>
      <c r="T151" s="537"/>
      <c r="U151" s="223">
        <f>SUM(U147:U150)</f>
        <v>0</v>
      </c>
    </row>
    <row r="152" spans="1:21" x14ac:dyDescent="0.25">
      <c r="A152" s="537" t="s">
        <v>33</v>
      </c>
      <c r="B152" s="537"/>
      <c r="C152" s="537"/>
      <c r="D152" s="537"/>
      <c r="E152" s="537"/>
      <c r="F152" s="184">
        <f>SUM(F151+K151+P151)</f>
        <v>217754.47519999999</v>
      </c>
      <c r="G152" s="537" t="s">
        <v>39</v>
      </c>
      <c r="H152" s="537"/>
      <c r="I152" s="537"/>
      <c r="J152" s="537"/>
      <c r="K152" s="184">
        <f>SUM(F151+K151+P151+U151)</f>
        <v>217754.47519999999</v>
      </c>
      <c r="L152" s="537" t="s">
        <v>40</v>
      </c>
      <c r="M152" s="537"/>
      <c r="N152" s="537"/>
      <c r="O152" s="537"/>
      <c r="P152" s="184">
        <f>SUM(K152*0.15)</f>
        <v>32663.171279999995</v>
      </c>
      <c r="Q152" s="537" t="s">
        <v>41</v>
      </c>
      <c r="R152" s="537"/>
      <c r="S152" s="537"/>
      <c r="T152" s="537"/>
      <c r="U152" s="223">
        <f>SUM(K152+P152)</f>
        <v>250417.64648</v>
      </c>
    </row>
    <row r="153" spans="1:21" x14ac:dyDescent="0.25">
      <c r="Q153" s="537" t="s">
        <v>42</v>
      </c>
      <c r="R153" s="537"/>
      <c r="S153" s="537"/>
      <c r="T153" s="537"/>
      <c r="U153" s="224">
        <f>ROUND((U152/12.5),2)</f>
        <v>20033.41</v>
      </c>
    </row>
    <row r="154" spans="1:21" x14ac:dyDescent="0.25">
      <c r="A154" s="544"/>
      <c r="B154" s="544"/>
      <c r="C154" s="544"/>
      <c r="D154" s="544"/>
      <c r="E154" s="544"/>
      <c r="F154" s="544"/>
      <c r="G154" s="544"/>
      <c r="H154" s="544"/>
      <c r="I154" s="544"/>
      <c r="J154" s="544"/>
      <c r="K154" s="544"/>
      <c r="L154" s="544"/>
      <c r="M154" s="544"/>
      <c r="N154" s="544"/>
      <c r="O154" s="544"/>
      <c r="P154" s="544"/>
      <c r="Q154" s="544"/>
      <c r="R154" s="544"/>
      <c r="S154" s="544"/>
      <c r="T154" s="544"/>
      <c r="U154" s="544"/>
    </row>
    <row r="155" spans="1:21" x14ac:dyDescent="0.25">
      <c r="A155" s="538" t="s">
        <v>12</v>
      </c>
      <c r="B155" s="538"/>
      <c r="C155" s="540" t="s">
        <v>103</v>
      </c>
      <c r="D155" s="540"/>
      <c r="E155" s="540"/>
      <c r="F155" s="540"/>
      <c r="G155" s="540"/>
      <c r="H155" s="540"/>
      <c r="I155" s="540"/>
      <c r="J155" s="540"/>
      <c r="K155" s="540"/>
      <c r="L155" s="540"/>
      <c r="M155" s="540"/>
      <c r="N155" s="540"/>
      <c r="O155" s="540"/>
      <c r="P155" s="540"/>
      <c r="Q155" s="540"/>
      <c r="R155" s="540"/>
      <c r="S155" s="540"/>
      <c r="T155" s="540"/>
      <c r="U155" s="541" t="s">
        <v>81</v>
      </c>
    </row>
    <row r="156" spans="1:21" x14ac:dyDescent="0.25">
      <c r="A156" s="538"/>
      <c r="B156" s="538"/>
      <c r="C156" s="540"/>
      <c r="D156" s="540"/>
      <c r="E156" s="540"/>
      <c r="F156" s="540"/>
      <c r="G156" s="540"/>
      <c r="H156" s="540"/>
      <c r="I156" s="540"/>
      <c r="J156" s="540"/>
      <c r="K156" s="540"/>
      <c r="L156" s="540"/>
      <c r="M156" s="540"/>
      <c r="N156" s="540"/>
      <c r="O156" s="540"/>
      <c r="P156" s="540"/>
      <c r="Q156" s="540"/>
      <c r="R156" s="540"/>
      <c r="S156" s="540"/>
      <c r="T156" s="540"/>
      <c r="U156" s="541"/>
    </row>
    <row r="157" spans="1:21" x14ac:dyDescent="0.25">
      <c r="A157" s="539" t="s">
        <v>70</v>
      </c>
      <c r="B157" s="539"/>
      <c r="C157" s="540"/>
      <c r="D157" s="540"/>
      <c r="E157" s="540"/>
      <c r="F157" s="540"/>
      <c r="G157" s="540"/>
      <c r="H157" s="540"/>
      <c r="I157" s="540"/>
      <c r="J157" s="540"/>
      <c r="K157" s="540"/>
      <c r="L157" s="540"/>
      <c r="M157" s="540"/>
      <c r="N157" s="540"/>
      <c r="O157" s="540"/>
      <c r="P157" s="540"/>
      <c r="Q157" s="540"/>
      <c r="R157" s="540"/>
      <c r="S157" s="540"/>
      <c r="T157" s="540"/>
      <c r="U157" s="541"/>
    </row>
    <row r="158" spans="1:21" x14ac:dyDescent="0.25">
      <c r="A158" s="542" t="s">
        <v>16</v>
      </c>
      <c r="B158" s="543" t="s">
        <v>18</v>
      </c>
      <c r="C158" s="543"/>
      <c r="D158" s="543"/>
      <c r="E158" s="543"/>
      <c r="F158" s="543"/>
      <c r="G158" s="543" t="s">
        <v>24</v>
      </c>
      <c r="H158" s="543"/>
      <c r="I158" s="543"/>
      <c r="J158" s="543"/>
      <c r="K158" s="543"/>
      <c r="L158" s="543" t="s">
        <v>25</v>
      </c>
      <c r="M158" s="543"/>
      <c r="N158" s="543"/>
      <c r="O158" s="543"/>
      <c r="P158" s="543"/>
      <c r="Q158" s="543" t="s">
        <v>26</v>
      </c>
      <c r="R158" s="543"/>
      <c r="S158" s="543"/>
      <c r="T158" s="543"/>
      <c r="U158" s="543"/>
    </row>
    <row r="159" spans="1:21" x14ac:dyDescent="0.25">
      <c r="A159" s="542"/>
      <c r="B159" s="182" t="s">
        <v>19</v>
      </c>
      <c r="C159" s="182" t="s">
        <v>20</v>
      </c>
      <c r="D159" s="182" t="s">
        <v>21</v>
      </c>
      <c r="E159" s="182" t="s">
        <v>22</v>
      </c>
      <c r="F159" s="182" t="s">
        <v>23</v>
      </c>
      <c r="G159" s="182" t="s">
        <v>19</v>
      </c>
      <c r="H159" s="216" t="s">
        <v>20</v>
      </c>
      <c r="I159" s="182" t="s">
        <v>21</v>
      </c>
      <c r="J159" s="182" t="s">
        <v>22</v>
      </c>
      <c r="K159" s="182" t="s">
        <v>23</v>
      </c>
      <c r="L159" s="182" t="s">
        <v>19</v>
      </c>
      <c r="M159" s="182" t="s">
        <v>20</v>
      </c>
      <c r="N159" s="182" t="s">
        <v>21</v>
      </c>
      <c r="O159" s="182" t="s">
        <v>22</v>
      </c>
      <c r="P159" s="182" t="s">
        <v>23</v>
      </c>
      <c r="Q159" s="182" t="s">
        <v>19</v>
      </c>
      <c r="R159" s="182" t="s">
        <v>20</v>
      </c>
      <c r="S159" s="182" t="s">
        <v>21</v>
      </c>
      <c r="T159" s="182" t="s">
        <v>22</v>
      </c>
      <c r="U159" s="211" t="s">
        <v>23</v>
      </c>
    </row>
    <row r="160" spans="1:21" ht="63" x14ac:dyDescent="0.25">
      <c r="A160" s="183" t="s">
        <v>104</v>
      </c>
      <c r="B160" s="182" t="s">
        <v>47</v>
      </c>
      <c r="C160" s="182" t="s">
        <v>28</v>
      </c>
      <c r="D160" s="182">
        <v>1</v>
      </c>
      <c r="E160" s="182">
        <f>skilled</f>
        <v>1245</v>
      </c>
      <c r="F160" s="184">
        <f>(D160*E160)</f>
        <v>1245</v>
      </c>
      <c r="G160" s="182" t="s">
        <v>83</v>
      </c>
      <c r="H160" s="216" t="s">
        <v>84</v>
      </c>
      <c r="I160" s="182">
        <v>0.08</v>
      </c>
      <c r="J160" s="182">
        <f>J148</f>
        <v>3104.64</v>
      </c>
      <c r="K160" s="182">
        <f>(I160*J160)</f>
        <v>248.37119999999999</v>
      </c>
      <c r="L160" s="182" t="s">
        <v>87</v>
      </c>
      <c r="M160" s="182"/>
      <c r="P160" s="184">
        <f>F164*3/100</f>
        <v>177.6</v>
      </c>
    </row>
    <row r="161" spans="1:21" x14ac:dyDescent="0.25">
      <c r="B161" s="182" t="s">
        <v>29</v>
      </c>
      <c r="C161" s="182" t="s">
        <v>28</v>
      </c>
      <c r="D161" s="182">
        <v>5</v>
      </c>
      <c r="E161" s="182">
        <f>unskilled</f>
        <v>935</v>
      </c>
      <c r="F161" s="184">
        <f>(D161*E161)</f>
        <v>4675</v>
      </c>
      <c r="G161" s="182" t="s">
        <v>85</v>
      </c>
      <c r="H161" s="216" t="s">
        <v>35</v>
      </c>
      <c r="I161" s="182">
        <v>0.06</v>
      </c>
      <c r="J161" s="182">
        <f>adopted_rate_cement</f>
        <v>13031</v>
      </c>
      <c r="K161" s="182">
        <f>(I161*J161)</f>
        <v>781.86</v>
      </c>
    </row>
    <row r="162" spans="1:21" x14ac:dyDescent="0.25">
      <c r="G162" s="182" t="s">
        <v>86</v>
      </c>
      <c r="H162" s="216" t="s">
        <v>75</v>
      </c>
      <c r="I162" s="182">
        <v>12.5</v>
      </c>
      <c r="J162" s="182">
        <f>adopted_rate_hume_pipe_dia_300_mm</f>
        <v>3140</v>
      </c>
      <c r="K162" s="182">
        <f>(I162*J162)</f>
        <v>39250</v>
      </c>
    </row>
    <row r="163" spans="1:21" x14ac:dyDescent="0.25">
      <c r="G163" s="182" t="s">
        <v>105</v>
      </c>
      <c r="H163" s="216" t="s">
        <v>106</v>
      </c>
      <c r="I163" s="182">
        <v>4</v>
      </c>
      <c r="J163" s="182">
        <v>783</v>
      </c>
      <c r="K163" s="182">
        <f>(I163*J163)</f>
        <v>3132</v>
      </c>
    </row>
    <row r="164" spans="1:21" x14ac:dyDescent="0.25">
      <c r="A164" s="537" t="s">
        <v>30</v>
      </c>
      <c r="B164" s="537"/>
      <c r="C164" s="537"/>
      <c r="D164" s="537"/>
      <c r="E164" s="537"/>
      <c r="F164" s="184">
        <f>SUM(F159:F163)</f>
        <v>5920</v>
      </c>
      <c r="G164" s="537" t="s">
        <v>31</v>
      </c>
      <c r="H164" s="537"/>
      <c r="I164" s="537"/>
      <c r="J164" s="537"/>
      <c r="K164" s="184">
        <f>SUM(K159:K163)</f>
        <v>43412.231200000002</v>
      </c>
      <c r="L164" s="537" t="s">
        <v>32</v>
      </c>
      <c r="M164" s="537"/>
      <c r="N164" s="537"/>
      <c r="O164" s="537"/>
      <c r="P164" s="184">
        <f>SUM(P159:P163)</f>
        <v>177.6</v>
      </c>
      <c r="Q164" s="537" t="s">
        <v>38</v>
      </c>
      <c r="R164" s="537"/>
      <c r="S164" s="537"/>
      <c r="T164" s="537"/>
      <c r="U164" s="223">
        <f>SUM(U159:U163)</f>
        <v>0</v>
      </c>
    </row>
    <row r="165" spans="1:21" x14ac:dyDescent="0.25">
      <c r="A165" s="537" t="s">
        <v>33</v>
      </c>
      <c r="B165" s="537"/>
      <c r="C165" s="537"/>
      <c r="D165" s="537"/>
      <c r="E165" s="537"/>
      <c r="F165" s="184">
        <f>SUM(F164+K164+P164)</f>
        <v>49509.831200000001</v>
      </c>
      <c r="G165" s="537" t="s">
        <v>39</v>
      </c>
      <c r="H165" s="537"/>
      <c r="I165" s="537"/>
      <c r="J165" s="537"/>
      <c r="K165" s="184">
        <f>SUM(F164+K164+P164+U164)</f>
        <v>49509.831200000001</v>
      </c>
      <c r="L165" s="537" t="s">
        <v>40</v>
      </c>
      <c r="M165" s="537"/>
      <c r="N165" s="537"/>
      <c r="O165" s="537"/>
      <c r="P165" s="184">
        <f>SUM(K165*0.15)</f>
        <v>7426.4746799999994</v>
      </c>
      <c r="Q165" s="537" t="s">
        <v>41</v>
      </c>
      <c r="R165" s="537"/>
      <c r="S165" s="537"/>
      <c r="T165" s="537"/>
      <c r="U165" s="223">
        <f>SUM(K165+P165)</f>
        <v>56936.30588</v>
      </c>
    </row>
    <row r="166" spans="1:21" x14ac:dyDescent="0.25">
      <c r="Q166" s="537" t="s">
        <v>42</v>
      </c>
      <c r="R166" s="537"/>
      <c r="S166" s="537"/>
      <c r="T166" s="537"/>
      <c r="U166" s="224">
        <f>ROUND((U165/12.5),2)</f>
        <v>4554.8999999999996</v>
      </c>
    </row>
    <row r="167" spans="1:21" x14ac:dyDescent="0.25">
      <c r="A167" s="544"/>
      <c r="B167" s="544"/>
      <c r="C167" s="544"/>
      <c r="D167" s="544"/>
      <c r="E167" s="544"/>
      <c r="F167" s="544"/>
      <c r="G167" s="544"/>
      <c r="H167" s="544"/>
      <c r="I167" s="544"/>
      <c r="J167" s="544"/>
      <c r="K167" s="544"/>
      <c r="L167" s="544"/>
      <c r="M167" s="544"/>
      <c r="N167" s="544"/>
      <c r="O167" s="544"/>
      <c r="P167" s="544"/>
      <c r="Q167" s="544"/>
      <c r="R167" s="544"/>
      <c r="S167" s="544"/>
      <c r="T167" s="544"/>
      <c r="U167" s="544"/>
    </row>
    <row r="168" spans="1:21" x14ac:dyDescent="0.25">
      <c r="A168" s="538" t="s">
        <v>12</v>
      </c>
      <c r="B168" s="538"/>
      <c r="C168" s="540" t="s">
        <v>107</v>
      </c>
      <c r="D168" s="540"/>
      <c r="E168" s="540"/>
      <c r="F168" s="540"/>
      <c r="G168" s="540"/>
      <c r="H168" s="540"/>
      <c r="I168" s="540"/>
      <c r="J168" s="540"/>
      <c r="K168" s="540"/>
      <c r="L168" s="540"/>
      <c r="M168" s="540"/>
      <c r="N168" s="540"/>
      <c r="O168" s="540"/>
      <c r="P168" s="540"/>
      <c r="Q168" s="540"/>
      <c r="R168" s="540"/>
      <c r="S168" s="540"/>
      <c r="T168" s="540"/>
      <c r="U168" s="541" t="s">
        <v>81</v>
      </c>
    </row>
    <row r="169" spans="1:21" x14ac:dyDescent="0.25">
      <c r="A169" s="538"/>
      <c r="B169" s="538"/>
      <c r="C169" s="540"/>
      <c r="D169" s="540"/>
      <c r="E169" s="540"/>
      <c r="F169" s="540"/>
      <c r="G169" s="540"/>
      <c r="H169" s="540"/>
      <c r="I169" s="540"/>
      <c r="J169" s="540"/>
      <c r="K169" s="540"/>
      <c r="L169" s="540"/>
      <c r="M169" s="540"/>
      <c r="N169" s="540"/>
      <c r="O169" s="540"/>
      <c r="P169" s="540"/>
      <c r="Q169" s="540"/>
      <c r="R169" s="540"/>
      <c r="S169" s="540"/>
      <c r="T169" s="540"/>
      <c r="U169" s="541"/>
    </row>
    <row r="170" spans="1:21" x14ac:dyDescent="0.25">
      <c r="A170" s="539" t="s">
        <v>70</v>
      </c>
      <c r="B170" s="539"/>
      <c r="C170" s="540"/>
      <c r="D170" s="540"/>
      <c r="E170" s="540"/>
      <c r="F170" s="540"/>
      <c r="G170" s="540"/>
      <c r="H170" s="540"/>
      <c r="I170" s="540"/>
      <c r="J170" s="540"/>
      <c r="K170" s="540"/>
      <c r="L170" s="540"/>
      <c r="M170" s="540"/>
      <c r="N170" s="540"/>
      <c r="O170" s="540"/>
      <c r="P170" s="540"/>
      <c r="Q170" s="540"/>
      <c r="R170" s="540"/>
      <c r="S170" s="540"/>
      <c r="T170" s="540"/>
      <c r="U170" s="541"/>
    </row>
    <row r="171" spans="1:21" x14ac:dyDescent="0.25">
      <c r="A171" s="542" t="s">
        <v>16</v>
      </c>
      <c r="B171" s="543" t="s">
        <v>18</v>
      </c>
      <c r="C171" s="543"/>
      <c r="D171" s="543"/>
      <c r="E171" s="543"/>
      <c r="F171" s="543"/>
      <c r="G171" s="543" t="s">
        <v>24</v>
      </c>
      <c r="H171" s="543"/>
      <c r="I171" s="543"/>
      <c r="J171" s="543"/>
      <c r="K171" s="543"/>
      <c r="L171" s="543" t="s">
        <v>25</v>
      </c>
      <c r="M171" s="543"/>
      <c r="N171" s="543"/>
      <c r="O171" s="543"/>
      <c r="P171" s="543"/>
      <c r="Q171" s="543" t="s">
        <v>26</v>
      </c>
      <c r="R171" s="543"/>
      <c r="S171" s="543"/>
      <c r="T171" s="543"/>
      <c r="U171" s="543"/>
    </row>
    <row r="172" spans="1:21" x14ac:dyDescent="0.25">
      <c r="A172" s="542"/>
      <c r="B172" s="182" t="s">
        <v>19</v>
      </c>
      <c r="C172" s="182" t="s">
        <v>20</v>
      </c>
      <c r="D172" s="182" t="s">
        <v>21</v>
      </c>
      <c r="E172" s="182" t="s">
        <v>22</v>
      </c>
      <c r="F172" s="182" t="s">
        <v>23</v>
      </c>
      <c r="G172" s="182" t="s">
        <v>19</v>
      </c>
      <c r="H172" s="216" t="s">
        <v>20</v>
      </c>
      <c r="I172" s="182" t="s">
        <v>21</v>
      </c>
      <c r="J172" s="182" t="s">
        <v>22</v>
      </c>
      <c r="K172" s="182" t="s">
        <v>23</v>
      </c>
      <c r="L172" s="182" t="s">
        <v>19</v>
      </c>
      <c r="M172" s="182" t="s">
        <v>20</v>
      </c>
      <c r="N172" s="182" t="s">
        <v>21</v>
      </c>
      <c r="O172" s="182" t="s">
        <v>22</v>
      </c>
      <c r="P172" s="182" t="s">
        <v>23</v>
      </c>
      <c r="Q172" s="182" t="s">
        <v>19</v>
      </c>
      <c r="R172" s="182" t="s">
        <v>20</v>
      </c>
      <c r="S172" s="182" t="s">
        <v>21</v>
      </c>
      <c r="T172" s="182" t="s">
        <v>22</v>
      </c>
      <c r="U172" s="211" t="s">
        <v>23</v>
      </c>
    </row>
    <row r="173" spans="1:21" ht="63" x14ac:dyDescent="0.25">
      <c r="A173" s="183" t="s">
        <v>108</v>
      </c>
      <c r="B173" s="182" t="s">
        <v>47</v>
      </c>
      <c r="C173" s="182" t="s">
        <v>28</v>
      </c>
      <c r="D173" s="182">
        <v>1</v>
      </c>
      <c r="E173" s="182">
        <f>skilled</f>
        <v>1245</v>
      </c>
      <c r="F173" s="184">
        <f>(D173*E173)</f>
        <v>1245</v>
      </c>
      <c r="G173" s="182" t="s">
        <v>83</v>
      </c>
      <c r="H173" s="216" t="s">
        <v>84</v>
      </c>
      <c r="I173" s="182">
        <v>0.09</v>
      </c>
      <c r="J173" s="182">
        <f>J160</f>
        <v>3104.64</v>
      </c>
      <c r="K173" s="182">
        <f>(I173*J173)</f>
        <v>279.41759999999999</v>
      </c>
      <c r="L173" s="182" t="s">
        <v>87</v>
      </c>
      <c r="M173" s="182"/>
      <c r="P173" s="184">
        <f>F177*3/100</f>
        <v>205.65</v>
      </c>
    </row>
    <row r="174" spans="1:21" x14ac:dyDescent="0.25">
      <c r="B174" s="182" t="s">
        <v>29</v>
      </c>
      <c r="C174" s="182" t="s">
        <v>28</v>
      </c>
      <c r="D174" s="182">
        <v>6</v>
      </c>
      <c r="E174" s="182">
        <f>unskilled</f>
        <v>935</v>
      </c>
      <c r="F174" s="184">
        <f>(D174*E174)</f>
        <v>5610</v>
      </c>
      <c r="G174" s="182" t="s">
        <v>85</v>
      </c>
      <c r="H174" s="216" t="s">
        <v>35</v>
      </c>
      <c r="I174" s="182">
        <v>7.0000000000000007E-2</v>
      </c>
      <c r="J174" s="182">
        <f>adopted_rate_cement</f>
        <v>13031</v>
      </c>
      <c r="K174" s="182">
        <f>(I174*J174)</f>
        <v>912.17000000000007</v>
      </c>
    </row>
    <row r="175" spans="1:21" x14ac:dyDescent="0.25">
      <c r="G175" s="182" t="s">
        <v>90</v>
      </c>
      <c r="H175" s="216" t="s">
        <v>75</v>
      </c>
      <c r="I175" s="182">
        <v>12.5</v>
      </c>
      <c r="J175" s="182">
        <f>adopted_rate_hume_pipe_dia_450_mm</f>
        <v>4500</v>
      </c>
      <c r="K175" s="182">
        <f>(I175*J175)</f>
        <v>56250</v>
      </c>
    </row>
    <row r="176" spans="1:21" x14ac:dyDescent="0.25">
      <c r="G176" s="182" t="s">
        <v>109</v>
      </c>
      <c r="H176" s="216" t="s">
        <v>106</v>
      </c>
      <c r="I176" s="182">
        <v>4</v>
      </c>
      <c r="J176" s="182">
        <v>1125</v>
      </c>
      <c r="K176" s="182">
        <f>(I176*J176)</f>
        <v>4500</v>
      </c>
    </row>
    <row r="177" spans="1:21" x14ac:dyDescent="0.25">
      <c r="A177" s="537" t="s">
        <v>30</v>
      </c>
      <c r="B177" s="537"/>
      <c r="C177" s="537"/>
      <c r="D177" s="537"/>
      <c r="E177" s="537"/>
      <c r="F177" s="184">
        <f>SUM(F172:F176)</f>
        <v>6855</v>
      </c>
      <c r="G177" s="537" t="s">
        <v>31</v>
      </c>
      <c r="H177" s="537"/>
      <c r="I177" s="537"/>
      <c r="J177" s="537"/>
      <c r="K177" s="184">
        <f>SUM(K172:K176)</f>
        <v>61941.587599999999</v>
      </c>
      <c r="L177" s="537" t="s">
        <v>32</v>
      </c>
      <c r="M177" s="537"/>
      <c r="N177" s="537"/>
      <c r="O177" s="537"/>
      <c r="P177" s="184">
        <f>SUM(P172:P176)</f>
        <v>205.65</v>
      </c>
      <c r="Q177" s="537" t="s">
        <v>38</v>
      </c>
      <c r="R177" s="537"/>
      <c r="S177" s="537"/>
      <c r="T177" s="537"/>
      <c r="U177" s="223">
        <f>SUM(U172:U176)</f>
        <v>0</v>
      </c>
    </row>
    <row r="178" spans="1:21" x14ac:dyDescent="0.25">
      <c r="A178" s="537" t="s">
        <v>33</v>
      </c>
      <c r="B178" s="537"/>
      <c r="C178" s="537"/>
      <c r="D178" s="537"/>
      <c r="E178" s="537"/>
      <c r="F178" s="184">
        <f>SUM(F177+K177+P177)</f>
        <v>69002.237599999993</v>
      </c>
      <c r="G178" s="537" t="s">
        <v>39</v>
      </c>
      <c r="H178" s="537"/>
      <c r="I178" s="537"/>
      <c r="J178" s="537"/>
      <c r="K178" s="184">
        <f>SUM(F177+K177+P177+U177)</f>
        <v>69002.237599999993</v>
      </c>
      <c r="L178" s="537" t="s">
        <v>40</v>
      </c>
      <c r="M178" s="537"/>
      <c r="N178" s="537"/>
      <c r="O178" s="537"/>
      <c r="P178" s="184">
        <f>SUM(K178*0.15)</f>
        <v>10350.335639999999</v>
      </c>
      <c r="Q178" s="537" t="s">
        <v>41</v>
      </c>
      <c r="R178" s="537"/>
      <c r="S178" s="537"/>
      <c r="T178" s="537"/>
      <c r="U178" s="223">
        <f>SUM(K178+P178)</f>
        <v>79352.573239999998</v>
      </c>
    </row>
    <row r="179" spans="1:21" x14ac:dyDescent="0.25">
      <c r="Q179" s="537" t="s">
        <v>42</v>
      </c>
      <c r="R179" s="537"/>
      <c r="S179" s="537"/>
      <c r="T179" s="537"/>
      <c r="U179" s="224">
        <f>ROUND((U178/12.5),2)</f>
        <v>6348.21</v>
      </c>
    </row>
    <row r="180" spans="1:21" x14ac:dyDescent="0.25">
      <c r="A180" s="544"/>
      <c r="B180" s="544"/>
      <c r="C180" s="544"/>
      <c r="D180" s="544"/>
      <c r="E180" s="544"/>
      <c r="F180" s="544"/>
      <c r="G180" s="544"/>
      <c r="H180" s="544"/>
      <c r="I180" s="544"/>
      <c r="J180" s="544"/>
      <c r="K180" s="544"/>
      <c r="L180" s="544"/>
      <c r="M180" s="544"/>
      <c r="N180" s="544"/>
      <c r="O180" s="544"/>
      <c r="P180" s="544"/>
      <c r="Q180" s="544"/>
      <c r="R180" s="544"/>
      <c r="S180" s="544"/>
      <c r="T180" s="544"/>
      <c r="U180" s="544"/>
    </row>
    <row r="181" spans="1:21" x14ac:dyDescent="0.25">
      <c r="A181" s="538" t="s">
        <v>12</v>
      </c>
      <c r="B181" s="538"/>
      <c r="C181" s="540" t="s">
        <v>110</v>
      </c>
      <c r="D181" s="540"/>
      <c r="E181" s="540"/>
      <c r="F181" s="540"/>
      <c r="G181" s="540"/>
      <c r="H181" s="540"/>
      <c r="I181" s="540"/>
      <c r="J181" s="540"/>
      <c r="K181" s="540"/>
      <c r="L181" s="540"/>
      <c r="M181" s="540"/>
      <c r="N181" s="540"/>
      <c r="O181" s="540"/>
      <c r="P181" s="540"/>
      <c r="Q181" s="540"/>
      <c r="R181" s="540"/>
      <c r="S181" s="540"/>
      <c r="T181" s="540"/>
      <c r="U181" s="541" t="s">
        <v>81</v>
      </c>
    </row>
    <row r="182" spans="1:21" x14ac:dyDescent="0.25">
      <c r="A182" s="538"/>
      <c r="B182" s="538"/>
      <c r="C182" s="540"/>
      <c r="D182" s="540"/>
      <c r="E182" s="540"/>
      <c r="F182" s="540"/>
      <c r="G182" s="540"/>
      <c r="H182" s="540"/>
      <c r="I182" s="540"/>
      <c r="J182" s="540"/>
      <c r="K182" s="540"/>
      <c r="L182" s="540"/>
      <c r="M182" s="540"/>
      <c r="N182" s="540"/>
      <c r="O182" s="540"/>
      <c r="P182" s="540"/>
      <c r="Q182" s="540"/>
      <c r="R182" s="540"/>
      <c r="S182" s="540"/>
      <c r="T182" s="540"/>
      <c r="U182" s="541"/>
    </row>
    <row r="183" spans="1:21" x14ac:dyDescent="0.25">
      <c r="A183" s="539" t="s">
        <v>70</v>
      </c>
      <c r="B183" s="539"/>
      <c r="C183" s="540"/>
      <c r="D183" s="540"/>
      <c r="E183" s="540"/>
      <c r="F183" s="540"/>
      <c r="G183" s="540"/>
      <c r="H183" s="540"/>
      <c r="I183" s="540"/>
      <c r="J183" s="540"/>
      <c r="K183" s="540"/>
      <c r="L183" s="540"/>
      <c r="M183" s="540"/>
      <c r="N183" s="540"/>
      <c r="O183" s="540"/>
      <c r="P183" s="540"/>
      <c r="Q183" s="540"/>
      <c r="R183" s="540"/>
      <c r="S183" s="540"/>
      <c r="T183" s="540"/>
      <c r="U183" s="541"/>
    </row>
    <row r="184" spans="1:21" x14ac:dyDescent="0.25">
      <c r="A184" s="542" t="s">
        <v>16</v>
      </c>
      <c r="B184" s="543" t="s">
        <v>18</v>
      </c>
      <c r="C184" s="543"/>
      <c r="D184" s="543"/>
      <c r="E184" s="543"/>
      <c r="F184" s="543"/>
      <c r="G184" s="543" t="s">
        <v>24</v>
      </c>
      <c r="H184" s="543"/>
      <c r="I184" s="543"/>
      <c r="J184" s="543"/>
      <c r="K184" s="543"/>
      <c r="L184" s="543" t="s">
        <v>25</v>
      </c>
      <c r="M184" s="543"/>
      <c r="N184" s="543"/>
      <c r="O184" s="543"/>
      <c r="P184" s="543"/>
      <c r="Q184" s="543" t="s">
        <v>26</v>
      </c>
      <c r="R184" s="543"/>
      <c r="S184" s="543"/>
      <c r="T184" s="543"/>
      <c r="U184" s="543"/>
    </row>
    <row r="185" spans="1:21" x14ac:dyDescent="0.25">
      <c r="A185" s="542"/>
      <c r="B185" s="182" t="s">
        <v>19</v>
      </c>
      <c r="C185" s="182" t="s">
        <v>20</v>
      </c>
      <c r="D185" s="182" t="s">
        <v>21</v>
      </c>
      <c r="E185" s="182" t="s">
        <v>22</v>
      </c>
      <c r="F185" s="182" t="s">
        <v>23</v>
      </c>
      <c r="G185" s="182" t="s">
        <v>19</v>
      </c>
      <c r="H185" s="216" t="s">
        <v>20</v>
      </c>
      <c r="I185" s="182" t="s">
        <v>21</v>
      </c>
      <c r="J185" s="182" t="s">
        <v>22</v>
      </c>
      <c r="K185" s="182" t="s">
        <v>23</v>
      </c>
      <c r="L185" s="182" t="s">
        <v>19</v>
      </c>
      <c r="M185" s="182" t="s">
        <v>20</v>
      </c>
      <c r="N185" s="182" t="s">
        <v>21</v>
      </c>
      <c r="O185" s="182" t="s">
        <v>22</v>
      </c>
      <c r="P185" s="182" t="s">
        <v>23</v>
      </c>
      <c r="Q185" s="182" t="s">
        <v>19</v>
      </c>
      <c r="R185" s="182" t="s">
        <v>20</v>
      </c>
      <c r="S185" s="182" t="s">
        <v>21</v>
      </c>
      <c r="T185" s="182" t="s">
        <v>22</v>
      </c>
      <c r="U185" s="211" t="s">
        <v>23</v>
      </c>
    </row>
    <row r="186" spans="1:21" ht="63" x14ac:dyDescent="0.25">
      <c r="A186" s="183" t="s">
        <v>111</v>
      </c>
      <c r="B186" s="182" t="s">
        <v>47</v>
      </c>
      <c r="C186" s="182" t="s">
        <v>28</v>
      </c>
      <c r="D186" s="182">
        <v>1</v>
      </c>
      <c r="E186" s="182">
        <f>skilled</f>
        <v>1245</v>
      </c>
      <c r="F186" s="184">
        <f>(D186*E186)</f>
        <v>1245</v>
      </c>
      <c r="G186" s="182" t="s">
        <v>83</v>
      </c>
      <c r="H186" s="216" t="s">
        <v>84</v>
      </c>
      <c r="I186" s="182">
        <v>0.1</v>
      </c>
      <c r="J186" s="182">
        <f>J173</f>
        <v>3104.64</v>
      </c>
      <c r="K186" s="182">
        <f>(I186*J186)</f>
        <v>310.464</v>
      </c>
      <c r="L186" s="182" t="s">
        <v>87</v>
      </c>
      <c r="M186" s="182"/>
      <c r="P186" s="184">
        <f>F190*3/100</f>
        <v>233.7</v>
      </c>
    </row>
    <row r="187" spans="1:21" x14ac:dyDescent="0.25">
      <c r="B187" s="182" t="s">
        <v>29</v>
      </c>
      <c r="C187" s="182" t="s">
        <v>28</v>
      </c>
      <c r="D187" s="182">
        <v>7</v>
      </c>
      <c r="E187" s="182">
        <f>unskilled</f>
        <v>935</v>
      </c>
      <c r="F187" s="184">
        <f>(D187*E187)</f>
        <v>6545</v>
      </c>
      <c r="G187" s="182" t="s">
        <v>85</v>
      </c>
      <c r="H187" s="216" t="s">
        <v>35</v>
      </c>
      <c r="I187" s="182">
        <v>0.08</v>
      </c>
      <c r="J187" s="182">
        <f>adopted_rate_cement</f>
        <v>13031</v>
      </c>
      <c r="K187" s="182">
        <f>(I187*J187)</f>
        <v>1042.48</v>
      </c>
    </row>
    <row r="188" spans="1:21" x14ac:dyDescent="0.25">
      <c r="G188" s="182" t="s">
        <v>93</v>
      </c>
      <c r="H188" s="216" t="s">
        <v>75</v>
      </c>
      <c r="I188" s="182">
        <v>12.5</v>
      </c>
      <c r="J188" s="182">
        <f>adopted_rate_hume_pipe_dia_600_mm</f>
        <v>6200</v>
      </c>
      <c r="K188" s="182">
        <f>(I188*J188)</f>
        <v>77500</v>
      </c>
    </row>
    <row r="189" spans="1:21" x14ac:dyDescent="0.25">
      <c r="G189" s="182" t="s">
        <v>112</v>
      </c>
      <c r="H189" s="216" t="s">
        <v>106</v>
      </c>
      <c r="I189" s="182">
        <v>4</v>
      </c>
      <c r="J189" s="182">
        <v>1150</v>
      </c>
      <c r="K189" s="182">
        <f>(I189*J189)</f>
        <v>4600</v>
      </c>
    </row>
    <row r="190" spans="1:21" x14ac:dyDescent="0.25">
      <c r="A190" s="537" t="s">
        <v>30</v>
      </c>
      <c r="B190" s="537"/>
      <c r="C190" s="537"/>
      <c r="D190" s="537"/>
      <c r="E190" s="537"/>
      <c r="F190" s="184">
        <f>SUM(F185:F189)</f>
        <v>7790</v>
      </c>
      <c r="G190" s="537" t="s">
        <v>31</v>
      </c>
      <c r="H190" s="537"/>
      <c r="I190" s="537"/>
      <c r="J190" s="537"/>
      <c r="K190" s="184">
        <f>SUM(K185:K189)</f>
        <v>83452.944000000003</v>
      </c>
      <c r="L190" s="537" t="s">
        <v>32</v>
      </c>
      <c r="M190" s="537"/>
      <c r="N190" s="537"/>
      <c r="O190" s="537"/>
      <c r="P190" s="184">
        <f>SUM(P185:P189)</f>
        <v>233.7</v>
      </c>
      <c r="Q190" s="537" t="s">
        <v>38</v>
      </c>
      <c r="R190" s="537"/>
      <c r="S190" s="537"/>
      <c r="T190" s="537"/>
      <c r="U190" s="223">
        <f>SUM(U185:U189)</f>
        <v>0</v>
      </c>
    </row>
    <row r="191" spans="1:21" x14ac:dyDescent="0.25">
      <c r="A191" s="537" t="s">
        <v>33</v>
      </c>
      <c r="B191" s="537"/>
      <c r="C191" s="537"/>
      <c r="D191" s="537"/>
      <c r="E191" s="537"/>
      <c r="F191" s="184">
        <f>SUM(F190+K190+P190)</f>
        <v>91476.644</v>
      </c>
      <c r="G191" s="537" t="s">
        <v>39</v>
      </c>
      <c r="H191" s="537"/>
      <c r="I191" s="537"/>
      <c r="J191" s="537"/>
      <c r="K191" s="184">
        <f>SUM(F190+K190+P190+U190)</f>
        <v>91476.644</v>
      </c>
      <c r="L191" s="537" t="s">
        <v>40</v>
      </c>
      <c r="M191" s="537"/>
      <c r="N191" s="537"/>
      <c r="O191" s="537"/>
      <c r="P191" s="184">
        <f>SUM(K191*0.15)</f>
        <v>13721.4966</v>
      </c>
      <c r="Q191" s="537" t="s">
        <v>41</v>
      </c>
      <c r="R191" s="537"/>
      <c r="S191" s="537"/>
      <c r="T191" s="537"/>
      <c r="U191" s="223">
        <f>SUM(K191+P191)</f>
        <v>105198.1406</v>
      </c>
    </row>
    <row r="192" spans="1:21" x14ac:dyDescent="0.25">
      <c r="Q192" s="537" t="s">
        <v>42</v>
      </c>
      <c r="R192" s="537"/>
      <c r="S192" s="537"/>
      <c r="T192" s="537"/>
      <c r="U192" s="224">
        <f>ROUND((U191/12.5),2)</f>
        <v>8415.85</v>
      </c>
    </row>
    <row r="193" spans="1:21" x14ac:dyDescent="0.25">
      <c r="A193" s="544"/>
      <c r="B193" s="544"/>
      <c r="C193" s="544"/>
      <c r="D193" s="544"/>
      <c r="E193" s="544"/>
      <c r="F193" s="544"/>
      <c r="G193" s="544"/>
      <c r="H193" s="544"/>
      <c r="I193" s="544"/>
      <c r="J193" s="544"/>
      <c r="K193" s="544"/>
      <c r="L193" s="544"/>
      <c r="M193" s="544"/>
      <c r="N193" s="544"/>
      <c r="O193" s="544"/>
      <c r="P193" s="544"/>
      <c r="Q193" s="544"/>
      <c r="R193" s="544"/>
      <c r="S193" s="544"/>
      <c r="T193" s="544"/>
      <c r="U193" s="544"/>
    </row>
    <row r="194" spans="1:21" x14ac:dyDescent="0.25">
      <c r="A194" s="538" t="s">
        <v>12</v>
      </c>
      <c r="B194" s="538"/>
      <c r="C194" s="540" t="s">
        <v>113</v>
      </c>
      <c r="D194" s="540"/>
      <c r="E194" s="540"/>
      <c r="F194" s="540"/>
      <c r="G194" s="540"/>
      <c r="H194" s="540"/>
      <c r="I194" s="540"/>
      <c r="J194" s="540"/>
      <c r="K194" s="540"/>
      <c r="L194" s="540"/>
      <c r="M194" s="540"/>
      <c r="N194" s="540"/>
      <c r="O194" s="540"/>
      <c r="P194" s="540"/>
      <c r="Q194" s="540"/>
      <c r="R194" s="540"/>
      <c r="S194" s="540"/>
      <c r="T194" s="540"/>
      <c r="U194" s="541" t="s">
        <v>81</v>
      </c>
    </row>
    <row r="195" spans="1:21" x14ac:dyDescent="0.25">
      <c r="A195" s="538"/>
      <c r="B195" s="538"/>
      <c r="C195" s="540"/>
      <c r="D195" s="540"/>
      <c r="E195" s="540"/>
      <c r="F195" s="540"/>
      <c r="G195" s="540"/>
      <c r="H195" s="540"/>
      <c r="I195" s="540"/>
      <c r="J195" s="540"/>
      <c r="K195" s="540"/>
      <c r="L195" s="540"/>
      <c r="M195" s="540"/>
      <c r="N195" s="540"/>
      <c r="O195" s="540"/>
      <c r="P195" s="540"/>
      <c r="Q195" s="540"/>
      <c r="R195" s="540"/>
      <c r="S195" s="540"/>
      <c r="T195" s="540"/>
      <c r="U195" s="541"/>
    </row>
    <row r="196" spans="1:21" x14ac:dyDescent="0.25">
      <c r="A196" s="539" t="s">
        <v>70</v>
      </c>
      <c r="B196" s="539"/>
      <c r="C196" s="540"/>
      <c r="D196" s="540"/>
      <c r="E196" s="540"/>
      <c r="F196" s="540"/>
      <c r="G196" s="540"/>
      <c r="H196" s="540"/>
      <c r="I196" s="540"/>
      <c r="J196" s="540"/>
      <c r="K196" s="540"/>
      <c r="L196" s="540"/>
      <c r="M196" s="540"/>
      <c r="N196" s="540"/>
      <c r="O196" s="540"/>
      <c r="P196" s="540"/>
      <c r="Q196" s="540"/>
      <c r="R196" s="540"/>
      <c r="S196" s="540"/>
      <c r="T196" s="540"/>
      <c r="U196" s="541"/>
    </row>
    <row r="197" spans="1:21" x14ac:dyDescent="0.25">
      <c r="A197" s="542" t="s">
        <v>16</v>
      </c>
      <c r="B197" s="543" t="s">
        <v>18</v>
      </c>
      <c r="C197" s="543"/>
      <c r="D197" s="543"/>
      <c r="E197" s="543"/>
      <c r="F197" s="543"/>
      <c r="G197" s="543" t="s">
        <v>24</v>
      </c>
      <c r="H197" s="543"/>
      <c r="I197" s="543"/>
      <c r="J197" s="543"/>
      <c r="K197" s="543"/>
      <c r="L197" s="543" t="s">
        <v>25</v>
      </c>
      <c r="M197" s="543"/>
      <c r="N197" s="543"/>
      <c r="O197" s="543"/>
      <c r="P197" s="543"/>
      <c r="Q197" s="543" t="s">
        <v>26</v>
      </c>
      <c r="R197" s="543"/>
      <c r="S197" s="543"/>
      <c r="T197" s="543"/>
      <c r="U197" s="543"/>
    </row>
    <row r="198" spans="1:21" x14ac:dyDescent="0.25">
      <c r="A198" s="542"/>
      <c r="B198" s="182" t="s">
        <v>19</v>
      </c>
      <c r="C198" s="182" t="s">
        <v>20</v>
      </c>
      <c r="D198" s="182" t="s">
        <v>21</v>
      </c>
      <c r="E198" s="182" t="s">
        <v>22</v>
      </c>
      <c r="F198" s="182" t="s">
        <v>23</v>
      </c>
      <c r="G198" s="182" t="s">
        <v>19</v>
      </c>
      <c r="H198" s="216" t="s">
        <v>20</v>
      </c>
      <c r="I198" s="182" t="s">
        <v>21</v>
      </c>
      <c r="J198" s="182" t="s">
        <v>22</v>
      </c>
      <c r="K198" s="182" t="s">
        <v>23</v>
      </c>
      <c r="L198" s="182" t="s">
        <v>19</v>
      </c>
      <c r="M198" s="182" t="s">
        <v>20</v>
      </c>
      <c r="N198" s="182" t="s">
        <v>21</v>
      </c>
      <c r="O198" s="182" t="s">
        <v>22</v>
      </c>
      <c r="P198" s="182" t="s">
        <v>23</v>
      </c>
      <c r="Q198" s="182" t="s">
        <v>19</v>
      </c>
      <c r="R198" s="182" t="s">
        <v>20</v>
      </c>
      <c r="S198" s="182" t="s">
        <v>21</v>
      </c>
      <c r="T198" s="182" t="s">
        <v>22</v>
      </c>
      <c r="U198" s="211" t="s">
        <v>23</v>
      </c>
    </row>
    <row r="199" spans="1:21" ht="63" x14ac:dyDescent="0.25">
      <c r="A199" s="183" t="s">
        <v>114</v>
      </c>
      <c r="B199" s="182" t="s">
        <v>47</v>
      </c>
      <c r="C199" s="182" t="s">
        <v>28</v>
      </c>
      <c r="D199" s="182">
        <v>1</v>
      </c>
      <c r="E199" s="182">
        <f>skilled</f>
        <v>1245</v>
      </c>
      <c r="F199" s="184">
        <f>(D199*E199)</f>
        <v>1245</v>
      </c>
      <c r="G199" s="182" t="s">
        <v>83</v>
      </c>
      <c r="H199" s="216" t="s">
        <v>84</v>
      </c>
      <c r="I199" s="182">
        <v>0.12</v>
      </c>
      <c r="J199" s="182">
        <f>J186</f>
        <v>3104.64</v>
      </c>
      <c r="K199" s="182">
        <f>(I199*J199)</f>
        <v>372.55679999999995</v>
      </c>
      <c r="L199" s="182" t="s">
        <v>87</v>
      </c>
      <c r="M199" s="182"/>
      <c r="P199" s="184">
        <f>F203*3/100</f>
        <v>261.75</v>
      </c>
    </row>
    <row r="200" spans="1:21" x14ac:dyDescent="0.25">
      <c r="B200" s="182" t="s">
        <v>29</v>
      </c>
      <c r="C200" s="182" t="s">
        <v>28</v>
      </c>
      <c r="D200" s="182">
        <v>8</v>
      </c>
      <c r="E200" s="182">
        <f>unskilled</f>
        <v>935</v>
      </c>
      <c r="F200" s="184">
        <f>(D200*E200)</f>
        <v>7480</v>
      </c>
      <c r="G200" s="182" t="s">
        <v>85</v>
      </c>
      <c r="H200" s="216" t="s">
        <v>35</v>
      </c>
      <c r="I200" s="182">
        <v>0.09</v>
      </c>
      <c r="J200" s="182">
        <f>adopted_rate_cement</f>
        <v>13031</v>
      </c>
      <c r="K200" s="182">
        <f>(I200*J200)</f>
        <v>1172.79</v>
      </c>
    </row>
    <row r="201" spans="1:21" x14ac:dyDescent="0.25">
      <c r="G201" s="182" t="s">
        <v>96</v>
      </c>
      <c r="H201" s="216" t="s">
        <v>75</v>
      </c>
      <c r="I201" s="182">
        <v>12.5</v>
      </c>
      <c r="J201" s="182">
        <f>adopted_rate_hume_pipe_dia_900_mm</f>
        <v>12172</v>
      </c>
      <c r="K201" s="182">
        <f>(I201*J201)</f>
        <v>152150</v>
      </c>
    </row>
    <row r="202" spans="1:21" x14ac:dyDescent="0.25">
      <c r="G202" s="182" t="s">
        <v>115</v>
      </c>
      <c r="H202" s="216" t="s">
        <v>106</v>
      </c>
      <c r="I202" s="182">
        <v>4</v>
      </c>
      <c r="J202" s="182">
        <v>3042</v>
      </c>
      <c r="K202" s="182">
        <f>(I202*J202)</f>
        <v>12168</v>
      </c>
    </row>
    <row r="203" spans="1:21" x14ac:dyDescent="0.25">
      <c r="A203" s="537" t="s">
        <v>30</v>
      </c>
      <c r="B203" s="537"/>
      <c r="C203" s="537"/>
      <c r="D203" s="537"/>
      <c r="E203" s="537"/>
      <c r="F203" s="184">
        <f>SUM(F198:F202)</f>
        <v>8725</v>
      </c>
      <c r="G203" s="537" t="s">
        <v>31</v>
      </c>
      <c r="H203" s="537"/>
      <c r="I203" s="537"/>
      <c r="J203" s="537"/>
      <c r="K203" s="184">
        <f>SUM(K198:K202)</f>
        <v>165863.3468</v>
      </c>
      <c r="L203" s="537" t="s">
        <v>32</v>
      </c>
      <c r="M203" s="537"/>
      <c r="N203" s="537"/>
      <c r="O203" s="537"/>
      <c r="P203" s="184">
        <f>SUM(P198:P202)</f>
        <v>261.75</v>
      </c>
      <c r="Q203" s="537" t="s">
        <v>38</v>
      </c>
      <c r="R203" s="537"/>
      <c r="S203" s="537"/>
      <c r="T203" s="537"/>
      <c r="U203" s="223">
        <f>SUM(U198:U202)</f>
        <v>0</v>
      </c>
    </row>
    <row r="204" spans="1:21" x14ac:dyDescent="0.25">
      <c r="A204" s="537" t="s">
        <v>33</v>
      </c>
      <c r="B204" s="537"/>
      <c r="C204" s="537"/>
      <c r="D204" s="537"/>
      <c r="E204" s="537"/>
      <c r="F204" s="184">
        <f>SUM(F203+K203+P203)</f>
        <v>174850.0968</v>
      </c>
      <c r="G204" s="537" t="s">
        <v>39</v>
      </c>
      <c r="H204" s="537"/>
      <c r="I204" s="537"/>
      <c r="J204" s="537"/>
      <c r="K204" s="184">
        <f>SUM(F203+K203+P203+U203)</f>
        <v>174850.0968</v>
      </c>
      <c r="L204" s="537" t="s">
        <v>40</v>
      </c>
      <c r="M204" s="537"/>
      <c r="N204" s="537"/>
      <c r="O204" s="537"/>
      <c r="P204" s="184">
        <f>SUM(K204*0.15)</f>
        <v>26227.514520000001</v>
      </c>
      <c r="Q204" s="537" t="s">
        <v>41</v>
      </c>
      <c r="R204" s="537"/>
      <c r="S204" s="537"/>
      <c r="T204" s="537"/>
      <c r="U204" s="223">
        <f>SUM(K204+P204)</f>
        <v>201077.61132</v>
      </c>
    </row>
    <row r="205" spans="1:21" x14ac:dyDescent="0.25">
      <c r="Q205" s="537" t="s">
        <v>42</v>
      </c>
      <c r="R205" s="537"/>
      <c r="S205" s="537"/>
      <c r="T205" s="537"/>
      <c r="U205" s="224">
        <f>ROUND((U204/12.5),2)</f>
        <v>16086.21</v>
      </c>
    </row>
    <row r="206" spans="1:21" x14ac:dyDescent="0.25">
      <c r="A206" s="544"/>
      <c r="B206" s="544"/>
      <c r="C206" s="544"/>
      <c r="D206" s="544"/>
      <c r="E206" s="544"/>
      <c r="F206" s="544"/>
      <c r="G206" s="544"/>
      <c r="H206" s="544"/>
      <c r="I206" s="544"/>
      <c r="J206" s="544"/>
      <c r="K206" s="544"/>
      <c r="L206" s="544"/>
      <c r="M206" s="544"/>
      <c r="N206" s="544"/>
      <c r="O206" s="544"/>
      <c r="P206" s="544"/>
      <c r="Q206" s="544"/>
      <c r="R206" s="544"/>
      <c r="S206" s="544"/>
      <c r="T206" s="544"/>
      <c r="U206" s="544"/>
    </row>
    <row r="207" spans="1:21" x14ac:dyDescent="0.25">
      <c r="A207" s="538" t="s">
        <v>12</v>
      </c>
      <c r="B207" s="538"/>
      <c r="C207" s="540" t="s">
        <v>116</v>
      </c>
      <c r="D207" s="540"/>
      <c r="E207" s="540"/>
      <c r="F207" s="540"/>
      <c r="G207" s="540"/>
      <c r="H207" s="540"/>
      <c r="I207" s="540"/>
      <c r="J207" s="540"/>
      <c r="K207" s="540"/>
      <c r="L207" s="540"/>
      <c r="M207" s="540"/>
      <c r="N207" s="540"/>
      <c r="O207" s="540"/>
      <c r="P207" s="540"/>
      <c r="Q207" s="540"/>
      <c r="R207" s="540"/>
      <c r="S207" s="540"/>
      <c r="T207" s="540"/>
      <c r="U207" s="541" t="s">
        <v>81</v>
      </c>
    </row>
    <row r="208" spans="1:21" x14ac:dyDescent="0.25">
      <c r="A208" s="538"/>
      <c r="B208" s="538"/>
      <c r="C208" s="540"/>
      <c r="D208" s="540"/>
      <c r="E208" s="540"/>
      <c r="F208" s="540"/>
      <c r="G208" s="540"/>
      <c r="H208" s="540"/>
      <c r="I208" s="540"/>
      <c r="J208" s="540"/>
      <c r="K208" s="540"/>
      <c r="L208" s="540"/>
      <c r="M208" s="540"/>
      <c r="N208" s="540"/>
      <c r="O208" s="540"/>
      <c r="P208" s="540"/>
      <c r="Q208" s="540"/>
      <c r="R208" s="540"/>
      <c r="S208" s="540"/>
      <c r="T208" s="540"/>
      <c r="U208" s="541"/>
    </row>
    <row r="209" spans="1:21" x14ac:dyDescent="0.25">
      <c r="A209" s="539" t="s">
        <v>70</v>
      </c>
      <c r="B209" s="539"/>
      <c r="C209" s="540"/>
      <c r="D209" s="540"/>
      <c r="E209" s="540"/>
      <c r="F209" s="540"/>
      <c r="G209" s="540"/>
      <c r="H209" s="540"/>
      <c r="I209" s="540"/>
      <c r="J209" s="540"/>
      <c r="K209" s="540"/>
      <c r="L209" s="540"/>
      <c r="M209" s="540"/>
      <c r="N209" s="540"/>
      <c r="O209" s="540"/>
      <c r="P209" s="540"/>
      <c r="Q209" s="540"/>
      <c r="R209" s="540"/>
      <c r="S209" s="540"/>
      <c r="T209" s="540"/>
      <c r="U209" s="541"/>
    </row>
    <row r="210" spans="1:21" x14ac:dyDescent="0.25">
      <c r="A210" s="542" t="s">
        <v>16</v>
      </c>
      <c r="B210" s="543" t="s">
        <v>18</v>
      </c>
      <c r="C210" s="543"/>
      <c r="D210" s="543"/>
      <c r="E210" s="543"/>
      <c r="F210" s="543"/>
      <c r="G210" s="543" t="s">
        <v>24</v>
      </c>
      <c r="H210" s="543"/>
      <c r="I210" s="543"/>
      <c r="J210" s="543"/>
      <c r="K210" s="543"/>
      <c r="L210" s="543" t="s">
        <v>25</v>
      </c>
      <c r="M210" s="543"/>
      <c r="N210" s="543"/>
      <c r="O210" s="543"/>
      <c r="P210" s="543"/>
      <c r="Q210" s="543" t="s">
        <v>26</v>
      </c>
      <c r="R210" s="543"/>
      <c r="S210" s="543"/>
      <c r="T210" s="543"/>
      <c r="U210" s="543"/>
    </row>
    <row r="211" spans="1:21" x14ac:dyDescent="0.25">
      <c r="A211" s="542"/>
      <c r="B211" s="182" t="s">
        <v>19</v>
      </c>
      <c r="C211" s="182" t="s">
        <v>20</v>
      </c>
      <c r="D211" s="182" t="s">
        <v>21</v>
      </c>
      <c r="E211" s="182" t="s">
        <v>22</v>
      </c>
      <c r="F211" s="182" t="s">
        <v>23</v>
      </c>
      <c r="G211" s="182" t="s">
        <v>19</v>
      </c>
      <c r="H211" s="216" t="s">
        <v>20</v>
      </c>
      <c r="I211" s="182" t="s">
        <v>21</v>
      </c>
      <c r="J211" s="182" t="s">
        <v>22</v>
      </c>
      <c r="K211" s="182" t="s">
        <v>23</v>
      </c>
      <c r="L211" s="182" t="s">
        <v>19</v>
      </c>
      <c r="M211" s="182" t="s">
        <v>20</v>
      </c>
      <c r="N211" s="182" t="s">
        <v>21</v>
      </c>
      <c r="O211" s="182" t="s">
        <v>22</v>
      </c>
      <c r="P211" s="182" t="s">
        <v>23</v>
      </c>
      <c r="Q211" s="182" t="s">
        <v>19</v>
      </c>
      <c r="R211" s="182" t="s">
        <v>20</v>
      </c>
      <c r="S211" s="182" t="s">
        <v>21</v>
      </c>
      <c r="T211" s="182" t="s">
        <v>22</v>
      </c>
      <c r="U211" s="211" t="s">
        <v>23</v>
      </c>
    </row>
    <row r="212" spans="1:21" ht="63" x14ac:dyDescent="0.25">
      <c r="A212" s="183" t="s">
        <v>117</v>
      </c>
      <c r="B212" s="182" t="s">
        <v>47</v>
      </c>
      <c r="C212" s="182" t="s">
        <v>28</v>
      </c>
      <c r="D212" s="182">
        <v>1.5</v>
      </c>
      <c r="E212" s="182">
        <f>skilled</f>
        <v>1245</v>
      </c>
      <c r="F212" s="184">
        <f>(D212*E212)</f>
        <v>1867.5</v>
      </c>
      <c r="G212" s="182" t="s">
        <v>83</v>
      </c>
      <c r="H212" s="216" t="s">
        <v>84</v>
      </c>
      <c r="I212" s="182">
        <v>0.14000000000000001</v>
      </c>
      <c r="J212" s="182">
        <f>J199</f>
        <v>3104.64</v>
      </c>
      <c r="K212" s="182">
        <f>(I212*J212)</f>
        <v>434.64960000000002</v>
      </c>
      <c r="L212" s="182" t="s">
        <v>87</v>
      </c>
      <c r="M212" s="182"/>
      <c r="P212" s="184">
        <f>F216*3/100</f>
        <v>336.52499999999998</v>
      </c>
    </row>
    <row r="213" spans="1:21" x14ac:dyDescent="0.25">
      <c r="B213" s="182" t="s">
        <v>29</v>
      </c>
      <c r="C213" s="182" t="s">
        <v>28</v>
      </c>
      <c r="D213" s="182">
        <v>10</v>
      </c>
      <c r="E213" s="182">
        <f>unskilled</f>
        <v>935</v>
      </c>
      <c r="F213" s="184">
        <f>(D213*E213)</f>
        <v>9350</v>
      </c>
      <c r="G213" s="182" t="s">
        <v>85</v>
      </c>
      <c r="H213" s="216" t="s">
        <v>35</v>
      </c>
      <c r="I213" s="182">
        <v>0.1</v>
      </c>
      <c r="J213" s="182">
        <f>adopted_rate_cement</f>
        <v>13031</v>
      </c>
      <c r="K213" s="182">
        <f>(I213*J213)</f>
        <v>1303.1000000000001</v>
      </c>
    </row>
    <row r="214" spans="1:21" x14ac:dyDescent="0.25">
      <c r="G214" s="182" t="s">
        <v>99</v>
      </c>
      <c r="H214" s="216" t="s">
        <v>75</v>
      </c>
      <c r="I214" s="182">
        <v>12.5</v>
      </c>
      <c r="J214" s="182">
        <f>adopted_rate_hume_pipe_dia_1000_mm</f>
        <v>13525</v>
      </c>
      <c r="K214" s="182">
        <f>(I214*J214)</f>
        <v>169062.5</v>
      </c>
    </row>
    <row r="215" spans="1:21" x14ac:dyDescent="0.25">
      <c r="G215" s="182" t="s">
        <v>118</v>
      </c>
      <c r="H215" s="216" t="s">
        <v>106</v>
      </c>
      <c r="I215" s="182">
        <v>4</v>
      </c>
      <c r="J215" s="182">
        <v>3382</v>
      </c>
      <c r="K215" s="182">
        <f>(I215*J215)</f>
        <v>13528</v>
      </c>
    </row>
    <row r="216" spans="1:21" x14ac:dyDescent="0.25">
      <c r="A216" s="537" t="s">
        <v>30</v>
      </c>
      <c r="B216" s="537"/>
      <c r="C216" s="537"/>
      <c r="D216" s="537"/>
      <c r="E216" s="537"/>
      <c r="F216" s="184">
        <f>SUM(F211:F215)</f>
        <v>11217.5</v>
      </c>
      <c r="G216" s="537" t="s">
        <v>31</v>
      </c>
      <c r="H216" s="537"/>
      <c r="I216" s="537"/>
      <c r="J216" s="537"/>
      <c r="K216" s="184">
        <f>SUM(K211:K215)</f>
        <v>184328.24960000001</v>
      </c>
      <c r="L216" s="537" t="s">
        <v>32</v>
      </c>
      <c r="M216" s="537"/>
      <c r="N216" s="537"/>
      <c r="O216" s="537"/>
      <c r="P216" s="184">
        <f>SUM(P211:P215)</f>
        <v>336.52499999999998</v>
      </c>
      <c r="Q216" s="537" t="s">
        <v>38</v>
      </c>
      <c r="R216" s="537"/>
      <c r="S216" s="537"/>
      <c r="T216" s="537"/>
      <c r="U216" s="223">
        <f>SUM(U211:U215)</f>
        <v>0</v>
      </c>
    </row>
    <row r="217" spans="1:21" x14ac:dyDescent="0.25">
      <c r="A217" s="537" t="s">
        <v>33</v>
      </c>
      <c r="B217" s="537"/>
      <c r="C217" s="537"/>
      <c r="D217" s="537"/>
      <c r="E217" s="537"/>
      <c r="F217" s="184">
        <f>SUM(F216+K216+P216)</f>
        <v>195882.2746</v>
      </c>
      <c r="G217" s="537" t="s">
        <v>39</v>
      </c>
      <c r="H217" s="537"/>
      <c r="I217" s="537"/>
      <c r="J217" s="537"/>
      <c r="K217" s="184">
        <f>SUM(F216+K216+P216+U216)</f>
        <v>195882.2746</v>
      </c>
      <c r="L217" s="537" t="s">
        <v>40</v>
      </c>
      <c r="M217" s="537"/>
      <c r="N217" s="537"/>
      <c r="O217" s="537"/>
      <c r="P217" s="184">
        <f>SUM(K217*0.15)</f>
        <v>29382.341189999999</v>
      </c>
      <c r="Q217" s="537" t="s">
        <v>41</v>
      </c>
      <c r="R217" s="537"/>
      <c r="S217" s="537"/>
      <c r="T217" s="537"/>
      <c r="U217" s="223">
        <f>SUM(K217+P217)</f>
        <v>225264.61579000001</v>
      </c>
    </row>
    <row r="218" spans="1:21" x14ac:dyDescent="0.25">
      <c r="Q218" s="537" t="s">
        <v>42</v>
      </c>
      <c r="R218" s="537"/>
      <c r="S218" s="537"/>
      <c r="T218" s="537"/>
      <c r="U218" s="224">
        <f>ROUND((U217/12.5),2)</f>
        <v>18021.169999999998</v>
      </c>
    </row>
    <row r="219" spans="1:21" x14ac:dyDescent="0.25">
      <c r="A219" s="544"/>
      <c r="B219" s="544"/>
      <c r="C219" s="544"/>
      <c r="D219" s="544"/>
      <c r="E219" s="544"/>
      <c r="F219" s="544"/>
      <c r="G219" s="544"/>
      <c r="H219" s="544"/>
      <c r="I219" s="544"/>
      <c r="J219" s="544"/>
      <c r="K219" s="544"/>
      <c r="L219" s="544"/>
      <c r="M219" s="544"/>
      <c r="N219" s="544"/>
      <c r="O219" s="544"/>
      <c r="P219" s="544"/>
      <c r="Q219" s="544"/>
      <c r="R219" s="544"/>
      <c r="S219" s="544"/>
      <c r="T219" s="544"/>
      <c r="U219" s="544"/>
    </row>
    <row r="220" spans="1:21" x14ac:dyDescent="0.25">
      <c r="A220" s="538" t="s">
        <v>12</v>
      </c>
      <c r="B220" s="538"/>
      <c r="C220" s="540" t="s">
        <v>119</v>
      </c>
      <c r="D220" s="540"/>
      <c r="E220" s="540"/>
      <c r="F220" s="540"/>
      <c r="G220" s="540"/>
      <c r="H220" s="540"/>
      <c r="I220" s="540"/>
      <c r="J220" s="540"/>
      <c r="K220" s="540"/>
      <c r="L220" s="540"/>
      <c r="M220" s="540"/>
      <c r="N220" s="540"/>
      <c r="O220" s="540"/>
      <c r="P220" s="540"/>
      <c r="Q220" s="540"/>
      <c r="R220" s="540"/>
      <c r="S220" s="540"/>
      <c r="T220" s="540"/>
      <c r="U220" s="541" t="s">
        <v>81</v>
      </c>
    </row>
    <row r="221" spans="1:21" x14ac:dyDescent="0.25">
      <c r="A221" s="538"/>
      <c r="B221" s="538"/>
      <c r="C221" s="540"/>
      <c r="D221" s="540"/>
      <c r="E221" s="540"/>
      <c r="F221" s="540"/>
      <c r="G221" s="540"/>
      <c r="H221" s="540"/>
      <c r="I221" s="540"/>
      <c r="J221" s="540"/>
      <c r="K221" s="540"/>
      <c r="L221" s="540"/>
      <c r="M221" s="540"/>
      <c r="N221" s="540"/>
      <c r="O221" s="540"/>
      <c r="P221" s="540"/>
      <c r="Q221" s="540"/>
      <c r="R221" s="540"/>
      <c r="S221" s="540"/>
      <c r="T221" s="540"/>
      <c r="U221" s="541"/>
    </row>
    <row r="222" spans="1:21" x14ac:dyDescent="0.25">
      <c r="A222" s="539" t="s">
        <v>70</v>
      </c>
      <c r="B222" s="539"/>
      <c r="C222" s="540"/>
      <c r="D222" s="540"/>
      <c r="E222" s="540"/>
      <c r="F222" s="540"/>
      <c r="G222" s="540"/>
      <c r="H222" s="540"/>
      <c r="I222" s="540"/>
      <c r="J222" s="540"/>
      <c r="K222" s="540"/>
      <c r="L222" s="540"/>
      <c r="M222" s="540"/>
      <c r="N222" s="540"/>
      <c r="O222" s="540"/>
      <c r="P222" s="540"/>
      <c r="Q222" s="540"/>
      <c r="R222" s="540"/>
      <c r="S222" s="540"/>
      <c r="T222" s="540"/>
      <c r="U222" s="541"/>
    </row>
    <row r="223" spans="1:21" x14ac:dyDescent="0.25">
      <c r="A223" s="542" t="s">
        <v>16</v>
      </c>
      <c r="B223" s="543" t="s">
        <v>18</v>
      </c>
      <c r="C223" s="543"/>
      <c r="D223" s="543"/>
      <c r="E223" s="543"/>
      <c r="F223" s="543"/>
      <c r="G223" s="543" t="s">
        <v>24</v>
      </c>
      <c r="H223" s="543"/>
      <c r="I223" s="543"/>
      <c r="J223" s="543"/>
      <c r="K223" s="543"/>
      <c r="L223" s="543" t="s">
        <v>25</v>
      </c>
      <c r="M223" s="543"/>
      <c r="N223" s="543"/>
      <c r="O223" s="543"/>
      <c r="P223" s="543"/>
      <c r="Q223" s="543" t="s">
        <v>26</v>
      </c>
      <c r="R223" s="543"/>
      <c r="S223" s="543"/>
      <c r="T223" s="543"/>
      <c r="U223" s="543"/>
    </row>
    <row r="224" spans="1:21" x14ac:dyDescent="0.25">
      <c r="A224" s="542"/>
      <c r="B224" s="182" t="s">
        <v>19</v>
      </c>
      <c r="C224" s="182" t="s">
        <v>20</v>
      </c>
      <c r="D224" s="182" t="s">
        <v>21</v>
      </c>
      <c r="E224" s="182" t="s">
        <v>22</v>
      </c>
      <c r="F224" s="182" t="s">
        <v>23</v>
      </c>
      <c r="G224" s="182" t="s">
        <v>19</v>
      </c>
      <c r="H224" s="216" t="s">
        <v>20</v>
      </c>
      <c r="I224" s="182" t="s">
        <v>21</v>
      </c>
      <c r="J224" s="182" t="s">
        <v>22</v>
      </c>
      <c r="K224" s="182" t="s">
        <v>23</v>
      </c>
      <c r="L224" s="182" t="s">
        <v>19</v>
      </c>
      <c r="M224" s="182" t="s">
        <v>20</v>
      </c>
      <c r="N224" s="182" t="s">
        <v>21</v>
      </c>
      <c r="O224" s="182" t="s">
        <v>22</v>
      </c>
      <c r="P224" s="182" t="s">
        <v>23</v>
      </c>
      <c r="Q224" s="182" t="s">
        <v>19</v>
      </c>
      <c r="R224" s="182" t="s">
        <v>20</v>
      </c>
      <c r="S224" s="182" t="s">
        <v>21</v>
      </c>
      <c r="T224" s="182" t="s">
        <v>22</v>
      </c>
      <c r="U224" s="211" t="s">
        <v>23</v>
      </c>
    </row>
    <row r="225" spans="1:21" ht="63" x14ac:dyDescent="0.25">
      <c r="A225" s="183" t="s">
        <v>120</v>
      </c>
      <c r="B225" s="182" t="s">
        <v>47</v>
      </c>
      <c r="C225" s="182" t="s">
        <v>28</v>
      </c>
      <c r="D225" s="182">
        <v>2</v>
      </c>
      <c r="E225" s="182">
        <f>skilled</f>
        <v>1245</v>
      </c>
      <c r="F225" s="184">
        <f>(D225*E225)</f>
        <v>2490</v>
      </c>
      <c r="G225" s="182" t="s">
        <v>83</v>
      </c>
      <c r="H225" s="216" t="s">
        <v>84</v>
      </c>
      <c r="I225" s="182">
        <v>0.18</v>
      </c>
      <c r="J225" s="182">
        <f>adopted_rate_sand</f>
        <v>3175.2000000000003</v>
      </c>
      <c r="K225" s="182">
        <f>(I225*J225)</f>
        <v>571.53600000000006</v>
      </c>
      <c r="L225" s="182" t="s">
        <v>87</v>
      </c>
      <c r="M225" s="182"/>
      <c r="P225" s="184">
        <f>F229*3/100</f>
        <v>411.3</v>
      </c>
    </row>
    <row r="226" spans="1:21" x14ac:dyDescent="0.25">
      <c r="B226" s="182" t="s">
        <v>29</v>
      </c>
      <c r="C226" s="182" t="s">
        <v>28</v>
      </c>
      <c r="D226" s="182">
        <v>12</v>
      </c>
      <c r="E226" s="182">
        <f>unskilled</f>
        <v>935</v>
      </c>
      <c r="F226" s="184">
        <f>(D226*E226)</f>
        <v>11220</v>
      </c>
      <c r="G226" s="182" t="s">
        <v>85</v>
      </c>
      <c r="H226" s="216" t="s">
        <v>35</v>
      </c>
      <c r="I226" s="182">
        <v>0.14000000000000001</v>
      </c>
      <c r="J226" s="182">
        <f>adopted_rate_cement</f>
        <v>13031</v>
      </c>
      <c r="K226" s="182">
        <f>(I226*J226)</f>
        <v>1824.3400000000001</v>
      </c>
    </row>
    <row r="227" spans="1:21" x14ac:dyDescent="0.25">
      <c r="G227" s="182" t="s">
        <v>102</v>
      </c>
      <c r="H227" s="216" t="s">
        <v>75</v>
      </c>
      <c r="I227" s="182">
        <v>12.5</v>
      </c>
      <c r="J227" s="182">
        <f>adopted_rate_hume_pipe_dia_1200_mm</f>
        <v>16100</v>
      </c>
      <c r="K227" s="182">
        <f>(I227*J227)</f>
        <v>201250</v>
      </c>
    </row>
    <row r="228" spans="1:21" x14ac:dyDescent="0.25">
      <c r="G228" s="182" t="s">
        <v>121</v>
      </c>
      <c r="H228" s="216" t="s">
        <v>106</v>
      </c>
      <c r="I228" s="182">
        <v>4</v>
      </c>
      <c r="J228" s="182">
        <v>4024</v>
      </c>
      <c r="K228" s="182">
        <f>(I228*J228)</f>
        <v>16096</v>
      </c>
    </row>
    <row r="229" spans="1:21" x14ac:dyDescent="0.25">
      <c r="A229" s="537" t="s">
        <v>30</v>
      </c>
      <c r="B229" s="537"/>
      <c r="C229" s="537"/>
      <c r="D229" s="537"/>
      <c r="E229" s="537"/>
      <c r="F229" s="184">
        <f>SUM(F224:F228)</f>
        <v>13710</v>
      </c>
      <c r="G229" s="537" t="s">
        <v>31</v>
      </c>
      <c r="H229" s="537"/>
      <c r="I229" s="537"/>
      <c r="J229" s="537"/>
      <c r="K229" s="184">
        <f>SUM(K224:K228)</f>
        <v>219741.87599999999</v>
      </c>
      <c r="L229" s="537" t="s">
        <v>32</v>
      </c>
      <c r="M229" s="537"/>
      <c r="N229" s="537"/>
      <c r="O229" s="537"/>
      <c r="P229" s="184">
        <f>SUM(P224:P228)</f>
        <v>411.3</v>
      </c>
      <c r="Q229" s="537" t="s">
        <v>38</v>
      </c>
      <c r="R229" s="537"/>
      <c r="S229" s="537"/>
      <c r="T229" s="537"/>
      <c r="U229" s="223">
        <f>SUM(U224:U228)</f>
        <v>0</v>
      </c>
    </row>
    <row r="230" spans="1:21" x14ac:dyDescent="0.25">
      <c r="A230" s="537" t="s">
        <v>33</v>
      </c>
      <c r="B230" s="537"/>
      <c r="C230" s="537"/>
      <c r="D230" s="537"/>
      <c r="E230" s="537"/>
      <c r="F230" s="184">
        <f>SUM(F229+K229+P229)</f>
        <v>233863.17599999998</v>
      </c>
      <c r="G230" s="537" t="s">
        <v>39</v>
      </c>
      <c r="H230" s="537"/>
      <c r="I230" s="537"/>
      <c r="J230" s="537"/>
      <c r="K230" s="184">
        <f>SUM(F229+K229+P229+U229)</f>
        <v>233863.17599999998</v>
      </c>
      <c r="L230" s="537" t="s">
        <v>40</v>
      </c>
      <c r="M230" s="537"/>
      <c r="N230" s="537"/>
      <c r="O230" s="537"/>
      <c r="P230" s="184">
        <f>SUM(K230*0.15)</f>
        <v>35079.476399999992</v>
      </c>
      <c r="Q230" s="537" t="s">
        <v>41</v>
      </c>
      <c r="R230" s="537"/>
      <c r="S230" s="537"/>
      <c r="T230" s="537"/>
      <c r="U230" s="223">
        <f>SUM(K230+P230)</f>
        <v>268942.65239999996</v>
      </c>
    </row>
    <row r="231" spans="1:21" x14ac:dyDescent="0.25">
      <c r="Q231" s="537" t="s">
        <v>42</v>
      </c>
      <c r="R231" s="537"/>
      <c r="S231" s="537"/>
      <c r="T231" s="537"/>
      <c r="U231" s="224">
        <f>ROUND((U230/12.5),2)</f>
        <v>21515.41</v>
      </c>
    </row>
    <row r="232" spans="1:21" x14ac:dyDescent="0.25">
      <c r="A232" s="544"/>
      <c r="B232" s="544"/>
      <c r="C232" s="544"/>
      <c r="D232" s="544"/>
      <c r="E232" s="544"/>
      <c r="F232" s="544"/>
      <c r="G232" s="544"/>
      <c r="H232" s="544"/>
      <c r="I232" s="544"/>
      <c r="J232" s="544"/>
      <c r="K232" s="544"/>
      <c r="L232" s="544"/>
      <c r="M232" s="544"/>
      <c r="N232" s="544"/>
      <c r="O232" s="544"/>
      <c r="P232" s="544"/>
      <c r="Q232" s="544"/>
      <c r="R232" s="544"/>
      <c r="S232" s="544"/>
      <c r="T232" s="544"/>
      <c r="U232" s="544"/>
    </row>
    <row r="233" spans="1:21" x14ac:dyDescent="0.25">
      <c r="A233" s="538" t="s">
        <v>12</v>
      </c>
      <c r="B233" s="538"/>
      <c r="C233" s="540" t="s">
        <v>123</v>
      </c>
      <c r="D233" s="540"/>
      <c r="E233" s="540"/>
      <c r="F233" s="540"/>
      <c r="G233" s="540"/>
      <c r="H233" s="540"/>
      <c r="I233" s="540"/>
      <c r="J233" s="540"/>
      <c r="K233" s="540"/>
      <c r="L233" s="540"/>
      <c r="M233" s="540"/>
      <c r="N233" s="540"/>
      <c r="O233" s="540"/>
      <c r="P233" s="540"/>
      <c r="Q233" s="540"/>
      <c r="R233" s="540"/>
      <c r="S233" s="540"/>
      <c r="T233" s="540"/>
      <c r="U233" s="541" t="s">
        <v>124</v>
      </c>
    </row>
    <row r="234" spans="1:21" x14ac:dyDescent="0.25">
      <c r="A234" s="538"/>
      <c r="B234" s="538"/>
      <c r="C234" s="540"/>
      <c r="D234" s="540"/>
      <c r="E234" s="540"/>
      <c r="F234" s="540"/>
      <c r="G234" s="540"/>
      <c r="H234" s="540"/>
      <c r="I234" s="540"/>
      <c r="J234" s="540"/>
      <c r="K234" s="540"/>
      <c r="L234" s="540"/>
      <c r="M234" s="540"/>
      <c r="N234" s="540"/>
      <c r="O234" s="540"/>
      <c r="P234" s="540"/>
      <c r="Q234" s="540"/>
      <c r="R234" s="540"/>
      <c r="S234" s="540"/>
      <c r="T234" s="540"/>
      <c r="U234" s="541"/>
    </row>
    <row r="235" spans="1:21" x14ac:dyDescent="0.25">
      <c r="A235" s="539" t="s">
        <v>122</v>
      </c>
      <c r="B235" s="539"/>
      <c r="C235" s="540"/>
      <c r="D235" s="540"/>
      <c r="E235" s="540"/>
      <c r="F235" s="540"/>
      <c r="G235" s="540"/>
      <c r="H235" s="540"/>
      <c r="I235" s="540"/>
      <c r="J235" s="540"/>
      <c r="K235" s="540"/>
      <c r="L235" s="540"/>
      <c r="M235" s="540"/>
      <c r="N235" s="540"/>
      <c r="O235" s="540"/>
      <c r="P235" s="540"/>
      <c r="Q235" s="540"/>
      <c r="R235" s="540"/>
      <c r="S235" s="540"/>
      <c r="T235" s="540"/>
      <c r="U235" s="541"/>
    </row>
    <row r="236" spans="1:21" x14ac:dyDescent="0.25">
      <c r="A236" s="542" t="s">
        <v>16</v>
      </c>
      <c r="B236" s="543" t="s">
        <v>18</v>
      </c>
      <c r="C236" s="543"/>
      <c r="D236" s="543"/>
      <c r="E236" s="543"/>
      <c r="F236" s="543"/>
      <c r="G236" s="543" t="s">
        <v>24</v>
      </c>
      <c r="H236" s="543"/>
      <c r="I236" s="543"/>
      <c r="J236" s="543"/>
      <c r="K236" s="543"/>
      <c r="L236" s="543" t="s">
        <v>25</v>
      </c>
      <c r="M236" s="543"/>
      <c r="N236" s="543"/>
      <c r="O236" s="543"/>
      <c r="P236" s="543"/>
      <c r="Q236" s="543" t="s">
        <v>26</v>
      </c>
      <c r="R236" s="543"/>
      <c r="S236" s="543"/>
      <c r="T236" s="543"/>
      <c r="U236" s="543"/>
    </row>
    <row r="237" spans="1:21" x14ac:dyDescent="0.25">
      <c r="A237" s="542"/>
      <c r="B237" s="182" t="s">
        <v>19</v>
      </c>
      <c r="C237" s="182" t="s">
        <v>20</v>
      </c>
      <c r="D237" s="182" t="s">
        <v>21</v>
      </c>
      <c r="E237" s="182" t="s">
        <v>22</v>
      </c>
      <c r="F237" s="182" t="s">
        <v>23</v>
      </c>
      <c r="G237" s="182" t="s">
        <v>19</v>
      </c>
      <c r="H237" s="216" t="s">
        <v>20</v>
      </c>
      <c r="I237" s="182" t="s">
        <v>21</v>
      </c>
      <c r="J237" s="182" t="s">
        <v>22</v>
      </c>
      <c r="K237" s="182" t="s">
        <v>23</v>
      </c>
      <c r="L237" s="182" t="s">
        <v>19</v>
      </c>
      <c r="M237" s="182" t="s">
        <v>20</v>
      </c>
      <c r="N237" s="182" t="s">
        <v>21</v>
      </c>
      <c r="O237" s="182" t="s">
        <v>22</v>
      </c>
      <c r="P237" s="182" t="s">
        <v>23</v>
      </c>
      <c r="Q237" s="182" t="s">
        <v>19</v>
      </c>
      <c r="R237" s="182" t="s">
        <v>20</v>
      </c>
      <c r="S237" s="182" t="s">
        <v>21</v>
      </c>
      <c r="T237" s="182" t="s">
        <v>22</v>
      </c>
      <c r="U237" s="211" t="s">
        <v>23</v>
      </c>
    </row>
    <row r="238" spans="1:21" x14ac:dyDescent="0.25">
      <c r="A238" s="183" t="s">
        <v>125</v>
      </c>
      <c r="B238" s="182" t="s">
        <v>47</v>
      </c>
      <c r="C238" s="182" t="s">
        <v>28</v>
      </c>
      <c r="D238" s="182">
        <v>1</v>
      </c>
      <c r="E238" s="182">
        <f>skilled</f>
        <v>1245</v>
      </c>
      <c r="F238" s="184">
        <f>(D238*E238)</f>
        <v>1245</v>
      </c>
      <c r="L238" s="182" t="s">
        <v>126</v>
      </c>
      <c r="M238" s="182"/>
      <c r="P238" s="184">
        <f>F240*3/100</f>
        <v>261.75</v>
      </c>
    </row>
    <row r="239" spans="1:21" x14ac:dyDescent="0.25">
      <c r="B239" s="182" t="s">
        <v>29</v>
      </c>
      <c r="C239" s="182" t="s">
        <v>28</v>
      </c>
      <c r="D239" s="182">
        <v>8</v>
      </c>
      <c r="E239" s="182">
        <f>unskilled</f>
        <v>935</v>
      </c>
      <c r="F239" s="184">
        <f>(D239*E239)</f>
        <v>7480</v>
      </c>
    </row>
    <row r="240" spans="1:21" x14ac:dyDescent="0.25">
      <c r="A240" s="537" t="s">
        <v>30</v>
      </c>
      <c r="B240" s="537"/>
      <c r="C240" s="537"/>
      <c r="D240" s="537"/>
      <c r="E240" s="537"/>
      <c r="F240" s="184">
        <f>SUM(F237:F239)</f>
        <v>8725</v>
      </c>
      <c r="G240" s="537" t="s">
        <v>31</v>
      </c>
      <c r="H240" s="537"/>
      <c r="I240" s="537"/>
      <c r="J240" s="537"/>
      <c r="K240" s="184">
        <f>SUM(K237:K239)</f>
        <v>0</v>
      </c>
      <c r="L240" s="537" t="s">
        <v>32</v>
      </c>
      <c r="M240" s="537"/>
      <c r="N240" s="537"/>
      <c r="O240" s="537"/>
      <c r="P240" s="184">
        <f>SUM(P237:P239)</f>
        <v>261.75</v>
      </c>
      <c r="Q240" s="537" t="s">
        <v>38</v>
      </c>
      <c r="R240" s="537"/>
      <c r="S240" s="537"/>
      <c r="T240" s="537"/>
      <c r="U240" s="223">
        <f>SUM(U237:U239)</f>
        <v>0</v>
      </c>
    </row>
    <row r="241" spans="1:21" x14ac:dyDescent="0.25">
      <c r="A241" s="537" t="s">
        <v>33</v>
      </c>
      <c r="B241" s="537"/>
      <c r="C241" s="537"/>
      <c r="D241" s="537"/>
      <c r="E241" s="537"/>
      <c r="F241" s="184">
        <f>SUM(F240+K240+P240)</f>
        <v>8986.75</v>
      </c>
      <c r="G241" s="537" t="s">
        <v>39</v>
      </c>
      <c r="H241" s="537"/>
      <c r="I241" s="537"/>
      <c r="J241" s="537"/>
      <c r="K241" s="184">
        <f>SUM(F240+K240+P240+U240)</f>
        <v>8986.75</v>
      </c>
      <c r="L241" s="537" t="s">
        <v>40</v>
      </c>
      <c r="M241" s="537"/>
      <c r="N241" s="537"/>
      <c r="O241" s="537"/>
      <c r="P241" s="184">
        <f>SUM(K241*0.15)</f>
        <v>1348.0125</v>
      </c>
      <c r="Q241" s="537" t="s">
        <v>41</v>
      </c>
      <c r="R241" s="537"/>
      <c r="S241" s="537"/>
      <c r="T241" s="537"/>
      <c r="U241" s="223">
        <f>SUM(K241+P241)</f>
        <v>10334.762500000001</v>
      </c>
    </row>
    <row r="242" spans="1:21" x14ac:dyDescent="0.25">
      <c r="Q242" s="537" t="s">
        <v>42</v>
      </c>
      <c r="R242" s="537"/>
      <c r="S242" s="537"/>
      <c r="T242" s="537"/>
      <c r="U242" s="224">
        <f>ROUND((U241/12),2)</f>
        <v>861.23</v>
      </c>
    </row>
    <row r="243" spans="1:21" x14ac:dyDescent="0.25">
      <c r="A243" s="544"/>
      <c r="B243" s="544"/>
      <c r="C243" s="544"/>
      <c r="D243" s="544"/>
      <c r="E243" s="544"/>
      <c r="F243" s="544"/>
      <c r="G243" s="544"/>
      <c r="H243" s="544"/>
      <c r="I243" s="544"/>
      <c r="J243" s="544"/>
      <c r="K243" s="544"/>
      <c r="L243" s="544"/>
      <c r="M243" s="544"/>
      <c r="N243" s="544"/>
      <c r="O243" s="544"/>
      <c r="P243" s="544"/>
      <c r="Q243" s="544"/>
      <c r="R243" s="544"/>
      <c r="S243" s="544"/>
      <c r="T243" s="544"/>
      <c r="U243" s="544"/>
    </row>
    <row r="244" spans="1:21" x14ac:dyDescent="0.25">
      <c r="A244" s="538" t="s">
        <v>12</v>
      </c>
      <c r="B244" s="538"/>
      <c r="C244" s="540" t="s">
        <v>127</v>
      </c>
      <c r="D244" s="540"/>
      <c r="E244" s="540"/>
      <c r="F244" s="540"/>
      <c r="G244" s="540"/>
      <c r="H244" s="540"/>
      <c r="I244" s="540"/>
      <c r="J244" s="540"/>
      <c r="K244" s="540"/>
      <c r="L244" s="540"/>
      <c r="M244" s="540"/>
      <c r="N244" s="540"/>
      <c r="O244" s="540"/>
      <c r="P244" s="540"/>
      <c r="Q244" s="540"/>
      <c r="R244" s="540"/>
      <c r="S244" s="540"/>
      <c r="T244" s="540"/>
      <c r="U244" s="541" t="s">
        <v>128</v>
      </c>
    </row>
    <row r="245" spans="1:21" x14ac:dyDescent="0.25">
      <c r="A245" s="538"/>
      <c r="B245" s="538"/>
      <c r="C245" s="540"/>
      <c r="D245" s="540"/>
      <c r="E245" s="540"/>
      <c r="F245" s="540"/>
      <c r="G245" s="540"/>
      <c r="H245" s="540"/>
      <c r="I245" s="540"/>
      <c r="J245" s="540"/>
      <c r="K245" s="540"/>
      <c r="L245" s="540"/>
      <c r="M245" s="540"/>
      <c r="N245" s="540"/>
      <c r="O245" s="540"/>
      <c r="P245" s="540"/>
      <c r="Q245" s="540"/>
      <c r="R245" s="540"/>
      <c r="S245" s="540"/>
      <c r="T245" s="540"/>
      <c r="U245" s="541"/>
    </row>
    <row r="246" spans="1:21" x14ac:dyDescent="0.25">
      <c r="A246" s="539" t="s">
        <v>122</v>
      </c>
      <c r="B246" s="539"/>
      <c r="C246" s="540"/>
      <c r="D246" s="540"/>
      <c r="E246" s="540"/>
      <c r="F246" s="540"/>
      <c r="G246" s="540"/>
      <c r="H246" s="540"/>
      <c r="I246" s="540"/>
      <c r="J246" s="540"/>
      <c r="K246" s="540"/>
      <c r="L246" s="540"/>
      <c r="M246" s="540"/>
      <c r="N246" s="540"/>
      <c r="O246" s="540"/>
      <c r="P246" s="540"/>
      <c r="Q246" s="540"/>
      <c r="R246" s="540"/>
      <c r="S246" s="540"/>
      <c r="T246" s="540"/>
      <c r="U246" s="541"/>
    </row>
    <row r="247" spans="1:21" x14ac:dyDescent="0.25">
      <c r="A247" s="542" t="s">
        <v>16</v>
      </c>
      <c r="B247" s="543" t="s">
        <v>18</v>
      </c>
      <c r="C247" s="543"/>
      <c r="D247" s="543"/>
      <c r="E247" s="543"/>
      <c r="F247" s="543"/>
      <c r="G247" s="543" t="s">
        <v>24</v>
      </c>
      <c r="H247" s="543"/>
      <c r="I247" s="543"/>
      <c r="J247" s="543"/>
      <c r="K247" s="543"/>
      <c r="L247" s="543" t="s">
        <v>25</v>
      </c>
      <c r="M247" s="543"/>
      <c r="N247" s="543"/>
      <c r="O247" s="543"/>
      <c r="P247" s="543"/>
      <c r="Q247" s="543" t="s">
        <v>26</v>
      </c>
      <c r="R247" s="543"/>
      <c r="S247" s="543"/>
      <c r="T247" s="543"/>
      <c r="U247" s="543"/>
    </row>
    <row r="248" spans="1:21" x14ac:dyDescent="0.25">
      <c r="A248" s="542"/>
      <c r="B248" s="182" t="s">
        <v>19</v>
      </c>
      <c r="C248" s="182" t="s">
        <v>20</v>
      </c>
      <c r="D248" s="182" t="s">
        <v>21</v>
      </c>
      <c r="E248" s="182" t="s">
        <v>22</v>
      </c>
      <c r="F248" s="182" t="s">
        <v>23</v>
      </c>
      <c r="G248" s="182" t="s">
        <v>19</v>
      </c>
      <c r="H248" s="216" t="s">
        <v>20</v>
      </c>
      <c r="I248" s="182" t="s">
        <v>21</v>
      </c>
      <c r="J248" s="182" t="s">
        <v>22</v>
      </c>
      <c r="K248" s="182" t="s">
        <v>23</v>
      </c>
      <c r="L248" s="182" t="s">
        <v>19</v>
      </c>
      <c r="M248" s="182" t="s">
        <v>20</v>
      </c>
      <c r="N248" s="182" t="s">
        <v>21</v>
      </c>
      <c r="O248" s="182" t="s">
        <v>22</v>
      </c>
      <c r="P248" s="182" t="s">
        <v>23</v>
      </c>
      <c r="Q248" s="182" t="s">
        <v>19</v>
      </c>
      <c r="R248" s="182" t="s">
        <v>20</v>
      </c>
      <c r="S248" s="182" t="s">
        <v>21</v>
      </c>
      <c r="T248" s="182" t="s">
        <v>22</v>
      </c>
      <c r="U248" s="211" t="s">
        <v>23</v>
      </c>
    </row>
    <row r="249" spans="1:21" x14ac:dyDescent="0.25">
      <c r="A249" s="183" t="s">
        <v>129</v>
      </c>
      <c r="B249" s="182" t="s">
        <v>47</v>
      </c>
      <c r="C249" s="182" t="s">
        <v>28</v>
      </c>
      <c r="D249" s="182">
        <v>1</v>
      </c>
      <c r="E249" s="182">
        <f>skilled</f>
        <v>1245</v>
      </c>
      <c r="F249" s="184">
        <f>(D249*E249)</f>
        <v>1245</v>
      </c>
      <c r="L249" s="182" t="s">
        <v>130</v>
      </c>
      <c r="M249" s="182" t="s">
        <v>58</v>
      </c>
      <c r="N249" s="182">
        <v>6</v>
      </c>
      <c r="O249" s="182">
        <f>excavator</f>
        <v>3102</v>
      </c>
      <c r="P249" s="184">
        <f>(N249*O249)</f>
        <v>18612</v>
      </c>
    </row>
    <row r="250" spans="1:21" x14ac:dyDescent="0.25">
      <c r="B250" s="182" t="s">
        <v>29</v>
      </c>
      <c r="C250" s="182" t="s">
        <v>28</v>
      </c>
      <c r="D250" s="182">
        <v>3</v>
      </c>
      <c r="E250" s="182">
        <f>unskilled</f>
        <v>935</v>
      </c>
      <c r="F250" s="184">
        <f>(D250*E250)</f>
        <v>2805</v>
      </c>
    </row>
    <row r="251" spans="1:21" x14ac:dyDescent="0.25">
      <c r="A251" s="537" t="s">
        <v>30</v>
      </c>
      <c r="B251" s="537"/>
      <c r="C251" s="537"/>
      <c r="D251" s="537"/>
      <c r="E251" s="537"/>
      <c r="F251" s="184">
        <f>SUM(F248:F250)</f>
        <v>4050</v>
      </c>
      <c r="G251" s="537" t="s">
        <v>31</v>
      </c>
      <c r="H251" s="537"/>
      <c r="I251" s="537"/>
      <c r="J251" s="537"/>
      <c r="K251" s="184">
        <f>SUM(K248:K250)</f>
        <v>0</v>
      </c>
      <c r="L251" s="537" t="s">
        <v>32</v>
      </c>
      <c r="M251" s="537"/>
      <c r="N251" s="537"/>
      <c r="O251" s="537"/>
      <c r="P251" s="184">
        <f>SUM(P248:P250)</f>
        <v>18612</v>
      </c>
      <c r="Q251" s="537" t="s">
        <v>38</v>
      </c>
      <c r="R251" s="537"/>
      <c r="S251" s="537"/>
      <c r="T251" s="537"/>
      <c r="U251" s="223">
        <f>SUM(U248:U250)</f>
        <v>0</v>
      </c>
    </row>
    <row r="252" spans="1:21" x14ac:dyDescent="0.25">
      <c r="A252" s="537" t="s">
        <v>33</v>
      </c>
      <c r="B252" s="537"/>
      <c r="C252" s="537"/>
      <c r="D252" s="537"/>
      <c r="E252" s="537"/>
      <c r="F252" s="184">
        <f>SUM(F251+K251+P251)</f>
        <v>22662</v>
      </c>
      <c r="G252" s="537" t="s">
        <v>39</v>
      </c>
      <c r="H252" s="537"/>
      <c r="I252" s="537"/>
      <c r="J252" s="537"/>
      <c r="K252" s="184">
        <f>SUM(F251+K251+P251+U251)</f>
        <v>22662</v>
      </c>
      <c r="L252" s="537" t="s">
        <v>40</v>
      </c>
      <c r="M252" s="537"/>
      <c r="N252" s="537"/>
      <c r="O252" s="537"/>
      <c r="P252" s="184">
        <f>SUM(K252*0.15)</f>
        <v>3399.2999999999997</v>
      </c>
      <c r="Q252" s="537" t="s">
        <v>41</v>
      </c>
      <c r="R252" s="537"/>
      <c r="S252" s="537"/>
      <c r="T252" s="537"/>
      <c r="U252" s="223">
        <f>SUM(K252+P252)</f>
        <v>26061.3</v>
      </c>
    </row>
    <row r="253" spans="1:21" x14ac:dyDescent="0.25">
      <c r="Q253" s="537" t="s">
        <v>42</v>
      </c>
      <c r="R253" s="537"/>
      <c r="S253" s="537"/>
      <c r="T253" s="537"/>
      <c r="U253" s="224">
        <f>ROUND((U252/360),2)</f>
        <v>72.39</v>
      </c>
    </row>
    <row r="254" spans="1:21" x14ac:dyDescent="0.25">
      <c r="A254" s="544"/>
      <c r="B254" s="544"/>
      <c r="C254" s="544"/>
      <c r="D254" s="544"/>
      <c r="E254" s="544"/>
      <c r="F254" s="544"/>
      <c r="G254" s="544"/>
      <c r="H254" s="544"/>
      <c r="I254" s="544"/>
      <c r="J254" s="544"/>
      <c r="K254" s="544"/>
      <c r="L254" s="544"/>
      <c r="M254" s="544"/>
      <c r="N254" s="544"/>
      <c r="O254" s="544"/>
      <c r="P254" s="544"/>
      <c r="Q254" s="544"/>
      <c r="R254" s="544"/>
      <c r="S254" s="544"/>
      <c r="T254" s="544"/>
      <c r="U254" s="544"/>
    </row>
    <row r="255" spans="1:21" x14ac:dyDescent="0.25">
      <c r="A255" s="538" t="s">
        <v>12</v>
      </c>
      <c r="B255" s="538"/>
      <c r="C255" s="540" t="s">
        <v>131</v>
      </c>
      <c r="D255" s="540"/>
      <c r="E255" s="540"/>
      <c r="F255" s="540"/>
      <c r="G255" s="540"/>
      <c r="H255" s="540"/>
      <c r="I255" s="540"/>
      <c r="J255" s="540"/>
      <c r="K255" s="540"/>
      <c r="L255" s="540"/>
      <c r="M255" s="540"/>
      <c r="N255" s="540"/>
      <c r="O255" s="540"/>
      <c r="P255" s="540"/>
      <c r="Q255" s="540"/>
      <c r="R255" s="540"/>
      <c r="S255" s="540"/>
      <c r="T255" s="540"/>
      <c r="U255" s="541" t="s">
        <v>132</v>
      </c>
    </row>
    <row r="256" spans="1:21" x14ac:dyDescent="0.25">
      <c r="A256" s="538"/>
      <c r="B256" s="538"/>
      <c r="C256" s="540"/>
      <c r="D256" s="540"/>
      <c r="E256" s="540"/>
      <c r="F256" s="540"/>
      <c r="G256" s="540"/>
      <c r="H256" s="540"/>
      <c r="I256" s="540"/>
      <c r="J256" s="540"/>
      <c r="K256" s="540"/>
      <c r="L256" s="540"/>
      <c r="M256" s="540"/>
      <c r="N256" s="540"/>
      <c r="O256" s="540"/>
      <c r="P256" s="540"/>
      <c r="Q256" s="540"/>
      <c r="R256" s="540"/>
      <c r="S256" s="540"/>
      <c r="T256" s="540"/>
      <c r="U256" s="541"/>
    </row>
    <row r="257" spans="1:21" x14ac:dyDescent="0.25">
      <c r="A257" s="539" t="s">
        <v>122</v>
      </c>
      <c r="B257" s="539"/>
      <c r="C257" s="540"/>
      <c r="D257" s="540"/>
      <c r="E257" s="540"/>
      <c r="F257" s="540"/>
      <c r="G257" s="540"/>
      <c r="H257" s="540"/>
      <c r="I257" s="540"/>
      <c r="J257" s="540"/>
      <c r="K257" s="540"/>
      <c r="L257" s="540"/>
      <c r="M257" s="540"/>
      <c r="N257" s="540"/>
      <c r="O257" s="540"/>
      <c r="P257" s="540"/>
      <c r="Q257" s="540"/>
      <c r="R257" s="540"/>
      <c r="S257" s="540"/>
      <c r="T257" s="540"/>
      <c r="U257" s="541"/>
    </row>
    <row r="258" spans="1:21" x14ac:dyDescent="0.25">
      <c r="A258" s="542" t="s">
        <v>16</v>
      </c>
      <c r="B258" s="543" t="s">
        <v>18</v>
      </c>
      <c r="C258" s="543"/>
      <c r="D258" s="543"/>
      <c r="E258" s="543"/>
      <c r="F258" s="543"/>
      <c r="G258" s="543" t="s">
        <v>24</v>
      </c>
      <c r="H258" s="543"/>
      <c r="I258" s="543"/>
      <c r="J258" s="543"/>
      <c r="K258" s="543"/>
      <c r="L258" s="543" t="s">
        <v>25</v>
      </c>
      <c r="M258" s="543"/>
      <c r="N258" s="543"/>
      <c r="O258" s="543"/>
      <c r="P258" s="543"/>
      <c r="Q258" s="543" t="s">
        <v>26</v>
      </c>
      <c r="R258" s="543"/>
      <c r="S258" s="543"/>
      <c r="T258" s="543"/>
      <c r="U258" s="543"/>
    </row>
    <row r="259" spans="1:21" x14ac:dyDescent="0.25">
      <c r="A259" s="542"/>
      <c r="B259" s="182" t="s">
        <v>19</v>
      </c>
      <c r="C259" s="182" t="s">
        <v>20</v>
      </c>
      <c r="D259" s="182" t="s">
        <v>21</v>
      </c>
      <c r="E259" s="182" t="s">
        <v>22</v>
      </c>
      <c r="F259" s="182" t="s">
        <v>23</v>
      </c>
      <c r="G259" s="182" t="s">
        <v>19</v>
      </c>
      <c r="H259" s="216" t="s">
        <v>20</v>
      </c>
      <c r="I259" s="182" t="s">
        <v>21</v>
      </c>
      <c r="J259" s="182" t="s">
        <v>22</v>
      </c>
      <c r="K259" s="182" t="s">
        <v>23</v>
      </c>
      <c r="L259" s="182" t="s">
        <v>19</v>
      </c>
      <c r="M259" s="182" t="s">
        <v>20</v>
      </c>
      <c r="N259" s="182" t="s">
        <v>21</v>
      </c>
      <c r="O259" s="182" t="s">
        <v>22</v>
      </c>
      <c r="P259" s="182" t="s">
        <v>23</v>
      </c>
      <c r="Q259" s="182" t="s">
        <v>19</v>
      </c>
      <c r="R259" s="182" t="s">
        <v>20</v>
      </c>
      <c r="S259" s="182" t="s">
        <v>21</v>
      </c>
      <c r="T259" s="182" t="s">
        <v>22</v>
      </c>
      <c r="U259" s="211" t="s">
        <v>23</v>
      </c>
    </row>
    <row r="260" spans="1:21" x14ac:dyDescent="0.25">
      <c r="A260" s="183" t="s">
        <v>133</v>
      </c>
      <c r="B260" s="182" t="s">
        <v>47</v>
      </c>
      <c r="C260" s="182" t="s">
        <v>28</v>
      </c>
      <c r="D260" s="182">
        <v>3</v>
      </c>
      <c r="E260" s="182">
        <f>skilled</f>
        <v>1245</v>
      </c>
      <c r="F260" s="184">
        <f>(D260*E260)</f>
        <v>3735</v>
      </c>
      <c r="L260" s="182" t="s">
        <v>134</v>
      </c>
      <c r="M260" s="182"/>
      <c r="P260" s="184">
        <f>F262*3/100</f>
        <v>1514.55</v>
      </c>
    </row>
    <row r="261" spans="1:21" x14ac:dyDescent="0.25">
      <c r="B261" s="182" t="s">
        <v>29</v>
      </c>
      <c r="C261" s="182" t="s">
        <v>28</v>
      </c>
      <c r="D261" s="182">
        <v>50</v>
      </c>
      <c r="E261" s="182">
        <f>unskilled</f>
        <v>935</v>
      </c>
      <c r="F261" s="184">
        <f>(D261*E261)</f>
        <v>46750</v>
      </c>
    </row>
    <row r="262" spans="1:21" x14ac:dyDescent="0.25">
      <c r="A262" s="537" t="s">
        <v>30</v>
      </c>
      <c r="B262" s="537"/>
      <c r="C262" s="537"/>
      <c r="D262" s="537"/>
      <c r="E262" s="537"/>
      <c r="F262" s="184">
        <f>SUM(F259:F261)</f>
        <v>50485</v>
      </c>
      <c r="G262" s="537" t="s">
        <v>31</v>
      </c>
      <c r="H262" s="537"/>
      <c r="I262" s="537"/>
      <c r="J262" s="537"/>
      <c r="K262" s="184">
        <f>SUM(K259:K261)</f>
        <v>0</v>
      </c>
      <c r="L262" s="537" t="s">
        <v>32</v>
      </c>
      <c r="M262" s="537"/>
      <c r="N262" s="537"/>
      <c r="O262" s="537"/>
      <c r="P262" s="184">
        <f>SUM(P259:P261)</f>
        <v>1514.55</v>
      </c>
      <c r="Q262" s="537" t="s">
        <v>38</v>
      </c>
      <c r="R262" s="537"/>
      <c r="S262" s="537"/>
      <c r="T262" s="537"/>
      <c r="U262" s="223">
        <f>SUM(U259:U261)</f>
        <v>0</v>
      </c>
    </row>
    <row r="263" spans="1:21" x14ac:dyDescent="0.25">
      <c r="A263" s="537" t="s">
        <v>33</v>
      </c>
      <c r="B263" s="537"/>
      <c r="C263" s="537"/>
      <c r="D263" s="537"/>
      <c r="E263" s="537"/>
      <c r="F263" s="184">
        <f>SUM(F262+K262+P262)</f>
        <v>51999.55</v>
      </c>
      <c r="G263" s="537" t="s">
        <v>39</v>
      </c>
      <c r="H263" s="537"/>
      <c r="I263" s="537"/>
      <c r="J263" s="537"/>
      <c r="K263" s="184">
        <f>SUM(F262+K262+P262+U262)</f>
        <v>51999.55</v>
      </c>
      <c r="L263" s="537" t="s">
        <v>40</v>
      </c>
      <c r="M263" s="537"/>
      <c r="N263" s="537"/>
      <c r="O263" s="537"/>
      <c r="P263" s="184">
        <f>SUM(K263*0.15)</f>
        <v>7799.9324999999999</v>
      </c>
      <c r="Q263" s="537" t="s">
        <v>41</v>
      </c>
      <c r="R263" s="537"/>
      <c r="S263" s="537"/>
      <c r="T263" s="537"/>
      <c r="U263" s="223">
        <f>SUM(K263+P263)</f>
        <v>59799.482500000006</v>
      </c>
    </row>
    <row r="264" spans="1:21" x14ac:dyDescent="0.25">
      <c r="Q264" s="537" t="s">
        <v>42</v>
      </c>
      <c r="R264" s="537"/>
      <c r="S264" s="537"/>
      <c r="T264" s="537"/>
      <c r="U264" s="224">
        <f>ROUND((U263/60),2)</f>
        <v>996.66</v>
      </c>
    </row>
    <row r="265" spans="1:21" x14ac:dyDescent="0.25">
      <c r="A265" s="544"/>
      <c r="B265" s="544"/>
      <c r="C265" s="544"/>
      <c r="D265" s="544"/>
      <c r="E265" s="544"/>
      <c r="F265" s="544"/>
      <c r="G265" s="544"/>
      <c r="H265" s="544"/>
      <c r="I265" s="544"/>
      <c r="J265" s="544"/>
      <c r="K265" s="544"/>
      <c r="L265" s="544"/>
      <c r="M265" s="544"/>
      <c r="N265" s="544"/>
      <c r="O265" s="544"/>
      <c r="P265" s="544"/>
      <c r="Q265" s="544"/>
      <c r="R265" s="544"/>
      <c r="S265" s="544"/>
      <c r="T265" s="544"/>
      <c r="U265" s="544"/>
    </row>
    <row r="266" spans="1:21" x14ac:dyDescent="0.25">
      <c r="A266" s="538" t="s">
        <v>12</v>
      </c>
      <c r="B266" s="538"/>
      <c r="C266" s="540" t="s">
        <v>135</v>
      </c>
      <c r="D266" s="540"/>
      <c r="E266" s="540"/>
      <c r="F266" s="540"/>
      <c r="G266" s="540"/>
      <c r="H266" s="540"/>
      <c r="I266" s="540"/>
      <c r="J266" s="540"/>
      <c r="K266" s="540"/>
      <c r="L266" s="540"/>
      <c r="M266" s="540"/>
      <c r="N266" s="540"/>
      <c r="O266" s="540"/>
      <c r="P266" s="540"/>
      <c r="Q266" s="540"/>
      <c r="R266" s="540"/>
      <c r="S266" s="540"/>
      <c r="T266" s="540"/>
      <c r="U266" s="541" t="s">
        <v>136</v>
      </c>
    </row>
    <row r="267" spans="1:21" x14ac:dyDescent="0.25">
      <c r="A267" s="538"/>
      <c r="B267" s="538"/>
      <c r="C267" s="540"/>
      <c r="D267" s="540"/>
      <c r="E267" s="540"/>
      <c r="F267" s="540"/>
      <c r="G267" s="540"/>
      <c r="H267" s="540"/>
      <c r="I267" s="540"/>
      <c r="J267" s="540"/>
      <c r="K267" s="540"/>
      <c r="L267" s="540"/>
      <c r="M267" s="540"/>
      <c r="N267" s="540"/>
      <c r="O267" s="540"/>
      <c r="P267" s="540"/>
      <c r="Q267" s="540"/>
      <c r="R267" s="540"/>
      <c r="S267" s="540"/>
      <c r="T267" s="540"/>
      <c r="U267" s="541"/>
    </row>
    <row r="268" spans="1:21" x14ac:dyDescent="0.25">
      <c r="A268" s="539" t="s">
        <v>122</v>
      </c>
      <c r="B268" s="539"/>
      <c r="C268" s="540"/>
      <c r="D268" s="540"/>
      <c r="E268" s="540"/>
      <c r="F268" s="540"/>
      <c r="G268" s="540"/>
      <c r="H268" s="540"/>
      <c r="I268" s="540"/>
      <c r="J268" s="540"/>
      <c r="K268" s="540"/>
      <c r="L268" s="540"/>
      <c r="M268" s="540"/>
      <c r="N268" s="540"/>
      <c r="O268" s="540"/>
      <c r="P268" s="540"/>
      <c r="Q268" s="540"/>
      <c r="R268" s="540"/>
      <c r="S268" s="540"/>
      <c r="T268" s="540"/>
      <c r="U268" s="541"/>
    </row>
    <row r="269" spans="1:21" x14ac:dyDescent="0.25">
      <c r="A269" s="542" t="s">
        <v>16</v>
      </c>
      <c r="B269" s="543" t="s">
        <v>18</v>
      </c>
      <c r="C269" s="543"/>
      <c r="D269" s="543"/>
      <c r="E269" s="543"/>
      <c r="F269" s="543"/>
      <c r="G269" s="543" t="s">
        <v>24</v>
      </c>
      <c r="H269" s="543"/>
      <c r="I269" s="543"/>
      <c r="J269" s="543"/>
      <c r="K269" s="543"/>
      <c r="L269" s="543" t="s">
        <v>25</v>
      </c>
      <c r="M269" s="543"/>
      <c r="N269" s="543"/>
      <c r="O269" s="543"/>
      <c r="P269" s="543"/>
      <c r="Q269" s="543" t="s">
        <v>26</v>
      </c>
      <c r="R269" s="543"/>
      <c r="S269" s="543"/>
      <c r="T269" s="543"/>
      <c r="U269" s="543"/>
    </row>
    <row r="270" spans="1:21" x14ac:dyDescent="0.25">
      <c r="A270" s="542"/>
      <c r="B270" s="182" t="s">
        <v>19</v>
      </c>
      <c r="C270" s="182" t="s">
        <v>20</v>
      </c>
      <c r="D270" s="182" t="s">
        <v>21</v>
      </c>
      <c r="E270" s="182" t="s">
        <v>22</v>
      </c>
      <c r="F270" s="182" t="s">
        <v>23</v>
      </c>
      <c r="G270" s="182" t="s">
        <v>19</v>
      </c>
      <c r="H270" s="216" t="s">
        <v>20</v>
      </c>
      <c r="I270" s="182" t="s">
        <v>21</v>
      </c>
      <c r="J270" s="182" t="s">
        <v>22</v>
      </c>
      <c r="K270" s="182" t="s">
        <v>23</v>
      </c>
      <c r="L270" s="182" t="s">
        <v>19</v>
      </c>
      <c r="M270" s="182" t="s">
        <v>20</v>
      </c>
      <c r="N270" s="182" t="s">
        <v>21</v>
      </c>
      <c r="O270" s="182" t="s">
        <v>22</v>
      </c>
      <c r="P270" s="182" t="s">
        <v>23</v>
      </c>
      <c r="Q270" s="182" t="s">
        <v>19</v>
      </c>
      <c r="R270" s="182" t="s">
        <v>20</v>
      </c>
      <c r="S270" s="182" t="s">
        <v>21</v>
      </c>
      <c r="T270" s="182" t="s">
        <v>22</v>
      </c>
      <c r="U270" s="211" t="s">
        <v>23</v>
      </c>
    </row>
    <row r="271" spans="1:21" x14ac:dyDescent="0.25">
      <c r="A271" s="183" t="s">
        <v>137</v>
      </c>
      <c r="B271" s="182" t="s">
        <v>47</v>
      </c>
      <c r="C271" s="182" t="s">
        <v>28</v>
      </c>
      <c r="D271" s="182">
        <v>1</v>
      </c>
      <c r="E271" s="182">
        <f>skilled</f>
        <v>1245</v>
      </c>
      <c r="F271" s="184">
        <f>(D271*E271)</f>
        <v>1245</v>
      </c>
      <c r="L271" s="182" t="s">
        <v>130</v>
      </c>
      <c r="M271" s="182" t="s">
        <v>58</v>
      </c>
      <c r="N271" s="182">
        <v>6</v>
      </c>
      <c r="O271" s="182">
        <f>excavator</f>
        <v>3102</v>
      </c>
      <c r="P271" s="184">
        <f>(N271*O271)</f>
        <v>18612</v>
      </c>
    </row>
    <row r="272" spans="1:21" x14ac:dyDescent="0.25">
      <c r="B272" s="182" t="s">
        <v>29</v>
      </c>
      <c r="C272" s="182" t="s">
        <v>28</v>
      </c>
      <c r="D272" s="182">
        <v>3</v>
      </c>
      <c r="E272" s="182">
        <f>unskilled</f>
        <v>935</v>
      </c>
      <c r="F272" s="184">
        <f>(D272*E272)</f>
        <v>2805</v>
      </c>
    </row>
    <row r="273" spans="1:21" x14ac:dyDescent="0.25">
      <c r="A273" s="537" t="s">
        <v>30</v>
      </c>
      <c r="B273" s="537"/>
      <c r="C273" s="537"/>
      <c r="D273" s="537"/>
      <c r="E273" s="537"/>
      <c r="F273" s="184">
        <f>SUM(F270:F272)</f>
        <v>4050</v>
      </c>
      <c r="G273" s="537" t="s">
        <v>31</v>
      </c>
      <c r="H273" s="537"/>
      <c r="I273" s="537"/>
      <c r="J273" s="537"/>
      <c r="K273" s="184">
        <f>SUM(K270:K272)</f>
        <v>0</v>
      </c>
      <c r="L273" s="537" t="s">
        <v>32</v>
      </c>
      <c r="M273" s="537"/>
      <c r="N273" s="537"/>
      <c r="O273" s="537"/>
      <c r="P273" s="184">
        <f>SUM(P270:P272)</f>
        <v>18612</v>
      </c>
      <c r="Q273" s="537" t="s">
        <v>38</v>
      </c>
      <c r="R273" s="537"/>
      <c r="S273" s="537"/>
      <c r="T273" s="537"/>
      <c r="U273" s="223">
        <f>SUM(U270:U272)</f>
        <v>0</v>
      </c>
    </row>
    <row r="274" spans="1:21" x14ac:dyDescent="0.25">
      <c r="A274" s="537" t="s">
        <v>33</v>
      </c>
      <c r="B274" s="537"/>
      <c r="C274" s="537"/>
      <c r="D274" s="537"/>
      <c r="E274" s="537"/>
      <c r="F274" s="184">
        <f>SUM(F273+K273+P273)</f>
        <v>22662</v>
      </c>
      <c r="G274" s="537" t="s">
        <v>39</v>
      </c>
      <c r="H274" s="537"/>
      <c r="I274" s="537"/>
      <c r="J274" s="537"/>
      <c r="K274" s="184">
        <f>SUM(F273+K273+P273+U273)</f>
        <v>22662</v>
      </c>
      <c r="L274" s="537" t="s">
        <v>40</v>
      </c>
      <c r="M274" s="537"/>
      <c r="N274" s="537"/>
      <c r="O274" s="537"/>
      <c r="P274" s="184">
        <f>SUM(K274*0.15)</f>
        <v>3399.2999999999997</v>
      </c>
      <c r="Q274" s="537" t="s">
        <v>41</v>
      </c>
      <c r="R274" s="537"/>
      <c r="S274" s="537"/>
      <c r="T274" s="537"/>
      <c r="U274" s="223">
        <f>SUM(K274+P274)</f>
        <v>26061.3</v>
      </c>
    </row>
    <row r="275" spans="1:21" x14ac:dyDescent="0.25">
      <c r="Q275" s="537" t="s">
        <v>42</v>
      </c>
      <c r="R275" s="537"/>
      <c r="S275" s="537"/>
      <c r="T275" s="537"/>
      <c r="U275" s="224">
        <f>ROUND((U274/120),2)</f>
        <v>217.18</v>
      </c>
    </row>
    <row r="276" spans="1:21" x14ac:dyDescent="0.25">
      <c r="A276" s="544"/>
      <c r="B276" s="544"/>
      <c r="C276" s="544"/>
      <c r="D276" s="544"/>
      <c r="E276" s="544"/>
      <c r="F276" s="544"/>
      <c r="G276" s="544"/>
      <c r="H276" s="544"/>
      <c r="I276" s="544"/>
      <c r="J276" s="544"/>
      <c r="K276" s="544"/>
      <c r="L276" s="544"/>
      <c r="M276" s="544"/>
      <c r="N276" s="544"/>
      <c r="O276" s="544"/>
      <c r="P276" s="544"/>
      <c r="Q276" s="544"/>
      <c r="R276" s="544"/>
      <c r="S276" s="544"/>
      <c r="T276" s="544"/>
      <c r="U276" s="544"/>
    </row>
    <row r="277" spans="1:21" x14ac:dyDescent="0.25">
      <c r="A277" s="538" t="s">
        <v>12</v>
      </c>
      <c r="B277" s="538"/>
      <c r="C277" s="540" t="s">
        <v>138</v>
      </c>
      <c r="D277" s="540"/>
      <c r="E277" s="540"/>
      <c r="F277" s="540"/>
      <c r="G277" s="540"/>
      <c r="H277" s="540"/>
      <c r="I277" s="540"/>
      <c r="J277" s="540"/>
      <c r="K277" s="540"/>
      <c r="L277" s="540"/>
      <c r="M277" s="540"/>
      <c r="N277" s="540"/>
      <c r="O277" s="540"/>
      <c r="P277" s="540"/>
      <c r="Q277" s="540"/>
      <c r="R277" s="540"/>
      <c r="S277" s="540"/>
      <c r="T277" s="540"/>
      <c r="U277" s="541" t="s">
        <v>139</v>
      </c>
    </row>
    <row r="278" spans="1:21" x14ac:dyDescent="0.25">
      <c r="A278" s="538"/>
      <c r="B278" s="538"/>
      <c r="C278" s="540"/>
      <c r="D278" s="540"/>
      <c r="E278" s="540"/>
      <c r="F278" s="540"/>
      <c r="G278" s="540"/>
      <c r="H278" s="540"/>
      <c r="I278" s="540"/>
      <c r="J278" s="540"/>
      <c r="K278" s="540"/>
      <c r="L278" s="540"/>
      <c r="M278" s="540"/>
      <c r="N278" s="540"/>
      <c r="O278" s="540"/>
      <c r="P278" s="540"/>
      <c r="Q278" s="540"/>
      <c r="R278" s="540"/>
      <c r="S278" s="540"/>
      <c r="T278" s="540"/>
      <c r="U278" s="541"/>
    </row>
    <row r="279" spans="1:21" x14ac:dyDescent="0.25">
      <c r="A279" s="539" t="s">
        <v>122</v>
      </c>
      <c r="B279" s="539"/>
      <c r="C279" s="540"/>
      <c r="D279" s="540"/>
      <c r="E279" s="540"/>
      <c r="F279" s="540"/>
      <c r="G279" s="540"/>
      <c r="H279" s="540"/>
      <c r="I279" s="540"/>
      <c r="J279" s="540"/>
      <c r="K279" s="540"/>
      <c r="L279" s="540"/>
      <c r="M279" s="540"/>
      <c r="N279" s="540"/>
      <c r="O279" s="540"/>
      <c r="P279" s="540"/>
      <c r="Q279" s="540"/>
      <c r="R279" s="540"/>
      <c r="S279" s="540"/>
      <c r="T279" s="540"/>
      <c r="U279" s="541"/>
    </row>
    <row r="280" spans="1:21" x14ac:dyDescent="0.25">
      <c r="A280" s="542" t="s">
        <v>16</v>
      </c>
      <c r="B280" s="543" t="s">
        <v>18</v>
      </c>
      <c r="C280" s="543"/>
      <c r="D280" s="543"/>
      <c r="E280" s="543"/>
      <c r="F280" s="543"/>
      <c r="G280" s="543" t="s">
        <v>24</v>
      </c>
      <c r="H280" s="543"/>
      <c r="I280" s="543"/>
      <c r="J280" s="543"/>
      <c r="K280" s="543"/>
      <c r="L280" s="543" t="s">
        <v>25</v>
      </c>
      <c r="M280" s="543"/>
      <c r="N280" s="543"/>
      <c r="O280" s="543"/>
      <c r="P280" s="543"/>
      <c r="Q280" s="543" t="s">
        <v>26</v>
      </c>
      <c r="R280" s="543"/>
      <c r="S280" s="543"/>
      <c r="T280" s="543"/>
      <c r="U280" s="543"/>
    </row>
    <row r="281" spans="1:21" x14ac:dyDescent="0.25">
      <c r="A281" s="542"/>
      <c r="B281" s="182" t="s">
        <v>19</v>
      </c>
      <c r="C281" s="182" t="s">
        <v>20</v>
      </c>
      <c r="D281" s="182" t="s">
        <v>21</v>
      </c>
      <c r="E281" s="182" t="s">
        <v>22</v>
      </c>
      <c r="F281" s="182" t="s">
        <v>23</v>
      </c>
      <c r="G281" s="182" t="s">
        <v>19</v>
      </c>
      <c r="H281" s="216" t="s">
        <v>20</v>
      </c>
      <c r="I281" s="182" t="s">
        <v>21</v>
      </c>
      <c r="J281" s="182" t="s">
        <v>22</v>
      </c>
      <c r="K281" s="182" t="s">
        <v>23</v>
      </c>
      <c r="L281" s="182" t="s">
        <v>19</v>
      </c>
      <c r="M281" s="182" t="s">
        <v>20</v>
      </c>
      <c r="N281" s="182" t="s">
        <v>21</v>
      </c>
      <c r="O281" s="182" t="s">
        <v>22</v>
      </c>
      <c r="P281" s="182" t="s">
        <v>23</v>
      </c>
      <c r="Q281" s="182" t="s">
        <v>19</v>
      </c>
      <c r="R281" s="182" t="s">
        <v>20</v>
      </c>
      <c r="S281" s="182" t="s">
        <v>21</v>
      </c>
      <c r="T281" s="182" t="s">
        <v>22</v>
      </c>
      <c r="U281" s="211" t="s">
        <v>23</v>
      </c>
    </row>
    <row r="282" spans="1:21" x14ac:dyDescent="0.25">
      <c r="A282" s="183" t="s">
        <v>140</v>
      </c>
      <c r="B282" s="182" t="s">
        <v>47</v>
      </c>
      <c r="C282" s="182" t="s">
        <v>28</v>
      </c>
      <c r="D282" s="182">
        <v>1</v>
      </c>
      <c r="E282" s="182">
        <f>skilled</f>
        <v>1245</v>
      </c>
      <c r="F282" s="184">
        <f>(D282*E282)</f>
        <v>1245</v>
      </c>
      <c r="G282" s="182" t="s">
        <v>143</v>
      </c>
      <c r="H282" s="216" t="s">
        <v>144</v>
      </c>
      <c r="I282" s="182">
        <v>32</v>
      </c>
      <c r="J282" s="182">
        <f>adopted_rate_gelatin</f>
        <v>0</v>
      </c>
      <c r="K282" s="182">
        <f>(I282*J282)</f>
        <v>0</v>
      </c>
      <c r="L282" s="182" t="s">
        <v>148</v>
      </c>
      <c r="M282" s="182" t="s">
        <v>58</v>
      </c>
      <c r="N282" s="182">
        <v>6</v>
      </c>
      <c r="O282" s="182">
        <f>dozer</f>
        <v>4188</v>
      </c>
      <c r="P282" s="184">
        <f>(N282*O282)</f>
        <v>25128</v>
      </c>
    </row>
    <row r="283" spans="1:21" ht="31.5" x14ac:dyDescent="0.25">
      <c r="B283" s="182" t="s">
        <v>29</v>
      </c>
      <c r="C283" s="182" t="s">
        <v>28</v>
      </c>
      <c r="D283" s="182">
        <v>20</v>
      </c>
      <c r="E283" s="182">
        <f>unskilled</f>
        <v>935</v>
      </c>
      <c r="F283" s="184">
        <f>(D283*E283)</f>
        <v>18700</v>
      </c>
      <c r="G283" s="182" t="s">
        <v>145</v>
      </c>
      <c r="H283" s="216" t="s">
        <v>106</v>
      </c>
      <c r="I283" s="182">
        <v>126</v>
      </c>
      <c r="J283" s="182">
        <f>adopted_rate_electric_detonator</f>
        <v>0</v>
      </c>
      <c r="K283" s="182">
        <f>(I283*J283)</f>
        <v>0</v>
      </c>
      <c r="L283" s="182" t="s">
        <v>149</v>
      </c>
      <c r="M283" s="182" t="s">
        <v>58</v>
      </c>
      <c r="N283" s="182">
        <v>30</v>
      </c>
      <c r="O283" s="182">
        <f>jack_hammer</f>
        <v>242</v>
      </c>
      <c r="P283" s="184">
        <f>(N283*O283)</f>
        <v>7260</v>
      </c>
    </row>
    <row r="284" spans="1:21" x14ac:dyDescent="0.25">
      <c r="B284" s="182" t="s">
        <v>141</v>
      </c>
      <c r="C284" s="182" t="s">
        <v>28</v>
      </c>
      <c r="D284" s="182">
        <v>3</v>
      </c>
      <c r="E284" s="182">
        <f>driller</f>
        <v>825</v>
      </c>
      <c r="F284" s="184">
        <f>(D284*E284)</f>
        <v>2475</v>
      </c>
      <c r="G284" s="182" t="s">
        <v>146</v>
      </c>
      <c r="H284" s="216" t="s">
        <v>75</v>
      </c>
      <c r="I284" s="182">
        <v>180</v>
      </c>
      <c r="J284" s="182">
        <v>22</v>
      </c>
      <c r="K284" s="182">
        <f>(I284*J284)</f>
        <v>3960</v>
      </c>
      <c r="L284" s="182" t="s">
        <v>63</v>
      </c>
      <c r="M284" s="182" t="s">
        <v>58</v>
      </c>
      <c r="N284" s="182">
        <v>12</v>
      </c>
      <c r="O284" s="182">
        <f>air_compressor</f>
        <v>1190</v>
      </c>
      <c r="P284" s="184">
        <f>(N284*O284)</f>
        <v>14280</v>
      </c>
    </row>
    <row r="285" spans="1:21" ht="47.25" x14ac:dyDescent="0.25">
      <c r="B285" s="182" t="s">
        <v>142</v>
      </c>
      <c r="C285" s="182" t="s">
        <v>28</v>
      </c>
      <c r="D285" s="182">
        <v>1</v>
      </c>
      <c r="E285" s="182">
        <f>blaster</f>
        <v>825</v>
      </c>
      <c r="F285" s="184">
        <f>(D285*E285)</f>
        <v>825</v>
      </c>
      <c r="G285" s="182" t="s">
        <v>147</v>
      </c>
      <c r="H285" s="216" t="s">
        <v>84</v>
      </c>
      <c r="I285" s="182">
        <v>-45</v>
      </c>
      <c r="J285" s="182">
        <f>adopted_rate_rubble</f>
        <v>2575.44</v>
      </c>
      <c r="K285" s="182">
        <f>(I285*J285)</f>
        <v>-115894.8</v>
      </c>
    </row>
    <row r="286" spans="1:21" x14ac:dyDescent="0.25">
      <c r="A286" s="537" t="s">
        <v>30</v>
      </c>
      <c r="B286" s="537"/>
      <c r="C286" s="537"/>
      <c r="D286" s="537"/>
      <c r="E286" s="537"/>
      <c r="F286" s="184">
        <f>SUM(F281:F285)</f>
        <v>23245</v>
      </c>
      <c r="G286" s="537" t="s">
        <v>31</v>
      </c>
      <c r="H286" s="537"/>
      <c r="I286" s="537"/>
      <c r="J286" s="537"/>
      <c r="K286" s="184">
        <f>SUM(K281:K285)</f>
        <v>-111934.8</v>
      </c>
      <c r="L286" s="537" t="s">
        <v>32</v>
      </c>
      <c r="M286" s="537"/>
      <c r="N286" s="537"/>
      <c r="O286" s="537"/>
      <c r="P286" s="184">
        <f>SUM(P281:P285)</f>
        <v>46668</v>
      </c>
      <c r="Q286" s="537" t="s">
        <v>38</v>
      </c>
      <c r="R286" s="537"/>
      <c r="S286" s="537"/>
      <c r="T286" s="537"/>
      <c r="U286" s="223">
        <f>SUM(U281:U285)</f>
        <v>0</v>
      </c>
    </row>
    <row r="287" spans="1:21" x14ac:dyDescent="0.25">
      <c r="A287" s="537" t="s">
        <v>33</v>
      </c>
      <c r="B287" s="537"/>
      <c r="C287" s="537"/>
      <c r="D287" s="537"/>
      <c r="E287" s="537"/>
      <c r="F287" s="184">
        <f>SUM(F286+K286+P286)</f>
        <v>-42021.8</v>
      </c>
      <c r="G287" s="537" t="s">
        <v>39</v>
      </c>
      <c r="H287" s="537"/>
      <c r="I287" s="537"/>
      <c r="J287" s="537"/>
      <c r="K287" s="184">
        <f>SUM(F286+K286+P286+U286)</f>
        <v>-42021.8</v>
      </c>
      <c r="L287" s="537" t="s">
        <v>40</v>
      </c>
      <c r="M287" s="537"/>
      <c r="N287" s="537"/>
      <c r="O287" s="537"/>
      <c r="P287" s="184">
        <f>SUM(K287*0.15)</f>
        <v>-6303.27</v>
      </c>
      <c r="Q287" s="537" t="s">
        <v>41</v>
      </c>
      <c r="R287" s="537"/>
      <c r="S287" s="537"/>
      <c r="T287" s="537"/>
      <c r="U287" s="223">
        <f>SUM(K287+P287)</f>
        <v>-48325.070000000007</v>
      </c>
    </row>
    <row r="288" spans="1:21" x14ac:dyDescent="0.25">
      <c r="Q288" s="537" t="s">
        <v>42</v>
      </c>
      <c r="R288" s="537"/>
      <c r="S288" s="537"/>
      <c r="T288" s="537"/>
      <c r="U288" s="224">
        <f>ROUND((U287/90),2)</f>
        <v>-536.95000000000005</v>
      </c>
    </row>
    <row r="289" spans="1:21" x14ac:dyDescent="0.25">
      <c r="A289" s="544"/>
      <c r="B289" s="544"/>
      <c r="C289" s="544"/>
      <c r="D289" s="544"/>
      <c r="E289" s="544"/>
      <c r="F289" s="544"/>
      <c r="G289" s="544"/>
      <c r="H289" s="544"/>
      <c r="I289" s="544"/>
      <c r="J289" s="544"/>
      <c r="K289" s="544"/>
      <c r="L289" s="544"/>
      <c r="M289" s="544"/>
      <c r="N289" s="544"/>
      <c r="O289" s="544"/>
      <c r="P289" s="544"/>
      <c r="Q289" s="544"/>
      <c r="R289" s="544"/>
      <c r="S289" s="544"/>
      <c r="T289" s="544"/>
      <c r="U289" s="544"/>
    </row>
    <row r="290" spans="1:21" x14ac:dyDescent="0.25">
      <c r="A290" s="538" t="s">
        <v>12</v>
      </c>
      <c r="B290" s="538"/>
      <c r="C290" s="540" t="s">
        <v>150</v>
      </c>
      <c r="D290" s="540"/>
      <c r="E290" s="540"/>
      <c r="F290" s="540"/>
      <c r="G290" s="540"/>
      <c r="H290" s="540"/>
      <c r="I290" s="540"/>
      <c r="J290" s="540"/>
      <c r="K290" s="540"/>
      <c r="L290" s="540"/>
      <c r="M290" s="540"/>
      <c r="N290" s="540"/>
      <c r="O290" s="540"/>
      <c r="P290" s="540"/>
      <c r="Q290" s="540"/>
      <c r="R290" s="540"/>
      <c r="S290" s="540"/>
      <c r="T290" s="540"/>
      <c r="U290" s="541" t="s">
        <v>139</v>
      </c>
    </row>
    <row r="291" spans="1:21" x14ac:dyDescent="0.25">
      <c r="A291" s="538"/>
      <c r="B291" s="538"/>
      <c r="C291" s="540"/>
      <c r="D291" s="540"/>
      <c r="E291" s="540"/>
      <c r="F291" s="540"/>
      <c r="G291" s="540"/>
      <c r="H291" s="540"/>
      <c r="I291" s="540"/>
      <c r="J291" s="540"/>
      <c r="K291" s="540"/>
      <c r="L291" s="540"/>
      <c r="M291" s="540"/>
      <c r="N291" s="540"/>
      <c r="O291" s="540"/>
      <c r="P291" s="540"/>
      <c r="Q291" s="540"/>
      <c r="R291" s="540"/>
      <c r="S291" s="540"/>
      <c r="T291" s="540"/>
      <c r="U291" s="541"/>
    </row>
    <row r="292" spans="1:21" x14ac:dyDescent="0.25">
      <c r="A292" s="539" t="s">
        <v>122</v>
      </c>
      <c r="B292" s="539"/>
      <c r="C292" s="540"/>
      <c r="D292" s="540"/>
      <c r="E292" s="540"/>
      <c r="F292" s="540"/>
      <c r="G292" s="540"/>
      <c r="H292" s="540"/>
      <c r="I292" s="540"/>
      <c r="J292" s="540"/>
      <c r="K292" s="540"/>
      <c r="L292" s="540"/>
      <c r="M292" s="540"/>
      <c r="N292" s="540"/>
      <c r="O292" s="540"/>
      <c r="P292" s="540"/>
      <c r="Q292" s="540"/>
      <c r="R292" s="540"/>
      <c r="S292" s="540"/>
      <c r="T292" s="540"/>
      <c r="U292" s="541"/>
    </row>
    <row r="293" spans="1:21" x14ac:dyDescent="0.25">
      <c r="A293" s="542" t="s">
        <v>16</v>
      </c>
      <c r="B293" s="543" t="s">
        <v>18</v>
      </c>
      <c r="C293" s="543"/>
      <c r="D293" s="543"/>
      <c r="E293" s="543"/>
      <c r="F293" s="543"/>
      <c r="G293" s="543" t="s">
        <v>24</v>
      </c>
      <c r="H293" s="543"/>
      <c r="I293" s="543"/>
      <c r="J293" s="543"/>
      <c r="K293" s="543"/>
      <c r="L293" s="543" t="s">
        <v>25</v>
      </c>
      <c r="M293" s="543"/>
      <c r="N293" s="543"/>
      <c r="O293" s="543"/>
      <c r="P293" s="543"/>
      <c r="Q293" s="543" t="s">
        <v>26</v>
      </c>
      <c r="R293" s="543"/>
      <c r="S293" s="543"/>
      <c r="T293" s="543"/>
      <c r="U293" s="543"/>
    </row>
    <row r="294" spans="1:21" x14ac:dyDescent="0.25">
      <c r="A294" s="542"/>
      <c r="B294" s="182" t="s">
        <v>19</v>
      </c>
      <c r="C294" s="182" t="s">
        <v>20</v>
      </c>
      <c r="D294" s="182" t="s">
        <v>21</v>
      </c>
      <c r="E294" s="182" t="s">
        <v>22</v>
      </c>
      <c r="F294" s="182" t="s">
        <v>23</v>
      </c>
      <c r="G294" s="182" t="s">
        <v>19</v>
      </c>
      <c r="H294" s="216" t="s">
        <v>20</v>
      </c>
      <c r="I294" s="182" t="s">
        <v>21</v>
      </c>
      <c r="J294" s="182" t="s">
        <v>22</v>
      </c>
      <c r="K294" s="182" t="s">
        <v>23</v>
      </c>
      <c r="L294" s="182" t="s">
        <v>19</v>
      </c>
      <c r="M294" s="182" t="s">
        <v>20</v>
      </c>
      <c r="N294" s="182" t="s">
        <v>21</v>
      </c>
      <c r="O294" s="182" t="s">
        <v>22</v>
      </c>
      <c r="P294" s="182" t="s">
        <v>23</v>
      </c>
      <c r="Q294" s="182" t="s">
        <v>19</v>
      </c>
      <c r="R294" s="182" t="s">
        <v>20</v>
      </c>
      <c r="S294" s="182" t="s">
        <v>21</v>
      </c>
      <c r="T294" s="182" t="s">
        <v>22</v>
      </c>
      <c r="U294" s="211" t="s">
        <v>23</v>
      </c>
    </row>
    <row r="295" spans="1:21" ht="31.5" x14ac:dyDescent="0.25">
      <c r="A295" s="183" t="s">
        <v>151</v>
      </c>
      <c r="B295" s="182" t="s">
        <v>47</v>
      </c>
      <c r="C295" s="182" t="s">
        <v>28</v>
      </c>
      <c r="D295" s="182">
        <v>3</v>
      </c>
      <c r="E295" s="182">
        <f>skilled</f>
        <v>1245</v>
      </c>
      <c r="F295" s="184">
        <f>(D295*E295)</f>
        <v>3735</v>
      </c>
      <c r="G295" s="182" t="s">
        <v>143</v>
      </c>
      <c r="H295" s="216" t="s">
        <v>144</v>
      </c>
      <c r="I295" s="182">
        <v>32</v>
      </c>
      <c r="J295" s="182">
        <f>adopted_rate_gelatin</f>
        <v>0</v>
      </c>
      <c r="K295" s="182">
        <f>(I295*J295)</f>
        <v>0</v>
      </c>
      <c r="L295" s="182" t="s">
        <v>152</v>
      </c>
      <c r="M295" s="182"/>
      <c r="P295" s="184">
        <f>F299*3/100</f>
        <v>4344.3</v>
      </c>
    </row>
    <row r="296" spans="1:21" x14ac:dyDescent="0.25">
      <c r="B296" s="182" t="s">
        <v>29</v>
      </c>
      <c r="C296" s="182" t="s">
        <v>28</v>
      </c>
      <c r="D296" s="182">
        <v>150</v>
      </c>
      <c r="E296" s="182">
        <f>unskilled</f>
        <v>935</v>
      </c>
      <c r="F296" s="184">
        <f>(D296*E296)</f>
        <v>140250</v>
      </c>
      <c r="G296" s="182" t="s">
        <v>145</v>
      </c>
      <c r="H296" s="216" t="s">
        <v>106</v>
      </c>
      <c r="I296" s="182">
        <v>126</v>
      </c>
      <c r="J296" s="182">
        <f>adopted_rate_electric_detonator</f>
        <v>0</v>
      </c>
      <c r="K296" s="182">
        <f>(I296*J296)</f>
        <v>0</v>
      </c>
    </row>
    <row r="297" spans="1:21" x14ac:dyDescent="0.25">
      <c r="B297" s="182" t="s">
        <v>142</v>
      </c>
      <c r="C297" s="182" t="s">
        <v>28</v>
      </c>
      <c r="D297" s="182">
        <v>1</v>
      </c>
      <c r="E297" s="182">
        <f>blaster</f>
        <v>825</v>
      </c>
      <c r="F297" s="184">
        <f>(D297*E297)</f>
        <v>825</v>
      </c>
      <c r="G297" s="182" t="s">
        <v>146</v>
      </c>
      <c r="H297" s="216" t="s">
        <v>75</v>
      </c>
      <c r="I297" s="182">
        <v>180</v>
      </c>
      <c r="J297" s="182">
        <f>adopted_rate_fuse_wire_blasting</f>
        <v>0</v>
      </c>
      <c r="K297" s="182">
        <f>(I297*J297)</f>
        <v>0</v>
      </c>
    </row>
    <row r="298" spans="1:21" ht="47.25" x14ac:dyDescent="0.25">
      <c r="G298" s="182" t="s">
        <v>147</v>
      </c>
      <c r="H298" s="216" t="s">
        <v>84</v>
      </c>
      <c r="I298" s="182">
        <v>0</v>
      </c>
      <c r="J298" s="182">
        <f>adopted_rate_rubble</f>
        <v>2575.44</v>
      </c>
      <c r="K298" s="182">
        <f>(I298*J298)</f>
        <v>0</v>
      </c>
    </row>
    <row r="299" spans="1:21" x14ac:dyDescent="0.25">
      <c r="A299" s="537" t="s">
        <v>30</v>
      </c>
      <c r="B299" s="537"/>
      <c r="C299" s="537"/>
      <c r="D299" s="537"/>
      <c r="E299" s="537"/>
      <c r="F299" s="184">
        <f>SUM(F294:F298)</f>
        <v>144810</v>
      </c>
      <c r="G299" s="537" t="s">
        <v>31</v>
      </c>
      <c r="H299" s="537"/>
      <c r="I299" s="537"/>
      <c r="J299" s="537"/>
      <c r="K299" s="184">
        <f>SUM(K294:K298)</f>
        <v>0</v>
      </c>
      <c r="L299" s="537" t="s">
        <v>32</v>
      </c>
      <c r="M299" s="537"/>
      <c r="N299" s="537"/>
      <c r="O299" s="537"/>
      <c r="P299" s="184">
        <f>SUM(P294:P298)</f>
        <v>4344.3</v>
      </c>
      <c r="Q299" s="537" t="s">
        <v>38</v>
      </c>
      <c r="R299" s="537"/>
      <c r="S299" s="537"/>
      <c r="T299" s="537"/>
      <c r="U299" s="223">
        <f>SUM(U294:U298)</f>
        <v>0</v>
      </c>
    </row>
    <row r="300" spans="1:21" x14ac:dyDescent="0.25">
      <c r="A300" s="537" t="s">
        <v>33</v>
      </c>
      <c r="B300" s="537"/>
      <c r="C300" s="537"/>
      <c r="D300" s="537"/>
      <c r="E300" s="537"/>
      <c r="F300" s="184">
        <f>SUM(F299+K299+P299)</f>
        <v>149154.29999999999</v>
      </c>
      <c r="G300" s="537" t="s">
        <v>39</v>
      </c>
      <c r="H300" s="537"/>
      <c r="I300" s="537"/>
      <c r="J300" s="537"/>
      <c r="K300" s="184">
        <f>SUM(F299+K299+P299+U299)</f>
        <v>149154.29999999999</v>
      </c>
      <c r="L300" s="537" t="s">
        <v>40</v>
      </c>
      <c r="M300" s="537"/>
      <c r="N300" s="537"/>
      <c r="O300" s="537"/>
      <c r="P300" s="184">
        <f>SUM(K300*0.15)</f>
        <v>22373.144999999997</v>
      </c>
      <c r="Q300" s="537" t="s">
        <v>41</v>
      </c>
      <c r="R300" s="537"/>
      <c r="S300" s="537"/>
      <c r="T300" s="537"/>
      <c r="U300" s="223">
        <f>SUM(K300+P300)</f>
        <v>171527.44499999998</v>
      </c>
    </row>
    <row r="301" spans="1:21" x14ac:dyDescent="0.25">
      <c r="Q301" s="537" t="s">
        <v>42</v>
      </c>
      <c r="R301" s="537"/>
      <c r="S301" s="537"/>
      <c r="T301" s="537"/>
      <c r="U301" s="224">
        <f>ROUND((U300/90),2)</f>
        <v>1905.86</v>
      </c>
    </row>
    <row r="302" spans="1:21" x14ac:dyDescent="0.25">
      <c r="A302" s="544"/>
      <c r="B302" s="544"/>
      <c r="C302" s="544"/>
      <c r="D302" s="544"/>
      <c r="E302" s="544"/>
      <c r="F302" s="544"/>
      <c r="G302" s="544"/>
      <c r="H302" s="544"/>
      <c r="I302" s="544"/>
      <c r="J302" s="544"/>
      <c r="K302" s="544"/>
      <c r="L302" s="544"/>
      <c r="M302" s="544"/>
      <c r="N302" s="544"/>
      <c r="O302" s="544"/>
      <c r="P302" s="544"/>
      <c r="Q302" s="544"/>
      <c r="R302" s="544"/>
      <c r="S302" s="544"/>
      <c r="T302" s="544"/>
      <c r="U302" s="544"/>
    </row>
    <row r="303" spans="1:21" x14ac:dyDescent="0.25">
      <c r="A303" s="538" t="s">
        <v>12</v>
      </c>
      <c r="B303" s="538"/>
      <c r="C303" s="540" t="s">
        <v>154</v>
      </c>
      <c r="D303" s="540"/>
      <c r="E303" s="540"/>
      <c r="F303" s="540"/>
      <c r="G303" s="540"/>
      <c r="H303" s="540"/>
      <c r="I303" s="540"/>
      <c r="J303" s="540"/>
      <c r="K303" s="540"/>
      <c r="L303" s="540"/>
      <c r="M303" s="540"/>
      <c r="N303" s="540"/>
      <c r="O303" s="540"/>
      <c r="P303" s="540"/>
      <c r="Q303" s="540"/>
      <c r="R303" s="540"/>
      <c r="S303" s="540"/>
      <c r="T303" s="540"/>
      <c r="U303" s="541" t="s">
        <v>61</v>
      </c>
    </row>
    <row r="304" spans="1:21" x14ac:dyDescent="0.25">
      <c r="A304" s="538"/>
      <c r="B304" s="538"/>
      <c r="C304" s="540"/>
      <c r="D304" s="540"/>
      <c r="E304" s="540"/>
      <c r="F304" s="540"/>
      <c r="G304" s="540"/>
      <c r="H304" s="540"/>
      <c r="I304" s="540"/>
      <c r="J304" s="540"/>
      <c r="K304" s="540"/>
      <c r="L304" s="540"/>
      <c r="M304" s="540"/>
      <c r="N304" s="540"/>
      <c r="O304" s="540"/>
      <c r="P304" s="540"/>
      <c r="Q304" s="540"/>
      <c r="R304" s="540"/>
      <c r="S304" s="540"/>
      <c r="T304" s="540"/>
      <c r="U304" s="541"/>
    </row>
    <row r="305" spans="1:21" x14ac:dyDescent="0.25">
      <c r="A305" s="539" t="s">
        <v>153</v>
      </c>
      <c r="B305" s="539"/>
      <c r="C305" s="540"/>
      <c r="D305" s="540"/>
      <c r="E305" s="540"/>
      <c r="F305" s="540"/>
      <c r="G305" s="540"/>
      <c r="H305" s="540"/>
      <c r="I305" s="540"/>
      <c r="J305" s="540"/>
      <c r="K305" s="540"/>
      <c r="L305" s="540"/>
      <c r="M305" s="540"/>
      <c r="N305" s="540"/>
      <c r="O305" s="540"/>
      <c r="P305" s="540"/>
      <c r="Q305" s="540"/>
      <c r="R305" s="540"/>
      <c r="S305" s="540"/>
      <c r="T305" s="540"/>
      <c r="U305" s="541"/>
    </row>
    <row r="306" spans="1:21" x14ac:dyDescent="0.25">
      <c r="A306" s="542" t="s">
        <v>16</v>
      </c>
      <c r="B306" s="543" t="s">
        <v>18</v>
      </c>
      <c r="C306" s="543"/>
      <c r="D306" s="543"/>
      <c r="E306" s="543"/>
      <c r="F306" s="543"/>
      <c r="G306" s="543" t="s">
        <v>24</v>
      </c>
      <c r="H306" s="543"/>
      <c r="I306" s="543"/>
      <c r="J306" s="543"/>
      <c r="K306" s="543"/>
      <c r="L306" s="543" t="s">
        <v>25</v>
      </c>
      <c r="M306" s="543"/>
      <c r="N306" s="543"/>
      <c r="O306" s="543"/>
      <c r="P306" s="543"/>
      <c r="Q306" s="543" t="s">
        <v>26</v>
      </c>
      <c r="R306" s="543"/>
      <c r="S306" s="543"/>
      <c r="T306" s="543"/>
      <c r="U306" s="543"/>
    </row>
    <row r="307" spans="1:21" x14ac:dyDescent="0.25">
      <c r="A307" s="542"/>
      <c r="B307" s="182" t="s">
        <v>19</v>
      </c>
      <c r="C307" s="182" t="s">
        <v>20</v>
      </c>
      <c r="D307" s="182" t="s">
        <v>21</v>
      </c>
      <c r="E307" s="182" t="s">
        <v>22</v>
      </c>
      <c r="F307" s="182" t="s">
        <v>23</v>
      </c>
      <c r="G307" s="182" t="s">
        <v>19</v>
      </c>
      <c r="H307" s="216" t="s">
        <v>20</v>
      </c>
      <c r="I307" s="182" t="s">
        <v>21</v>
      </c>
      <c r="J307" s="182" t="s">
        <v>22</v>
      </c>
      <c r="K307" s="182" t="s">
        <v>23</v>
      </c>
      <c r="L307" s="182" t="s">
        <v>19</v>
      </c>
      <c r="M307" s="182" t="s">
        <v>20</v>
      </c>
      <c r="N307" s="182" t="s">
        <v>21</v>
      </c>
      <c r="O307" s="182" t="s">
        <v>22</v>
      </c>
      <c r="P307" s="182" t="s">
        <v>23</v>
      </c>
      <c r="Q307" s="182" t="s">
        <v>19</v>
      </c>
      <c r="R307" s="182" t="s">
        <v>20</v>
      </c>
      <c r="S307" s="182" t="s">
        <v>21</v>
      </c>
      <c r="T307" s="182" t="s">
        <v>22</v>
      </c>
      <c r="U307" s="211" t="s">
        <v>23</v>
      </c>
    </row>
    <row r="308" spans="1:21" x14ac:dyDescent="0.25">
      <c r="A308" s="183" t="s">
        <v>155</v>
      </c>
      <c r="B308" s="182" t="s">
        <v>47</v>
      </c>
      <c r="C308" s="182" t="s">
        <v>28</v>
      </c>
      <c r="D308" s="182">
        <v>1</v>
      </c>
      <c r="E308" s="182">
        <f>skilled</f>
        <v>1245</v>
      </c>
      <c r="F308" s="184">
        <f>(D308*E308)</f>
        <v>1245</v>
      </c>
    </row>
    <row r="309" spans="1:21" x14ac:dyDescent="0.25">
      <c r="B309" s="182" t="s">
        <v>29</v>
      </c>
      <c r="C309" s="182" t="s">
        <v>28</v>
      </c>
      <c r="D309" s="182">
        <v>8</v>
      </c>
      <c r="E309" s="182">
        <f>unskilled</f>
        <v>935</v>
      </c>
      <c r="F309" s="184">
        <f>(D309*E309)</f>
        <v>7480</v>
      </c>
    </row>
    <row r="310" spans="1:21" x14ac:dyDescent="0.25">
      <c r="A310" s="537" t="s">
        <v>30</v>
      </c>
      <c r="B310" s="537"/>
      <c r="C310" s="537"/>
      <c r="D310" s="537"/>
      <c r="E310" s="537"/>
      <c r="F310" s="184">
        <f>SUM(F307:F309)</f>
        <v>8725</v>
      </c>
      <c r="G310" s="537" t="s">
        <v>31</v>
      </c>
      <c r="H310" s="537"/>
      <c r="I310" s="537"/>
      <c r="J310" s="537"/>
      <c r="K310" s="184">
        <f>SUM(K307:K309)</f>
        <v>0</v>
      </c>
      <c r="L310" s="537" t="s">
        <v>32</v>
      </c>
      <c r="M310" s="537"/>
      <c r="N310" s="537"/>
      <c r="O310" s="537"/>
      <c r="P310" s="184">
        <f>SUM(P307:P309)</f>
        <v>0</v>
      </c>
      <c r="Q310" s="537" t="s">
        <v>38</v>
      </c>
      <c r="R310" s="537"/>
      <c r="S310" s="537"/>
      <c r="T310" s="537"/>
      <c r="U310" s="223">
        <f>SUM(U307:U309)</f>
        <v>0</v>
      </c>
    </row>
    <row r="311" spans="1:21" x14ac:dyDescent="0.25">
      <c r="A311" s="537" t="s">
        <v>33</v>
      </c>
      <c r="B311" s="537"/>
      <c r="C311" s="537"/>
      <c r="D311" s="537"/>
      <c r="E311" s="537"/>
      <c r="F311" s="184">
        <f>SUM(F310+K310+P310)</f>
        <v>8725</v>
      </c>
      <c r="G311" s="537" t="s">
        <v>39</v>
      </c>
      <c r="H311" s="537"/>
      <c r="I311" s="537"/>
      <c r="J311" s="537"/>
      <c r="K311" s="184">
        <f>SUM(F310+K310+P310+U310)</f>
        <v>8725</v>
      </c>
      <c r="L311" s="537" t="s">
        <v>40</v>
      </c>
      <c r="M311" s="537"/>
      <c r="N311" s="537"/>
      <c r="O311" s="537"/>
      <c r="P311" s="184">
        <f>SUM(K311*0.15)</f>
        <v>1308.75</v>
      </c>
      <c r="Q311" s="537" t="s">
        <v>41</v>
      </c>
      <c r="R311" s="537"/>
      <c r="S311" s="537"/>
      <c r="T311" s="537"/>
      <c r="U311" s="223">
        <f>SUM(K311+P311)</f>
        <v>10033.75</v>
      </c>
    </row>
    <row r="312" spans="1:21" x14ac:dyDescent="0.25">
      <c r="Q312" s="537" t="s">
        <v>42</v>
      </c>
      <c r="R312" s="537"/>
      <c r="S312" s="537"/>
      <c r="T312" s="537"/>
      <c r="U312" s="224">
        <f>ROUND((U311/10),2)</f>
        <v>1003.38</v>
      </c>
    </row>
    <row r="313" spans="1:21" x14ac:dyDescent="0.25">
      <c r="A313" s="544"/>
      <c r="B313" s="544"/>
      <c r="C313" s="544"/>
      <c r="D313" s="544"/>
      <c r="E313" s="544"/>
      <c r="F313" s="544"/>
      <c r="G313" s="544"/>
      <c r="H313" s="544"/>
      <c r="I313" s="544"/>
      <c r="J313" s="544"/>
      <c r="K313" s="544"/>
      <c r="L313" s="544"/>
      <c r="M313" s="544"/>
      <c r="N313" s="544"/>
      <c r="O313" s="544"/>
      <c r="P313" s="544"/>
      <c r="Q313" s="544"/>
      <c r="R313" s="544"/>
      <c r="S313" s="544"/>
      <c r="T313" s="544"/>
      <c r="U313" s="544"/>
    </row>
    <row r="314" spans="1:21" x14ac:dyDescent="0.25">
      <c r="A314" s="538" t="s">
        <v>12</v>
      </c>
      <c r="B314" s="538"/>
      <c r="C314" s="540" t="s">
        <v>156</v>
      </c>
      <c r="D314" s="540"/>
      <c r="E314" s="540"/>
      <c r="F314" s="540"/>
      <c r="G314" s="540"/>
      <c r="H314" s="540"/>
      <c r="I314" s="540"/>
      <c r="J314" s="540"/>
      <c r="K314" s="540"/>
      <c r="L314" s="540"/>
      <c r="M314" s="540"/>
      <c r="N314" s="540"/>
      <c r="O314" s="540"/>
      <c r="P314" s="540"/>
      <c r="Q314" s="540"/>
      <c r="R314" s="540"/>
      <c r="S314" s="540"/>
      <c r="T314" s="540"/>
      <c r="U314" s="541" t="s">
        <v>157</v>
      </c>
    </row>
    <row r="315" spans="1:21" x14ac:dyDescent="0.25">
      <c r="A315" s="538"/>
      <c r="B315" s="538"/>
      <c r="C315" s="540"/>
      <c r="D315" s="540"/>
      <c r="E315" s="540"/>
      <c r="F315" s="540"/>
      <c r="G315" s="540"/>
      <c r="H315" s="540"/>
      <c r="I315" s="540"/>
      <c r="J315" s="540"/>
      <c r="K315" s="540"/>
      <c r="L315" s="540"/>
      <c r="M315" s="540"/>
      <c r="N315" s="540"/>
      <c r="O315" s="540"/>
      <c r="P315" s="540"/>
      <c r="Q315" s="540"/>
      <c r="R315" s="540"/>
      <c r="S315" s="540"/>
      <c r="T315" s="540"/>
      <c r="U315" s="541"/>
    </row>
    <row r="316" spans="1:21" x14ac:dyDescent="0.25">
      <c r="A316" s="539" t="s">
        <v>153</v>
      </c>
      <c r="B316" s="539"/>
      <c r="C316" s="540"/>
      <c r="D316" s="540"/>
      <c r="E316" s="540"/>
      <c r="F316" s="540"/>
      <c r="G316" s="540"/>
      <c r="H316" s="540"/>
      <c r="I316" s="540"/>
      <c r="J316" s="540"/>
      <c r="K316" s="540"/>
      <c r="L316" s="540"/>
      <c r="M316" s="540"/>
      <c r="N316" s="540"/>
      <c r="O316" s="540"/>
      <c r="P316" s="540"/>
      <c r="Q316" s="540"/>
      <c r="R316" s="540"/>
      <c r="S316" s="540"/>
      <c r="T316" s="540"/>
      <c r="U316" s="541"/>
    </row>
    <row r="317" spans="1:21" x14ac:dyDescent="0.25">
      <c r="A317" s="542" t="s">
        <v>16</v>
      </c>
      <c r="B317" s="543" t="s">
        <v>18</v>
      </c>
      <c r="C317" s="543"/>
      <c r="D317" s="543"/>
      <c r="E317" s="543"/>
      <c r="F317" s="543"/>
      <c r="G317" s="543" t="s">
        <v>24</v>
      </c>
      <c r="H317" s="543"/>
      <c r="I317" s="543"/>
      <c r="J317" s="543"/>
      <c r="K317" s="543"/>
      <c r="L317" s="543" t="s">
        <v>25</v>
      </c>
      <c r="M317" s="543"/>
      <c r="N317" s="543"/>
      <c r="O317" s="543"/>
      <c r="P317" s="543"/>
      <c r="Q317" s="543" t="s">
        <v>26</v>
      </c>
      <c r="R317" s="543"/>
      <c r="S317" s="543"/>
      <c r="T317" s="543"/>
      <c r="U317" s="543"/>
    </row>
    <row r="318" spans="1:21" x14ac:dyDescent="0.25">
      <c r="A318" s="542"/>
      <c r="B318" s="182" t="s">
        <v>19</v>
      </c>
      <c r="C318" s="182" t="s">
        <v>20</v>
      </c>
      <c r="D318" s="182" t="s">
        <v>21</v>
      </c>
      <c r="E318" s="182" t="s">
        <v>22</v>
      </c>
      <c r="F318" s="182" t="s">
        <v>23</v>
      </c>
      <c r="G318" s="182" t="s">
        <v>19</v>
      </c>
      <c r="H318" s="216" t="s">
        <v>20</v>
      </c>
      <c r="I318" s="182" t="s">
        <v>21</v>
      </c>
      <c r="J318" s="182" t="s">
        <v>22</v>
      </c>
      <c r="K318" s="182" t="s">
        <v>23</v>
      </c>
      <c r="L318" s="182" t="s">
        <v>19</v>
      </c>
      <c r="M318" s="182" t="s">
        <v>20</v>
      </c>
      <c r="N318" s="182" t="s">
        <v>21</v>
      </c>
      <c r="O318" s="182" t="s">
        <v>22</v>
      </c>
      <c r="P318" s="182" t="s">
        <v>23</v>
      </c>
      <c r="Q318" s="182" t="s">
        <v>19</v>
      </c>
      <c r="R318" s="182" t="s">
        <v>20</v>
      </c>
      <c r="S318" s="182" t="s">
        <v>21</v>
      </c>
      <c r="T318" s="182" t="s">
        <v>22</v>
      </c>
      <c r="U318" s="211" t="s">
        <v>23</v>
      </c>
    </row>
    <row r="319" spans="1:21" x14ac:dyDescent="0.25">
      <c r="A319" s="183" t="s">
        <v>158</v>
      </c>
      <c r="B319" s="182" t="s">
        <v>47</v>
      </c>
      <c r="C319" s="182" t="s">
        <v>28</v>
      </c>
      <c r="D319" s="182">
        <v>1</v>
      </c>
      <c r="E319" s="182">
        <f>skilled</f>
        <v>1245</v>
      </c>
      <c r="F319" s="184">
        <f>(D319*E319)</f>
        <v>1245</v>
      </c>
      <c r="G319" s="182"/>
      <c r="H319" s="216"/>
      <c r="I319" s="182">
        <v>0</v>
      </c>
      <c r="L319" s="182" t="s">
        <v>130</v>
      </c>
      <c r="M319" s="182" t="s">
        <v>58</v>
      </c>
      <c r="N319" s="182">
        <v>6</v>
      </c>
      <c r="O319" s="182">
        <f>excavator</f>
        <v>3102</v>
      </c>
      <c r="P319" s="184">
        <f>(N319*O319)</f>
        <v>18612</v>
      </c>
    </row>
    <row r="320" spans="1:21" x14ac:dyDescent="0.25">
      <c r="B320" s="182" t="s">
        <v>29</v>
      </c>
      <c r="C320" s="182" t="s">
        <v>28</v>
      </c>
      <c r="D320" s="182">
        <v>3</v>
      </c>
      <c r="E320" s="182">
        <f>unskilled</f>
        <v>935</v>
      </c>
      <c r="F320" s="184">
        <f>(D320*E320)</f>
        <v>2805</v>
      </c>
    </row>
    <row r="321" spans="1:21" x14ac:dyDescent="0.25">
      <c r="A321" s="537" t="s">
        <v>30</v>
      </c>
      <c r="B321" s="537"/>
      <c r="C321" s="537"/>
      <c r="D321" s="537"/>
      <c r="E321" s="537"/>
      <c r="F321" s="184">
        <f>SUM(F318:F320)</f>
        <v>4050</v>
      </c>
      <c r="G321" s="537" t="s">
        <v>31</v>
      </c>
      <c r="H321" s="537"/>
      <c r="I321" s="537"/>
      <c r="J321" s="537"/>
      <c r="K321" s="184">
        <f>SUM(K318:K320)</f>
        <v>0</v>
      </c>
      <c r="L321" s="537" t="s">
        <v>32</v>
      </c>
      <c r="M321" s="537"/>
      <c r="N321" s="537"/>
      <c r="O321" s="537"/>
      <c r="P321" s="184">
        <f>SUM(P318:P320)</f>
        <v>18612</v>
      </c>
      <c r="Q321" s="537" t="s">
        <v>38</v>
      </c>
      <c r="R321" s="537"/>
      <c r="S321" s="537"/>
      <c r="T321" s="537"/>
      <c r="U321" s="223">
        <f>SUM(U318:U320)</f>
        <v>0</v>
      </c>
    </row>
    <row r="322" spans="1:21" x14ac:dyDescent="0.25">
      <c r="A322" s="537" t="s">
        <v>33</v>
      </c>
      <c r="B322" s="537"/>
      <c r="C322" s="537"/>
      <c r="D322" s="537"/>
      <c r="E322" s="537"/>
      <c r="F322" s="184">
        <f>SUM(F321+K321+P321)</f>
        <v>22662</v>
      </c>
      <c r="G322" s="537" t="s">
        <v>39</v>
      </c>
      <c r="H322" s="537"/>
      <c r="I322" s="537"/>
      <c r="J322" s="537"/>
      <c r="K322" s="184">
        <f>SUM(F321+K321+P321+U321)</f>
        <v>22662</v>
      </c>
      <c r="L322" s="537" t="s">
        <v>40</v>
      </c>
      <c r="M322" s="537"/>
      <c r="N322" s="537"/>
      <c r="O322" s="537"/>
      <c r="P322" s="184">
        <f>SUM(K322*0.15)</f>
        <v>3399.2999999999997</v>
      </c>
      <c r="Q322" s="537" t="s">
        <v>41</v>
      </c>
      <c r="R322" s="537"/>
      <c r="S322" s="537"/>
      <c r="T322" s="537"/>
      <c r="U322" s="223">
        <f>SUM(K322+P322)</f>
        <v>26061.3</v>
      </c>
    </row>
    <row r="323" spans="1:21" x14ac:dyDescent="0.25">
      <c r="Q323" s="537" t="s">
        <v>42</v>
      </c>
      <c r="R323" s="537"/>
      <c r="S323" s="537"/>
      <c r="T323" s="537"/>
      <c r="U323" s="224">
        <f>ROUND((U322/240),2)</f>
        <v>108.59</v>
      </c>
    </row>
    <row r="324" spans="1:21" x14ac:dyDescent="0.25">
      <c r="A324" s="544"/>
      <c r="B324" s="544"/>
      <c r="C324" s="544"/>
      <c r="D324" s="544"/>
      <c r="E324" s="544"/>
      <c r="F324" s="544"/>
      <c r="G324" s="544"/>
      <c r="H324" s="544"/>
      <c r="I324" s="544"/>
      <c r="J324" s="544"/>
      <c r="K324" s="544"/>
      <c r="L324" s="544"/>
      <c r="M324" s="544"/>
      <c r="N324" s="544"/>
      <c r="O324" s="544"/>
      <c r="P324" s="544"/>
      <c r="Q324" s="544"/>
      <c r="R324" s="544"/>
      <c r="S324" s="544"/>
      <c r="T324" s="544"/>
      <c r="U324" s="544"/>
    </row>
    <row r="325" spans="1:21" x14ac:dyDescent="0.25">
      <c r="A325" s="538" t="s">
        <v>12</v>
      </c>
      <c r="B325" s="538"/>
      <c r="C325" s="540" t="s">
        <v>159</v>
      </c>
      <c r="D325" s="540"/>
      <c r="E325" s="540"/>
      <c r="F325" s="540"/>
      <c r="G325" s="540"/>
      <c r="H325" s="540"/>
      <c r="I325" s="540"/>
      <c r="J325" s="540"/>
      <c r="K325" s="540"/>
      <c r="L325" s="540"/>
      <c r="M325" s="540"/>
      <c r="N325" s="540"/>
      <c r="O325" s="540"/>
      <c r="P325" s="540"/>
      <c r="Q325" s="540"/>
      <c r="R325" s="540"/>
      <c r="S325" s="540"/>
      <c r="T325" s="540"/>
      <c r="U325" s="541" t="s">
        <v>160</v>
      </c>
    </row>
    <row r="326" spans="1:21" x14ac:dyDescent="0.25">
      <c r="A326" s="538"/>
      <c r="B326" s="538"/>
      <c r="C326" s="540"/>
      <c r="D326" s="540"/>
      <c r="E326" s="540"/>
      <c r="F326" s="540"/>
      <c r="G326" s="540"/>
      <c r="H326" s="540"/>
      <c r="I326" s="540"/>
      <c r="J326" s="540"/>
      <c r="K326" s="540"/>
      <c r="L326" s="540"/>
      <c r="M326" s="540"/>
      <c r="N326" s="540"/>
      <c r="O326" s="540"/>
      <c r="P326" s="540"/>
      <c r="Q326" s="540"/>
      <c r="R326" s="540"/>
      <c r="S326" s="540"/>
      <c r="T326" s="540"/>
      <c r="U326" s="541"/>
    </row>
    <row r="327" spans="1:21" x14ac:dyDescent="0.25">
      <c r="A327" s="539" t="s">
        <v>153</v>
      </c>
      <c r="B327" s="539"/>
      <c r="C327" s="540"/>
      <c r="D327" s="540"/>
      <c r="E327" s="540"/>
      <c r="F327" s="540"/>
      <c r="G327" s="540"/>
      <c r="H327" s="540"/>
      <c r="I327" s="540"/>
      <c r="J327" s="540"/>
      <c r="K327" s="540"/>
      <c r="L327" s="540"/>
      <c r="M327" s="540"/>
      <c r="N327" s="540"/>
      <c r="O327" s="540"/>
      <c r="P327" s="540"/>
      <c r="Q327" s="540"/>
      <c r="R327" s="540"/>
      <c r="S327" s="540"/>
      <c r="T327" s="540"/>
      <c r="U327" s="541"/>
    </row>
    <row r="328" spans="1:21" x14ac:dyDescent="0.25">
      <c r="A328" s="542" t="s">
        <v>16</v>
      </c>
      <c r="B328" s="543" t="s">
        <v>18</v>
      </c>
      <c r="C328" s="543"/>
      <c r="D328" s="543"/>
      <c r="E328" s="543"/>
      <c r="F328" s="543"/>
      <c r="G328" s="543" t="s">
        <v>24</v>
      </c>
      <c r="H328" s="543"/>
      <c r="I328" s="543"/>
      <c r="J328" s="543"/>
      <c r="K328" s="543"/>
      <c r="L328" s="543" t="s">
        <v>25</v>
      </c>
      <c r="M328" s="543"/>
      <c r="N328" s="543"/>
      <c r="O328" s="543"/>
      <c r="P328" s="543"/>
      <c r="Q328" s="543" t="s">
        <v>26</v>
      </c>
      <c r="R328" s="543"/>
      <c r="S328" s="543"/>
      <c r="T328" s="543"/>
      <c r="U328" s="543"/>
    </row>
    <row r="329" spans="1:21" x14ac:dyDescent="0.25">
      <c r="A329" s="542"/>
      <c r="B329" s="182" t="s">
        <v>19</v>
      </c>
      <c r="C329" s="182" t="s">
        <v>20</v>
      </c>
      <c r="D329" s="182" t="s">
        <v>21</v>
      </c>
      <c r="E329" s="182" t="s">
        <v>22</v>
      </c>
      <c r="F329" s="182" t="s">
        <v>23</v>
      </c>
      <c r="G329" s="182" t="s">
        <v>19</v>
      </c>
      <c r="H329" s="216" t="s">
        <v>20</v>
      </c>
      <c r="I329" s="182" t="s">
        <v>21</v>
      </c>
      <c r="J329" s="182" t="s">
        <v>22</v>
      </c>
      <c r="K329" s="182" t="s">
        <v>23</v>
      </c>
      <c r="L329" s="182" t="s">
        <v>19</v>
      </c>
      <c r="M329" s="182" t="s">
        <v>20</v>
      </c>
      <c r="N329" s="182" t="s">
        <v>21</v>
      </c>
      <c r="O329" s="182" t="s">
        <v>22</v>
      </c>
      <c r="P329" s="182" t="s">
        <v>23</v>
      </c>
      <c r="Q329" s="182" t="s">
        <v>19</v>
      </c>
      <c r="R329" s="182" t="s">
        <v>20</v>
      </c>
      <c r="S329" s="182" t="s">
        <v>21</v>
      </c>
      <c r="T329" s="182" t="s">
        <v>22</v>
      </c>
      <c r="U329" s="211" t="s">
        <v>23</v>
      </c>
    </row>
    <row r="330" spans="1:21" x14ac:dyDescent="0.25">
      <c r="A330" s="183" t="s">
        <v>161</v>
      </c>
      <c r="B330" s="182" t="s">
        <v>47</v>
      </c>
      <c r="C330" s="182" t="s">
        <v>28</v>
      </c>
      <c r="D330" s="182">
        <v>1</v>
      </c>
      <c r="E330" s="182">
        <f>skilled</f>
        <v>1245</v>
      </c>
      <c r="F330" s="184">
        <f>(D330*E330)</f>
        <v>1245</v>
      </c>
      <c r="G330" s="182"/>
      <c r="H330" s="216"/>
      <c r="I330" s="182">
        <v>0</v>
      </c>
      <c r="L330" s="182" t="s">
        <v>130</v>
      </c>
      <c r="M330" s="182" t="s">
        <v>58</v>
      </c>
      <c r="N330" s="182">
        <v>6</v>
      </c>
      <c r="O330" s="182">
        <f>excavator</f>
        <v>3102</v>
      </c>
      <c r="P330" s="184">
        <f>(N330*O330)</f>
        <v>18612</v>
      </c>
    </row>
    <row r="331" spans="1:21" x14ac:dyDescent="0.25">
      <c r="B331" s="182" t="s">
        <v>29</v>
      </c>
      <c r="C331" s="182" t="s">
        <v>28</v>
      </c>
      <c r="D331" s="182">
        <v>3</v>
      </c>
      <c r="E331" s="182">
        <f>unskilled</f>
        <v>935</v>
      </c>
      <c r="F331" s="184">
        <f>(D331*E331)</f>
        <v>2805</v>
      </c>
    </row>
    <row r="332" spans="1:21" x14ac:dyDescent="0.25">
      <c r="A332" s="537" t="s">
        <v>30</v>
      </c>
      <c r="B332" s="537"/>
      <c r="C332" s="537"/>
      <c r="D332" s="537"/>
      <c r="E332" s="537"/>
      <c r="F332" s="184">
        <f>SUM(F329:F331)</f>
        <v>4050</v>
      </c>
      <c r="G332" s="537" t="s">
        <v>31</v>
      </c>
      <c r="H332" s="537"/>
      <c r="I332" s="537"/>
      <c r="J332" s="537"/>
      <c r="K332" s="184">
        <f>SUM(K329:K331)</f>
        <v>0</v>
      </c>
      <c r="L332" s="537" t="s">
        <v>32</v>
      </c>
      <c r="M332" s="537"/>
      <c r="N332" s="537"/>
      <c r="O332" s="537"/>
      <c r="P332" s="184">
        <f>SUM(P329:P331)</f>
        <v>18612</v>
      </c>
      <c r="Q332" s="537" t="s">
        <v>38</v>
      </c>
      <c r="R332" s="537"/>
      <c r="S332" s="537"/>
      <c r="T332" s="537"/>
      <c r="U332" s="223">
        <f>SUM(U329:U331)</f>
        <v>0</v>
      </c>
    </row>
    <row r="333" spans="1:21" x14ac:dyDescent="0.25">
      <c r="A333" s="537" t="s">
        <v>33</v>
      </c>
      <c r="B333" s="537"/>
      <c r="C333" s="537"/>
      <c r="D333" s="537"/>
      <c r="E333" s="537"/>
      <c r="F333" s="184">
        <f>SUM(F332+K332+P332)</f>
        <v>22662</v>
      </c>
      <c r="G333" s="537" t="s">
        <v>39</v>
      </c>
      <c r="H333" s="537"/>
      <c r="I333" s="537"/>
      <c r="J333" s="537"/>
      <c r="K333" s="184">
        <f>SUM(F332+K332+P332+U332)</f>
        <v>22662</v>
      </c>
      <c r="L333" s="537" t="s">
        <v>40</v>
      </c>
      <c r="M333" s="537"/>
      <c r="N333" s="537"/>
      <c r="O333" s="537"/>
      <c r="P333" s="184">
        <f>SUM(K333*0.15)</f>
        <v>3399.2999999999997</v>
      </c>
      <c r="Q333" s="537" t="s">
        <v>41</v>
      </c>
      <c r="R333" s="537"/>
      <c r="S333" s="537"/>
      <c r="T333" s="537"/>
      <c r="U333" s="223">
        <f>SUM(K333+P333)</f>
        <v>26061.3</v>
      </c>
    </row>
    <row r="334" spans="1:21" x14ac:dyDescent="0.25">
      <c r="Q334" s="537" t="s">
        <v>42</v>
      </c>
      <c r="R334" s="537"/>
      <c r="S334" s="537"/>
      <c r="T334" s="537"/>
      <c r="U334" s="224">
        <f>ROUND((U333/210),2)</f>
        <v>124.1</v>
      </c>
    </row>
    <row r="335" spans="1:21" x14ac:dyDescent="0.25">
      <c r="A335" s="544"/>
      <c r="B335" s="544"/>
      <c r="C335" s="544"/>
      <c r="D335" s="544"/>
      <c r="E335" s="544"/>
      <c r="F335" s="544"/>
      <c r="G335" s="544"/>
      <c r="H335" s="544"/>
      <c r="I335" s="544"/>
      <c r="J335" s="544"/>
      <c r="K335" s="544"/>
      <c r="L335" s="544"/>
      <c r="M335" s="544"/>
      <c r="N335" s="544"/>
      <c r="O335" s="544"/>
      <c r="P335" s="544"/>
      <c r="Q335" s="544"/>
      <c r="R335" s="544"/>
      <c r="S335" s="544"/>
      <c r="T335" s="544"/>
      <c r="U335" s="544"/>
    </row>
    <row r="336" spans="1:21" x14ac:dyDescent="0.25">
      <c r="A336" s="538" t="s">
        <v>12</v>
      </c>
      <c r="B336" s="538"/>
      <c r="C336" s="540" t="s">
        <v>162</v>
      </c>
      <c r="D336" s="540"/>
      <c r="E336" s="540"/>
      <c r="F336" s="540"/>
      <c r="G336" s="540"/>
      <c r="H336" s="540"/>
      <c r="I336" s="540"/>
      <c r="J336" s="540"/>
      <c r="K336" s="540"/>
      <c r="L336" s="540"/>
      <c r="M336" s="540"/>
      <c r="N336" s="540"/>
      <c r="O336" s="540"/>
      <c r="P336" s="540"/>
      <c r="Q336" s="540"/>
      <c r="R336" s="540"/>
      <c r="S336" s="540"/>
      <c r="T336" s="540"/>
      <c r="U336" s="541" t="s">
        <v>163</v>
      </c>
    </row>
    <row r="337" spans="1:21" x14ac:dyDescent="0.25">
      <c r="A337" s="538"/>
      <c r="B337" s="538"/>
      <c r="C337" s="540"/>
      <c r="D337" s="540"/>
      <c r="E337" s="540"/>
      <c r="F337" s="540"/>
      <c r="G337" s="540"/>
      <c r="H337" s="540"/>
      <c r="I337" s="540"/>
      <c r="J337" s="540"/>
      <c r="K337" s="540"/>
      <c r="L337" s="540"/>
      <c r="M337" s="540"/>
      <c r="N337" s="540"/>
      <c r="O337" s="540"/>
      <c r="P337" s="540"/>
      <c r="Q337" s="540"/>
      <c r="R337" s="540"/>
      <c r="S337" s="540"/>
      <c r="T337" s="540"/>
      <c r="U337" s="541"/>
    </row>
    <row r="338" spans="1:21" x14ac:dyDescent="0.25">
      <c r="A338" s="539" t="s">
        <v>153</v>
      </c>
      <c r="B338" s="539"/>
      <c r="C338" s="540"/>
      <c r="D338" s="540"/>
      <c r="E338" s="540"/>
      <c r="F338" s="540"/>
      <c r="G338" s="540"/>
      <c r="H338" s="540"/>
      <c r="I338" s="540"/>
      <c r="J338" s="540"/>
      <c r="K338" s="540"/>
      <c r="L338" s="540"/>
      <c r="M338" s="540"/>
      <c r="N338" s="540"/>
      <c r="O338" s="540"/>
      <c r="P338" s="540"/>
      <c r="Q338" s="540"/>
      <c r="R338" s="540"/>
      <c r="S338" s="540"/>
      <c r="T338" s="540"/>
      <c r="U338" s="541"/>
    </row>
    <row r="339" spans="1:21" x14ac:dyDescent="0.25">
      <c r="A339" s="542" t="s">
        <v>16</v>
      </c>
      <c r="B339" s="543" t="s">
        <v>18</v>
      </c>
      <c r="C339" s="543"/>
      <c r="D339" s="543"/>
      <c r="E339" s="543"/>
      <c r="F339" s="543"/>
      <c r="G339" s="543" t="s">
        <v>24</v>
      </c>
      <c r="H339" s="543"/>
      <c r="I339" s="543"/>
      <c r="J339" s="543"/>
      <c r="K339" s="543"/>
      <c r="L339" s="543" t="s">
        <v>25</v>
      </c>
      <c r="M339" s="543"/>
      <c r="N339" s="543"/>
      <c r="O339" s="543"/>
      <c r="P339" s="543"/>
      <c r="Q339" s="543" t="s">
        <v>26</v>
      </c>
      <c r="R339" s="543"/>
      <c r="S339" s="543"/>
      <c r="T339" s="543"/>
      <c r="U339" s="543"/>
    </row>
    <row r="340" spans="1:21" x14ac:dyDescent="0.25">
      <c r="A340" s="542"/>
      <c r="B340" s="182" t="s">
        <v>19</v>
      </c>
      <c r="C340" s="182" t="s">
        <v>20</v>
      </c>
      <c r="D340" s="182" t="s">
        <v>21</v>
      </c>
      <c r="E340" s="182" t="s">
        <v>22</v>
      </c>
      <c r="F340" s="182" t="s">
        <v>23</v>
      </c>
      <c r="G340" s="182" t="s">
        <v>19</v>
      </c>
      <c r="H340" s="216" t="s">
        <v>20</v>
      </c>
      <c r="I340" s="182" t="s">
        <v>21</v>
      </c>
      <c r="J340" s="182" t="s">
        <v>22</v>
      </c>
      <c r="K340" s="182" t="s">
        <v>23</v>
      </c>
      <c r="L340" s="182" t="s">
        <v>19</v>
      </c>
      <c r="M340" s="182" t="s">
        <v>20</v>
      </c>
      <c r="N340" s="182" t="s">
        <v>21</v>
      </c>
      <c r="O340" s="182" t="s">
        <v>22</v>
      </c>
      <c r="P340" s="182" t="s">
        <v>23</v>
      </c>
      <c r="Q340" s="182" t="s">
        <v>19</v>
      </c>
      <c r="R340" s="182" t="s">
        <v>20</v>
      </c>
      <c r="S340" s="182" t="s">
        <v>21</v>
      </c>
      <c r="T340" s="182" t="s">
        <v>22</v>
      </c>
      <c r="U340" s="211" t="s">
        <v>23</v>
      </c>
    </row>
    <row r="341" spans="1:21" ht="31.5" x14ac:dyDescent="0.25">
      <c r="A341" s="183" t="s">
        <v>164</v>
      </c>
      <c r="B341" s="182" t="s">
        <v>47</v>
      </c>
      <c r="C341" s="182" t="s">
        <v>28</v>
      </c>
      <c r="D341" s="182">
        <v>2</v>
      </c>
      <c r="E341" s="182">
        <f>skilled</f>
        <v>1245</v>
      </c>
      <c r="F341" s="184">
        <f>(D341*E341)</f>
        <v>2490</v>
      </c>
      <c r="G341" s="182"/>
      <c r="H341" s="216"/>
      <c r="I341" s="182">
        <v>0</v>
      </c>
      <c r="L341" s="182" t="s">
        <v>130</v>
      </c>
      <c r="M341" s="182" t="s">
        <v>58</v>
      </c>
      <c r="N341" s="182">
        <v>6</v>
      </c>
      <c r="O341" s="182">
        <f>excavator</f>
        <v>3102</v>
      </c>
      <c r="P341" s="184">
        <f>(N341*O341)</f>
        <v>18612</v>
      </c>
    </row>
    <row r="342" spans="1:21" x14ac:dyDescent="0.25">
      <c r="B342" s="182" t="s">
        <v>29</v>
      </c>
      <c r="C342" s="182" t="s">
        <v>28</v>
      </c>
      <c r="D342" s="182">
        <v>4</v>
      </c>
      <c r="E342" s="182">
        <f>unskilled</f>
        <v>935</v>
      </c>
      <c r="F342" s="184">
        <f>(D342*E342)</f>
        <v>3740</v>
      </c>
    </row>
    <row r="343" spans="1:21" x14ac:dyDescent="0.25">
      <c r="A343" s="537" t="s">
        <v>30</v>
      </c>
      <c r="B343" s="537"/>
      <c r="C343" s="537"/>
      <c r="D343" s="537"/>
      <c r="E343" s="537"/>
      <c r="F343" s="184">
        <f>SUM(F340:F342)</f>
        <v>6230</v>
      </c>
      <c r="G343" s="537" t="s">
        <v>31</v>
      </c>
      <c r="H343" s="537"/>
      <c r="I343" s="537"/>
      <c r="J343" s="537"/>
      <c r="K343" s="184">
        <f>SUM(K340:K342)</f>
        <v>0</v>
      </c>
      <c r="L343" s="537" t="s">
        <v>32</v>
      </c>
      <c r="M343" s="537"/>
      <c r="N343" s="537"/>
      <c r="O343" s="537"/>
      <c r="P343" s="184">
        <f>SUM(P340:P342)</f>
        <v>18612</v>
      </c>
      <c r="Q343" s="537" t="s">
        <v>38</v>
      </c>
      <c r="R343" s="537"/>
      <c r="S343" s="537"/>
      <c r="T343" s="537"/>
      <c r="U343" s="223">
        <f>SUM(U340:U342)</f>
        <v>0</v>
      </c>
    </row>
    <row r="344" spans="1:21" x14ac:dyDescent="0.25">
      <c r="A344" s="537" t="s">
        <v>33</v>
      </c>
      <c r="B344" s="537"/>
      <c r="C344" s="537"/>
      <c r="D344" s="537"/>
      <c r="E344" s="537"/>
      <c r="F344" s="184">
        <f>SUM(F343+K343+P343)</f>
        <v>24842</v>
      </c>
      <c r="G344" s="537" t="s">
        <v>39</v>
      </c>
      <c r="H344" s="537"/>
      <c r="I344" s="537"/>
      <c r="J344" s="537"/>
      <c r="K344" s="184">
        <f>SUM(F343+K343+P343+U343)</f>
        <v>24842</v>
      </c>
      <c r="L344" s="537" t="s">
        <v>40</v>
      </c>
      <c r="M344" s="537"/>
      <c r="N344" s="537"/>
      <c r="O344" s="537"/>
      <c r="P344" s="184">
        <f>SUM(K344*0.15)</f>
        <v>3726.2999999999997</v>
      </c>
      <c r="Q344" s="537" t="s">
        <v>41</v>
      </c>
      <c r="R344" s="537"/>
      <c r="S344" s="537"/>
      <c r="T344" s="537"/>
      <c r="U344" s="223">
        <f>SUM(K344+P344)</f>
        <v>28568.3</v>
      </c>
    </row>
    <row r="345" spans="1:21" x14ac:dyDescent="0.25">
      <c r="Q345" s="537" t="s">
        <v>42</v>
      </c>
      <c r="R345" s="537"/>
      <c r="S345" s="537"/>
      <c r="T345" s="537"/>
      <c r="U345" s="224">
        <f>ROUND((U344/180),2)</f>
        <v>158.71</v>
      </c>
    </row>
    <row r="346" spans="1:21" x14ac:dyDescent="0.25">
      <c r="A346" s="544"/>
      <c r="B346" s="544"/>
      <c r="C346" s="544"/>
      <c r="D346" s="544"/>
      <c r="E346" s="544"/>
      <c r="F346" s="544"/>
      <c r="G346" s="544"/>
      <c r="H346" s="544"/>
      <c r="I346" s="544"/>
      <c r="J346" s="544"/>
      <c r="K346" s="544"/>
      <c r="L346" s="544"/>
      <c r="M346" s="544"/>
      <c r="N346" s="544"/>
      <c r="O346" s="544"/>
      <c r="P346" s="544"/>
      <c r="Q346" s="544"/>
      <c r="R346" s="544"/>
      <c r="S346" s="544"/>
      <c r="T346" s="544"/>
      <c r="U346" s="544"/>
    </row>
    <row r="347" spans="1:21" x14ac:dyDescent="0.25">
      <c r="A347" s="538" t="s">
        <v>12</v>
      </c>
      <c r="B347" s="538"/>
      <c r="C347" s="540" t="s">
        <v>165</v>
      </c>
      <c r="D347" s="540"/>
      <c r="E347" s="540"/>
      <c r="F347" s="540"/>
      <c r="G347" s="540"/>
      <c r="H347" s="540"/>
      <c r="I347" s="540"/>
      <c r="J347" s="540"/>
      <c r="K347" s="540"/>
      <c r="L347" s="540"/>
      <c r="M347" s="540"/>
      <c r="N347" s="540"/>
      <c r="O347" s="540"/>
      <c r="P347" s="540"/>
      <c r="Q347" s="540"/>
      <c r="R347" s="540"/>
      <c r="S347" s="540"/>
      <c r="T347" s="540"/>
      <c r="U347" s="541" t="s">
        <v>139</v>
      </c>
    </row>
    <row r="348" spans="1:21" x14ac:dyDescent="0.25">
      <c r="A348" s="538"/>
      <c r="B348" s="538"/>
      <c r="C348" s="540"/>
      <c r="D348" s="540"/>
      <c r="E348" s="540"/>
      <c r="F348" s="540"/>
      <c r="G348" s="540"/>
      <c r="H348" s="540"/>
      <c r="I348" s="540"/>
      <c r="J348" s="540"/>
      <c r="K348" s="540"/>
      <c r="L348" s="540"/>
      <c r="M348" s="540"/>
      <c r="N348" s="540"/>
      <c r="O348" s="540"/>
      <c r="P348" s="540"/>
      <c r="Q348" s="540"/>
      <c r="R348" s="540"/>
      <c r="S348" s="540"/>
      <c r="T348" s="540"/>
      <c r="U348" s="541"/>
    </row>
    <row r="349" spans="1:21" x14ac:dyDescent="0.25">
      <c r="A349" s="539" t="s">
        <v>153</v>
      </c>
      <c r="B349" s="539"/>
      <c r="C349" s="540"/>
      <c r="D349" s="540"/>
      <c r="E349" s="540"/>
      <c r="F349" s="540"/>
      <c r="G349" s="540"/>
      <c r="H349" s="540"/>
      <c r="I349" s="540"/>
      <c r="J349" s="540"/>
      <c r="K349" s="540"/>
      <c r="L349" s="540"/>
      <c r="M349" s="540"/>
      <c r="N349" s="540"/>
      <c r="O349" s="540"/>
      <c r="P349" s="540"/>
      <c r="Q349" s="540"/>
      <c r="R349" s="540"/>
      <c r="S349" s="540"/>
      <c r="T349" s="540"/>
      <c r="U349" s="541"/>
    </row>
    <row r="350" spans="1:21" x14ac:dyDescent="0.25">
      <c r="A350" s="542" t="s">
        <v>16</v>
      </c>
      <c r="B350" s="543" t="s">
        <v>18</v>
      </c>
      <c r="C350" s="543"/>
      <c r="D350" s="543"/>
      <c r="E350" s="543"/>
      <c r="F350" s="543"/>
      <c r="G350" s="543" t="s">
        <v>24</v>
      </c>
      <c r="H350" s="543"/>
      <c r="I350" s="543"/>
      <c r="J350" s="543"/>
      <c r="K350" s="543"/>
      <c r="L350" s="543" t="s">
        <v>25</v>
      </c>
      <c r="M350" s="543"/>
      <c r="N350" s="543"/>
      <c r="O350" s="543"/>
      <c r="P350" s="543"/>
      <c r="Q350" s="543" t="s">
        <v>26</v>
      </c>
      <c r="R350" s="543"/>
      <c r="S350" s="543"/>
      <c r="T350" s="543"/>
      <c r="U350" s="543"/>
    </row>
    <row r="351" spans="1:21" x14ac:dyDescent="0.25">
      <c r="A351" s="542"/>
      <c r="B351" s="182" t="s">
        <v>19</v>
      </c>
      <c r="C351" s="182" t="s">
        <v>20</v>
      </c>
      <c r="D351" s="182" t="s">
        <v>21</v>
      </c>
      <c r="E351" s="182" t="s">
        <v>22</v>
      </c>
      <c r="F351" s="182" t="s">
        <v>23</v>
      </c>
      <c r="G351" s="182" t="s">
        <v>19</v>
      </c>
      <c r="H351" s="216" t="s">
        <v>20</v>
      </c>
      <c r="I351" s="182" t="s">
        <v>21</v>
      </c>
      <c r="J351" s="182" t="s">
        <v>22</v>
      </c>
      <c r="K351" s="182" t="s">
        <v>23</v>
      </c>
      <c r="L351" s="182" t="s">
        <v>19</v>
      </c>
      <c r="M351" s="182" t="s">
        <v>20</v>
      </c>
      <c r="N351" s="182" t="s">
        <v>21</v>
      </c>
      <c r="O351" s="182" t="s">
        <v>22</v>
      </c>
      <c r="P351" s="182" t="s">
        <v>23</v>
      </c>
      <c r="Q351" s="182" t="s">
        <v>19</v>
      </c>
      <c r="R351" s="182" t="s">
        <v>20</v>
      </c>
      <c r="S351" s="182" t="s">
        <v>21</v>
      </c>
      <c r="T351" s="182" t="s">
        <v>22</v>
      </c>
      <c r="U351" s="211" t="s">
        <v>23</v>
      </c>
    </row>
    <row r="352" spans="1:21" x14ac:dyDescent="0.25">
      <c r="A352" s="183" t="s">
        <v>166</v>
      </c>
      <c r="B352" s="182" t="s">
        <v>47</v>
      </c>
      <c r="C352" s="182" t="s">
        <v>28</v>
      </c>
      <c r="D352" s="182">
        <v>1</v>
      </c>
      <c r="E352" s="182">
        <f>skilled</f>
        <v>1245</v>
      </c>
      <c r="F352" s="184">
        <f>(D352*E352)</f>
        <v>1245</v>
      </c>
      <c r="L352" s="182" t="s">
        <v>130</v>
      </c>
      <c r="M352" s="182" t="s">
        <v>58</v>
      </c>
      <c r="N352" s="182">
        <v>6</v>
      </c>
      <c r="O352" s="182">
        <f>excavator</f>
        <v>3102</v>
      </c>
      <c r="P352" s="184">
        <f>(N352*O352)</f>
        <v>18612</v>
      </c>
    </row>
    <row r="353" spans="1:21" x14ac:dyDescent="0.25">
      <c r="B353" s="182" t="s">
        <v>29</v>
      </c>
      <c r="C353" s="182" t="s">
        <v>28</v>
      </c>
      <c r="D353" s="182">
        <v>3</v>
      </c>
      <c r="E353" s="182">
        <f>unskilled</f>
        <v>935</v>
      </c>
      <c r="F353" s="184">
        <f>(D353*E353)</f>
        <v>2805</v>
      </c>
    </row>
    <row r="354" spans="1:21" x14ac:dyDescent="0.25">
      <c r="A354" s="537" t="s">
        <v>30</v>
      </c>
      <c r="B354" s="537"/>
      <c r="C354" s="537"/>
      <c r="D354" s="537"/>
      <c r="E354" s="537"/>
      <c r="F354" s="184">
        <f>SUM(F351:F353)</f>
        <v>4050</v>
      </c>
      <c r="G354" s="537" t="s">
        <v>31</v>
      </c>
      <c r="H354" s="537"/>
      <c r="I354" s="537"/>
      <c r="J354" s="537"/>
      <c r="K354" s="184">
        <f>SUM(K351:K353)</f>
        <v>0</v>
      </c>
      <c r="L354" s="537" t="s">
        <v>32</v>
      </c>
      <c r="M354" s="537"/>
      <c r="N354" s="537"/>
      <c r="O354" s="537"/>
      <c r="P354" s="184">
        <f>SUM(P351:P353)</f>
        <v>18612</v>
      </c>
      <c r="Q354" s="537" t="s">
        <v>38</v>
      </c>
      <c r="R354" s="537"/>
      <c r="S354" s="537"/>
      <c r="T354" s="537"/>
      <c r="U354" s="223">
        <f>SUM(U351:U353)</f>
        <v>0</v>
      </c>
    </row>
    <row r="355" spans="1:21" x14ac:dyDescent="0.25">
      <c r="A355" s="537" t="s">
        <v>33</v>
      </c>
      <c r="B355" s="537"/>
      <c r="C355" s="537"/>
      <c r="D355" s="537"/>
      <c r="E355" s="537"/>
      <c r="F355" s="184">
        <f>SUM(F354+K354+P354)</f>
        <v>22662</v>
      </c>
      <c r="G355" s="537" t="s">
        <v>39</v>
      </c>
      <c r="H355" s="537"/>
      <c r="I355" s="537"/>
      <c r="J355" s="537"/>
      <c r="K355" s="184">
        <f>SUM(F354+K354+P354+U354)</f>
        <v>22662</v>
      </c>
      <c r="L355" s="537" t="s">
        <v>40</v>
      </c>
      <c r="M355" s="537"/>
      <c r="N355" s="537"/>
      <c r="O355" s="537"/>
      <c r="P355" s="184">
        <f>SUM(K355*0.15)</f>
        <v>3399.2999999999997</v>
      </c>
      <c r="Q355" s="537" t="s">
        <v>41</v>
      </c>
      <c r="R355" s="537"/>
      <c r="S355" s="537"/>
      <c r="T355" s="537"/>
      <c r="U355" s="223">
        <f>SUM(K355+P355)</f>
        <v>26061.3</v>
      </c>
    </row>
    <row r="356" spans="1:21" x14ac:dyDescent="0.25">
      <c r="Q356" s="537" t="s">
        <v>42</v>
      </c>
      <c r="R356" s="537"/>
      <c r="S356" s="537"/>
      <c r="T356" s="537"/>
      <c r="U356" s="224">
        <f>ROUND((U355/90),2)</f>
        <v>289.57</v>
      </c>
    </row>
    <row r="357" spans="1:21" x14ac:dyDescent="0.25">
      <c r="A357" s="544"/>
      <c r="B357" s="544"/>
      <c r="C357" s="544"/>
      <c r="D357" s="544"/>
      <c r="E357" s="544"/>
      <c r="F357" s="544"/>
      <c r="G357" s="544"/>
      <c r="H357" s="544"/>
      <c r="I357" s="544"/>
      <c r="J357" s="544"/>
      <c r="K357" s="544"/>
      <c r="L357" s="544"/>
      <c r="M357" s="544"/>
      <c r="N357" s="544"/>
      <c r="O357" s="544"/>
      <c r="P357" s="544"/>
      <c r="Q357" s="544"/>
      <c r="R357" s="544"/>
      <c r="S357" s="544"/>
      <c r="T357" s="544"/>
      <c r="U357" s="544"/>
    </row>
    <row r="358" spans="1:21" x14ac:dyDescent="0.25">
      <c r="A358" s="538" t="s">
        <v>12</v>
      </c>
      <c r="B358" s="538"/>
      <c r="C358" s="540" t="s">
        <v>168</v>
      </c>
      <c r="D358" s="540"/>
      <c r="E358" s="540"/>
      <c r="F358" s="540"/>
      <c r="G358" s="540"/>
      <c r="H358" s="540"/>
      <c r="I358" s="540"/>
      <c r="J358" s="540"/>
      <c r="K358" s="540"/>
      <c r="L358" s="540"/>
      <c r="M358" s="540"/>
      <c r="N358" s="540"/>
      <c r="O358" s="540"/>
      <c r="P358" s="540"/>
      <c r="Q358" s="540"/>
      <c r="R358" s="540"/>
      <c r="S358" s="540"/>
      <c r="T358" s="540"/>
      <c r="U358" s="541" t="s">
        <v>169</v>
      </c>
    </row>
    <row r="359" spans="1:21" x14ac:dyDescent="0.25">
      <c r="A359" s="538"/>
      <c r="B359" s="538"/>
      <c r="C359" s="540"/>
      <c r="D359" s="540"/>
      <c r="E359" s="540"/>
      <c r="F359" s="540"/>
      <c r="G359" s="540"/>
      <c r="H359" s="540"/>
      <c r="I359" s="540"/>
      <c r="J359" s="540"/>
      <c r="K359" s="540"/>
      <c r="L359" s="540"/>
      <c r="M359" s="540"/>
      <c r="N359" s="540"/>
      <c r="O359" s="540"/>
      <c r="P359" s="540"/>
      <c r="Q359" s="540"/>
      <c r="R359" s="540"/>
      <c r="S359" s="540"/>
      <c r="T359" s="540"/>
      <c r="U359" s="541"/>
    </row>
    <row r="360" spans="1:21" x14ac:dyDescent="0.25">
      <c r="A360" s="539" t="s">
        <v>167</v>
      </c>
      <c r="B360" s="539"/>
      <c r="C360" s="540"/>
      <c r="D360" s="540"/>
      <c r="E360" s="540"/>
      <c r="F360" s="540"/>
      <c r="G360" s="540"/>
      <c r="H360" s="540"/>
      <c r="I360" s="540"/>
      <c r="J360" s="540"/>
      <c r="K360" s="540"/>
      <c r="L360" s="540"/>
      <c r="M360" s="540"/>
      <c r="N360" s="540"/>
      <c r="O360" s="540"/>
      <c r="P360" s="540"/>
      <c r="Q360" s="540"/>
      <c r="R360" s="540"/>
      <c r="S360" s="540"/>
      <c r="T360" s="540"/>
      <c r="U360" s="541"/>
    </row>
    <row r="361" spans="1:21" x14ac:dyDescent="0.25">
      <c r="A361" s="542" t="s">
        <v>16</v>
      </c>
      <c r="B361" s="543" t="s">
        <v>18</v>
      </c>
      <c r="C361" s="543"/>
      <c r="D361" s="543"/>
      <c r="E361" s="543"/>
      <c r="F361" s="543"/>
      <c r="G361" s="543" t="s">
        <v>24</v>
      </c>
      <c r="H361" s="543"/>
      <c r="I361" s="543"/>
      <c r="J361" s="543"/>
      <c r="K361" s="543"/>
      <c r="L361" s="543" t="s">
        <v>25</v>
      </c>
      <c r="M361" s="543"/>
      <c r="N361" s="543"/>
      <c r="O361" s="543"/>
      <c r="P361" s="543"/>
      <c r="Q361" s="543" t="s">
        <v>26</v>
      </c>
      <c r="R361" s="543"/>
      <c r="S361" s="543"/>
      <c r="T361" s="543"/>
      <c r="U361" s="543"/>
    </row>
    <row r="362" spans="1:21" x14ac:dyDescent="0.25">
      <c r="A362" s="542"/>
      <c r="B362" s="182" t="s">
        <v>19</v>
      </c>
      <c r="C362" s="182" t="s">
        <v>20</v>
      </c>
      <c r="D362" s="182" t="s">
        <v>21</v>
      </c>
      <c r="E362" s="182" t="s">
        <v>22</v>
      </c>
      <c r="F362" s="182" t="s">
        <v>23</v>
      </c>
      <c r="G362" s="182" t="s">
        <v>19</v>
      </c>
      <c r="H362" s="216" t="s">
        <v>20</v>
      </c>
      <c r="I362" s="182" t="s">
        <v>21</v>
      </c>
      <c r="J362" s="182" t="s">
        <v>22</v>
      </c>
      <c r="K362" s="182" t="s">
        <v>23</v>
      </c>
      <c r="L362" s="182" t="s">
        <v>19</v>
      </c>
      <c r="M362" s="182" t="s">
        <v>20</v>
      </c>
      <c r="N362" s="182" t="s">
        <v>21</v>
      </c>
      <c r="O362" s="182" t="s">
        <v>22</v>
      </c>
      <c r="P362" s="182" t="s">
        <v>23</v>
      </c>
      <c r="Q362" s="182" t="s">
        <v>19</v>
      </c>
      <c r="R362" s="182" t="s">
        <v>20</v>
      </c>
      <c r="S362" s="182" t="s">
        <v>21</v>
      </c>
      <c r="T362" s="182" t="s">
        <v>22</v>
      </c>
      <c r="U362" s="211" t="s">
        <v>23</v>
      </c>
    </row>
    <row r="363" spans="1:21" x14ac:dyDescent="0.25">
      <c r="A363" s="183" t="s">
        <v>170</v>
      </c>
      <c r="B363" s="182" t="s">
        <v>47</v>
      </c>
      <c r="C363" s="182" t="s">
        <v>28</v>
      </c>
      <c r="D363" s="182">
        <v>1</v>
      </c>
      <c r="E363" s="182">
        <f>skilled</f>
        <v>1245</v>
      </c>
      <c r="F363" s="184">
        <f>(D363*E363)</f>
        <v>1245</v>
      </c>
      <c r="G363" s="182" t="s">
        <v>171</v>
      </c>
      <c r="H363" s="216" t="s">
        <v>172</v>
      </c>
      <c r="I363" s="182">
        <v>72</v>
      </c>
      <c r="J363" s="182">
        <f>adopted_rate_water</f>
        <v>310</v>
      </c>
      <c r="K363" s="182">
        <f>(I363*J363)</f>
        <v>22320</v>
      </c>
      <c r="L363" s="182" t="s">
        <v>130</v>
      </c>
      <c r="M363" s="182" t="s">
        <v>58</v>
      </c>
      <c r="N363" s="182">
        <v>6</v>
      </c>
      <c r="O363" s="182">
        <f>excavator</f>
        <v>3102</v>
      </c>
      <c r="P363" s="184">
        <f>(N363*O363)</f>
        <v>18612</v>
      </c>
    </row>
    <row r="364" spans="1:21" ht="31.5" x14ac:dyDescent="0.25">
      <c r="B364" s="182" t="s">
        <v>29</v>
      </c>
      <c r="C364" s="182" t="s">
        <v>28</v>
      </c>
      <c r="D364" s="182">
        <v>4</v>
      </c>
      <c r="E364" s="182">
        <f>unskilled</f>
        <v>935</v>
      </c>
      <c r="F364" s="184">
        <f>(D364*E364)</f>
        <v>3740</v>
      </c>
      <c r="G364" s="182" t="s">
        <v>173</v>
      </c>
      <c r="H364" s="216" t="s">
        <v>84</v>
      </c>
      <c r="I364" s="182">
        <v>360</v>
      </c>
      <c r="J364" s="182">
        <f>(0.9*U253+0.1*U242)</f>
        <v>151.274</v>
      </c>
      <c r="K364" s="182">
        <f>(I364*J364)</f>
        <v>54458.64</v>
      </c>
      <c r="L364" s="182" t="s">
        <v>174</v>
      </c>
      <c r="M364" s="182" t="s">
        <v>58</v>
      </c>
      <c r="N364" s="182">
        <v>12</v>
      </c>
      <c r="O364" s="182">
        <f>tractor_with_rotavator</f>
        <v>991</v>
      </c>
      <c r="P364" s="184">
        <f>(N364*O364)</f>
        <v>11892</v>
      </c>
    </row>
    <row r="365" spans="1:21" x14ac:dyDescent="0.25">
      <c r="L365" s="182" t="s">
        <v>148</v>
      </c>
      <c r="M365" s="182" t="s">
        <v>58</v>
      </c>
      <c r="N365" s="182">
        <v>3</v>
      </c>
      <c r="O365" s="182">
        <f>dozer</f>
        <v>4188</v>
      </c>
      <c r="P365" s="184">
        <f>(N365*O365)</f>
        <v>12564</v>
      </c>
    </row>
    <row r="366" spans="1:21" x14ac:dyDescent="0.25">
      <c r="L366" s="182" t="s">
        <v>175</v>
      </c>
      <c r="M366" s="182" t="s">
        <v>58</v>
      </c>
      <c r="N366" s="182">
        <v>3</v>
      </c>
      <c r="O366" s="182">
        <f>motor_grader</f>
        <v>2915</v>
      </c>
      <c r="P366" s="184">
        <f>(N366*O366)</f>
        <v>8745</v>
      </c>
    </row>
    <row r="367" spans="1:21" x14ac:dyDescent="0.25">
      <c r="L367" s="182" t="s">
        <v>176</v>
      </c>
      <c r="M367" s="182" t="s">
        <v>58</v>
      </c>
      <c r="N367" s="182">
        <v>6</v>
      </c>
      <c r="O367" s="182">
        <f>water_tanker</f>
        <v>1618</v>
      </c>
      <c r="P367" s="184">
        <f>(N367*O367)</f>
        <v>9708</v>
      </c>
    </row>
    <row r="368" spans="1:21" x14ac:dyDescent="0.25">
      <c r="A368" s="537" t="s">
        <v>30</v>
      </c>
      <c r="B368" s="537"/>
      <c r="C368" s="537"/>
      <c r="D368" s="537"/>
      <c r="E368" s="537"/>
      <c r="F368" s="184">
        <f>SUM(F362:F367)</f>
        <v>4985</v>
      </c>
      <c r="G368" s="537" t="s">
        <v>31</v>
      </c>
      <c r="H368" s="537"/>
      <c r="I368" s="537"/>
      <c r="J368" s="537"/>
      <c r="K368" s="184">
        <f>SUM(K362:K367)</f>
        <v>76778.64</v>
      </c>
      <c r="L368" s="537" t="s">
        <v>32</v>
      </c>
      <c r="M368" s="537"/>
      <c r="N368" s="537"/>
      <c r="O368" s="537"/>
      <c r="P368" s="184">
        <f>SUM(P362:P367)</f>
        <v>61521</v>
      </c>
      <c r="Q368" s="537" t="s">
        <v>38</v>
      </c>
      <c r="R368" s="537"/>
      <c r="S368" s="537"/>
      <c r="T368" s="537"/>
      <c r="U368" s="223">
        <f>SUM(U362:U367)</f>
        <v>0</v>
      </c>
    </row>
    <row r="369" spans="1:21" x14ac:dyDescent="0.25">
      <c r="A369" s="537" t="s">
        <v>33</v>
      </c>
      <c r="B369" s="537"/>
      <c r="C369" s="537"/>
      <c r="D369" s="537"/>
      <c r="E369" s="537"/>
      <c r="F369" s="184">
        <f>SUM(F368+K368+P368)</f>
        <v>143284.64000000001</v>
      </c>
      <c r="G369" s="537" t="s">
        <v>39</v>
      </c>
      <c r="H369" s="537"/>
      <c r="I369" s="537"/>
      <c r="J369" s="537"/>
      <c r="K369" s="184">
        <f>SUM(F368+K368+P368+U368)</f>
        <v>143284.64000000001</v>
      </c>
      <c r="L369" s="537" t="s">
        <v>40</v>
      </c>
      <c r="M369" s="537"/>
      <c r="N369" s="537"/>
      <c r="O369" s="537"/>
      <c r="P369" s="184">
        <f>SUM(K369*0.15)</f>
        <v>21492.696</v>
      </c>
      <c r="Q369" s="537" t="s">
        <v>41</v>
      </c>
      <c r="R369" s="537"/>
      <c r="S369" s="537"/>
      <c r="T369" s="537"/>
      <c r="U369" s="223">
        <f>SUM(K369+P369)</f>
        <v>164777.33600000001</v>
      </c>
    </row>
    <row r="370" spans="1:21" x14ac:dyDescent="0.25">
      <c r="Q370" s="537" t="s">
        <v>42</v>
      </c>
      <c r="R370" s="537"/>
      <c r="S370" s="537"/>
      <c r="T370" s="537"/>
      <c r="U370" s="224">
        <f>ROUND((U369/300),2)</f>
        <v>549.26</v>
      </c>
    </row>
    <row r="371" spans="1:21" x14ac:dyDescent="0.25">
      <c r="A371" s="544"/>
      <c r="B371" s="544"/>
      <c r="C371" s="544"/>
      <c r="D371" s="544"/>
      <c r="E371" s="544"/>
      <c r="F371" s="544"/>
      <c r="G371" s="544"/>
      <c r="H371" s="544"/>
      <c r="I371" s="544"/>
      <c r="J371" s="544"/>
      <c r="K371" s="544"/>
      <c r="L371" s="544"/>
      <c r="M371" s="544"/>
      <c r="N371" s="544"/>
      <c r="O371" s="544"/>
      <c r="P371" s="544"/>
      <c r="Q371" s="544"/>
      <c r="R371" s="544"/>
      <c r="S371" s="544"/>
      <c r="T371" s="544"/>
      <c r="U371" s="544"/>
    </row>
    <row r="372" spans="1:21" x14ac:dyDescent="0.25">
      <c r="A372" s="538" t="s">
        <v>12</v>
      </c>
      <c r="B372" s="538"/>
      <c r="C372" s="540" t="s">
        <v>177</v>
      </c>
      <c r="D372" s="540"/>
      <c r="E372" s="540"/>
      <c r="F372" s="540"/>
      <c r="G372" s="540"/>
      <c r="H372" s="540"/>
      <c r="I372" s="540"/>
      <c r="J372" s="540"/>
      <c r="K372" s="540"/>
      <c r="L372" s="540"/>
      <c r="M372" s="540"/>
      <c r="N372" s="540"/>
      <c r="O372" s="540"/>
      <c r="P372" s="540"/>
      <c r="Q372" s="540"/>
      <c r="R372" s="540"/>
      <c r="S372" s="540"/>
      <c r="T372" s="540"/>
      <c r="U372" s="541" t="s">
        <v>169</v>
      </c>
    </row>
    <row r="373" spans="1:21" x14ac:dyDescent="0.25">
      <c r="A373" s="538"/>
      <c r="B373" s="538"/>
      <c r="C373" s="540"/>
      <c r="D373" s="540"/>
      <c r="E373" s="540"/>
      <c r="F373" s="540"/>
      <c r="G373" s="540"/>
      <c r="H373" s="540"/>
      <c r="I373" s="540"/>
      <c r="J373" s="540"/>
      <c r="K373" s="540"/>
      <c r="L373" s="540"/>
      <c r="M373" s="540"/>
      <c r="N373" s="540"/>
      <c r="O373" s="540"/>
      <c r="P373" s="540"/>
      <c r="Q373" s="540"/>
      <c r="R373" s="540"/>
      <c r="S373" s="540"/>
      <c r="T373" s="540"/>
      <c r="U373" s="541"/>
    </row>
    <row r="374" spans="1:21" x14ac:dyDescent="0.25">
      <c r="A374" s="539" t="s">
        <v>167</v>
      </c>
      <c r="B374" s="539"/>
      <c r="C374" s="540"/>
      <c r="D374" s="540"/>
      <c r="E374" s="540"/>
      <c r="F374" s="540"/>
      <c r="G374" s="540"/>
      <c r="H374" s="540"/>
      <c r="I374" s="540"/>
      <c r="J374" s="540"/>
      <c r="K374" s="540"/>
      <c r="L374" s="540"/>
      <c r="M374" s="540"/>
      <c r="N374" s="540"/>
      <c r="O374" s="540"/>
      <c r="P374" s="540"/>
      <c r="Q374" s="540"/>
      <c r="R374" s="540"/>
      <c r="S374" s="540"/>
      <c r="T374" s="540"/>
      <c r="U374" s="541"/>
    </row>
    <row r="375" spans="1:21" x14ac:dyDescent="0.25">
      <c r="A375" s="542" t="s">
        <v>16</v>
      </c>
      <c r="B375" s="543" t="s">
        <v>18</v>
      </c>
      <c r="C375" s="543"/>
      <c r="D375" s="543"/>
      <c r="E375" s="543"/>
      <c r="F375" s="543"/>
      <c r="G375" s="543" t="s">
        <v>24</v>
      </c>
      <c r="H375" s="543"/>
      <c r="I375" s="543"/>
      <c r="J375" s="543"/>
      <c r="K375" s="543"/>
      <c r="L375" s="543" t="s">
        <v>25</v>
      </c>
      <c r="M375" s="543"/>
      <c r="N375" s="543"/>
      <c r="O375" s="543"/>
      <c r="P375" s="543"/>
      <c r="Q375" s="543" t="s">
        <v>26</v>
      </c>
      <c r="R375" s="543"/>
      <c r="S375" s="543"/>
      <c r="T375" s="543"/>
      <c r="U375" s="543"/>
    </row>
    <row r="376" spans="1:21" x14ac:dyDescent="0.25">
      <c r="A376" s="542"/>
      <c r="B376" s="182" t="s">
        <v>19</v>
      </c>
      <c r="C376" s="182" t="s">
        <v>20</v>
      </c>
      <c r="D376" s="182" t="s">
        <v>21</v>
      </c>
      <c r="E376" s="182" t="s">
        <v>22</v>
      </c>
      <c r="F376" s="182" t="s">
        <v>23</v>
      </c>
      <c r="G376" s="182" t="s">
        <v>19</v>
      </c>
      <c r="H376" s="216" t="s">
        <v>20</v>
      </c>
      <c r="I376" s="182" t="s">
        <v>21</v>
      </c>
      <c r="J376" s="182" t="s">
        <v>22</v>
      </c>
      <c r="K376" s="182" t="s">
        <v>23</v>
      </c>
      <c r="L376" s="182" t="s">
        <v>19</v>
      </c>
      <c r="M376" s="182" t="s">
        <v>20</v>
      </c>
      <c r="N376" s="182" t="s">
        <v>21</v>
      </c>
      <c r="O376" s="182" t="s">
        <v>22</v>
      </c>
      <c r="P376" s="182" t="s">
        <v>23</v>
      </c>
      <c r="Q376" s="182" t="s">
        <v>19</v>
      </c>
      <c r="R376" s="182" t="s">
        <v>20</v>
      </c>
      <c r="S376" s="182" t="s">
        <v>21</v>
      </c>
      <c r="T376" s="182" t="s">
        <v>22</v>
      </c>
      <c r="U376" s="211" t="s">
        <v>23</v>
      </c>
    </row>
    <row r="377" spans="1:21" x14ac:dyDescent="0.25">
      <c r="A377" s="183" t="s">
        <v>178</v>
      </c>
      <c r="B377" s="182" t="s">
        <v>47</v>
      </c>
      <c r="C377" s="182" t="s">
        <v>28</v>
      </c>
      <c r="D377" s="182">
        <v>1</v>
      </c>
      <c r="E377" s="182">
        <f>skilled</f>
        <v>1245</v>
      </c>
      <c r="F377" s="184">
        <f>(D377*E377)</f>
        <v>1245</v>
      </c>
      <c r="G377" s="182" t="s">
        <v>171</v>
      </c>
      <c r="H377" s="216" t="s">
        <v>172</v>
      </c>
      <c r="I377" s="182">
        <v>72</v>
      </c>
      <c r="J377" s="182">
        <f>adopted_rate_water</f>
        <v>310</v>
      </c>
      <c r="K377" s="182">
        <f>(I377*J377)</f>
        <v>22320</v>
      </c>
      <c r="L377" s="182" t="s">
        <v>148</v>
      </c>
      <c r="M377" s="182" t="s">
        <v>58</v>
      </c>
      <c r="N377" s="182">
        <v>6</v>
      </c>
      <c r="O377" s="182">
        <f>dozer</f>
        <v>4188</v>
      </c>
      <c r="P377" s="184">
        <f>(N377*O377)</f>
        <v>25128</v>
      </c>
    </row>
    <row r="378" spans="1:21" x14ac:dyDescent="0.25">
      <c r="B378" s="182" t="s">
        <v>29</v>
      </c>
      <c r="C378" s="182" t="s">
        <v>28</v>
      </c>
      <c r="D378" s="182">
        <v>10</v>
      </c>
      <c r="E378" s="182">
        <f>unskilled</f>
        <v>935</v>
      </c>
      <c r="F378" s="184">
        <f>(D378*E378)</f>
        <v>9350</v>
      </c>
      <c r="G378" s="182"/>
      <c r="H378" s="216"/>
      <c r="I378" s="182">
        <v>0</v>
      </c>
      <c r="L378" s="182" t="s">
        <v>175</v>
      </c>
      <c r="M378" s="182" t="s">
        <v>58</v>
      </c>
      <c r="N378" s="182">
        <v>6</v>
      </c>
      <c r="O378" s="182">
        <f>motor_grader</f>
        <v>2915</v>
      </c>
      <c r="P378" s="184">
        <f>(N378*O378)</f>
        <v>17490</v>
      </c>
    </row>
    <row r="379" spans="1:21" x14ac:dyDescent="0.25">
      <c r="L379" s="182" t="s">
        <v>176</v>
      </c>
      <c r="M379" s="182" t="s">
        <v>58</v>
      </c>
      <c r="N379" s="182">
        <v>6</v>
      </c>
      <c r="O379" s="182">
        <f>water_tanker</f>
        <v>1618</v>
      </c>
      <c r="P379" s="184">
        <f>(N379*O379)</f>
        <v>9708</v>
      </c>
    </row>
    <row r="380" spans="1:21" x14ac:dyDescent="0.25">
      <c r="A380" s="537" t="s">
        <v>30</v>
      </c>
      <c r="B380" s="537"/>
      <c r="C380" s="537"/>
      <c r="D380" s="537"/>
      <c r="E380" s="537"/>
      <c r="F380" s="184">
        <f>SUM(F376:F379)</f>
        <v>10595</v>
      </c>
      <c r="G380" s="537" t="s">
        <v>31</v>
      </c>
      <c r="H380" s="537"/>
      <c r="I380" s="537"/>
      <c r="J380" s="537"/>
      <c r="K380" s="184">
        <f>SUM(K376:K379)</f>
        <v>22320</v>
      </c>
      <c r="L380" s="537" t="s">
        <v>32</v>
      </c>
      <c r="M380" s="537"/>
      <c r="N380" s="537"/>
      <c r="O380" s="537"/>
      <c r="P380" s="184">
        <f>SUM(P376:P379)</f>
        <v>52326</v>
      </c>
      <c r="Q380" s="537" t="s">
        <v>38</v>
      </c>
      <c r="R380" s="537"/>
      <c r="S380" s="537"/>
      <c r="T380" s="537"/>
      <c r="U380" s="223">
        <f>SUM(U376:U379)</f>
        <v>0</v>
      </c>
    </row>
    <row r="381" spans="1:21" x14ac:dyDescent="0.25">
      <c r="A381" s="537" t="s">
        <v>33</v>
      </c>
      <c r="B381" s="537"/>
      <c r="C381" s="537"/>
      <c r="D381" s="537"/>
      <c r="E381" s="537"/>
      <c r="F381" s="184">
        <f>SUM(F380+K380+P380)</f>
        <v>85241</v>
      </c>
      <c r="G381" s="537" t="s">
        <v>39</v>
      </c>
      <c r="H381" s="537"/>
      <c r="I381" s="537"/>
      <c r="J381" s="537"/>
      <c r="K381" s="184">
        <f>SUM(F380+K380+P380+U380)</f>
        <v>85241</v>
      </c>
      <c r="L381" s="537" t="s">
        <v>40</v>
      </c>
      <c r="M381" s="537"/>
      <c r="N381" s="537"/>
      <c r="O381" s="537"/>
      <c r="P381" s="184">
        <f>SUM(K381*0.15)</f>
        <v>12786.15</v>
      </c>
      <c r="Q381" s="537" t="s">
        <v>41</v>
      </c>
      <c r="R381" s="537"/>
      <c r="S381" s="537"/>
      <c r="T381" s="537"/>
      <c r="U381" s="223">
        <f>SUM(K381+P381)</f>
        <v>98027.15</v>
      </c>
    </row>
    <row r="382" spans="1:21" x14ac:dyDescent="0.25">
      <c r="Q382" s="537" t="s">
        <v>42</v>
      </c>
      <c r="R382" s="537"/>
      <c r="S382" s="537"/>
      <c r="T382" s="537"/>
      <c r="U382" s="224">
        <f>ROUND((U381/300),2)</f>
        <v>326.76</v>
      </c>
    </row>
    <row r="383" spans="1:21" x14ac:dyDescent="0.25">
      <c r="A383" s="544"/>
      <c r="B383" s="544"/>
      <c r="C383" s="544"/>
      <c r="D383" s="544"/>
      <c r="E383" s="544"/>
      <c r="F383" s="544"/>
      <c r="G383" s="544"/>
      <c r="H383" s="544"/>
      <c r="I383" s="544"/>
      <c r="J383" s="544"/>
      <c r="K383" s="544"/>
      <c r="L383" s="544"/>
      <c r="M383" s="544"/>
      <c r="N383" s="544"/>
      <c r="O383" s="544"/>
      <c r="P383" s="544"/>
      <c r="Q383" s="544"/>
      <c r="R383" s="544"/>
      <c r="S383" s="544"/>
      <c r="T383" s="544"/>
      <c r="U383" s="544"/>
    </row>
    <row r="384" spans="1:21" x14ac:dyDescent="0.25">
      <c r="A384" s="538" t="s">
        <v>12</v>
      </c>
      <c r="B384" s="538"/>
      <c r="C384" s="540" t="s">
        <v>180</v>
      </c>
      <c r="D384" s="540"/>
      <c r="E384" s="540"/>
      <c r="F384" s="540"/>
      <c r="G384" s="540"/>
      <c r="H384" s="540"/>
      <c r="I384" s="540"/>
      <c r="J384" s="540"/>
      <c r="K384" s="540"/>
      <c r="L384" s="540"/>
      <c r="M384" s="540"/>
      <c r="N384" s="540"/>
      <c r="O384" s="540"/>
      <c r="P384" s="540"/>
      <c r="Q384" s="540"/>
      <c r="R384" s="540"/>
      <c r="S384" s="540"/>
      <c r="T384" s="540"/>
      <c r="U384" s="541" t="s">
        <v>61</v>
      </c>
    </row>
    <row r="385" spans="1:21" x14ac:dyDescent="0.25">
      <c r="A385" s="538"/>
      <c r="B385" s="538"/>
      <c r="C385" s="540"/>
      <c r="D385" s="540"/>
      <c r="E385" s="540"/>
      <c r="F385" s="540"/>
      <c r="G385" s="540"/>
      <c r="H385" s="540"/>
      <c r="I385" s="540"/>
      <c r="J385" s="540"/>
      <c r="K385" s="540"/>
      <c r="L385" s="540"/>
      <c r="M385" s="540"/>
      <c r="N385" s="540"/>
      <c r="O385" s="540"/>
      <c r="P385" s="540"/>
      <c r="Q385" s="540"/>
      <c r="R385" s="540"/>
      <c r="S385" s="540"/>
      <c r="T385" s="540"/>
      <c r="U385" s="541"/>
    </row>
    <row r="386" spans="1:21" x14ac:dyDescent="0.25">
      <c r="A386" s="539" t="s">
        <v>179</v>
      </c>
      <c r="B386" s="539"/>
      <c r="C386" s="540"/>
      <c r="D386" s="540"/>
      <c r="E386" s="540"/>
      <c r="F386" s="540"/>
      <c r="G386" s="540"/>
      <c r="H386" s="540"/>
      <c r="I386" s="540"/>
      <c r="J386" s="540"/>
      <c r="K386" s="540"/>
      <c r="L386" s="540"/>
      <c r="M386" s="540"/>
      <c r="N386" s="540"/>
      <c r="O386" s="540"/>
      <c r="P386" s="540"/>
      <c r="Q386" s="540"/>
      <c r="R386" s="540"/>
      <c r="S386" s="540"/>
      <c r="T386" s="540"/>
      <c r="U386" s="541"/>
    </row>
    <row r="387" spans="1:21" x14ac:dyDescent="0.25">
      <c r="A387" s="542" t="s">
        <v>16</v>
      </c>
      <c r="B387" s="543" t="s">
        <v>18</v>
      </c>
      <c r="C387" s="543"/>
      <c r="D387" s="543"/>
      <c r="E387" s="543"/>
      <c r="F387" s="543"/>
      <c r="G387" s="543" t="s">
        <v>24</v>
      </c>
      <c r="H387" s="543"/>
      <c r="I387" s="543"/>
      <c r="J387" s="543"/>
      <c r="K387" s="543"/>
      <c r="L387" s="543" t="s">
        <v>25</v>
      </c>
      <c r="M387" s="543"/>
      <c r="N387" s="543"/>
      <c r="O387" s="543"/>
      <c r="P387" s="543"/>
      <c r="Q387" s="543" t="s">
        <v>26</v>
      </c>
      <c r="R387" s="543"/>
      <c r="S387" s="543"/>
      <c r="T387" s="543"/>
      <c r="U387" s="543"/>
    </row>
    <row r="388" spans="1:21" x14ac:dyDescent="0.25">
      <c r="A388" s="542"/>
      <c r="B388" s="182" t="s">
        <v>19</v>
      </c>
      <c r="C388" s="182" t="s">
        <v>20</v>
      </c>
      <c r="D388" s="182" t="s">
        <v>21</v>
      </c>
      <c r="E388" s="182" t="s">
        <v>22</v>
      </c>
      <c r="F388" s="182" t="s">
        <v>23</v>
      </c>
      <c r="G388" s="182" t="s">
        <v>19</v>
      </c>
      <c r="H388" s="216" t="s">
        <v>20</v>
      </c>
      <c r="I388" s="182" t="s">
        <v>21</v>
      </c>
      <c r="J388" s="182" t="s">
        <v>22</v>
      </c>
      <c r="K388" s="182" t="s">
        <v>23</v>
      </c>
      <c r="L388" s="182" t="s">
        <v>19</v>
      </c>
      <c r="M388" s="182" t="s">
        <v>20</v>
      </c>
      <c r="N388" s="182" t="s">
        <v>21</v>
      </c>
      <c r="O388" s="182" t="s">
        <v>22</v>
      </c>
      <c r="P388" s="182" t="s">
        <v>23</v>
      </c>
      <c r="Q388" s="182" t="s">
        <v>19</v>
      </c>
      <c r="R388" s="182" t="s">
        <v>20</v>
      </c>
      <c r="S388" s="182" t="s">
        <v>21</v>
      </c>
      <c r="T388" s="182" t="s">
        <v>22</v>
      </c>
      <c r="U388" s="211" t="s">
        <v>23</v>
      </c>
    </row>
    <row r="389" spans="1:21" x14ac:dyDescent="0.25">
      <c r="A389" s="183" t="s">
        <v>181</v>
      </c>
      <c r="B389" s="182" t="s">
        <v>47</v>
      </c>
      <c r="C389" s="182" t="s">
        <v>28</v>
      </c>
      <c r="D389" s="182">
        <v>0.2</v>
      </c>
      <c r="E389" s="182">
        <f>skilled</f>
        <v>1245</v>
      </c>
      <c r="F389" s="184">
        <f>(D389*E389)</f>
        <v>249</v>
      </c>
      <c r="G389" s="182" t="s">
        <v>182</v>
      </c>
      <c r="H389" s="216" t="s">
        <v>84</v>
      </c>
      <c r="I389" s="182">
        <v>11</v>
      </c>
      <c r="J389" s="182">
        <v>550.79999999999995</v>
      </c>
      <c r="K389" s="182">
        <f>(I389*J389)</f>
        <v>6058.7999999999993</v>
      </c>
      <c r="L389" s="182" t="s">
        <v>183</v>
      </c>
      <c r="M389" s="182" t="s">
        <v>58</v>
      </c>
      <c r="N389" s="182" t="s">
        <v>184</v>
      </c>
      <c r="O389" s="182">
        <f>plate_compactor</f>
        <v>429</v>
      </c>
      <c r="P389" s="184">
        <f>(N389*O389)</f>
        <v>1072.5</v>
      </c>
    </row>
    <row r="390" spans="1:21" x14ac:dyDescent="0.25">
      <c r="B390" s="182" t="s">
        <v>29</v>
      </c>
      <c r="C390" s="182" t="s">
        <v>28</v>
      </c>
      <c r="D390" s="182">
        <v>5</v>
      </c>
      <c r="E390" s="182">
        <f>unskilled</f>
        <v>935</v>
      </c>
      <c r="F390" s="184">
        <f>(D390*E390)</f>
        <v>4675</v>
      </c>
      <c r="G390" s="182" t="s">
        <v>171</v>
      </c>
      <c r="H390" s="216" t="s">
        <v>172</v>
      </c>
      <c r="I390" s="182">
        <v>1</v>
      </c>
      <c r="J390" s="182">
        <f>adopted_rate_water</f>
        <v>310</v>
      </c>
      <c r="K390" s="182">
        <f>(I390*J390)</f>
        <v>310</v>
      </c>
    </row>
    <row r="391" spans="1:21" x14ac:dyDescent="0.25">
      <c r="A391" s="537" t="s">
        <v>30</v>
      </c>
      <c r="B391" s="537"/>
      <c r="C391" s="537"/>
      <c r="D391" s="537"/>
      <c r="E391" s="537"/>
      <c r="F391" s="184">
        <f>SUM(F388:F390)</f>
        <v>4924</v>
      </c>
      <c r="G391" s="537" t="s">
        <v>31</v>
      </c>
      <c r="H391" s="537"/>
      <c r="I391" s="537"/>
      <c r="J391" s="537"/>
      <c r="K391" s="184">
        <f>SUM(K388:K390)</f>
        <v>6368.7999999999993</v>
      </c>
      <c r="L391" s="537" t="s">
        <v>32</v>
      </c>
      <c r="M391" s="537"/>
      <c r="N391" s="537"/>
      <c r="O391" s="537"/>
      <c r="P391" s="184">
        <f>SUM(P388:P390)</f>
        <v>1072.5</v>
      </c>
      <c r="Q391" s="537" t="s">
        <v>38</v>
      </c>
      <c r="R391" s="537"/>
      <c r="S391" s="537"/>
      <c r="T391" s="537"/>
      <c r="U391" s="223">
        <f>SUM(U388:U390)</f>
        <v>0</v>
      </c>
    </row>
    <row r="392" spans="1:21" x14ac:dyDescent="0.25">
      <c r="A392" s="537" t="s">
        <v>33</v>
      </c>
      <c r="B392" s="537"/>
      <c r="C392" s="537"/>
      <c r="D392" s="537"/>
      <c r="E392" s="537"/>
      <c r="F392" s="184">
        <f>SUM(F391+K391+P391)</f>
        <v>12365.3</v>
      </c>
      <c r="G392" s="537" t="s">
        <v>39</v>
      </c>
      <c r="H392" s="537"/>
      <c r="I392" s="537"/>
      <c r="J392" s="537"/>
      <c r="K392" s="184">
        <f>SUM(F391+K391+P391+U391)</f>
        <v>12365.3</v>
      </c>
      <c r="L392" s="537" t="s">
        <v>40</v>
      </c>
      <c r="M392" s="537"/>
      <c r="N392" s="537"/>
      <c r="O392" s="537"/>
      <c r="P392" s="184">
        <f>SUM(K392*0.15)</f>
        <v>1854.7949999999998</v>
      </c>
      <c r="Q392" s="537" t="s">
        <v>41</v>
      </c>
      <c r="R392" s="537"/>
      <c r="S392" s="537"/>
      <c r="T392" s="537"/>
      <c r="U392" s="223">
        <f>SUM(K392+P392)</f>
        <v>14220.094999999999</v>
      </c>
    </row>
    <row r="393" spans="1:21" x14ac:dyDescent="0.25">
      <c r="Q393" s="537" t="s">
        <v>42</v>
      </c>
      <c r="R393" s="537"/>
      <c r="S393" s="537"/>
      <c r="T393" s="537"/>
      <c r="U393" s="224">
        <f>ROUND((U392/10),2)</f>
        <v>1422.01</v>
      </c>
    </row>
    <row r="394" spans="1:21" x14ac:dyDescent="0.25">
      <c r="A394" s="544"/>
      <c r="B394" s="544"/>
      <c r="C394" s="544"/>
      <c r="D394" s="544"/>
      <c r="E394" s="544"/>
      <c r="F394" s="544"/>
      <c r="G394" s="544"/>
      <c r="H394" s="544"/>
      <c r="I394" s="544"/>
      <c r="J394" s="544"/>
      <c r="K394" s="544"/>
      <c r="L394" s="544"/>
      <c r="M394" s="544"/>
      <c r="N394" s="544"/>
      <c r="O394" s="544"/>
      <c r="P394" s="544"/>
      <c r="Q394" s="544"/>
      <c r="R394" s="544"/>
      <c r="S394" s="544"/>
      <c r="T394" s="544"/>
      <c r="U394" s="544"/>
    </row>
    <row r="395" spans="1:21" x14ac:dyDescent="0.25">
      <c r="A395" s="538" t="s">
        <v>12</v>
      </c>
      <c r="B395" s="538"/>
      <c r="C395" s="540" t="s">
        <v>185</v>
      </c>
      <c r="D395" s="540"/>
      <c r="E395" s="540"/>
      <c r="F395" s="540"/>
      <c r="G395" s="540"/>
      <c r="H395" s="540"/>
      <c r="I395" s="540"/>
      <c r="J395" s="540"/>
      <c r="K395" s="540"/>
      <c r="L395" s="540"/>
      <c r="M395" s="540"/>
      <c r="N395" s="540"/>
      <c r="O395" s="540"/>
      <c r="P395" s="540"/>
      <c r="Q395" s="540"/>
      <c r="R395" s="540"/>
      <c r="S395" s="540"/>
      <c r="T395" s="540"/>
      <c r="U395" s="541" t="s">
        <v>61</v>
      </c>
    </row>
    <row r="396" spans="1:21" x14ac:dyDescent="0.25">
      <c r="A396" s="538"/>
      <c r="B396" s="538"/>
      <c r="C396" s="540"/>
      <c r="D396" s="540"/>
      <c r="E396" s="540"/>
      <c r="F396" s="540"/>
      <c r="G396" s="540"/>
      <c r="H396" s="540"/>
      <c r="I396" s="540"/>
      <c r="J396" s="540"/>
      <c r="K396" s="540"/>
      <c r="L396" s="540"/>
      <c r="M396" s="540"/>
      <c r="N396" s="540"/>
      <c r="O396" s="540"/>
      <c r="P396" s="540"/>
      <c r="Q396" s="540"/>
      <c r="R396" s="540"/>
      <c r="S396" s="540"/>
      <c r="T396" s="540"/>
      <c r="U396" s="541"/>
    </row>
    <row r="397" spans="1:21" x14ac:dyDescent="0.25">
      <c r="A397" s="539" t="s">
        <v>179</v>
      </c>
      <c r="B397" s="539"/>
      <c r="C397" s="540"/>
      <c r="D397" s="540"/>
      <c r="E397" s="540"/>
      <c r="F397" s="540"/>
      <c r="G397" s="540"/>
      <c r="H397" s="540"/>
      <c r="I397" s="540"/>
      <c r="J397" s="540"/>
      <c r="K397" s="540"/>
      <c r="L397" s="540"/>
      <c r="M397" s="540"/>
      <c r="N397" s="540"/>
      <c r="O397" s="540"/>
      <c r="P397" s="540"/>
      <c r="Q397" s="540"/>
      <c r="R397" s="540"/>
      <c r="S397" s="540"/>
      <c r="T397" s="540"/>
      <c r="U397" s="541"/>
    </row>
    <row r="398" spans="1:21" x14ac:dyDescent="0.25">
      <c r="A398" s="542" t="s">
        <v>16</v>
      </c>
      <c r="B398" s="543" t="s">
        <v>18</v>
      </c>
      <c r="C398" s="543"/>
      <c r="D398" s="543"/>
      <c r="E398" s="543"/>
      <c r="F398" s="543"/>
      <c r="G398" s="543" t="s">
        <v>24</v>
      </c>
      <c r="H398" s="543"/>
      <c r="I398" s="543"/>
      <c r="J398" s="543"/>
      <c r="K398" s="543"/>
      <c r="L398" s="543" t="s">
        <v>25</v>
      </c>
      <c r="M398" s="543"/>
      <c r="N398" s="543"/>
      <c r="O398" s="543"/>
      <c r="P398" s="543"/>
      <c r="Q398" s="543" t="s">
        <v>26</v>
      </c>
      <c r="R398" s="543"/>
      <c r="S398" s="543"/>
      <c r="T398" s="543"/>
      <c r="U398" s="543"/>
    </row>
    <row r="399" spans="1:21" x14ac:dyDescent="0.25">
      <c r="A399" s="542"/>
      <c r="B399" s="182" t="s">
        <v>19</v>
      </c>
      <c r="C399" s="182" t="s">
        <v>20</v>
      </c>
      <c r="D399" s="182" t="s">
        <v>21</v>
      </c>
      <c r="E399" s="182" t="s">
        <v>22</v>
      </c>
      <c r="F399" s="182" t="s">
        <v>23</v>
      </c>
      <c r="G399" s="182" t="s">
        <v>19</v>
      </c>
      <c r="H399" s="216" t="s">
        <v>20</v>
      </c>
      <c r="I399" s="182" t="s">
        <v>21</v>
      </c>
      <c r="J399" s="182" t="s">
        <v>22</v>
      </c>
      <c r="K399" s="182" t="s">
        <v>23</v>
      </c>
      <c r="L399" s="182" t="s">
        <v>19</v>
      </c>
      <c r="M399" s="182" t="s">
        <v>20</v>
      </c>
      <c r="N399" s="182" t="s">
        <v>21</v>
      </c>
      <c r="O399" s="182" t="s">
        <v>22</v>
      </c>
      <c r="P399" s="182" t="s">
        <v>23</v>
      </c>
      <c r="Q399" s="182" t="s">
        <v>19</v>
      </c>
      <c r="R399" s="182" t="s">
        <v>20</v>
      </c>
      <c r="S399" s="182" t="s">
        <v>21</v>
      </c>
      <c r="T399" s="182" t="s">
        <v>22</v>
      </c>
      <c r="U399" s="211" t="s">
        <v>23</v>
      </c>
    </row>
    <row r="400" spans="1:21" x14ac:dyDescent="0.25">
      <c r="A400" s="183" t="s">
        <v>186</v>
      </c>
      <c r="B400" s="182" t="s">
        <v>47</v>
      </c>
      <c r="C400" s="182" t="s">
        <v>28</v>
      </c>
      <c r="D400" s="182">
        <v>0.2</v>
      </c>
      <c r="E400" s="182">
        <f>skilled</f>
        <v>1245</v>
      </c>
      <c r="F400" s="184">
        <f>(D400*E400)</f>
        <v>249</v>
      </c>
      <c r="G400" s="182" t="s">
        <v>83</v>
      </c>
      <c r="H400" s="216" t="s">
        <v>84</v>
      </c>
      <c r="I400" s="182">
        <v>12</v>
      </c>
      <c r="J400" s="182">
        <v>3104.64</v>
      </c>
      <c r="K400" s="182">
        <f>(I400*J400)</f>
        <v>37255.68</v>
      </c>
      <c r="L400" s="182" t="s">
        <v>183</v>
      </c>
      <c r="M400" s="182" t="s">
        <v>58</v>
      </c>
      <c r="N400" s="182" t="s">
        <v>184</v>
      </c>
      <c r="O400" s="182">
        <f>plate_compactor</f>
        <v>429</v>
      </c>
      <c r="P400" s="184">
        <f>(N400*O400)</f>
        <v>1072.5</v>
      </c>
    </row>
    <row r="401" spans="1:21" x14ac:dyDescent="0.25">
      <c r="B401" s="182" t="s">
        <v>29</v>
      </c>
      <c r="C401" s="182" t="s">
        <v>28</v>
      </c>
      <c r="D401" s="182">
        <v>5</v>
      </c>
      <c r="E401" s="182">
        <f>unskilled</f>
        <v>935</v>
      </c>
      <c r="F401" s="184">
        <f>(D401*E401)</f>
        <v>4675</v>
      </c>
      <c r="G401" s="182" t="s">
        <v>171</v>
      </c>
      <c r="H401" s="216" t="s">
        <v>172</v>
      </c>
      <c r="I401" s="182">
        <v>1</v>
      </c>
      <c r="J401" s="182">
        <f>adopted_rate_water</f>
        <v>310</v>
      </c>
      <c r="K401" s="182">
        <f>(I401*J401)</f>
        <v>310</v>
      </c>
    </row>
    <row r="402" spans="1:21" x14ac:dyDescent="0.25">
      <c r="A402" s="537" t="s">
        <v>30</v>
      </c>
      <c r="B402" s="537"/>
      <c r="C402" s="537"/>
      <c r="D402" s="537"/>
      <c r="E402" s="537"/>
      <c r="F402" s="184">
        <f>SUM(F399:F401)</f>
        <v>4924</v>
      </c>
      <c r="G402" s="537" t="s">
        <v>31</v>
      </c>
      <c r="H402" s="537"/>
      <c r="I402" s="537"/>
      <c r="J402" s="537"/>
      <c r="K402" s="184">
        <f>SUM(K399:K401)</f>
        <v>37565.68</v>
      </c>
      <c r="L402" s="537" t="s">
        <v>32</v>
      </c>
      <c r="M402" s="537"/>
      <c r="N402" s="537"/>
      <c r="O402" s="537"/>
      <c r="P402" s="184">
        <f>SUM(P399:P401)</f>
        <v>1072.5</v>
      </c>
      <c r="Q402" s="537" t="s">
        <v>38</v>
      </c>
      <c r="R402" s="537"/>
      <c r="S402" s="537"/>
      <c r="T402" s="537"/>
      <c r="U402" s="223">
        <f>SUM(U399:U401)</f>
        <v>0</v>
      </c>
    </row>
    <row r="403" spans="1:21" x14ac:dyDescent="0.25">
      <c r="A403" s="537" t="s">
        <v>33</v>
      </c>
      <c r="B403" s="537"/>
      <c r="C403" s="537"/>
      <c r="D403" s="537"/>
      <c r="E403" s="537"/>
      <c r="F403" s="184">
        <f>SUM(F402+K402+P402)</f>
        <v>43562.18</v>
      </c>
      <c r="G403" s="537" t="s">
        <v>39</v>
      </c>
      <c r="H403" s="537"/>
      <c r="I403" s="537"/>
      <c r="J403" s="537"/>
      <c r="K403" s="184">
        <f>SUM(F402+K402+P402+U402)</f>
        <v>43562.18</v>
      </c>
      <c r="L403" s="537" t="s">
        <v>40</v>
      </c>
      <c r="M403" s="537"/>
      <c r="N403" s="537"/>
      <c r="O403" s="537"/>
      <c r="P403" s="184">
        <f>SUM(K403*0.15)</f>
        <v>6534.3270000000002</v>
      </c>
      <c r="Q403" s="537" t="s">
        <v>41</v>
      </c>
      <c r="R403" s="537"/>
      <c r="S403" s="537"/>
      <c r="T403" s="537"/>
      <c r="U403" s="223">
        <f>SUM(K403+P403)</f>
        <v>50096.506999999998</v>
      </c>
    </row>
    <row r="404" spans="1:21" x14ac:dyDescent="0.25">
      <c r="Q404" s="537" t="s">
        <v>42</v>
      </c>
      <c r="R404" s="537"/>
      <c r="S404" s="537"/>
      <c r="T404" s="537"/>
      <c r="U404" s="224">
        <f>ROUND((U403/10),2)</f>
        <v>5009.6499999999996</v>
      </c>
    </row>
    <row r="405" spans="1:21" x14ac:dyDescent="0.25">
      <c r="A405" s="544"/>
      <c r="B405" s="544"/>
      <c r="C405" s="544"/>
      <c r="D405" s="544"/>
      <c r="E405" s="544"/>
      <c r="F405" s="544"/>
      <c r="G405" s="544"/>
      <c r="H405" s="544"/>
      <c r="I405" s="544"/>
      <c r="J405" s="544"/>
      <c r="K405" s="544"/>
      <c r="L405" s="544"/>
      <c r="M405" s="544"/>
      <c r="N405" s="544"/>
      <c r="O405" s="544"/>
      <c r="P405" s="544"/>
      <c r="Q405" s="544"/>
      <c r="R405" s="544"/>
      <c r="S405" s="544"/>
      <c r="T405" s="544"/>
      <c r="U405" s="544"/>
    </row>
    <row r="406" spans="1:21" x14ac:dyDescent="0.25">
      <c r="A406" s="538" t="s">
        <v>12</v>
      </c>
      <c r="B406" s="538"/>
      <c r="C406" s="540" t="s">
        <v>2154</v>
      </c>
      <c r="D406" s="540"/>
      <c r="E406" s="540"/>
      <c r="F406" s="540"/>
      <c r="G406" s="540"/>
      <c r="H406" s="540"/>
      <c r="I406" s="540"/>
      <c r="J406" s="540"/>
      <c r="K406" s="540"/>
      <c r="L406" s="540"/>
      <c r="M406" s="540"/>
      <c r="N406" s="540"/>
      <c r="O406" s="540"/>
      <c r="P406" s="540"/>
      <c r="Q406" s="540"/>
      <c r="R406" s="540"/>
      <c r="S406" s="540"/>
      <c r="T406" s="540"/>
      <c r="U406" s="541" t="s">
        <v>61</v>
      </c>
    </row>
    <row r="407" spans="1:21" x14ac:dyDescent="0.25">
      <c r="A407" s="538"/>
      <c r="B407" s="538"/>
      <c r="C407" s="540"/>
      <c r="D407" s="540"/>
      <c r="E407" s="540"/>
      <c r="F407" s="540"/>
      <c r="G407" s="540"/>
      <c r="H407" s="540"/>
      <c r="I407" s="540"/>
      <c r="J407" s="540"/>
      <c r="K407" s="540"/>
      <c r="L407" s="540"/>
      <c r="M407" s="540"/>
      <c r="N407" s="540"/>
      <c r="O407" s="540"/>
      <c r="P407" s="540"/>
      <c r="Q407" s="540"/>
      <c r="R407" s="540"/>
      <c r="S407" s="540"/>
      <c r="T407" s="540"/>
      <c r="U407" s="541"/>
    </row>
    <row r="408" spans="1:21" x14ac:dyDescent="0.25">
      <c r="A408" s="539" t="s">
        <v>179</v>
      </c>
      <c r="B408" s="539"/>
      <c r="C408" s="540"/>
      <c r="D408" s="540"/>
      <c r="E408" s="540"/>
      <c r="F408" s="540"/>
      <c r="G408" s="540"/>
      <c r="H408" s="540"/>
      <c r="I408" s="540"/>
      <c r="J408" s="540"/>
      <c r="K408" s="540"/>
      <c r="L408" s="540"/>
      <c r="M408" s="540"/>
      <c r="N408" s="540"/>
      <c r="O408" s="540"/>
      <c r="P408" s="540"/>
      <c r="Q408" s="540"/>
      <c r="R408" s="540"/>
      <c r="S408" s="540"/>
      <c r="T408" s="540"/>
      <c r="U408" s="541"/>
    </row>
    <row r="409" spans="1:21" x14ac:dyDescent="0.25">
      <c r="A409" s="542" t="s">
        <v>16</v>
      </c>
      <c r="B409" s="543" t="s">
        <v>18</v>
      </c>
      <c r="C409" s="543"/>
      <c r="D409" s="543"/>
      <c r="E409" s="543"/>
      <c r="F409" s="543"/>
      <c r="G409" s="543" t="s">
        <v>24</v>
      </c>
      <c r="H409" s="543"/>
      <c r="I409" s="543"/>
      <c r="J409" s="543"/>
      <c r="K409" s="543"/>
      <c r="L409" s="543" t="s">
        <v>25</v>
      </c>
      <c r="M409" s="543"/>
      <c r="N409" s="543"/>
      <c r="O409" s="543"/>
      <c r="P409" s="543"/>
      <c r="Q409" s="543" t="s">
        <v>26</v>
      </c>
      <c r="R409" s="543"/>
      <c r="S409" s="543"/>
      <c r="T409" s="543"/>
      <c r="U409" s="543"/>
    </row>
    <row r="410" spans="1:21" x14ac:dyDescent="0.25">
      <c r="A410" s="542"/>
      <c r="B410" s="182" t="s">
        <v>19</v>
      </c>
      <c r="C410" s="182" t="s">
        <v>20</v>
      </c>
      <c r="D410" s="182" t="s">
        <v>21</v>
      </c>
      <c r="E410" s="182" t="s">
        <v>22</v>
      </c>
      <c r="F410" s="182" t="s">
        <v>23</v>
      </c>
      <c r="G410" s="182" t="s">
        <v>19</v>
      </c>
      <c r="H410" s="216" t="s">
        <v>20</v>
      </c>
      <c r="I410" s="182" t="s">
        <v>21</v>
      </c>
      <c r="J410" s="182" t="s">
        <v>22</v>
      </c>
      <c r="K410" s="182" t="s">
        <v>23</v>
      </c>
      <c r="L410" s="182" t="s">
        <v>19</v>
      </c>
      <c r="M410" s="182" t="s">
        <v>20</v>
      </c>
      <c r="N410" s="182" t="s">
        <v>21</v>
      </c>
      <c r="O410" s="182" t="s">
        <v>22</v>
      </c>
      <c r="P410" s="182" t="s">
        <v>23</v>
      </c>
      <c r="Q410" s="182" t="s">
        <v>19</v>
      </c>
      <c r="R410" s="182" t="s">
        <v>20</v>
      </c>
      <c r="S410" s="182" t="s">
        <v>21</v>
      </c>
      <c r="T410" s="182" t="s">
        <v>22</v>
      </c>
      <c r="U410" s="211" t="s">
        <v>23</v>
      </c>
    </row>
    <row r="411" spans="1:21" x14ac:dyDescent="0.25">
      <c r="A411" s="183" t="s">
        <v>2151</v>
      </c>
      <c r="B411" s="182" t="s">
        <v>47</v>
      </c>
      <c r="C411" s="182" t="s">
        <v>28</v>
      </c>
      <c r="D411" s="182">
        <v>0.2</v>
      </c>
      <c r="E411" s="182">
        <f>skilled</f>
        <v>1245</v>
      </c>
      <c r="F411" s="184">
        <f>(D411*E411)</f>
        <v>249</v>
      </c>
      <c r="G411" s="182" t="s">
        <v>2153</v>
      </c>
      <c r="H411" s="216" t="s">
        <v>84</v>
      </c>
      <c r="I411" s="182">
        <v>12</v>
      </c>
      <c r="J411" s="182">
        <v>0</v>
      </c>
      <c r="K411" s="182">
        <f>(I411*J411)</f>
        <v>0</v>
      </c>
      <c r="L411" s="182" t="s">
        <v>202</v>
      </c>
      <c r="M411" s="182" t="s">
        <v>58</v>
      </c>
      <c r="N411" s="185">
        <v>0.03</v>
      </c>
      <c r="O411" s="182"/>
      <c r="P411" s="184">
        <f>3%*F413</f>
        <v>147.72</v>
      </c>
    </row>
    <row r="412" spans="1:21" x14ac:dyDescent="0.25">
      <c r="B412" s="182" t="s">
        <v>29</v>
      </c>
      <c r="C412" s="182" t="s">
        <v>28</v>
      </c>
      <c r="D412" s="182">
        <v>5</v>
      </c>
      <c r="E412" s="182">
        <f>unskilled</f>
        <v>935</v>
      </c>
      <c r="F412" s="184">
        <f>(D412*E412)</f>
        <v>4675</v>
      </c>
      <c r="G412" s="182" t="s">
        <v>171</v>
      </c>
      <c r="H412" s="216" t="s">
        <v>172</v>
      </c>
      <c r="I412" s="182">
        <v>1</v>
      </c>
      <c r="J412" s="182">
        <f>adopted_rate_water</f>
        <v>310</v>
      </c>
      <c r="K412" s="182">
        <f>(I412*J412)</f>
        <v>310</v>
      </c>
    </row>
    <row r="413" spans="1:21" x14ac:dyDescent="0.25">
      <c r="A413" s="537" t="s">
        <v>30</v>
      </c>
      <c r="B413" s="537"/>
      <c r="C413" s="537"/>
      <c r="D413" s="537"/>
      <c r="E413" s="537"/>
      <c r="F413" s="184">
        <f>SUM(F410:F412)</f>
        <v>4924</v>
      </c>
      <c r="G413" s="537" t="s">
        <v>31</v>
      </c>
      <c r="H413" s="537"/>
      <c r="I413" s="537"/>
      <c r="J413" s="537"/>
      <c r="K413" s="184">
        <f>SUM(K410:K412)</f>
        <v>310</v>
      </c>
      <c r="L413" s="537" t="s">
        <v>32</v>
      </c>
      <c r="M413" s="537"/>
      <c r="N413" s="537"/>
      <c r="O413" s="537"/>
      <c r="P413" s="184">
        <f>SUM(P410:P412)</f>
        <v>147.72</v>
      </c>
      <c r="Q413" s="537" t="s">
        <v>38</v>
      </c>
      <c r="R413" s="537"/>
      <c r="S413" s="537"/>
      <c r="T413" s="537"/>
      <c r="U413" s="223">
        <f>SUM(U410:U412)</f>
        <v>0</v>
      </c>
    </row>
    <row r="414" spans="1:21" x14ac:dyDescent="0.25">
      <c r="A414" s="537" t="s">
        <v>33</v>
      </c>
      <c r="B414" s="537"/>
      <c r="C414" s="537"/>
      <c r="D414" s="537"/>
      <c r="E414" s="537"/>
      <c r="F414" s="184">
        <f>SUM(F413+K413+P413)</f>
        <v>5381.72</v>
      </c>
      <c r="G414" s="537" t="s">
        <v>39</v>
      </c>
      <c r="H414" s="537"/>
      <c r="I414" s="537"/>
      <c r="J414" s="537"/>
      <c r="K414" s="184">
        <f>SUM(F413+K413+P413+U413)</f>
        <v>5381.72</v>
      </c>
      <c r="L414" s="537" t="s">
        <v>40</v>
      </c>
      <c r="M414" s="537"/>
      <c r="N414" s="537"/>
      <c r="O414" s="537"/>
      <c r="P414" s="184">
        <f>SUM(K414*0.15)</f>
        <v>807.25800000000004</v>
      </c>
      <c r="Q414" s="537" t="s">
        <v>41</v>
      </c>
      <c r="R414" s="537"/>
      <c r="S414" s="537"/>
      <c r="T414" s="537"/>
      <c r="U414" s="223">
        <f>SUM(K414+P414)</f>
        <v>6188.9780000000001</v>
      </c>
    </row>
    <row r="415" spans="1:21" x14ac:dyDescent="0.25">
      <c r="Q415" s="537" t="s">
        <v>42</v>
      </c>
      <c r="R415" s="537"/>
      <c r="S415" s="537"/>
      <c r="T415" s="537"/>
      <c r="U415" s="224">
        <f>ROUND((U414/10),2)</f>
        <v>618.9</v>
      </c>
    </row>
    <row r="416" spans="1:21" x14ac:dyDescent="0.25">
      <c r="A416" s="186"/>
      <c r="B416" s="186"/>
      <c r="C416" s="186"/>
      <c r="D416" s="186"/>
      <c r="E416" s="186"/>
      <c r="F416" s="186"/>
      <c r="G416" s="186"/>
      <c r="H416" s="218"/>
      <c r="I416" s="186"/>
      <c r="J416" s="186"/>
      <c r="K416" s="186"/>
      <c r="L416" s="186"/>
      <c r="M416" s="186"/>
      <c r="N416" s="186"/>
      <c r="O416" s="186"/>
      <c r="P416" s="186"/>
      <c r="Q416" s="186"/>
      <c r="R416" s="186"/>
      <c r="S416" s="186"/>
      <c r="T416" s="186"/>
      <c r="U416" s="213"/>
    </row>
    <row r="417" spans="1:21" x14ac:dyDescent="0.25">
      <c r="A417" s="538" t="s">
        <v>12</v>
      </c>
      <c r="B417" s="538"/>
      <c r="C417" s="540" t="s">
        <v>2152</v>
      </c>
      <c r="D417" s="540"/>
      <c r="E417" s="540"/>
      <c r="F417" s="540"/>
      <c r="G417" s="540"/>
      <c r="H417" s="540"/>
      <c r="I417" s="540"/>
      <c r="J417" s="540"/>
      <c r="K417" s="540"/>
      <c r="L417" s="540"/>
      <c r="M417" s="540"/>
      <c r="N417" s="540"/>
      <c r="O417" s="540"/>
      <c r="P417" s="540"/>
      <c r="Q417" s="540"/>
      <c r="R417" s="540"/>
      <c r="S417" s="540"/>
      <c r="T417" s="540"/>
      <c r="U417" s="541" t="s">
        <v>61</v>
      </c>
    </row>
    <row r="418" spans="1:21" x14ac:dyDescent="0.25">
      <c r="A418" s="538"/>
      <c r="B418" s="538"/>
      <c r="C418" s="540"/>
      <c r="D418" s="540"/>
      <c r="E418" s="540"/>
      <c r="F418" s="540"/>
      <c r="G418" s="540"/>
      <c r="H418" s="540"/>
      <c r="I418" s="540"/>
      <c r="J418" s="540"/>
      <c r="K418" s="540"/>
      <c r="L418" s="540"/>
      <c r="M418" s="540"/>
      <c r="N418" s="540"/>
      <c r="O418" s="540"/>
      <c r="P418" s="540"/>
      <c r="Q418" s="540"/>
      <c r="R418" s="540"/>
      <c r="S418" s="540"/>
      <c r="T418" s="540"/>
      <c r="U418" s="541"/>
    </row>
    <row r="419" spans="1:21" x14ac:dyDescent="0.25">
      <c r="A419" s="539" t="s">
        <v>179</v>
      </c>
      <c r="B419" s="539"/>
      <c r="C419" s="540"/>
      <c r="D419" s="540"/>
      <c r="E419" s="540"/>
      <c r="F419" s="540"/>
      <c r="G419" s="540"/>
      <c r="H419" s="540"/>
      <c r="I419" s="540"/>
      <c r="J419" s="540"/>
      <c r="K419" s="540"/>
      <c r="L419" s="540"/>
      <c r="M419" s="540"/>
      <c r="N419" s="540"/>
      <c r="O419" s="540"/>
      <c r="P419" s="540"/>
      <c r="Q419" s="540"/>
      <c r="R419" s="540"/>
      <c r="S419" s="540"/>
      <c r="T419" s="540"/>
      <c r="U419" s="541"/>
    </row>
    <row r="420" spans="1:21" x14ac:dyDescent="0.25">
      <c r="A420" s="542" t="s">
        <v>16</v>
      </c>
      <c r="B420" s="543" t="s">
        <v>18</v>
      </c>
      <c r="C420" s="543"/>
      <c r="D420" s="543"/>
      <c r="E420" s="543"/>
      <c r="F420" s="543"/>
      <c r="G420" s="543" t="s">
        <v>24</v>
      </c>
      <c r="H420" s="543"/>
      <c r="I420" s="543"/>
      <c r="J420" s="543"/>
      <c r="K420" s="543"/>
      <c r="L420" s="543" t="s">
        <v>25</v>
      </c>
      <c r="M420" s="543"/>
      <c r="N420" s="543"/>
      <c r="O420" s="543"/>
      <c r="P420" s="543"/>
      <c r="Q420" s="543" t="s">
        <v>26</v>
      </c>
      <c r="R420" s="543"/>
      <c r="S420" s="543"/>
      <c r="T420" s="543"/>
      <c r="U420" s="543"/>
    </row>
    <row r="421" spans="1:21" x14ac:dyDescent="0.25">
      <c r="A421" s="542"/>
      <c r="B421" s="182" t="s">
        <v>19</v>
      </c>
      <c r="C421" s="182" t="s">
        <v>20</v>
      </c>
      <c r="D421" s="182" t="s">
        <v>21</v>
      </c>
      <c r="E421" s="182" t="s">
        <v>22</v>
      </c>
      <c r="F421" s="182" t="s">
        <v>23</v>
      </c>
      <c r="G421" s="182" t="s">
        <v>19</v>
      </c>
      <c r="H421" s="216" t="s">
        <v>20</v>
      </c>
      <c r="I421" s="182" t="s">
        <v>21</v>
      </c>
      <c r="J421" s="182" t="s">
        <v>22</v>
      </c>
      <c r="K421" s="182" t="s">
        <v>23</v>
      </c>
      <c r="L421" s="182" t="s">
        <v>19</v>
      </c>
      <c r="M421" s="182" t="s">
        <v>20</v>
      </c>
      <c r="N421" s="182" t="s">
        <v>21</v>
      </c>
      <c r="O421" s="182" t="s">
        <v>22</v>
      </c>
      <c r="P421" s="182" t="s">
        <v>23</v>
      </c>
      <c r="Q421" s="182" t="s">
        <v>19</v>
      </c>
      <c r="R421" s="182" t="s">
        <v>20</v>
      </c>
      <c r="S421" s="182" t="s">
        <v>21</v>
      </c>
      <c r="T421" s="182" t="s">
        <v>22</v>
      </c>
      <c r="U421" s="211" t="s">
        <v>23</v>
      </c>
    </row>
    <row r="422" spans="1:21" x14ac:dyDescent="0.25">
      <c r="A422" s="183" t="s">
        <v>200</v>
      </c>
      <c r="B422" s="182" t="s">
        <v>47</v>
      </c>
      <c r="C422" s="182" t="s">
        <v>28</v>
      </c>
      <c r="D422" s="182">
        <v>0.2</v>
      </c>
      <c r="E422" s="182">
        <f>skilled</f>
        <v>1245</v>
      </c>
      <c r="F422" s="184">
        <f>(D422*E422)</f>
        <v>249</v>
      </c>
      <c r="G422" s="182" t="s">
        <v>2153</v>
      </c>
      <c r="H422" s="216" t="s">
        <v>84</v>
      </c>
      <c r="I422" s="182">
        <v>12</v>
      </c>
      <c r="J422" s="182">
        <v>0</v>
      </c>
      <c r="K422" s="182">
        <f>(I422*J422)</f>
        <v>0</v>
      </c>
      <c r="L422" s="182" t="s">
        <v>202</v>
      </c>
      <c r="M422" s="182" t="s">
        <v>58</v>
      </c>
      <c r="N422" s="185">
        <v>0.03</v>
      </c>
      <c r="O422" s="182"/>
      <c r="P422" s="184">
        <f>3%*F424</f>
        <v>119.67</v>
      </c>
    </row>
    <row r="423" spans="1:21" x14ac:dyDescent="0.25">
      <c r="B423" s="182" t="s">
        <v>29</v>
      </c>
      <c r="C423" s="182" t="s">
        <v>28</v>
      </c>
      <c r="D423" s="182">
        <v>4</v>
      </c>
      <c r="E423" s="182">
        <f>unskilled</f>
        <v>935</v>
      </c>
      <c r="F423" s="184">
        <f>(D423*E423)</f>
        <v>3740</v>
      </c>
      <c r="G423" s="182"/>
      <c r="H423" s="216"/>
      <c r="I423" s="182"/>
      <c r="J423" s="182"/>
      <c r="K423" s="182">
        <f>(I423*J423)</f>
        <v>0</v>
      </c>
    </row>
    <row r="424" spans="1:21" x14ac:dyDescent="0.25">
      <c r="A424" s="537" t="s">
        <v>30</v>
      </c>
      <c r="B424" s="537"/>
      <c r="C424" s="537"/>
      <c r="D424" s="537"/>
      <c r="E424" s="537"/>
      <c r="F424" s="184">
        <f>SUM(F421:F423)</f>
        <v>3989</v>
      </c>
      <c r="G424" s="537" t="s">
        <v>31</v>
      </c>
      <c r="H424" s="537"/>
      <c r="I424" s="537"/>
      <c r="J424" s="537"/>
      <c r="K424" s="184">
        <f>SUM(K421:K423)</f>
        <v>0</v>
      </c>
      <c r="L424" s="537" t="s">
        <v>32</v>
      </c>
      <c r="M424" s="537"/>
      <c r="N424" s="537"/>
      <c r="O424" s="537"/>
      <c r="P424" s="184">
        <f>SUM(P421:P423)</f>
        <v>119.67</v>
      </c>
      <c r="Q424" s="537" t="s">
        <v>38</v>
      </c>
      <c r="R424" s="537"/>
      <c r="S424" s="537"/>
      <c r="T424" s="537"/>
      <c r="U424" s="223">
        <f>SUM(U421:U423)</f>
        <v>0</v>
      </c>
    </row>
    <row r="425" spans="1:21" x14ac:dyDescent="0.25">
      <c r="A425" s="537" t="s">
        <v>33</v>
      </c>
      <c r="B425" s="537"/>
      <c r="C425" s="537"/>
      <c r="D425" s="537"/>
      <c r="E425" s="537"/>
      <c r="F425" s="184">
        <f>SUM(F424+K424+P424)</f>
        <v>4108.67</v>
      </c>
      <c r="G425" s="537" t="s">
        <v>39</v>
      </c>
      <c r="H425" s="537"/>
      <c r="I425" s="537"/>
      <c r="J425" s="537"/>
      <c r="K425" s="184">
        <f>SUM(F424+K424+P424+U424)</f>
        <v>4108.67</v>
      </c>
      <c r="L425" s="537" t="s">
        <v>40</v>
      </c>
      <c r="M425" s="537"/>
      <c r="N425" s="537"/>
      <c r="O425" s="537"/>
      <c r="P425" s="184">
        <f>SUM(K425*0.15)</f>
        <v>616.30049999999994</v>
      </c>
      <c r="Q425" s="537" t="s">
        <v>41</v>
      </c>
      <c r="R425" s="537"/>
      <c r="S425" s="537"/>
      <c r="T425" s="537"/>
      <c r="U425" s="223">
        <f>SUM(K425+P425)</f>
        <v>4724.9705000000004</v>
      </c>
    </row>
    <row r="426" spans="1:21" x14ac:dyDescent="0.25">
      <c r="Q426" s="537" t="s">
        <v>42</v>
      </c>
      <c r="R426" s="537"/>
      <c r="S426" s="537"/>
      <c r="T426" s="537"/>
      <c r="U426" s="224">
        <f>ROUND((U425/10),2)</f>
        <v>472.5</v>
      </c>
    </row>
    <row r="427" spans="1:21" x14ac:dyDescent="0.25">
      <c r="A427" s="186"/>
      <c r="B427" s="186"/>
      <c r="C427" s="186"/>
      <c r="D427" s="186"/>
      <c r="E427" s="186"/>
      <c r="F427" s="186"/>
      <c r="G427" s="186"/>
      <c r="H427" s="218"/>
      <c r="I427" s="186"/>
      <c r="J427" s="186"/>
      <c r="K427" s="186"/>
      <c r="L427" s="186"/>
      <c r="M427" s="186"/>
      <c r="N427" s="186"/>
      <c r="O427" s="186"/>
      <c r="P427" s="186"/>
      <c r="Q427" s="186"/>
      <c r="R427" s="186"/>
      <c r="S427" s="186"/>
      <c r="T427" s="186"/>
      <c r="U427" s="213"/>
    </row>
    <row r="428" spans="1:21" x14ac:dyDescent="0.25">
      <c r="A428" s="538" t="s">
        <v>12</v>
      </c>
      <c r="B428" s="538"/>
      <c r="C428" s="540" t="s">
        <v>187</v>
      </c>
      <c r="D428" s="540"/>
      <c r="E428" s="540"/>
      <c r="F428" s="540"/>
      <c r="G428" s="540"/>
      <c r="H428" s="540"/>
      <c r="I428" s="540"/>
      <c r="J428" s="540"/>
      <c r="K428" s="540"/>
      <c r="L428" s="540"/>
      <c r="M428" s="540"/>
      <c r="N428" s="540"/>
      <c r="O428" s="540"/>
      <c r="P428" s="540"/>
      <c r="Q428" s="540"/>
      <c r="R428" s="540"/>
      <c r="S428" s="540"/>
      <c r="T428" s="540"/>
      <c r="U428" s="541" t="s">
        <v>61</v>
      </c>
    </row>
    <row r="429" spans="1:21" x14ac:dyDescent="0.25">
      <c r="A429" s="538"/>
      <c r="B429" s="538"/>
      <c r="C429" s="540"/>
      <c r="D429" s="540"/>
      <c r="E429" s="540"/>
      <c r="F429" s="540"/>
      <c r="G429" s="540"/>
      <c r="H429" s="540"/>
      <c r="I429" s="540"/>
      <c r="J429" s="540"/>
      <c r="K429" s="540"/>
      <c r="L429" s="540"/>
      <c r="M429" s="540"/>
      <c r="N429" s="540"/>
      <c r="O429" s="540"/>
      <c r="P429" s="540"/>
      <c r="Q429" s="540"/>
      <c r="R429" s="540"/>
      <c r="S429" s="540"/>
      <c r="T429" s="540"/>
      <c r="U429" s="541"/>
    </row>
    <row r="430" spans="1:21" x14ac:dyDescent="0.25">
      <c r="A430" s="539" t="s">
        <v>167</v>
      </c>
      <c r="B430" s="539"/>
      <c r="C430" s="540"/>
      <c r="D430" s="540"/>
      <c r="E430" s="540"/>
      <c r="F430" s="540"/>
      <c r="G430" s="540"/>
      <c r="H430" s="540"/>
      <c r="I430" s="540"/>
      <c r="J430" s="540"/>
      <c r="K430" s="540"/>
      <c r="L430" s="540"/>
      <c r="M430" s="540"/>
      <c r="N430" s="540"/>
      <c r="O430" s="540"/>
      <c r="P430" s="540"/>
      <c r="Q430" s="540"/>
      <c r="R430" s="540"/>
      <c r="S430" s="540"/>
      <c r="T430" s="540"/>
      <c r="U430" s="541"/>
    </row>
    <row r="431" spans="1:21" x14ac:dyDescent="0.25">
      <c r="A431" s="542" t="s">
        <v>16</v>
      </c>
      <c r="B431" s="543" t="s">
        <v>18</v>
      </c>
      <c r="C431" s="543"/>
      <c r="D431" s="543"/>
      <c r="E431" s="543"/>
      <c r="F431" s="543"/>
      <c r="G431" s="543" t="s">
        <v>24</v>
      </c>
      <c r="H431" s="543"/>
      <c r="I431" s="543"/>
      <c r="J431" s="543"/>
      <c r="K431" s="543"/>
      <c r="L431" s="543" t="s">
        <v>25</v>
      </c>
      <c r="M431" s="543"/>
      <c r="N431" s="543"/>
      <c r="O431" s="543"/>
      <c r="P431" s="543"/>
      <c r="Q431" s="543" t="s">
        <v>26</v>
      </c>
      <c r="R431" s="543"/>
      <c r="S431" s="543"/>
      <c r="T431" s="543"/>
      <c r="U431" s="543"/>
    </row>
    <row r="432" spans="1:21" x14ac:dyDescent="0.25">
      <c r="A432" s="542"/>
      <c r="B432" s="182" t="s">
        <v>19</v>
      </c>
      <c r="C432" s="182" t="s">
        <v>20</v>
      </c>
      <c r="D432" s="182" t="s">
        <v>21</v>
      </c>
      <c r="E432" s="182" t="s">
        <v>22</v>
      </c>
      <c r="F432" s="182" t="s">
        <v>23</v>
      </c>
      <c r="G432" s="182" t="s">
        <v>19</v>
      </c>
      <c r="H432" s="216" t="s">
        <v>20</v>
      </c>
      <c r="I432" s="182" t="s">
        <v>21</v>
      </c>
      <c r="J432" s="182" t="s">
        <v>22</v>
      </c>
      <c r="K432" s="182" t="s">
        <v>23</v>
      </c>
      <c r="L432" s="182" t="s">
        <v>19</v>
      </c>
      <c r="M432" s="182" t="s">
        <v>20</v>
      </c>
      <c r="N432" s="182" t="s">
        <v>21</v>
      </c>
      <c r="O432" s="182" t="s">
        <v>22</v>
      </c>
      <c r="P432" s="182" t="s">
        <v>23</v>
      </c>
      <c r="Q432" s="182" t="s">
        <v>19</v>
      </c>
      <c r="R432" s="182" t="s">
        <v>20</v>
      </c>
      <c r="S432" s="182" t="s">
        <v>21</v>
      </c>
      <c r="T432" s="182" t="s">
        <v>22</v>
      </c>
      <c r="U432" s="211" t="s">
        <v>23</v>
      </c>
    </row>
    <row r="433" spans="1:21" x14ac:dyDescent="0.25">
      <c r="A433" s="183" t="s">
        <v>188</v>
      </c>
      <c r="B433" s="182" t="s">
        <v>47</v>
      </c>
      <c r="C433" s="182" t="s">
        <v>28</v>
      </c>
      <c r="D433" s="182">
        <v>1</v>
      </c>
      <c r="E433" s="182">
        <f>skilled</f>
        <v>1245</v>
      </c>
      <c r="F433" s="184">
        <f>(D433*E433)</f>
        <v>1245</v>
      </c>
      <c r="G433" s="182" t="s">
        <v>189</v>
      </c>
      <c r="H433" s="216" t="s">
        <v>84</v>
      </c>
      <c r="I433" s="182">
        <v>12</v>
      </c>
      <c r="J433" s="182">
        <v>550.79999999999995</v>
      </c>
      <c r="K433" s="182">
        <f>(I433*J433)</f>
        <v>6609.5999999999995</v>
      </c>
    </row>
    <row r="434" spans="1:21" x14ac:dyDescent="0.25">
      <c r="B434" s="182" t="s">
        <v>29</v>
      </c>
      <c r="C434" s="182" t="s">
        <v>28</v>
      </c>
      <c r="D434" s="182">
        <v>10</v>
      </c>
      <c r="E434" s="182">
        <f>unskilled</f>
        <v>935</v>
      </c>
      <c r="F434" s="184">
        <f>(D434*E434)</f>
        <v>9350</v>
      </c>
      <c r="G434" s="182" t="s">
        <v>171</v>
      </c>
      <c r="H434" s="216" t="s">
        <v>172</v>
      </c>
      <c r="I434" s="182">
        <v>1</v>
      </c>
      <c r="J434" s="182">
        <f>adopted_rate_water</f>
        <v>310</v>
      </c>
      <c r="K434" s="182">
        <f>(I434*J434)</f>
        <v>310</v>
      </c>
    </row>
    <row r="435" spans="1:21" x14ac:dyDescent="0.25">
      <c r="A435" s="537" t="s">
        <v>30</v>
      </c>
      <c r="B435" s="537"/>
      <c r="C435" s="537"/>
      <c r="D435" s="537"/>
      <c r="E435" s="537"/>
      <c r="F435" s="184">
        <f>SUM(F432:F434)</f>
        <v>10595</v>
      </c>
      <c r="G435" s="537" t="s">
        <v>31</v>
      </c>
      <c r="H435" s="537"/>
      <c r="I435" s="537"/>
      <c r="J435" s="537"/>
      <c r="K435" s="184">
        <f>SUM(K432:K434)</f>
        <v>6919.5999999999995</v>
      </c>
      <c r="L435" s="537" t="s">
        <v>32</v>
      </c>
      <c r="M435" s="537"/>
      <c r="N435" s="537"/>
      <c r="O435" s="537"/>
      <c r="P435" s="184">
        <f>SUM(P432:P434)</f>
        <v>0</v>
      </c>
      <c r="Q435" s="537" t="s">
        <v>38</v>
      </c>
      <c r="R435" s="537"/>
      <c r="S435" s="537"/>
      <c r="T435" s="537"/>
      <c r="U435" s="223">
        <f>SUM(U432:U434)</f>
        <v>0</v>
      </c>
    </row>
    <row r="436" spans="1:21" x14ac:dyDescent="0.25">
      <c r="A436" s="537" t="s">
        <v>33</v>
      </c>
      <c r="B436" s="537"/>
      <c r="C436" s="537"/>
      <c r="D436" s="537"/>
      <c r="E436" s="537"/>
      <c r="F436" s="184">
        <f>SUM(F435+K435+P435)</f>
        <v>17514.599999999999</v>
      </c>
      <c r="G436" s="537" t="s">
        <v>39</v>
      </c>
      <c r="H436" s="537"/>
      <c r="I436" s="537"/>
      <c r="J436" s="537"/>
      <c r="K436" s="184">
        <f>SUM(F435+K435+P435+U435)</f>
        <v>17514.599999999999</v>
      </c>
      <c r="L436" s="537" t="s">
        <v>40</v>
      </c>
      <c r="M436" s="537"/>
      <c r="N436" s="537"/>
      <c r="O436" s="537"/>
      <c r="P436" s="184">
        <f>SUM(K436*0.15)</f>
        <v>2627.1899999999996</v>
      </c>
      <c r="Q436" s="537" t="s">
        <v>41</v>
      </c>
      <c r="R436" s="537"/>
      <c r="S436" s="537"/>
      <c r="T436" s="537"/>
      <c r="U436" s="223">
        <f>SUM(K436+P436)</f>
        <v>20141.789999999997</v>
      </c>
    </row>
    <row r="437" spans="1:21" x14ac:dyDescent="0.25">
      <c r="Q437" s="537" t="s">
        <v>42</v>
      </c>
      <c r="R437" s="537"/>
      <c r="S437" s="537"/>
      <c r="T437" s="537"/>
      <c r="U437" s="224">
        <f>ROUND((U436/10),2)</f>
        <v>2014.18</v>
      </c>
    </row>
    <row r="438" spans="1:21" x14ac:dyDescent="0.25">
      <c r="A438" s="544"/>
      <c r="B438" s="544"/>
      <c r="C438" s="544"/>
      <c r="D438" s="544"/>
      <c r="E438" s="544"/>
      <c r="F438" s="544"/>
      <c r="G438" s="544"/>
      <c r="H438" s="544"/>
      <c r="I438" s="544"/>
      <c r="J438" s="544"/>
      <c r="K438" s="544"/>
      <c r="L438" s="544"/>
      <c r="M438" s="544"/>
      <c r="N438" s="544"/>
      <c r="O438" s="544"/>
      <c r="P438" s="544"/>
      <c r="Q438" s="544"/>
      <c r="R438" s="544"/>
      <c r="S438" s="544"/>
      <c r="T438" s="544"/>
      <c r="U438" s="544"/>
    </row>
    <row r="439" spans="1:21" x14ac:dyDescent="0.25">
      <c r="A439" s="538" t="s">
        <v>12</v>
      </c>
      <c r="B439" s="538"/>
      <c r="C439" s="540" t="s">
        <v>191</v>
      </c>
      <c r="D439" s="540"/>
      <c r="E439" s="540"/>
      <c r="F439" s="540"/>
      <c r="G439" s="540"/>
      <c r="H439" s="540"/>
      <c r="I439" s="540"/>
      <c r="J439" s="540"/>
      <c r="K439" s="540"/>
      <c r="L439" s="540"/>
      <c r="M439" s="540"/>
      <c r="N439" s="540"/>
      <c r="O439" s="540"/>
      <c r="P439" s="540"/>
      <c r="Q439" s="540"/>
      <c r="R439" s="540"/>
      <c r="S439" s="540"/>
      <c r="T439" s="540"/>
      <c r="U439" s="541" t="s">
        <v>128</v>
      </c>
    </row>
    <row r="440" spans="1:21" x14ac:dyDescent="0.25">
      <c r="A440" s="538"/>
      <c r="B440" s="538"/>
      <c r="C440" s="540"/>
      <c r="D440" s="540"/>
      <c r="E440" s="540"/>
      <c r="F440" s="540"/>
      <c r="G440" s="540"/>
      <c r="H440" s="540"/>
      <c r="I440" s="540"/>
      <c r="J440" s="540"/>
      <c r="K440" s="540"/>
      <c r="L440" s="540"/>
      <c r="M440" s="540"/>
      <c r="N440" s="540"/>
      <c r="O440" s="540"/>
      <c r="P440" s="540"/>
      <c r="Q440" s="540"/>
      <c r="R440" s="540"/>
      <c r="S440" s="540"/>
      <c r="T440" s="540"/>
      <c r="U440" s="541"/>
    </row>
    <row r="441" spans="1:21" x14ac:dyDescent="0.25">
      <c r="A441" s="539" t="s">
        <v>190</v>
      </c>
      <c r="B441" s="539"/>
      <c r="C441" s="540"/>
      <c r="D441" s="540"/>
      <c r="E441" s="540"/>
      <c r="F441" s="540"/>
      <c r="G441" s="540"/>
      <c r="H441" s="540"/>
      <c r="I441" s="540"/>
      <c r="J441" s="540"/>
      <c r="K441" s="540"/>
      <c r="L441" s="540"/>
      <c r="M441" s="540"/>
      <c r="N441" s="540"/>
      <c r="O441" s="540"/>
      <c r="P441" s="540"/>
      <c r="Q441" s="540"/>
      <c r="R441" s="540"/>
      <c r="S441" s="540"/>
      <c r="T441" s="540"/>
      <c r="U441" s="541"/>
    </row>
    <row r="442" spans="1:21" x14ac:dyDescent="0.25">
      <c r="A442" s="542" t="s">
        <v>16</v>
      </c>
      <c r="B442" s="543" t="s">
        <v>18</v>
      </c>
      <c r="C442" s="543"/>
      <c r="D442" s="543"/>
      <c r="E442" s="543"/>
      <c r="F442" s="543"/>
      <c r="G442" s="543" t="s">
        <v>24</v>
      </c>
      <c r="H442" s="543"/>
      <c r="I442" s="543"/>
      <c r="J442" s="543"/>
      <c r="K442" s="543"/>
      <c r="L442" s="543" t="s">
        <v>25</v>
      </c>
      <c r="M442" s="543"/>
      <c r="N442" s="543"/>
      <c r="O442" s="543"/>
      <c r="P442" s="543"/>
      <c r="Q442" s="543" t="s">
        <v>26</v>
      </c>
      <c r="R442" s="543"/>
      <c r="S442" s="543"/>
      <c r="T442" s="543"/>
      <c r="U442" s="543"/>
    </row>
    <row r="443" spans="1:21" x14ac:dyDescent="0.25">
      <c r="A443" s="542"/>
      <c r="B443" s="182" t="s">
        <v>19</v>
      </c>
      <c r="C443" s="182" t="s">
        <v>20</v>
      </c>
      <c r="D443" s="182" t="s">
        <v>21</v>
      </c>
      <c r="E443" s="182" t="s">
        <v>22</v>
      </c>
      <c r="F443" s="182" t="s">
        <v>23</v>
      </c>
      <c r="G443" s="182" t="s">
        <v>19</v>
      </c>
      <c r="H443" s="216" t="s">
        <v>20</v>
      </c>
      <c r="I443" s="182" t="s">
        <v>21</v>
      </c>
      <c r="J443" s="182" t="s">
        <v>22</v>
      </c>
      <c r="K443" s="182" t="s">
        <v>23</v>
      </c>
      <c r="L443" s="182" t="s">
        <v>19</v>
      </c>
      <c r="M443" s="182" t="s">
        <v>20</v>
      </c>
      <c r="N443" s="182" t="s">
        <v>21</v>
      </c>
      <c r="O443" s="182" t="s">
        <v>22</v>
      </c>
      <c r="P443" s="182" t="s">
        <v>23</v>
      </c>
      <c r="Q443" s="182" t="s">
        <v>19</v>
      </c>
      <c r="R443" s="182" t="s">
        <v>20</v>
      </c>
      <c r="S443" s="182" t="s">
        <v>21</v>
      </c>
      <c r="T443" s="182" t="s">
        <v>22</v>
      </c>
      <c r="U443" s="211" t="s">
        <v>23</v>
      </c>
    </row>
    <row r="444" spans="1:21" x14ac:dyDescent="0.25">
      <c r="A444" s="183" t="s">
        <v>192</v>
      </c>
      <c r="B444" s="182" t="s">
        <v>47</v>
      </c>
      <c r="C444" s="182" t="s">
        <v>28</v>
      </c>
      <c r="D444" s="182">
        <v>1</v>
      </c>
      <c r="E444" s="182">
        <f>skilled</f>
        <v>1245</v>
      </c>
      <c r="F444" s="184">
        <f>(D444*E444)</f>
        <v>1245</v>
      </c>
      <c r="L444" s="182" t="s">
        <v>130</v>
      </c>
      <c r="M444" s="182" t="s">
        <v>58</v>
      </c>
      <c r="N444" s="182">
        <v>6</v>
      </c>
      <c r="O444" s="182">
        <f>excavator</f>
        <v>3102</v>
      </c>
      <c r="P444" s="184">
        <f>(N444*O444)</f>
        <v>18612</v>
      </c>
    </row>
    <row r="445" spans="1:21" x14ac:dyDescent="0.25">
      <c r="B445" s="182" t="s">
        <v>29</v>
      </c>
      <c r="C445" s="182" t="s">
        <v>28</v>
      </c>
      <c r="D445" s="182">
        <v>4</v>
      </c>
      <c r="E445" s="182">
        <f>unskilled</f>
        <v>935</v>
      </c>
      <c r="F445" s="184">
        <f>(D445*E445)</f>
        <v>3740</v>
      </c>
      <c r="L445" s="182" t="s">
        <v>193</v>
      </c>
      <c r="M445" s="182" t="s">
        <v>58</v>
      </c>
      <c r="N445" s="182">
        <v>18</v>
      </c>
      <c r="O445" s="182">
        <f>tipper</f>
        <v>1384</v>
      </c>
      <c r="P445" s="184">
        <f>(N445*O445)</f>
        <v>24912</v>
      </c>
    </row>
    <row r="446" spans="1:21" x14ac:dyDescent="0.25">
      <c r="A446" s="537" t="s">
        <v>30</v>
      </c>
      <c r="B446" s="537"/>
      <c r="C446" s="537"/>
      <c r="D446" s="537"/>
      <c r="E446" s="537"/>
      <c r="F446" s="184">
        <f>SUM(F443:F445)</f>
        <v>4985</v>
      </c>
      <c r="G446" s="537" t="s">
        <v>31</v>
      </c>
      <c r="H446" s="537"/>
      <c r="I446" s="537"/>
      <c r="J446" s="537"/>
      <c r="K446" s="184">
        <f>SUM(K443:K445)</f>
        <v>0</v>
      </c>
      <c r="L446" s="537" t="s">
        <v>32</v>
      </c>
      <c r="M446" s="537"/>
      <c r="N446" s="537"/>
      <c r="O446" s="537"/>
      <c r="P446" s="184">
        <f>SUM(P443:P445)</f>
        <v>43524</v>
      </c>
      <c r="Q446" s="537" t="s">
        <v>38</v>
      </c>
      <c r="R446" s="537"/>
      <c r="S446" s="537"/>
      <c r="T446" s="537"/>
      <c r="U446" s="223">
        <f>SUM(U443:U445)</f>
        <v>0</v>
      </c>
    </row>
    <row r="447" spans="1:21" x14ac:dyDescent="0.25">
      <c r="A447" s="537" t="s">
        <v>33</v>
      </c>
      <c r="B447" s="537"/>
      <c r="C447" s="537"/>
      <c r="D447" s="537"/>
      <c r="E447" s="537"/>
      <c r="F447" s="184">
        <f>SUM(F446+K446+P446)</f>
        <v>48509</v>
      </c>
      <c r="G447" s="537" t="s">
        <v>39</v>
      </c>
      <c r="H447" s="537"/>
      <c r="I447" s="537"/>
      <c r="J447" s="537"/>
      <c r="K447" s="184">
        <f>SUM(F446+K446+P446+U446)</f>
        <v>48509</v>
      </c>
      <c r="L447" s="537" t="s">
        <v>40</v>
      </c>
      <c r="M447" s="537"/>
      <c r="N447" s="537"/>
      <c r="O447" s="537"/>
      <c r="P447" s="184">
        <f>SUM(K447*0.15)</f>
        <v>7276.3499999999995</v>
      </c>
      <c r="Q447" s="537" t="s">
        <v>41</v>
      </c>
      <c r="R447" s="537"/>
      <c r="S447" s="537"/>
      <c r="T447" s="537"/>
      <c r="U447" s="223">
        <f>SUM(K447+P447)</f>
        <v>55785.35</v>
      </c>
    </row>
    <row r="448" spans="1:21" x14ac:dyDescent="0.25">
      <c r="Q448" s="537" t="s">
        <v>42</v>
      </c>
      <c r="R448" s="537"/>
      <c r="S448" s="537"/>
      <c r="T448" s="537"/>
      <c r="U448" s="224">
        <f>ROUND((U447/360),2)</f>
        <v>154.96</v>
      </c>
    </row>
    <row r="449" spans="1:21" x14ac:dyDescent="0.25">
      <c r="A449" s="544"/>
      <c r="B449" s="544"/>
      <c r="C449" s="544"/>
      <c r="D449" s="544"/>
      <c r="E449" s="544"/>
      <c r="F449" s="544"/>
      <c r="G449" s="544"/>
      <c r="H449" s="544"/>
      <c r="I449" s="544"/>
      <c r="J449" s="544"/>
      <c r="K449" s="544"/>
      <c r="L449" s="544"/>
      <c r="M449" s="544"/>
      <c r="N449" s="544"/>
      <c r="O449" s="544"/>
      <c r="P449" s="544"/>
      <c r="Q449" s="544"/>
      <c r="R449" s="544"/>
      <c r="S449" s="544"/>
      <c r="T449" s="544"/>
      <c r="U449" s="544"/>
    </row>
    <row r="450" spans="1:21" x14ac:dyDescent="0.25">
      <c r="A450" s="538" t="s">
        <v>12</v>
      </c>
      <c r="B450" s="538"/>
      <c r="C450" s="540" t="s">
        <v>194</v>
      </c>
      <c r="D450" s="540"/>
      <c r="E450" s="540"/>
      <c r="F450" s="540"/>
      <c r="G450" s="540"/>
      <c r="H450" s="540"/>
      <c r="I450" s="540"/>
      <c r="J450" s="540"/>
      <c r="K450" s="540"/>
      <c r="L450" s="540"/>
      <c r="M450" s="540"/>
      <c r="N450" s="540"/>
      <c r="O450" s="540"/>
      <c r="P450" s="540"/>
      <c r="Q450" s="540"/>
      <c r="R450" s="540"/>
      <c r="S450" s="540"/>
      <c r="T450" s="540"/>
      <c r="U450" s="541" t="s">
        <v>169</v>
      </c>
    </row>
    <row r="451" spans="1:21" x14ac:dyDescent="0.25">
      <c r="A451" s="538"/>
      <c r="B451" s="538"/>
      <c r="C451" s="540"/>
      <c r="D451" s="540"/>
      <c r="E451" s="540"/>
      <c r="F451" s="540"/>
      <c r="G451" s="540"/>
      <c r="H451" s="540"/>
      <c r="I451" s="540"/>
      <c r="J451" s="540"/>
      <c r="K451" s="540"/>
      <c r="L451" s="540"/>
      <c r="M451" s="540"/>
      <c r="N451" s="540"/>
      <c r="O451" s="540"/>
      <c r="P451" s="540"/>
      <c r="Q451" s="540"/>
      <c r="R451" s="540"/>
      <c r="S451" s="540"/>
      <c r="T451" s="540"/>
      <c r="U451" s="541"/>
    </row>
    <row r="452" spans="1:21" x14ac:dyDescent="0.25">
      <c r="A452" s="539" t="s">
        <v>122</v>
      </c>
      <c r="B452" s="539"/>
      <c r="C452" s="540"/>
      <c r="D452" s="540"/>
      <c r="E452" s="540"/>
      <c r="F452" s="540"/>
      <c r="G452" s="540"/>
      <c r="H452" s="540"/>
      <c r="I452" s="540"/>
      <c r="J452" s="540"/>
      <c r="K452" s="540"/>
      <c r="L452" s="540"/>
      <c r="M452" s="540"/>
      <c r="N452" s="540"/>
      <c r="O452" s="540"/>
      <c r="P452" s="540"/>
      <c r="Q452" s="540"/>
      <c r="R452" s="540"/>
      <c r="S452" s="540"/>
      <c r="T452" s="540"/>
      <c r="U452" s="541"/>
    </row>
    <row r="453" spans="1:21" x14ac:dyDescent="0.25">
      <c r="A453" s="542" t="s">
        <v>16</v>
      </c>
      <c r="B453" s="543" t="s">
        <v>18</v>
      </c>
      <c r="C453" s="543"/>
      <c r="D453" s="543"/>
      <c r="E453" s="543"/>
      <c r="F453" s="543"/>
      <c r="G453" s="543" t="s">
        <v>24</v>
      </c>
      <c r="H453" s="543"/>
      <c r="I453" s="543"/>
      <c r="J453" s="543"/>
      <c r="K453" s="543"/>
      <c r="L453" s="543" t="s">
        <v>25</v>
      </c>
      <c r="M453" s="543"/>
      <c r="N453" s="543"/>
      <c r="O453" s="543"/>
      <c r="P453" s="543"/>
      <c r="Q453" s="543" t="s">
        <v>26</v>
      </c>
      <c r="R453" s="543"/>
      <c r="S453" s="543"/>
      <c r="T453" s="543"/>
      <c r="U453" s="543"/>
    </row>
    <row r="454" spans="1:21" x14ac:dyDescent="0.25">
      <c r="A454" s="542"/>
      <c r="B454" s="182" t="s">
        <v>19</v>
      </c>
      <c r="C454" s="182" t="s">
        <v>20</v>
      </c>
      <c r="D454" s="182" t="s">
        <v>21</v>
      </c>
      <c r="E454" s="182" t="s">
        <v>22</v>
      </c>
      <c r="F454" s="182" t="s">
        <v>23</v>
      </c>
      <c r="G454" s="182" t="s">
        <v>19</v>
      </c>
      <c r="H454" s="216" t="s">
        <v>20</v>
      </c>
      <c r="I454" s="182" t="s">
        <v>21</v>
      </c>
      <c r="J454" s="182" t="s">
        <v>22</v>
      </c>
      <c r="K454" s="182" t="s">
        <v>23</v>
      </c>
      <c r="L454" s="182" t="s">
        <v>19</v>
      </c>
      <c r="M454" s="182" t="s">
        <v>20</v>
      </c>
      <c r="N454" s="182" t="s">
        <v>21</v>
      </c>
      <c r="O454" s="182" t="s">
        <v>22</v>
      </c>
      <c r="P454" s="182" t="s">
        <v>23</v>
      </c>
      <c r="Q454" s="182" t="s">
        <v>19</v>
      </c>
      <c r="R454" s="182" t="s">
        <v>20</v>
      </c>
      <c r="S454" s="182" t="s">
        <v>21</v>
      </c>
      <c r="T454" s="182" t="s">
        <v>22</v>
      </c>
      <c r="U454" s="211" t="s">
        <v>23</v>
      </c>
    </row>
    <row r="455" spans="1:21" x14ac:dyDescent="0.25">
      <c r="A455" s="183" t="s">
        <v>195</v>
      </c>
      <c r="B455" s="182" t="s">
        <v>47</v>
      </c>
      <c r="C455" s="182" t="s">
        <v>28</v>
      </c>
      <c r="D455" s="182">
        <v>1</v>
      </c>
      <c r="E455" s="182">
        <f>skilled</f>
        <v>1245</v>
      </c>
      <c r="F455" s="184">
        <f>(D455*E455)</f>
        <v>1245</v>
      </c>
      <c r="L455" s="182" t="s">
        <v>130</v>
      </c>
      <c r="M455" s="182" t="s">
        <v>58</v>
      </c>
      <c r="N455" s="182">
        <v>6</v>
      </c>
      <c r="O455" s="182">
        <f>excavator</f>
        <v>3102</v>
      </c>
      <c r="P455" s="184">
        <f>(N455*O455)</f>
        <v>18612</v>
      </c>
    </row>
    <row r="456" spans="1:21" x14ac:dyDescent="0.25">
      <c r="B456" s="182" t="s">
        <v>29</v>
      </c>
      <c r="C456" s="182" t="s">
        <v>28</v>
      </c>
      <c r="D456" s="182">
        <v>4</v>
      </c>
      <c r="E456" s="182">
        <f>unskilled</f>
        <v>935</v>
      </c>
      <c r="F456" s="184">
        <f>(D456*E456)</f>
        <v>3740</v>
      </c>
      <c r="L456" s="182" t="s">
        <v>193</v>
      </c>
      <c r="M456" s="182" t="s">
        <v>58</v>
      </c>
      <c r="N456" s="182">
        <v>18</v>
      </c>
      <c r="O456" s="182">
        <f>tipper</f>
        <v>1384</v>
      </c>
      <c r="P456" s="184">
        <f>(N456*O456)</f>
        <v>24912</v>
      </c>
    </row>
    <row r="457" spans="1:21" x14ac:dyDescent="0.25">
      <c r="A457" s="537" t="s">
        <v>30</v>
      </c>
      <c r="B457" s="537"/>
      <c r="C457" s="537"/>
      <c r="D457" s="537"/>
      <c r="E457" s="537"/>
      <c r="F457" s="184">
        <f>SUM(F454:F456)</f>
        <v>4985</v>
      </c>
      <c r="G457" s="537" t="s">
        <v>31</v>
      </c>
      <c r="H457" s="537"/>
      <c r="I457" s="537"/>
      <c r="J457" s="537"/>
      <c r="K457" s="184">
        <f>SUM(K454:K456)</f>
        <v>0</v>
      </c>
      <c r="L457" s="537" t="s">
        <v>32</v>
      </c>
      <c r="M457" s="537"/>
      <c r="N457" s="537"/>
      <c r="O457" s="537"/>
      <c r="P457" s="184">
        <f>SUM(P454:P456)</f>
        <v>43524</v>
      </c>
      <c r="Q457" s="537" t="s">
        <v>38</v>
      </c>
      <c r="R457" s="537"/>
      <c r="S457" s="537"/>
      <c r="T457" s="537"/>
      <c r="U457" s="223">
        <f>SUM(U454:U456)</f>
        <v>0</v>
      </c>
    </row>
    <row r="458" spans="1:21" x14ac:dyDescent="0.25">
      <c r="A458" s="537" t="s">
        <v>33</v>
      </c>
      <c r="B458" s="537"/>
      <c r="C458" s="537"/>
      <c r="D458" s="537"/>
      <c r="E458" s="537"/>
      <c r="F458" s="184">
        <f>SUM(F457+K457+P457)</f>
        <v>48509</v>
      </c>
      <c r="G458" s="537" t="s">
        <v>39</v>
      </c>
      <c r="H458" s="537"/>
      <c r="I458" s="537"/>
      <c r="J458" s="537"/>
      <c r="K458" s="184">
        <f>SUM(F457+K457+P457+U457)</f>
        <v>48509</v>
      </c>
      <c r="L458" s="537" t="s">
        <v>40</v>
      </c>
      <c r="M458" s="537"/>
      <c r="N458" s="537"/>
      <c r="O458" s="537"/>
      <c r="P458" s="184">
        <f>SUM(K458*0.15)</f>
        <v>7276.3499999999995</v>
      </c>
      <c r="Q458" s="537" t="s">
        <v>41</v>
      </c>
      <c r="R458" s="537"/>
      <c r="S458" s="537"/>
      <c r="T458" s="537"/>
      <c r="U458" s="223">
        <f>SUM(K458+P458)</f>
        <v>55785.35</v>
      </c>
    </row>
    <row r="459" spans="1:21" x14ac:dyDescent="0.25">
      <c r="Q459" s="537" t="s">
        <v>42</v>
      </c>
      <c r="R459" s="537"/>
      <c r="S459" s="537"/>
      <c r="T459" s="537"/>
      <c r="U459" s="224">
        <f>ROUND((U458/300),2)</f>
        <v>185.95</v>
      </c>
    </row>
    <row r="460" spans="1:21" x14ac:dyDescent="0.25">
      <c r="A460" s="544"/>
      <c r="B460" s="544"/>
      <c r="C460" s="544"/>
      <c r="D460" s="544"/>
      <c r="E460" s="544"/>
      <c r="F460" s="544"/>
      <c r="G460" s="544"/>
      <c r="H460" s="544"/>
      <c r="I460" s="544"/>
      <c r="J460" s="544"/>
      <c r="K460" s="544"/>
      <c r="L460" s="544"/>
      <c r="M460" s="544"/>
      <c r="N460" s="544"/>
      <c r="O460" s="544"/>
      <c r="P460" s="544"/>
      <c r="Q460" s="544"/>
      <c r="R460" s="544"/>
      <c r="S460" s="544"/>
      <c r="T460" s="544"/>
      <c r="U460" s="544"/>
    </row>
    <row r="461" spans="1:21" x14ac:dyDescent="0.25">
      <c r="A461" s="538" t="s">
        <v>12</v>
      </c>
      <c r="B461" s="538"/>
      <c r="C461" s="540" t="s">
        <v>196</v>
      </c>
      <c r="D461" s="540"/>
      <c r="E461" s="540"/>
      <c r="F461" s="540"/>
      <c r="G461" s="540"/>
      <c r="H461" s="540"/>
      <c r="I461" s="540"/>
      <c r="J461" s="540"/>
      <c r="K461" s="540"/>
      <c r="L461" s="540"/>
      <c r="M461" s="540"/>
      <c r="N461" s="540"/>
      <c r="O461" s="540"/>
      <c r="P461" s="540"/>
      <c r="Q461" s="540"/>
      <c r="R461" s="540"/>
      <c r="S461" s="540"/>
      <c r="T461" s="540"/>
      <c r="U461" s="541" t="s">
        <v>197</v>
      </c>
    </row>
    <row r="462" spans="1:21" x14ac:dyDescent="0.25">
      <c r="A462" s="538"/>
      <c r="B462" s="538"/>
      <c r="C462" s="540"/>
      <c r="D462" s="540"/>
      <c r="E462" s="540"/>
      <c r="F462" s="540"/>
      <c r="G462" s="540"/>
      <c r="H462" s="540"/>
      <c r="I462" s="540"/>
      <c r="J462" s="540"/>
      <c r="K462" s="540"/>
      <c r="L462" s="540"/>
      <c r="M462" s="540"/>
      <c r="N462" s="540"/>
      <c r="O462" s="540"/>
      <c r="P462" s="540"/>
      <c r="Q462" s="540"/>
      <c r="R462" s="540"/>
      <c r="S462" s="540"/>
      <c r="T462" s="540"/>
      <c r="U462" s="541"/>
    </row>
    <row r="463" spans="1:21" x14ac:dyDescent="0.25">
      <c r="A463" s="539" t="s">
        <v>167</v>
      </c>
      <c r="B463" s="539"/>
      <c r="C463" s="540"/>
      <c r="D463" s="540"/>
      <c r="E463" s="540"/>
      <c r="F463" s="540"/>
      <c r="G463" s="540"/>
      <c r="H463" s="540"/>
      <c r="I463" s="540"/>
      <c r="J463" s="540"/>
      <c r="K463" s="540"/>
      <c r="L463" s="540"/>
      <c r="M463" s="540"/>
      <c r="N463" s="540"/>
      <c r="O463" s="540"/>
      <c r="P463" s="540"/>
      <c r="Q463" s="540"/>
      <c r="R463" s="540"/>
      <c r="S463" s="540"/>
      <c r="T463" s="540"/>
      <c r="U463" s="541"/>
    </row>
    <row r="464" spans="1:21" x14ac:dyDescent="0.25">
      <c r="A464" s="542" t="s">
        <v>16</v>
      </c>
      <c r="B464" s="543" t="s">
        <v>18</v>
      </c>
      <c r="C464" s="543"/>
      <c r="D464" s="543"/>
      <c r="E464" s="543"/>
      <c r="F464" s="543"/>
      <c r="G464" s="543" t="s">
        <v>24</v>
      </c>
      <c r="H464" s="543"/>
      <c r="I464" s="543"/>
      <c r="J464" s="543"/>
      <c r="K464" s="543"/>
      <c r="L464" s="543" t="s">
        <v>25</v>
      </c>
      <c r="M464" s="543"/>
      <c r="N464" s="543"/>
      <c r="O464" s="543"/>
      <c r="P464" s="543"/>
      <c r="Q464" s="543" t="s">
        <v>26</v>
      </c>
      <c r="R464" s="543"/>
      <c r="S464" s="543"/>
      <c r="T464" s="543"/>
      <c r="U464" s="543"/>
    </row>
    <row r="465" spans="1:21" x14ac:dyDescent="0.25">
      <c r="A465" s="542"/>
      <c r="B465" s="182" t="s">
        <v>19</v>
      </c>
      <c r="C465" s="182" t="s">
        <v>20</v>
      </c>
      <c r="D465" s="182" t="s">
        <v>21</v>
      </c>
      <c r="E465" s="182" t="s">
        <v>22</v>
      </c>
      <c r="F465" s="182" t="s">
        <v>23</v>
      </c>
      <c r="G465" s="182" t="s">
        <v>19</v>
      </c>
      <c r="H465" s="216" t="s">
        <v>20</v>
      </c>
      <c r="I465" s="182" t="s">
        <v>21</v>
      </c>
      <c r="J465" s="182" t="s">
        <v>22</v>
      </c>
      <c r="K465" s="182" t="s">
        <v>23</v>
      </c>
      <c r="L465" s="182" t="s">
        <v>19</v>
      </c>
      <c r="M465" s="182" t="s">
        <v>20</v>
      </c>
      <c r="N465" s="182" t="s">
        <v>21</v>
      </c>
      <c r="O465" s="182" t="s">
        <v>22</v>
      </c>
      <c r="P465" s="182" t="s">
        <v>23</v>
      </c>
      <c r="Q465" s="182" t="s">
        <v>19</v>
      </c>
      <c r="R465" s="182" t="s">
        <v>20</v>
      </c>
      <c r="S465" s="182" t="s">
        <v>21</v>
      </c>
      <c r="T465" s="182" t="s">
        <v>22</v>
      </c>
      <c r="U465" s="211" t="s">
        <v>23</v>
      </c>
    </row>
    <row r="466" spans="1:21" x14ac:dyDescent="0.25">
      <c r="A466" s="183" t="s">
        <v>198</v>
      </c>
      <c r="B466" s="182" t="s">
        <v>47</v>
      </c>
      <c r="C466" s="182" t="s">
        <v>28</v>
      </c>
      <c r="D466" s="182">
        <v>0.01</v>
      </c>
      <c r="E466" s="182">
        <f>skilled</f>
        <v>1245</v>
      </c>
      <c r="F466" s="184">
        <f>(D466*E466)</f>
        <v>12.450000000000001</v>
      </c>
      <c r="G466" s="182" t="s">
        <v>83</v>
      </c>
      <c r="H466" s="216" t="s">
        <v>84</v>
      </c>
      <c r="I466" s="182">
        <v>1.2</v>
      </c>
      <c r="J466" s="182">
        <v>3104.64</v>
      </c>
      <c r="K466" s="182">
        <f>(I466*J466)</f>
        <v>3725.5679999999998</v>
      </c>
    </row>
    <row r="467" spans="1:21" x14ac:dyDescent="0.25">
      <c r="B467" s="182" t="s">
        <v>29</v>
      </c>
      <c r="C467" s="182" t="s">
        <v>28</v>
      </c>
      <c r="D467" s="182">
        <v>0.3</v>
      </c>
      <c r="E467" s="182">
        <f>unskilled</f>
        <v>935</v>
      </c>
      <c r="F467" s="184">
        <f>(D467*E467)</f>
        <v>280.5</v>
      </c>
    </row>
    <row r="468" spans="1:21" x14ac:dyDescent="0.25">
      <c r="A468" s="537" t="s">
        <v>30</v>
      </c>
      <c r="B468" s="537"/>
      <c r="C468" s="537"/>
      <c r="D468" s="537"/>
      <c r="E468" s="537"/>
      <c r="F468" s="184">
        <f>SUM(F465:F467)</f>
        <v>292.95</v>
      </c>
      <c r="G468" s="537" t="s">
        <v>31</v>
      </c>
      <c r="H468" s="537"/>
      <c r="I468" s="537"/>
      <c r="J468" s="537"/>
      <c r="K468" s="184">
        <f>SUM(K465:K467)</f>
        <v>3725.5679999999998</v>
      </c>
      <c r="L468" s="537" t="s">
        <v>32</v>
      </c>
      <c r="M468" s="537"/>
      <c r="N468" s="537"/>
      <c r="O468" s="537"/>
      <c r="P468" s="184">
        <f>SUM(P465:P467)</f>
        <v>0</v>
      </c>
      <c r="Q468" s="537" t="s">
        <v>38</v>
      </c>
      <c r="R468" s="537"/>
      <c r="S468" s="537"/>
      <c r="T468" s="537"/>
      <c r="U468" s="223">
        <f>SUM(U465:U467)</f>
        <v>0</v>
      </c>
    </row>
    <row r="469" spans="1:21" x14ac:dyDescent="0.25">
      <c r="A469" s="537" t="s">
        <v>33</v>
      </c>
      <c r="B469" s="537"/>
      <c r="C469" s="537"/>
      <c r="D469" s="537"/>
      <c r="E469" s="537"/>
      <c r="F469" s="184">
        <f>SUM(F468+K468+P468)</f>
        <v>4018.5179999999996</v>
      </c>
      <c r="G469" s="537" t="s">
        <v>39</v>
      </c>
      <c r="H469" s="537"/>
      <c r="I469" s="537"/>
      <c r="J469" s="537"/>
      <c r="K469" s="184">
        <f>SUM(F468+K468+P468+U468)</f>
        <v>4018.5179999999996</v>
      </c>
      <c r="L469" s="537" t="s">
        <v>40</v>
      </c>
      <c r="M469" s="537"/>
      <c r="N469" s="537"/>
      <c r="O469" s="537"/>
      <c r="P469" s="184">
        <f>SUM(K469*0.15)</f>
        <v>602.77769999999987</v>
      </c>
      <c r="Q469" s="537" t="s">
        <v>41</v>
      </c>
      <c r="R469" s="537"/>
      <c r="S469" s="537"/>
      <c r="T469" s="537"/>
      <c r="U469" s="223">
        <f>SUM(K469+P469)</f>
        <v>4621.2956999999997</v>
      </c>
    </row>
    <row r="470" spans="1:21" x14ac:dyDescent="0.25">
      <c r="Q470" s="537" t="s">
        <v>42</v>
      </c>
      <c r="R470" s="537"/>
      <c r="S470" s="537"/>
      <c r="T470" s="537"/>
      <c r="U470" s="224">
        <f>ROUND((U469/1),2)</f>
        <v>4621.3</v>
      </c>
    </row>
    <row r="471" spans="1:21" x14ac:dyDescent="0.25">
      <c r="A471" s="544"/>
      <c r="B471" s="544"/>
      <c r="C471" s="544"/>
      <c r="D471" s="544"/>
      <c r="E471" s="544"/>
      <c r="F471" s="544"/>
      <c r="G471" s="544"/>
      <c r="H471" s="544"/>
      <c r="I471" s="544"/>
      <c r="J471" s="544"/>
      <c r="K471" s="544"/>
      <c r="L471" s="544"/>
      <c r="M471" s="544"/>
      <c r="N471" s="544"/>
      <c r="O471" s="544"/>
      <c r="P471" s="544"/>
      <c r="Q471" s="544"/>
      <c r="R471" s="544"/>
      <c r="S471" s="544"/>
      <c r="T471" s="544"/>
      <c r="U471" s="544"/>
    </row>
    <row r="472" spans="1:21" x14ac:dyDescent="0.25">
      <c r="A472" s="538" t="s">
        <v>12</v>
      </c>
      <c r="B472" s="538"/>
      <c r="C472" s="540" t="s">
        <v>199</v>
      </c>
      <c r="D472" s="540"/>
      <c r="E472" s="540"/>
      <c r="F472" s="540"/>
      <c r="G472" s="540"/>
      <c r="H472" s="540"/>
      <c r="I472" s="540"/>
      <c r="J472" s="540"/>
      <c r="K472" s="540"/>
      <c r="L472" s="540"/>
      <c r="M472" s="540"/>
      <c r="N472" s="540"/>
      <c r="O472" s="540"/>
      <c r="P472" s="540"/>
      <c r="Q472" s="540"/>
      <c r="R472" s="540"/>
      <c r="S472" s="540"/>
      <c r="T472" s="540"/>
      <c r="U472" s="541" t="s">
        <v>61</v>
      </c>
    </row>
    <row r="473" spans="1:21" x14ac:dyDescent="0.25">
      <c r="A473" s="538"/>
      <c r="B473" s="538"/>
      <c r="C473" s="540"/>
      <c r="D473" s="540"/>
      <c r="E473" s="540"/>
      <c r="F473" s="540"/>
      <c r="G473" s="540"/>
      <c r="H473" s="540"/>
      <c r="I473" s="540"/>
      <c r="J473" s="540"/>
      <c r="K473" s="540"/>
      <c r="L473" s="540"/>
      <c r="M473" s="540"/>
      <c r="N473" s="540"/>
      <c r="O473" s="540"/>
      <c r="P473" s="540"/>
      <c r="Q473" s="540"/>
      <c r="R473" s="540"/>
      <c r="S473" s="540"/>
      <c r="T473" s="540"/>
      <c r="U473" s="541"/>
    </row>
    <row r="474" spans="1:21" x14ac:dyDescent="0.25">
      <c r="A474" s="539" t="s">
        <v>179</v>
      </c>
      <c r="B474" s="539"/>
      <c r="C474" s="540"/>
      <c r="D474" s="540"/>
      <c r="E474" s="540"/>
      <c r="F474" s="540"/>
      <c r="G474" s="540"/>
      <c r="H474" s="540"/>
      <c r="I474" s="540"/>
      <c r="J474" s="540"/>
      <c r="K474" s="540"/>
      <c r="L474" s="540"/>
      <c r="M474" s="540"/>
      <c r="N474" s="540"/>
      <c r="O474" s="540"/>
      <c r="P474" s="540"/>
      <c r="Q474" s="540"/>
      <c r="R474" s="540"/>
      <c r="S474" s="540"/>
      <c r="T474" s="540"/>
      <c r="U474" s="541"/>
    </row>
    <row r="475" spans="1:21" x14ac:dyDescent="0.25">
      <c r="A475" s="542" t="s">
        <v>16</v>
      </c>
      <c r="B475" s="543" t="s">
        <v>18</v>
      </c>
      <c r="C475" s="543"/>
      <c r="D475" s="543"/>
      <c r="E475" s="543"/>
      <c r="F475" s="543"/>
      <c r="G475" s="543" t="s">
        <v>24</v>
      </c>
      <c r="H475" s="543"/>
      <c r="I475" s="543"/>
      <c r="J475" s="543"/>
      <c r="K475" s="543"/>
      <c r="L475" s="543" t="s">
        <v>25</v>
      </c>
      <c r="M475" s="543"/>
      <c r="N475" s="543"/>
      <c r="O475" s="543"/>
      <c r="P475" s="543"/>
      <c r="Q475" s="543" t="s">
        <v>26</v>
      </c>
      <c r="R475" s="543"/>
      <c r="S475" s="543"/>
      <c r="T475" s="543"/>
      <c r="U475" s="543"/>
    </row>
    <row r="476" spans="1:21" x14ac:dyDescent="0.25">
      <c r="A476" s="542"/>
      <c r="B476" s="182" t="s">
        <v>19</v>
      </c>
      <c r="C476" s="182" t="s">
        <v>20</v>
      </c>
      <c r="D476" s="182" t="s">
        <v>21</v>
      </c>
      <c r="E476" s="182" t="s">
        <v>22</v>
      </c>
      <c r="F476" s="182" t="s">
        <v>23</v>
      </c>
      <c r="G476" s="182" t="s">
        <v>19</v>
      </c>
      <c r="H476" s="216" t="s">
        <v>20</v>
      </c>
      <c r="I476" s="182" t="s">
        <v>21</v>
      </c>
      <c r="J476" s="182" t="s">
        <v>22</v>
      </c>
      <c r="K476" s="182" t="s">
        <v>23</v>
      </c>
      <c r="L476" s="182" t="s">
        <v>19</v>
      </c>
      <c r="M476" s="182" t="s">
        <v>20</v>
      </c>
      <c r="N476" s="182" t="s">
        <v>21</v>
      </c>
      <c r="O476" s="182" t="s">
        <v>22</v>
      </c>
      <c r="P476" s="182" t="s">
        <v>23</v>
      </c>
      <c r="Q476" s="182" t="s">
        <v>19</v>
      </c>
      <c r="R476" s="182" t="s">
        <v>20</v>
      </c>
      <c r="S476" s="182" t="s">
        <v>21</v>
      </c>
      <c r="T476" s="182" t="s">
        <v>22</v>
      </c>
      <c r="U476" s="211" t="s">
        <v>23</v>
      </c>
    </row>
    <row r="477" spans="1:21" x14ac:dyDescent="0.25">
      <c r="A477" s="183" t="s">
        <v>200</v>
      </c>
      <c r="B477" s="182" t="s">
        <v>47</v>
      </c>
      <c r="C477" s="182" t="s">
        <v>28</v>
      </c>
      <c r="D477" s="182">
        <v>0.2</v>
      </c>
      <c r="E477" s="182">
        <f>skilled</f>
        <v>1245</v>
      </c>
      <c r="F477" s="184">
        <f>(D477*E477)</f>
        <v>249</v>
      </c>
      <c r="G477" s="182" t="s">
        <v>201</v>
      </c>
      <c r="H477" s="216" t="s">
        <v>84</v>
      </c>
      <c r="I477" s="182">
        <v>12</v>
      </c>
      <c r="J477" s="182"/>
      <c r="K477" s="182">
        <f>(I477*J477)</f>
        <v>0</v>
      </c>
      <c r="L477" s="182" t="s">
        <v>202</v>
      </c>
      <c r="M477" s="182"/>
      <c r="P477" s="184">
        <f>F479*3/100</f>
        <v>119.67</v>
      </c>
    </row>
    <row r="478" spans="1:21" x14ac:dyDescent="0.25">
      <c r="B478" s="182" t="s">
        <v>29</v>
      </c>
      <c r="C478" s="182" t="s">
        <v>28</v>
      </c>
      <c r="D478" s="182">
        <v>4</v>
      </c>
      <c r="E478" s="182">
        <f>unskilled</f>
        <v>935</v>
      </c>
      <c r="F478" s="184">
        <f>(D478*E478)</f>
        <v>3740</v>
      </c>
    </row>
    <row r="479" spans="1:21" x14ac:dyDescent="0.25">
      <c r="A479" s="537" t="s">
        <v>30</v>
      </c>
      <c r="B479" s="537"/>
      <c r="C479" s="537"/>
      <c r="D479" s="537"/>
      <c r="E479" s="537"/>
      <c r="F479" s="184">
        <f>SUM(F476:F478)</f>
        <v>3989</v>
      </c>
      <c r="G479" s="537" t="s">
        <v>31</v>
      </c>
      <c r="H479" s="537"/>
      <c r="I479" s="537"/>
      <c r="J479" s="537"/>
      <c r="K479" s="184">
        <f>SUM(K476:K478)</f>
        <v>0</v>
      </c>
      <c r="L479" s="537" t="s">
        <v>32</v>
      </c>
      <c r="M479" s="537"/>
      <c r="N479" s="537"/>
      <c r="O479" s="537"/>
      <c r="P479" s="184">
        <f>SUM(P476:P478)</f>
        <v>119.67</v>
      </c>
      <c r="Q479" s="537" t="s">
        <v>38</v>
      </c>
      <c r="R479" s="537"/>
      <c r="S479" s="537"/>
      <c r="T479" s="537"/>
      <c r="U479" s="223">
        <f>SUM(U476:U478)</f>
        <v>0</v>
      </c>
    </row>
    <row r="480" spans="1:21" x14ac:dyDescent="0.25">
      <c r="A480" s="537" t="s">
        <v>33</v>
      </c>
      <c r="B480" s="537"/>
      <c r="C480" s="537"/>
      <c r="D480" s="537"/>
      <c r="E480" s="537"/>
      <c r="F480" s="184">
        <f>SUM(F479+K479+P479)</f>
        <v>4108.67</v>
      </c>
      <c r="G480" s="537" t="s">
        <v>39</v>
      </c>
      <c r="H480" s="537"/>
      <c r="I480" s="537"/>
      <c r="J480" s="537"/>
      <c r="K480" s="184">
        <f>SUM(F479+K479+P479+U479)</f>
        <v>4108.67</v>
      </c>
      <c r="L480" s="537" t="s">
        <v>40</v>
      </c>
      <c r="M480" s="537"/>
      <c r="N480" s="537"/>
      <c r="O480" s="537"/>
      <c r="P480" s="184">
        <f>SUM(K480*0.15)</f>
        <v>616.30049999999994</v>
      </c>
      <c r="Q480" s="537" t="s">
        <v>41</v>
      </c>
      <c r="R480" s="537"/>
      <c r="S480" s="537"/>
      <c r="T480" s="537"/>
      <c r="U480" s="223">
        <f>SUM(K480+P480)</f>
        <v>4724.9705000000004</v>
      </c>
    </row>
    <row r="481" spans="1:21" x14ac:dyDescent="0.25">
      <c r="Q481" s="537" t="s">
        <v>42</v>
      </c>
      <c r="R481" s="537"/>
      <c r="S481" s="537"/>
      <c r="T481" s="537"/>
      <c r="U481" s="224">
        <f>ROUND((U480/10),2)</f>
        <v>472.5</v>
      </c>
    </row>
    <row r="482" spans="1:21" x14ac:dyDescent="0.25">
      <c r="A482" s="544"/>
      <c r="B482" s="544"/>
      <c r="C482" s="544"/>
      <c r="D482" s="544"/>
      <c r="E482" s="544"/>
      <c r="F482" s="544"/>
      <c r="G482" s="544"/>
      <c r="H482" s="544"/>
      <c r="I482" s="544"/>
      <c r="J482" s="544"/>
      <c r="K482" s="544"/>
      <c r="L482" s="544"/>
      <c r="M482" s="544"/>
      <c r="N482" s="544"/>
      <c r="O482" s="544"/>
      <c r="P482" s="544"/>
      <c r="Q482" s="544"/>
      <c r="R482" s="544"/>
      <c r="S482" s="544"/>
      <c r="T482" s="544"/>
      <c r="U482" s="544"/>
    </row>
    <row r="483" spans="1:21" x14ac:dyDescent="0.25">
      <c r="A483" s="538" t="s">
        <v>12</v>
      </c>
      <c r="B483" s="538"/>
      <c r="C483" s="540" t="s">
        <v>204</v>
      </c>
      <c r="D483" s="540"/>
      <c r="E483" s="540"/>
      <c r="F483" s="540"/>
      <c r="G483" s="540"/>
      <c r="H483" s="540"/>
      <c r="I483" s="540"/>
      <c r="J483" s="540"/>
      <c r="K483" s="540"/>
      <c r="L483" s="540"/>
      <c r="M483" s="540"/>
      <c r="N483" s="540"/>
      <c r="O483" s="540"/>
      <c r="P483" s="540"/>
      <c r="Q483" s="540"/>
      <c r="R483" s="540"/>
      <c r="S483" s="540"/>
      <c r="T483" s="540"/>
      <c r="U483" s="541" t="s">
        <v>205</v>
      </c>
    </row>
    <row r="484" spans="1:21" x14ac:dyDescent="0.25">
      <c r="A484" s="538"/>
      <c r="B484" s="538"/>
      <c r="C484" s="540"/>
      <c r="D484" s="540"/>
      <c r="E484" s="540"/>
      <c r="F484" s="540"/>
      <c r="G484" s="540"/>
      <c r="H484" s="540"/>
      <c r="I484" s="540"/>
      <c r="J484" s="540"/>
      <c r="K484" s="540"/>
      <c r="L484" s="540"/>
      <c r="M484" s="540"/>
      <c r="N484" s="540"/>
      <c r="O484" s="540"/>
      <c r="P484" s="540"/>
      <c r="Q484" s="540"/>
      <c r="R484" s="540"/>
      <c r="S484" s="540"/>
      <c r="T484" s="540"/>
      <c r="U484" s="541"/>
    </row>
    <row r="485" spans="1:21" x14ac:dyDescent="0.25">
      <c r="A485" s="539" t="s">
        <v>203</v>
      </c>
      <c r="B485" s="539"/>
      <c r="C485" s="540"/>
      <c r="D485" s="540"/>
      <c r="E485" s="540"/>
      <c r="F485" s="540"/>
      <c r="G485" s="540"/>
      <c r="H485" s="540"/>
      <c r="I485" s="540"/>
      <c r="J485" s="540"/>
      <c r="K485" s="540"/>
      <c r="L485" s="540"/>
      <c r="M485" s="540"/>
      <c r="N485" s="540"/>
      <c r="O485" s="540"/>
      <c r="P485" s="540"/>
      <c r="Q485" s="540"/>
      <c r="R485" s="540"/>
      <c r="S485" s="540"/>
      <c r="T485" s="540"/>
      <c r="U485" s="541"/>
    </row>
    <row r="486" spans="1:21" x14ac:dyDescent="0.25">
      <c r="A486" s="542" t="s">
        <v>16</v>
      </c>
      <c r="B486" s="543" t="s">
        <v>18</v>
      </c>
      <c r="C486" s="543"/>
      <c r="D486" s="543"/>
      <c r="E486" s="543"/>
      <c r="F486" s="543"/>
      <c r="G486" s="543" t="s">
        <v>24</v>
      </c>
      <c r="H486" s="543"/>
      <c r="I486" s="543"/>
      <c r="J486" s="543"/>
      <c r="K486" s="543"/>
      <c r="L486" s="543" t="s">
        <v>25</v>
      </c>
      <c r="M486" s="543"/>
      <c r="N486" s="543"/>
      <c r="O486" s="543"/>
      <c r="P486" s="543"/>
      <c r="Q486" s="543" t="s">
        <v>26</v>
      </c>
      <c r="R486" s="543"/>
      <c r="S486" s="543"/>
      <c r="T486" s="543"/>
      <c r="U486" s="543"/>
    </row>
    <row r="487" spans="1:21" x14ac:dyDescent="0.25">
      <c r="A487" s="542"/>
      <c r="B487" s="182" t="s">
        <v>19</v>
      </c>
      <c r="C487" s="182" t="s">
        <v>20</v>
      </c>
      <c r="D487" s="182" t="s">
        <v>21</v>
      </c>
      <c r="E487" s="182" t="s">
        <v>22</v>
      </c>
      <c r="F487" s="182" t="s">
        <v>23</v>
      </c>
      <c r="G487" s="182" t="s">
        <v>19</v>
      </c>
      <c r="H487" s="216" t="s">
        <v>20</v>
      </c>
      <c r="I487" s="182" t="s">
        <v>21</v>
      </c>
      <c r="J487" s="182" t="s">
        <v>22</v>
      </c>
      <c r="K487" s="182" t="s">
        <v>23</v>
      </c>
      <c r="L487" s="182" t="s">
        <v>19</v>
      </c>
      <c r="M487" s="182" t="s">
        <v>20</v>
      </c>
      <c r="N487" s="182" t="s">
        <v>21</v>
      </c>
      <c r="O487" s="182" t="s">
        <v>22</v>
      </c>
      <c r="P487" s="182" t="s">
        <v>23</v>
      </c>
      <c r="Q487" s="182" t="s">
        <v>19</v>
      </c>
      <c r="R487" s="182" t="s">
        <v>20</v>
      </c>
      <c r="S487" s="182" t="s">
        <v>21</v>
      </c>
      <c r="T487" s="182" t="s">
        <v>22</v>
      </c>
      <c r="U487" s="211" t="s">
        <v>23</v>
      </c>
    </row>
    <row r="488" spans="1:21" x14ac:dyDescent="0.25">
      <c r="A488" s="183" t="s">
        <v>206</v>
      </c>
      <c r="B488" s="182" t="s">
        <v>47</v>
      </c>
      <c r="C488" s="182" t="s">
        <v>28</v>
      </c>
      <c r="D488" s="182">
        <v>1</v>
      </c>
      <c r="E488" s="182">
        <f>skilled</f>
        <v>1245</v>
      </c>
      <c r="F488" s="184">
        <f>(D488*E488)</f>
        <v>1245</v>
      </c>
      <c r="L488" s="182" t="s">
        <v>207</v>
      </c>
      <c r="M488" s="182" t="s">
        <v>58</v>
      </c>
      <c r="N488" s="182">
        <v>6</v>
      </c>
      <c r="O488" s="182">
        <f>tractor_with_ripper</f>
        <v>991</v>
      </c>
      <c r="P488" s="184">
        <f>(N488*O488)</f>
        <v>5946</v>
      </c>
    </row>
    <row r="489" spans="1:21" x14ac:dyDescent="0.25">
      <c r="B489" s="182" t="s">
        <v>29</v>
      </c>
      <c r="C489" s="182" t="s">
        <v>28</v>
      </c>
      <c r="D489" s="182">
        <v>6</v>
      </c>
      <c r="E489" s="182">
        <f>unskilled</f>
        <v>935</v>
      </c>
      <c r="F489" s="184">
        <f>(D489*E489)</f>
        <v>5610</v>
      </c>
    </row>
    <row r="490" spans="1:21" x14ac:dyDescent="0.25">
      <c r="A490" s="537" t="s">
        <v>30</v>
      </c>
      <c r="B490" s="537"/>
      <c r="C490" s="537"/>
      <c r="D490" s="537"/>
      <c r="E490" s="537"/>
      <c r="F490" s="184">
        <f>SUM(F487:F489)</f>
        <v>6855</v>
      </c>
      <c r="G490" s="537" t="s">
        <v>31</v>
      </c>
      <c r="H490" s="537"/>
      <c r="I490" s="537"/>
      <c r="J490" s="537"/>
      <c r="K490" s="184">
        <f>SUM(K487:K489)</f>
        <v>0</v>
      </c>
      <c r="L490" s="537" t="s">
        <v>32</v>
      </c>
      <c r="M490" s="537"/>
      <c r="N490" s="537"/>
      <c r="O490" s="537"/>
      <c r="P490" s="184">
        <f>SUM(P487:P489)</f>
        <v>5946</v>
      </c>
      <c r="Q490" s="537" t="s">
        <v>38</v>
      </c>
      <c r="R490" s="537"/>
      <c r="S490" s="537"/>
      <c r="T490" s="537"/>
      <c r="U490" s="223">
        <f>SUM(U487:U489)</f>
        <v>0</v>
      </c>
    </row>
    <row r="491" spans="1:21" x14ac:dyDescent="0.25">
      <c r="A491" s="537" t="s">
        <v>33</v>
      </c>
      <c r="B491" s="537"/>
      <c r="C491" s="537"/>
      <c r="D491" s="537"/>
      <c r="E491" s="537"/>
      <c r="F491" s="184">
        <f>SUM(F490+K490+P490)</f>
        <v>12801</v>
      </c>
      <c r="G491" s="537" t="s">
        <v>39</v>
      </c>
      <c r="H491" s="537"/>
      <c r="I491" s="537"/>
      <c r="J491" s="537"/>
      <c r="K491" s="184">
        <f>SUM(F490+K490+P490+U490)</f>
        <v>12801</v>
      </c>
      <c r="L491" s="537" t="s">
        <v>40</v>
      </c>
      <c r="M491" s="537"/>
      <c r="N491" s="537"/>
      <c r="O491" s="537"/>
      <c r="P491" s="184">
        <f>SUM(K491*0.15)</f>
        <v>1920.1499999999999</v>
      </c>
      <c r="Q491" s="537" t="s">
        <v>41</v>
      </c>
      <c r="R491" s="537"/>
      <c r="S491" s="537"/>
      <c r="T491" s="537"/>
      <c r="U491" s="223">
        <f>SUM(K491+P491)</f>
        <v>14721.15</v>
      </c>
    </row>
    <row r="492" spans="1:21" x14ac:dyDescent="0.25">
      <c r="Q492" s="537" t="s">
        <v>42</v>
      </c>
      <c r="R492" s="537"/>
      <c r="S492" s="537"/>
      <c r="T492" s="537"/>
      <c r="U492" s="224">
        <f>ROUND((U491/600),2)</f>
        <v>24.54</v>
      </c>
    </row>
    <row r="493" spans="1:21" x14ac:dyDescent="0.25">
      <c r="A493" s="544"/>
      <c r="B493" s="544"/>
      <c r="C493" s="544"/>
      <c r="D493" s="544"/>
      <c r="E493" s="544"/>
      <c r="F493" s="544"/>
      <c r="G493" s="544"/>
      <c r="H493" s="544"/>
      <c r="I493" s="544"/>
      <c r="J493" s="544"/>
      <c r="K493" s="544"/>
      <c r="L493" s="544"/>
      <c r="M493" s="544"/>
      <c r="N493" s="544"/>
      <c r="O493" s="544"/>
      <c r="P493" s="544"/>
      <c r="Q493" s="544"/>
      <c r="R493" s="544"/>
      <c r="S493" s="544"/>
      <c r="T493" s="544"/>
      <c r="U493" s="544"/>
    </row>
    <row r="494" spans="1:21" x14ac:dyDescent="0.25">
      <c r="A494" s="538" t="s">
        <v>12</v>
      </c>
      <c r="B494" s="538"/>
      <c r="C494" s="540" t="s">
        <v>208</v>
      </c>
      <c r="D494" s="540"/>
      <c r="E494" s="540"/>
      <c r="F494" s="540"/>
      <c r="G494" s="540"/>
      <c r="H494" s="540"/>
      <c r="I494" s="540"/>
      <c r="J494" s="540"/>
      <c r="K494" s="540"/>
      <c r="L494" s="540"/>
      <c r="M494" s="540"/>
      <c r="N494" s="540"/>
      <c r="O494" s="540"/>
      <c r="P494" s="540"/>
      <c r="Q494" s="540"/>
      <c r="R494" s="540"/>
      <c r="S494" s="540"/>
      <c r="T494" s="540"/>
      <c r="U494" s="541" t="s">
        <v>205</v>
      </c>
    </row>
    <row r="495" spans="1:21" x14ac:dyDescent="0.25">
      <c r="A495" s="538"/>
      <c r="B495" s="538"/>
      <c r="C495" s="540"/>
      <c r="D495" s="540"/>
      <c r="E495" s="540"/>
      <c r="F495" s="540"/>
      <c r="G495" s="540"/>
      <c r="H495" s="540"/>
      <c r="I495" s="540"/>
      <c r="J495" s="540"/>
      <c r="K495" s="540"/>
      <c r="L495" s="540"/>
      <c r="M495" s="540"/>
      <c r="N495" s="540"/>
      <c r="O495" s="540"/>
      <c r="P495" s="540"/>
      <c r="Q495" s="540"/>
      <c r="R495" s="540"/>
      <c r="S495" s="540"/>
      <c r="T495" s="540"/>
      <c r="U495" s="541"/>
    </row>
    <row r="496" spans="1:21" x14ac:dyDescent="0.25">
      <c r="A496" s="539" t="s">
        <v>203</v>
      </c>
      <c r="B496" s="539"/>
      <c r="C496" s="540"/>
      <c r="D496" s="540"/>
      <c r="E496" s="540"/>
      <c r="F496" s="540"/>
      <c r="G496" s="540"/>
      <c r="H496" s="540"/>
      <c r="I496" s="540"/>
      <c r="J496" s="540"/>
      <c r="K496" s="540"/>
      <c r="L496" s="540"/>
      <c r="M496" s="540"/>
      <c r="N496" s="540"/>
      <c r="O496" s="540"/>
      <c r="P496" s="540"/>
      <c r="Q496" s="540"/>
      <c r="R496" s="540"/>
      <c r="S496" s="540"/>
      <c r="T496" s="540"/>
      <c r="U496" s="541"/>
    </row>
    <row r="497" spans="1:21" x14ac:dyDescent="0.25">
      <c r="A497" s="542" t="s">
        <v>16</v>
      </c>
      <c r="B497" s="543" t="s">
        <v>18</v>
      </c>
      <c r="C497" s="543"/>
      <c r="D497" s="543"/>
      <c r="E497" s="543"/>
      <c r="F497" s="543"/>
      <c r="G497" s="543" t="s">
        <v>24</v>
      </c>
      <c r="H497" s="543"/>
      <c r="I497" s="543"/>
      <c r="J497" s="543"/>
      <c r="K497" s="543"/>
      <c r="L497" s="543" t="s">
        <v>25</v>
      </c>
      <c r="M497" s="543"/>
      <c r="N497" s="543"/>
      <c r="O497" s="543"/>
      <c r="P497" s="543"/>
      <c r="Q497" s="543" t="s">
        <v>26</v>
      </c>
      <c r="R497" s="543"/>
      <c r="S497" s="543"/>
      <c r="T497" s="543"/>
      <c r="U497" s="543"/>
    </row>
    <row r="498" spans="1:21" x14ac:dyDescent="0.25">
      <c r="A498" s="542"/>
      <c r="B498" s="182" t="s">
        <v>19</v>
      </c>
      <c r="C498" s="182" t="s">
        <v>20</v>
      </c>
      <c r="D498" s="182" t="s">
        <v>21</v>
      </c>
      <c r="E498" s="182" t="s">
        <v>22</v>
      </c>
      <c r="F498" s="182" t="s">
        <v>23</v>
      </c>
      <c r="G498" s="182" t="s">
        <v>19</v>
      </c>
      <c r="H498" s="216" t="s">
        <v>20</v>
      </c>
      <c r="I498" s="182" t="s">
        <v>21</v>
      </c>
      <c r="J498" s="182" t="s">
        <v>22</v>
      </c>
      <c r="K498" s="182" t="s">
        <v>23</v>
      </c>
      <c r="L498" s="182" t="s">
        <v>19</v>
      </c>
      <c r="M498" s="182" t="s">
        <v>20</v>
      </c>
      <c r="N498" s="182" t="s">
        <v>21</v>
      </c>
      <c r="O498" s="182" t="s">
        <v>22</v>
      </c>
      <c r="P498" s="182" t="s">
        <v>23</v>
      </c>
      <c r="Q498" s="182" t="s">
        <v>19</v>
      </c>
      <c r="R498" s="182" t="s">
        <v>20</v>
      </c>
      <c r="S498" s="182" t="s">
        <v>21</v>
      </c>
      <c r="T498" s="182" t="s">
        <v>22</v>
      </c>
      <c r="U498" s="211" t="s">
        <v>23</v>
      </c>
    </row>
    <row r="499" spans="1:21" x14ac:dyDescent="0.25">
      <c r="A499" s="183" t="s">
        <v>209</v>
      </c>
      <c r="B499" s="182" t="s">
        <v>47</v>
      </c>
      <c r="C499" s="182" t="s">
        <v>28</v>
      </c>
      <c r="D499" s="182">
        <v>1</v>
      </c>
      <c r="E499" s="182">
        <f>skilled</f>
        <v>1245</v>
      </c>
      <c r="F499" s="184">
        <f>(D499*E499)</f>
        <v>1245</v>
      </c>
      <c r="L499" s="182" t="s">
        <v>65</v>
      </c>
      <c r="M499" s="182" t="s">
        <v>58</v>
      </c>
      <c r="N499" s="182">
        <v>6</v>
      </c>
      <c r="O499" s="182">
        <f>tractor</f>
        <v>868</v>
      </c>
      <c r="P499" s="184">
        <f>(N499*O499)</f>
        <v>5208</v>
      </c>
    </row>
    <row r="500" spans="1:21" x14ac:dyDescent="0.25">
      <c r="B500" s="182" t="s">
        <v>29</v>
      </c>
      <c r="C500" s="182" t="s">
        <v>28</v>
      </c>
      <c r="D500" s="182">
        <v>15</v>
      </c>
      <c r="E500" s="182">
        <f>unskilled</f>
        <v>935</v>
      </c>
      <c r="F500" s="184">
        <f>(D500*E500)</f>
        <v>14025</v>
      </c>
    </row>
    <row r="501" spans="1:21" x14ac:dyDescent="0.25">
      <c r="A501" s="537" t="s">
        <v>30</v>
      </c>
      <c r="B501" s="537"/>
      <c r="C501" s="537"/>
      <c r="D501" s="537"/>
      <c r="E501" s="537"/>
      <c r="F501" s="184">
        <f>SUM(F498:F500)</f>
        <v>15270</v>
      </c>
      <c r="G501" s="537" t="s">
        <v>31</v>
      </c>
      <c r="H501" s="537"/>
      <c r="I501" s="537"/>
      <c r="J501" s="537"/>
      <c r="K501" s="184">
        <f>SUM(K498:K500)</f>
        <v>0</v>
      </c>
      <c r="L501" s="537" t="s">
        <v>32</v>
      </c>
      <c r="M501" s="537"/>
      <c r="N501" s="537"/>
      <c r="O501" s="537"/>
      <c r="P501" s="184">
        <f>SUM(P498:P500)</f>
        <v>5208</v>
      </c>
      <c r="Q501" s="537" t="s">
        <v>38</v>
      </c>
      <c r="R501" s="537"/>
      <c r="S501" s="537"/>
      <c r="T501" s="537"/>
      <c r="U501" s="223">
        <f>SUM(U498:U500)</f>
        <v>0</v>
      </c>
    </row>
    <row r="502" spans="1:21" x14ac:dyDescent="0.25">
      <c r="A502" s="537" t="s">
        <v>33</v>
      </c>
      <c r="B502" s="537"/>
      <c r="C502" s="537"/>
      <c r="D502" s="537"/>
      <c r="E502" s="537"/>
      <c r="F502" s="184">
        <f>SUM(F501+K501+P501)</f>
        <v>20478</v>
      </c>
      <c r="G502" s="537" t="s">
        <v>39</v>
      </c>
      <c r="H502" s="537"/>
      <c r="I502" s="537"/>
      <c r="J502" s="537"/>
      <c r="K502" s="184">
        <f>SUM(F501+K501+P501+U501)</f>
        <v>20478</v>
      </c>
      <c r="L502" s="537" t="s">
        <v>40</v>
      </c>
      <c r="M502" s="537"/>
      <c r="N502" s="537"/>
      <c r="O502" s="537"/>
      <c r="P502" s="184">
        <f>SUM(K502*0.15)</f>
        <v>3071.7</v>
      </c>
      <c r="Q502" s="537" t="s">
        <v>41</v>
      </c>
      <c r="R502" s="537"/>
      <c r="S502" s="537"/>
      <c r="T502" s="537"/>
      <c r="U502" s="223">
        <f>SUM(K502+P502)</f>
        <v>23549.7</v>
      </c>
    </row>
    <row r="503" spans="1:21" x14ac:dyDescent="0.25">
      <c r="Q503" s="537" t="s">
        <v>42</v>
      </c>
      <c r="R503" s="537"/>
      <c r="S503" s="537"/>
      <c r="T503" s="537"/>
      <c r="U503" s="224">
        <f>ROUND((U502/600),2)</f>
        <v>39.25</v>
      </c>
    </row>
    <row r="504" spans="1:21" x14ac:dyDescent="0.25">
      <c r="A504" s="544"/>
      <c r="B504" s="544"/>
      <c r="C504" s="544"/>
      <c r="D504" s="544"/>
      <c r="E504" s="544"/>
      <c r="F504" s="544"/>
      <c r="G504" s="544"/>
      <c r="H504" s="544"/>
      <c r="I504" s="544"/>
      <c r="J504" s="544"/>
      <c r="K504" s="544"/>
      <c r="L504" s="544"/>
      <c r="M504" s="544"/>
      <c r="N504" s="544"/>
      <c r="O504" s="544"/>
      <c r="P504" s="544"/>
      <c r="Q504" s="544"/>
      <c r="R504" s="544"/>
      <c r="S504" s="544"/>
      <c r="T504" s="544"/>
      <c r="U504" s="544"/>
    </row>
    <row r="505" spans="1:21" x14ac:dyDescent="0.25">
      <c r="A505" s="538" t="s">
        <v>12</v>
      </c>
      <c r="B505" s="538"/>
      <c r="C505" s="540" t="s">
        <v>210</v>
      </c>
      <c r="D505" s="540"/>
      <c r="E505" s="540"/>
      <c r="F505" s="540"/>
      <c r="G505" s="540"/>
      <c r="H505" s="540"/>
      <c r="I505" s="540"/>
      <c r="J505" s="540"/>
      <c r="K505" s="540"/>
      <c r="L505" s="540"/>
      <c r="M505" s="540"/>
      <c r="N505" s="540"/>
      <c r="O505" s="540"/>
      <c r="P505" s="540"/>
      <c r="Q505" s="540"/>
      <c r="R505" s="540"/>
      <c r="S505" s="540"/>
      <c r="T505" s="540"/>
      <c r="U505" s="541" t="s">
        <v>211</v>
      </c>
    </row>
    <row r="506" spans="1:21" x14ac:dyDescent="0.25">
      <c r="A506" s="538"/>
      <c r="B506" s="538"/>
      <c r="C506" s="540"/>
      <c r="D506" s="540"/>
      <c r="E506" s="540"/>
      <c r="F506" s="540"/>
      <c r="G506" s="540"/>
      <c r="H506" s="540"/>
      <c r="I506" s="540"/>
      <c r="J506" s="540"/>
      <c r="K506" s="540"/>
      <c r="L506" s="540"/>
      <c r="M506" s="540"/>
      <c r="N506" s="540"/>
      <c r="O506" s="540"/>
      <c r="P506" s="540"/>
      <c r="Q506" s="540"/>
      <c r="R506" s="540"/>
      <c r="S506" s="540"/>
      <c r="T506" s="540"/>
      <c r="U506" s="541"/>
    </row>
    <row r="507" spans="1:21" x14ac:dyDescent="0.25">
      <c r="A507" s="539" t="s">
        <v>203</v>
      </c>
      <c r="B507" s="539"/>
      <c r="C507" s="540"/>
      <c r="D507" s="540"/>
      <c r="E507" s="540"/>
      <c r="F507" s="540"/>
      <c r="G507" s="540"/>
      <c r="H507" s="540"/>
      <c r="I507" s="540"/>
      <c r="J507" s="540"/>
      <c r="K507" s="540"/>
      <c r="L507" s="540"/>
      <c r="M507" s="540"/>
      <c r="N507" s="540"/>
      <c r="O507" s="540"/>
      <c r="P507" s="540"/>
      <c r="Q507" s="540"/>
      <c r="R507" s="540"/>
      <c r="S507" s="540"/>
      <c r="T507" s="540"/>
      <c r="U507" s="541"/>
    </row>
    <row r="508" spans="1:21" x14ac:dyDescent="0.25">
      <c r="A508" s="542" t="s">
        <v>16</v>
      </c>
      <c r="B508" s="543" t="s">
        <v>18</v>
      </c>
      <c r="C508" s="543"/>
      <c r="D508" s="543"/>
      <c r="E508" s="543"/>
      <c r="F508" s="543"/>
      <c r="G508" s="543" t="s">
        <v>24</v>
      </c>
      <c r="H508" s="543"/>
      <c r="I508" s="543"/>
      <c r="J508" s="543"/>
      <c r="K508" s="543"/>
      <c r="L508" s="543" t="s">
        <v>25</v>
      </c>
      <c r="M508" s="543"/>
      <c r="N508" s="543"/>
      <c r="O508" s="543"/>
      <c r="P508" s="543"/>
      <c r="Q508" s="543" t="s">
        <v>26</v>
      </c>
      <c r="R508" s="543"/>
      <c r="S508" s="543"/>
      <c r="T508" s="543"/>
      <c r="U508" s="543"/>
    </row>
    <row r="509" spans="1:21" x14ac:dyDescent="0.25">
      <c r="A509" s="542"/>
      <c r="B509" s="182" t="s">
        <v>19</v>
      </c>
      <c r="C509" s="182" t="s">
        <v>20</v>
      </c>
      <c r="D509" s="182" t="s">
        <v>21</v>
      </c>
      <c r="E509" s="182" t="s">
        <v>22</v>
      </c>
      <c r="F509" s="182" t="s">
        <v>23</v>
      </c>
      <c r="G509" s="182" t="s">
        <v>19</v>
      </c>
      <c r="H509" s="216" t="s">
        <v>20</v>
      </c>
      <c r="I509" s="182" t="s">
        <v>21</v>
      </c>
      <c r="J509" s="182" t="s">
        <v>22</v>
      </c>
      <c r="K509" s="182" t="s">
        <v>23</v>
      </c>
      <c r="L509" s="182" t="s">
        <v>19</v>
      </c>
      <c r="M509" s="182" t="s">
        <v>20</v>
      </c>
      <c r="N509" s="182" t="s">
        <v>21</v>
      </c>
      <c r="O509" s="182" t="s">
        <v>22</v>
      </c>
      <c r="P509" s="182" t="s">
        <v>23</v>
      </c>
      <c r="Q509" s="182" t="s">
        <v>19</v>
      </c>
      <c r="R509" s="182" t="s">
        <v>20</v>
      </c>
      <c r="S509" s="182" t="s">
        <v>21</v>
      </c>
      <c r="T509" s="182" t="s">
        <v>22</v>
      </c>
      <c r="U509" s="211" t="s">
        <v>23</v>
      </c>
    </row>
    <row r="510" spans="1:21" x14ac:dyDescent="0.25">
      <c r="A510" s="183" t="s">
        <v>212</v>
      </c>
      <c r="B510" s="182" t="s">
        <v>47</v>
      </c>
      <c r="C510" s="182" t="s">
        <v>28</v>
      </c>
      <c r="D510" s="182">
        <v>1</v>
      </c>
      <c r="E510" s="182">
        <f>skilled</f>
        <v>1245</v>
      </c>
      <c r="F510" s="184">
        <f>(D510*E510)</f>
        <v>1245</v>
      </c>
      <c r="L510" s="182" t="s">
        <v>207</v>
      </c>
      <c r="M510" s="182" t="s">
        <v>58</v>
      </c>
      <c r="N510" s="182">
        <v>6</v>
      </c>
      <c r="O510" s="182">
        <f>tractor_with_ripper</f>
        <v>991</v>
      </c>
      <c r="P510" s="184">
        <f>(N510*O510)</f>
        <v>5946</v>
      </c>
    </row>
    <row r="511" spans="1:21" x14ac:dyDescent="0.25">
      <c r="B511" s="182" t="s">
        <v>29</v>
      </c>
      <c r="C511" s="182" t="s">
        <v>28</v>
      </c>
      <c r="D511" s="182">
        <v>6</v>
      </c>
      <c r="E511" s="182">
        <f>unskilled</f>
        <v>935</v>
      </c>
      <c r="F511" s="184">
        <f>(D511*E511)</f>
        <v>5610</v>
      </c>
      <c r="L511" s="182" t="s">
        <v>213</v>
      </c>
      <c r="M511" s="182" t="s">
        <v>58</v>
      </c>
      <c r="N511" s="182">
        <v>6</v>
      </c>
      <c r="O511" s="182">
        <f>loader</f>
        <v>2344</v>
      </c>
      <c r="P511" s="184">
        <f>(N511*O511)</f>
        <v>14064</v>
      </c>
    </row>
    <row r="512" spans="1:21" x14ac:dyDescent="0.25">
      <c r="L512" s="182" t="s">
        <v>193</v>
      </c>
      <c r="M512" s="182" t="s">
        <v>58</v>
      </c>
      <c r="N512" s="182">
        <v>6</v>
      </c>
      <c r="O512" s="182">
        <f>tipper</f>
        <v>1384</v>
      </c>
      <c r="P512" s="184">
        <f>(N512*O512)</f>
        <v>8304</v>
      </c>
    </row>
    <row r="513" spans="1:21" x14ac:dyDescent="0.25">
      <c r="A513" s="537" t="s">
        <v>30</v>
      </c>
      <c r="B513" s="537"/>
      <c r="C513" s="537"/>
      <c r="D513" s="537"/>
      <c r="E513" s="537"/>
      <c r="F513" s="184">
        <f>SUM(F509:F512)</f>
        <v>6855</v>
      </c>
      <c r="G513" s="537" t="s">
        <v>31</v>
      </c>
      <c r="H513" s="537"/>
      <c r="I513" s="537"/>
      <c r="J513" s="537"/>
      <c r="K513" s="184">
        <f>SUM(K509:K512)</f>
        <v>0</v>
      </c>
      <c r="L513" s="537" t="s">
        <v>32</v>
      </c>
      <c r="M513" s="537"/>
      <c r="N513" s="537"/>
      <c r="O513" s="537"/>
      <c r="P513" s="184">
        <f>SUM(P509:P512)</f>
        <v>28314</v>
      </c>
      <c r="Q513" s="537" t="s">
        <v>38</v>
      </c>
      <c r="R513" s="537"/>
      <c r="S513" s="537"/>
      <c r="T513" s="537"/>
      <c r="U513" s="223">
        <f>SUM(U509:U512)</f>
        <v>0</v>
      </c>
    </row>
    <row r="514" spans="1:21" x14ac:dyDescent="0.25">
      <c r="A514" s="537" t="s">
        <v>33</v>
      </c>
      <c r="B514" s="537"/>
      <c r="C514" s="537"/>
      <c r="D514" s="537"/>
      <c r="E514" s="537"/>
      <c r="F514" s="184">
        <f>SUM(F513+K513+P513)</f>
        <v>35169</v>
      </c>
      <c r="G514" s="537" t="s">
        <v>39</v>
      </c>
      <c r="H514" s="537"/>
      <c r="I514" s="537"/>
      <c r="J514" s="537"/>
      <c r="K514" s="184">
        <f>SUM(F513+K513+P513+U513)</f>
        <v>35169</v>
      </c>
      <c r="L514" s="537" t="s">
        <v>40</v>
      </c>
      <c r="M514" s="537"/>
      <c r="N514" s="537"/>
      <c r="O514" s="537"/>
      <c r="P514" s="184">
        <f>SUM(K514*0.15)</f>
        <v>5275.3499999999995</v>
      </c>
      <c r="Q514" s="537" t="s">
        <v>41</v>
      </c>
      <c r="R514" s="537"/>
      <c r="S514" s="537"/>
      <c r="T514" s="537"/>
      <c r="U514" s="223">
        <f>SUM(K514+P514)</f>
        <v>40444.35</v>
      </c>
    </row>
    <row r="515" spans="1:21" x14ac:dyDescent="0.25">
      <c r="Q515" s="537" t="s">
        <v>42</v>
      </c>
      <c r="R515" s="537"/>
      <c r="S515" s="537"/>
      <c r="T515" s="537"/>
      <c r="U515" s="224">
        <f>ROUND((U514/3000),2)</f>
        <v>13.48</v>
      </c>
    </row>
    <row r="516" spans="1:21" x14ac:dyDescent="0.25">
      <c r="A516" s="544"/>
      <c r="B516" s="544"/>
      <c r="C516" s="544"/>
      <c r="D516" s="544"/>
      <c r="E516" s="544"/>
      <c r="F516" s="544"/>
      <c r="G516" s="544"/>
      <c r="H516" s="544"/>
      <c r="I516" s="544"/>
      <c r="J516" s="544"/>
      <c r="K516" s="544"/>
      <c r="L516" s="544"/>
      <c r="M516" s="544"/>
      <c r="N516" s="544"/>
      <c r="O516" s="544"/>
      <c r="P516" s="544"/>
      <c r="Q516" s="544"/>
      <c r="R516" s="544"/>
      <c r="S516" s="544"/>
      <c r="T516" s="544"/>
      <c r="U516" s="544"/>
    </row>
    <row r="517" spans="1:21" x14ac:dyDescent="0.25">
      <c r="A517" s="538" t="s">
        <v>12</v>
      </c>
      <c r="B517" s="538"/>
      <c r="C517" s="540" t="s">
        <v>215</v>
      </c>
      <c r="D517" s="540"/>
      <c r="E517" s="540"/>
      <c r="F517" s="540"/>
      <c r="G517" s="540"/>
      <c r="H517" s="540"/>
      <c r="I517" s="540"/>
      <c r="J517" s="540"/>
      <c r="K517" s="540"/>
      <c r="L517" s="540"/>
      <c r="M517" s="540"/>
      <c r="N517" s="540"/>
      <c r="O517" s="540"/>
      <c r="P517" s="540"/>
      <c r="Q517" s="540"/>
      <c r="R517" s="540"/>
      <c r="S517" s="540"/>
      <c r="T517" s="540"/>
      <c r="U517" s="541" t="s">
        <v>205</v>
      </c>
    </row>
    <row r="518" spans="1:21" x14ac:dyDescent="0.25">
      <c r="A518" s="538"/>
      <c r="B518" s="538"/>
      <c r="C518" s="540"/>
      <c r="D518" s="540"/>
      <c r="E518" s="540"/>
      <c r="F518" s="540"/>
      <c r="G518" s="540"/>
      <c r="H518" s="540"/>
      <c r="I518" s="540"/>
      <c r="J518" s="540"/>
      <c r="K518" s="540"/>
      <c r="L518" s="540"/>
      <c r="M518" s="540"/>
      <c r="N518" s="540"/>
      <c r="O518" s="540"/>
      <c r="P518" s="540"/>
      <c r="Q518" s="540"/>
      <c r="R518" s="540"/>
      <c r="S518" s="540"/>
      <c r="T518" s="540"/>
      <c r="U518" s="541"/>
    </row>
    <row r="519" spans="1:21" x14ac:dyDescent="0.25">
      <c r="A519" s="539" t="s">
        <v>214</v>
      </c>
      <c r="B519" s="539"/>
      <c r="C519" s="540"/>
      <c r="D519" s="540"/>
      <c r="E519" s="540"/>
      <c r="F519" s="540"/>
      <c r="G519" s="540"/>
      <c r="H519" s="540"/>
      <c r="I519" s="540"/>
      <c r="J519" s="540"/>
      <c r="K519" s="540"/>
      <c r="L519" s="540"/>
      <c r="M519" s="540"/>
      <c r="N519" s="540"/>
      <c r="O519" s="540"/>
      <c r="P519" s="540"/>
      <c r="Q519" s="540"/>
      <c r="R519" s="540"/>
      <c r="S519" s="540"/>
      <c r="T519" s="540"/>
      <c r="U519" s="541"/>
    </row>
    <row r="520" spans="1:21" x14ac:dyDescent="0.25">
      <c r="A520" s="542" t="s">
        <v>16</v>
      </c>
      <c r="B520" s="543" t="s">
        <v>18</v>
      </c>
      <c r="C520" s="543"/>
      <c r="D520" s="543"/>
      <c r="E520" s="543"/>
      <c r="F520" s="543"/>
      <c r="G520" s="543" t="s">
        <v>24</v>
      </c>
      <c r="H520" s="543"/>
      <c r="I520" s="543"/>
      <c r="J520" s="543"/>
      <c r="K520" s="543"/>
      <c r="L520" s="543" t="s">
        <v>25</v>
      </c>
      <c r="M520" s="543"/>
      <c r="N520" s="543"/>
      <c r="O520" s="543"/>
      <c r="P520" s="543"/>
      <c r="Q520" s="543" t="s">
        <v>26</v>
      </c>
      <c r="R520" s="543"/>
      <c r="S520" s="543"/>
      <c r="T520" s="543"/>
      <c r="U520" s="543"/>
    </row>
    <row r="521" spans="1:21" x14ac:dyDescent="0.25">
      <c r="A521" s="542"/>
      <c r="B521" s="182" t="s">
        <v>19</v>
      </c>
      <c r="C521" s="182" t="s">
        <v>20</v>
      </c>
      <c r="D521" s="182" t="s">
        <v>21</v>
      </c>
      <c r="E521" s="182" t="s">
        <v>22</v>
      </c>
      <c r="F521" s="182" t="s">
        <v>23</v>
      </c>
      <c r="G521" s="182" t="s">
        <v>19</v>
      </c>
      <c r="H521" s="216" t="s">
        <v>20</v>
      </c>
      <c r="I521" s="182" t="s">
        <v>21</v>
      </c>
      <c r="J521" s="182" t="s">
        <v>22</v>
      </c>
      <c r="K521" s="182" t="s">
        <v>23</v>
      </c>
      <c r="L521" s="182" t="s">
        <v>19</v>
      </c>
      <c r="M521" s="182" t="s">
        <v>20</v>
      </c>
      <c r="N521" s="182" t="s">
        <v>21</v>
      </c>
      <c r="O521" s="182" t="s">
        <v>22</v>
      </c>
      <c r="P521" s="182" t="s">
        <v>23</v>
      </c>
      <c r="Q521" s="182" t="s">
        <v>19</v>
      </c>
      <c r="R521" s="182" t="s">
        <v>20</v>
      </c>
      <c r="S521" s="182" t="s">
        <v>21</v>
      </c>
      <c r="T521" s="182" t="s">
        <v>22</v>
      </c>
      <c r="U521" s="211" t="s">
        <v>23</v>
      </c>
    </row>
    <row r="522" spans="1:21" x14ac:dyDescent="0.25">
      <c r="A522" s="183" t="s">
        <v>216</v>
      </c>
      <c r="B522" s="182" t="s">
        <v>47</v>
      </c>
      <c r="C522" s="182" t="s">
        <v>28</v>
      </c>
      <c r="D522" s="182">
        <v>1</v>
      </c>
      <c r="E522" s="182">
        <f>skilled</f>
        <v>1245</v>
      </c>
      <c r="F522" s="184">
        <f>(D522*E522)</f>
        <v>1245</v>
      </c>
      <c r="G522" s="182" t="s">
        <v>171</v>
      </c>
      <c r="H522" s="216" t="s">
        <v>172</v>
      </c>
      <c r="I522" s="182">
        <v>72</v>
      </c>
      <c r="J522" s="182">
        <f>adopted_rate_water</f>
        <v>310</v>
      </c>
      <c r="K522" s="182">
        <f>(I522*J522)</f>
        <v>22320</v>
      </c>
      <c r="L522" s="182" t="s">
        <v>175</v>
      </c>
      <c r="M522" s="182" t="s">
        <v>58</v>
      </c>
      <c r="N522" s="182">
        <v>6</v>
      </c>
      <c r="O522" s="182">
        <f>motor_grader</f>
        <v>2915</v>
      </c>
      <c r="P522" s="184">
        <f>(N522*O522)</f>
        <v>17490</v>
      </c>
    </row>
    <row r="523" spans="1:21" x14ac:dyDescent="0.25">
      <c r="B523" s="182" t="s">
        <v>29</v>
      </c>
      <c r="C523" s="182" t="s">
        <v>28</v>
      </c>
      <c r="D523" s="182">
        <v>6</v>
      </c>
      <c r="E523" s="182">
        <f>unskilled</f>
        <v>935</v>
      </c>
      <c r="F523" s="184">
        <f>(D523*E523)</f>
        <v>5610</v>
      </c>
      <c r="G523" s="182" t="s">
        <v>217</v>
      </c>
      <c r="H523" s="216" t="s">
        <v>84</v>
      </c>
      <c r="I523" s="182">
        <v>750</v>
      </c>
      <c r="J523" s="182">
        <f>adopted_rate_capping_layer</f>
        <v>550.79999999999995</v>
      </c>
      <c r="K523" s="182">
        <f>(I523*J523)</f>
        <v>413099.99999999994</v>
      </c>
      <c r="L523" s="182" t="s">
        <v>176</v>
      </c>
      <c r="M523" s="182" t="s">
        <v>58</v>
      </c>
      <c r="N523" s="182">
        <v>6</v>
      </c>
      <c r="O523" s="182">
        <f>water_tanker</f>
        <v>1618</v>
      </c>
      <c r="P523" s="184">
        <f>(N523*O523)</f>
        <v>9708</v>
      </c>
    </row>
    <row r="524" spans="1:21" x14ac:dyDescent="0.25">
      <c r="A524" s="537" t="s">
        <v>30</v>
      </c>
      <c r="B524" s="537"/>
      <c r="C524" s="537"/>
      <c r="D524" s="537"/>
      <c r="E524" s="537"/>
      <c r="F524" s="184">
        <f>SUM(F521:F523)</f>
        <v>6855</v>
      </c>
      <c r="G524" s="537" t="s">
        <v>31</v>
      </c>
      <c r="H524" s="537"/>
      <c r="I524" s="537"/>
      <c r="J524" s="537"/>
      <c r="K524" s="184">
        <f>SUM(K521:K523)</f>
        <v>435419.99999999994</v>
      </c>
      <c r="L524" s="537" t="s">
        <v>32</v>
      </c>
      <c r="M524" s="537"/>
      <c r="N524" s="537"/>
      <c r="O524" s="537"/>
      <c r="P524" s="184">
        <f>SUM(P521:P523)</f>
        <v>27198</v>
      </c>
      <c r="Q524" s="537" t="s">
        <v>38</v>
      </c>
      <c r="R524" s="537"/>
      <c r="S524" s="537"/>
      <c r="T524" s="537"/>
      <c r="U524" s="223">
        <f>SUM(U521:U523)</f>
        <v>0</v>
      </c>
    </row>
    <row r="525" spans="1:21" x14ac:dyDescent="0.25">
      <c r="A525" s="537" t="s">
        <v>33</v>
      </c>
      <c r="B525" s="537"/>
      <c r="C525" s="537"/>
      <c r="D525" s="537"/>
      <c r="E525" s="537"/>
      <c r="F525" s="184">
        <f>SUM(F524+K524+P524)</f>
        <v>469472.99999999994</v>
      </c>
      <c r="G525" s="537" t="s">
        <v>39</v>
      </c>
      <c r="H525" s="537"/>
      <c r="I525" s="537"/>
      <c r="J525" s="537"/>
      <c r="K525" s="184">
        <f>SUM(F524+K524+P524+U524)</f>
        <v>469472.99999999994</v>
      </c>
      <c r="L525" s="537" t="s">
        <v>40</v>
      </c>
      <c r="M525" s="537"/>
      <c r="N525" s="537"/>
      <c r="O525" s="537"/>
      <c r="P525" s="184">
        <f>SUM(K525*0.15)</f>
        <v>70420.949999999983</v>
      </c>
      <c r="Q525" s="537" t="s">
        <v>41</v>
      </c>
      <c r="R525" s="537"/>
      <c r="S525" s="537"/>
      <c r="T525" s="537"/>
      <c r="U525" s="223">
        <f>SUM(K525+P525)</f>
        <v>539893.94999999995</v>
      </c>
    </row>
    <row r="526" spans="1:21" x14ac:dyDescent="0.25">
      <c r="Q526" s="537" t="s">
        <v>42</v>
      </c>
      <c r="R526" s="537"/>
      <c r="S526" s="537"/>
      <c r="T526" s="537"/>
      <c r="U526" s="224">
        <f>ROUND((U525/600),2)</f>
        <v>899.82</v>
      </c>
    </row>
    <row r="527" spans="1:21" x14ac:dyDescent="0.25">
      <c r="A527" s="544"/>
      <c r="B527" s="544"/>
      <c r="C527" s="544"/>
      <c r="D527" s="544"/>
      <c r="E527" s="544"/>
      <c r="F527" s="544"/>
      <c r="G527" s="544"/>
      <c r="H527" s="544"/>
      <c r="I527" s="544"/>
      <c r="J527" s="544"/>
      <c r="K527" s="544"/>
      <c r="L527" s="544"/>
      <c r="M527" s="544"/>
      <c r="N527" s="544"/>
      <c r="O527" s="544"/>
      <c r="P527" s="544"/>
      <c r="Q527" s="544"/>
      <c r="R527" s="544"/>
      <c r="S527" s="544"/>
      <c r="T527" s="544"/>
      <c r="U527" s="544"/>
    </row>
    <row r="528" spans="1:21" x14ac:dyDescent="0.25">
      <c r="A528" s="538" t="s">
        <v>12</v>
      </c>
      <c r="B528" s="538"/>
      <c r="C528" s="540" t="s">
        <v>219</v>
      </c>
      <c r="D528" s="540"/>
      <c r="E528" s="540"/>
      <c r="F528" s="540"/>
      <c r="G528" s="540"/>
      <c r="H528" s="540"/>
      <c r="I528" s="540"/>
      <c r="J528" s="540"/>
      <c r="K528" s="540"/>
      <c r="L528" s="540"/>
      <c r="M528" s="540"/>
      <c r="N528" s="540"/>
      <c r="O528" s="540"/>
      <c r="P528" s="540"/>
      <c r="Q528" s="540"/>
      <c r="R528" s="540"/>
      <c r="S528" s="540"/>
      <c r="T528" s="540"/>
      <c r="U528" s="541" t="s">
        <v>205</v>
      </c>
    </row>
    <row r="529" spans="1:21" x14ac:dyDescent="0.25">
      <c r="A529" s="538"/>
      <c r="B529" s="538"/>
      <c r="C529" s="540"/>
      <c r="D529" s="540"/>
      <c r="E529" s="540"/>
      <c r="F529" s="540"/>
      <c r="G529" s="540"/>
      <c r="H529" s="540"/>
      <c r="I529" s="540"/>
      <c r="J529" s="540"/>
      <c r="K529" s="540"/>
      <c r="L529" s="540"/>
      <c r="M529" s="540"/>
      <c r="N529" s="540"/>
      <c r="O529" s="540"/>
      <c r="P529" s="540"/>
      <c r="Q529" s="540"/>
      <c r="R529" s="540"/>
      <c r="S529" s="540"/>
      <c r="T529" s="540"/>
      <c r="U529" s="541"/>
    </row>
    <row r="530" spans="1:21" x14ac:dyDescent="0.25">
      <c r="A530" s="539" t="s">
        <v>218</v>
      </c>
      <c r="B530" s="539"/>
      <c r="C530" s="540"/>
      <c r="D530" s="540"/>
      <c r="E530" s="540"/>
      <c r="F530" s="540"/>
      <c r="G530" s="540"/>
      <c r="H530" s="540"/>
      <c r="I530" s="540"/>
      <c r="J530" s="540"/>
      <c r="K530" s="540"/>
      <c r="L530" s="540"/>
      <c r="M530" s="540"/>
      <c r="N530" s="540"/>
      <c r="O530" s="540"/>
      <c r="P530" s="540"/>
      <c r="Q530" s="540"/>
      <c r="R530" s="540"/>
      <c r="S530" s="540"/>
      <c r="T530" s="540"/>
      <c r="U530" s="541"/>
    </row>
    <row r="531" spans="1:21" x14ac:dyDescent="0.25">
      <c r="A531" s="542" t="s">
        <v>16</v>
      </c>
      <c r="B531" s="543" t="s">
        <v>18</v>
      </c>
      <c r="C531" s="543"/>
      <c r="D531" s="543"/>
      <c r="E531" s="543"/>
      <c r="F531" s="543"/>
      <c r="G531" s="543" t="s">
        <v>24</v>
      </c>
      <c r="H531" s="543"/>
      <c r="I531" s="543"/>
      <c r="J531" s="543"/>
      <c r="K531" s="543"/>
      <c r="L531" s="543" t="s">
        <v>25</v>
      </c>
      <c r="M531" s="543"/>
      <c r="N531" s="543"/>
      <c r="O531" s="543"/>
      <c r="P531" s="543"/>
      <c r="Q531" s="543" t="s">
        <v>26</v>
      </c>
      <c r="R531" s="543"/>
      <c r="S531" s="543"/>
      <c r="T531" s="543"/>
      <c r="U531" s="543"/>
    </row>
    <row r="532" spans="1:21" x14ac:dyDescent="0.25">
      <c r="A532" s="542"/>
      <c r="B532" s="182" t="s">
        <v>19</v>
      </c>
      <c r="C532" s="182" t="s">
        <v>20</v>
      </c>
      <c r="D532" s="182" t="s">
        <v>21</v>
      </c>
      <c r="E532" s="182" t="s">
        <v>22</v>
      </c>
      <c r="F532" s="182" t="s">
        <v>23</v>
      </c>
      <c r="G532" s="182" t="s">
        <v>19</v>
      </c>
      <c r="H532" s="216" t="s">
        <v>20</v>
      </c>
      <c r="I532" s="182" t="s">
        <v>21</v>
      </c>
      <c r="J532" s="182" t="s">
        <v>22</v>
      </c>
      <c r="K532" s="182" t="s">
        <v>23</v>
      </c>
      <c r="L532" s="182" t="s">
        <v>19</v>
      </c>
      <c r="M532" s="182" t="s">
        <v>20</v>
      </c>
      <c r="N532" s="182" t="s">
        <v>21</v>
      </c>
      <c r="O532" s="182" t="s">
        <v>22</v>
      </c>
      <c r="P532" s="182" t="s">
        <v>23</v>
      </c>
      <c r="Q532" s="182" t="s">
        <v>19</v>
      </c>
      <c r="R532" s="182" t="s">
        <v>20</v>
      </c>
      <c r="S532" s="182" t="s">
        <v>21</v>
      </c>
      <c r="T532" s="182" t="s">
        <v>22</v>
      </c>
      <c r="U532" s="211" t="s">
        <v>23</v>
      </c>
    </row>
    <row r="533" spans="1:21" x14ac:dyDescent="0.25">
      <c r="A533" s="183" t="s">
        <v>220</v>
      </c>
      <c r="B533" s="182" t="s">
        <v>47</v>
      </c>
      <c r="C533" s="182" t="s">
        <v>28</v>
      </c>
      <c r="D533" s="182">
        <v>1</v>
      </c>
      <c r="E533" s="182">
        <f>skilled</f>
        <v>1245</v>
      </c>
      <c r="F533" s="184">
        <f>(D533*E533)</f>
        <v>1245</v>
      </c>
      <c r="G533" s="182" t="s">
        <v>171</v>
      </c>
      <c r="H533" s="216" t="s">
        <v>172</v>
      </c>
      <c r="I533" s="182">
        <v>24</v>
      </c>
      <c r="J533" s="182">
        <f>adopted_rate_water</f>
        <v>310</v>
      </c>
      <c r="K533" s="182">
        <f>(I533*J533)</f>
        <v>7440</v>
      </c>
      <c r="L533" s="182" t="s">
        <v>207</v>
      </c>
      <c r="M533" s="182" t="s">
        <v>58</v>
      </c>
      <c r="N533" s="182">
        <v>12</v>
      </c>
      <c r="O533" s="182">
        <f>tractor_with_ripper</f>
        <v>991</v>
      </c>
      <c r="P533" s="184">
        <f>(N533*O533)</f>
        <v>11892</v>
      </c>
    </row>
    <row r="534" spans="1:21" x14ac:dyDescent="0.25">
      <c r="B534" s="182" t="s">
        <v>29</v>
      </c>
      <c r="C534" s="182" t="s">
        <v>28</v>
      </c>
      <c r="D534" s="182">
        <v>5</v>
      </c>
      <c r="E534" s="182">
        <f>unskilled</f>
        <v>935</v>
      </c>
      <c r="F534" s="184">
        <f>(D534*E534)</f>
        <v>4675</v>
      </c>
      <c r="L534" s="182" t="s">
        <v>175</v>
      </c>
      <c r="M534" s="182" t="s">
        <v>58</v>
      </c>
      <c r="N534" s="182">
        <v>6</v>
      </c>
      <c r="O534" s="182">
        <f>motor_grader</f>
        <v>2915</v>
      </c>
      <c r="P534" s="184">
        <f>(N534*O534)</f>
        <v>17490</v>
      </c>
    </row>
    <row r="535" spans="1:21" x14ac:dyDescent="0.25">
      <c r="L535" s="182" t="s">
        <v>176</v>
      </c>
      <c r="M535" s="182" t="s">
        <v>58</v>
      </c>
      <c r="N535" s="182">
        <v>12</v>
      </c>
      <c r="O535" s="182">
        <f>water_tanker</f>
        <v>1618</v>
      </c>
      <c r="P535" s="184">
        <f>(N535*O535)</f>
        <v>19416</v>
      </c>
    </row>
    <row r="536" spans="1:21" x14ac:dyDescent="0.25">
      <c r="A536" s="537" t="s">
        <v>30</v>
      </c>
      <c r="B536" s="537"/>
      <c r="C536" s="537"/>
      <c r="D536" s="537"/>
      <c r="E536" s="537"/>
      <c r="F536" s="184">
        <f>SUM(F532:F535)</f>
        <v>5920</v>
      </c>
      <c r="G536" s="537" t="s">
        <v>31</v>
      </c>
      <c r="H536" s="537"/>
      <c r="I536" s="537"/>
      <c r="J536" s="537"/>
      <c r="K536" s="184">
        <f>SUM(K532:K535)</f>
        <v>7440</v>
      </c>
      <c r="L536" s="537" t="s">
        <v>32</v>
      </c>
      <c r="M536" s="537"/>
      <c r="N536" s="537"/>
      <c r="O536" s="537"/>
      <c r="P536" s="184">
        <f>SUM(P532:P535)</f>
        <v>48798</v>
      </c>
      <c r="Q536" s="537" t="s">
        <v>38</v>
      </c>
      <c r="R536" s="537"/>
      <c r="S536" s="537"/>
      <c r="T536" s="537"/>
      <c r="U536" s="223">
        <f>SUM(U532:U535)</f>
        <v>0</v>
      </c>
    </row>
    <row r="537" spans="1:21" x14ac:dyDescent="0.25">
      <c r="A537" s="537" t="s">
        <v>33</v>
      </c>
      <c r="B537" s="537"/>
      <c r="C537" s="537"/>
      <c r="D537" s="537"/>
      <c r="E537" s="537"/>
      <c r="F537" s="184">
        <f>SUM(F536+K536+P536)</f>
        <v>62158</v>
      </c>
      <c r="G537" s="537" t="s">
        <v>39</v>
      </c>
      <c r="H537" s="537"/>
      <c r="I537" s="537"/>
      <c r="J537" s="537"/>
      <c r="K537" s="184">
        <f>SUM(F536+K536+P536+U536)</f>
        <v>62158</v>
      </c>
      <c r="L537" s="537" t="s">
        <v>40</v>
      </c>
      <c r="M537" s="537"/>
      <c r="N537" s="537"/>
      <c r="O537" s="537"/>
      <c r="P537" s="184">
        <f>SUM(K537*0.15)</f>
        <v>9323.6999999999989</v>
      </c>
      <c r="Q537" s="537" t="s">
        <v>41</v>
      </c>
      <c r="R537" s="537"/>
      <c r="S537" s="537"/>
      <c r="T537" s="537"/>
      <c r="U537" s="223">
        <f>SUM(K537+P537)</f>
        <v>71481.7</v>
      </c>
    </row>
    <row r="538" spans="1:21" x14ac:dyDescent="0.25">
      <c r="Q538" s="537" t="s">
        <v>42</v>
      </c>
      <c r="R538" s="537"/>
      <c r="S538" s="537"/>
      <c r="T538" s="537"/>
      <c r="U538" s="224">
        <f>ROUND((U537/600),2)</f>
        <v>119.14</v>
      </c>
    </row>
    <row r="539" spans="1:21" x14ac:dyDescent="0.25">
      <c r="A539" s="544"/>
      <c r="B539" s="544"/>
      <c r="C539" s="544"/>
      <c r="D539" s="544"/>
      <c r="E539" s="544"/>
      <c r="F539" s="544"/>
      <c r="G539" s="544"/>
      <c r="H539" s="544"/>
      <c r="I539" s="544"/>
      <c r="J539" s="544"/>
      <c r="K539" s="544"/>
      <c r="L539" s="544"/>
      <c r="M539" s="544"/>
      <c r="N539" s="544"/>
      <c r="O539" s="544"/>
      <c r="P539" s="544"/>
      <c r="Q539" s="544"/>
      <c r="R539" s="544"/>
      <c r="S539" s="544"/>
      <c r="T539" s="544"/>
      <c r="U539" s="544"/>
    </row>
    <row r="540" spans="1:21" x14ac:dyDescent="0.25">
      <c r="A540" s="538" t="s">
        <v>12</v>
      </c>
      <c r="B540" s="538"/>
      <c r="C540" s="540" t="s">
        <v>221</v>
      </c>
      <c r="D540" s="540"/>
      <c r="E540" s="540"/>
      <c r="F540" s="540"/>
      <c r="G540" s="540"/>
      <c r="H540" s="540"/>
      <c r="I540" s="540"/>
      <c r="J540" s="540"/>
      <c r="K540" s="540"/>
      <c r="L540" s="540"/>
      <c r="M540" s="540"/>
      <c r="N540" s="540"/>
      <c r="O540" s="540"/>
      <c r="P540" s="540"/>
      <c r="Q540" s="540"/>
      <c r="R540" s="540"/>
      <c r="S540" s="540"/>
      <c r="T540" s="540"/>
      <c r="U540" s="541" t="s">
        <v>205</v>
      </c>
    </row>
    <row r="541" spans="1:21" x14ac:dyDescent="0.25">
      <c r="A541" s="538"/>
      <c r="B541" s="538"/>
      <c r="C541" s="540"/>
      <c r="D541" s="540"/>
      <c r="E541" s="540"/>
      <c r="F541" s="540"/>
      <c r="G541" s="540"/>
      <c r="H541" s="540"/>
      <c r="I541" s="540"/>
      <c r="J541" s="540"/>
      <c r="K541" s="540"/>
      <c r="L541" s="540"/>
      <c r="M541" s="540"/>
      <c r="N541" s="540"/>
      <c r="O541" s="540"/>
      <c r="P541" s="540"/>
      <c r="Q541" s="540"/>
      <c r="R541" s="540"/>
      <c r="S541" s="540"/>
      <c r="T541" s="540"/>
      <c r="U541" s="541"/>
    </row>
    <row r="542" spans="1:21" x14ac:dyDescent="0.25">
      <c r="A542" s="539" t="s">
        <v>218</v>
      </c>
      <c r="B542" s="539"/>
      <c r="C542" s="540"/>
      <c r="D542" s="540"/>
      <c r="E542" s="540"/>
      <c r="F542" s="540"/>
      <c r="G542" s="540"/>
      <c r="H542" s="540"/>
      <c r="I542" s="540"/>
      <c r="J542" s="540"/>
      <c r="K542" s="540"/>
      <c r="L542" s="540"/>
      <c r="M542" s="540"/>
      <c r="N542" s="540"/>
      <c r="O542" s="540"/>
      <c r="P542" s="540"/>
      <c r="Q542" s="540"/>
      <c r="R542" s="540"/>
      <c r="S542" s="540"/>
      <c r="T542" s="540"/>
      <c r="U542" s="541"/>
    </row>
    <row r="543" spans="1:21" x14ac:dyDescent="0.25">
      <c r="A543" s="542" t="s">
        <v>16</v>
      </c>
      <c r="B543" s="543" t="s">
        <v>18</v>
      </c>
      <c r="C543" s="543"/>
      <c r="D543" s="543"/>
      <c r="E543" s="543"/>
      <c r="F543" s="543"/>
      <c r="G543" s="543" t="s">
        <v>24</v>
      </c>
      <c r="H543" s="543"/>
      <c r="I543" s="543"/>
      <c r="J543" s="543"/>
      <c r="K543" s="543"/>
      <c r="L543" s="543" t="s">
        <v>25</v>
      </c>
      <c r="M543" s="543"/>
      <c r="N543" s="543"/>
      <c r="O543" s="543"/>
      <c r="P543" s="543"/>
      <c r="Q543" s="543" t="s">
        <v>26</v>
      </c>
      <c r="R543" s="543"/>
      <c r="S543" s="543"/>
      <c r="T543" s="543"/>
      <c r="U543" s="543"/>
    </row>
    <row r="544" spans="1:21" x14ac:dyDescent="0.25">
      <c r="A544" s="542"/>
      <c r="B544" s="182" t="s">
        <v>19</v>
      </c>
      <c r="C544" s="182" t="s">
        <v>20</v>
      </c>
      <c r="D544" s="182" t="s">
        <v>21</v>
      </c>
      <c r="E544" s="182" t="s">
        <v>22</v>
      </c>
      <c r="F544" s="182" t="s">
        <v>23</v>
      </c>
      <c r="G544" s="182" t="s">
        <v>19</v>
      </c>
      <c r="H544" s="216" t="s">
        <v>20</v>
      </c>
      <c r="I544" s="182" t="s">
        <v>21</v>
      </c>
      <c r="J544" s="182" t="s">
        <v>22</v>
      </c>
      <c r="K544" s="182" t="s">
        <v>23</v>
      </c>
      <c r="L544" s="182" t="s">
        <v>19</v>
      </c>
      <c r="M544" s="182" t="s">
        <v>20</v>
      </c>
      <c r="N544" s="182" t="s">
        <v>21</v>
      </c>
      <c r="O544" s="182" t="s">
        <v>22</v>
      </c>
      <c r="P544" s="182" t="s">
        <v>23</v>
      </c>
      <c r="Q544" s="182" t="s">
        <v>19</v>
      </c>
      <c r="R544" s="182" t="s">
        <v>20</v>
      </c>
      <c r="S544" s="182" t="s">
        <v>21</v>
      </c>
      <c r="T544" s="182" t="s">
        <v>22</v>
      </c>
      <c r="U544" s="211" t="s">
        <v>23</v>
      </c>
    </row>
    <row r="545" spans="1:21" ht="31.5" x14ac:dyDescent="0.25">
      <c r="A545" s="183" t="s">
        <v>222</v>
      </c>
      <c r="B545" s="182" t="s">
        <v>47</v>
      </c>
      <c r="C545" s="182" t="s">
        <v>28</v>
      </c>
      <c r="D545" s="182">
        <v>1</v>
      </c>
      <c r="E545" s="182">
        <f>skilled</f>
        <v>1245</v>
      </c>
      <c r="F545" s="184">
        <f>(D545*E545)</f>
        <v>1245</v>
      </c>
      <c r="G545" s="182" t="s">
        <v>171</v>
      </c>
      <c r="H545" s="216" t="s">
        <v>172</v>
      </c>
      <c r="I545" s="182">
        <v>24</v>
      </c>
      <c r="J545" s="182">
        <f>adopted_rate_water</f>
        <v>310</v>
      </c>
      <c r="K545" s="182">
        <f>(I545*J545)</f>
        <v>7440</v>
      </c>
      <c r="L545" s="182" t="s">
        <v>207</v>
      </c>
      <c r="M545" s="182" t="s">
        <v>58</v>
      </c>
      <c r="N545" s="182">
        <v>6</v>
      </c>
      <c r="O545" s="182">
        <f>tractor_with_ripper</f>
        <v>991</v>
      </c>
      <c r="P545" s="184">
        <f>(N545*O545)</f>
        <v>5946</v>
      </c>
    </row>
    <row r="546" spans="1:21" x14ac:dyDescent="0.25">
      <c r="B546" s="182" t="s">
        <v>29</v>
      </c>
      <c r="C546" s="182" t="s">
        <v>28</v>
      </c>
      <c r="D546" s="182">
        <v>4</v>
      </c>
      <c r="E546" s="182">
        <f>unskilled</f>
        <v>935</v>
      </c>
      <c r="F546" s="184">
        <f>(D546*E546)</f>
        <v>3740</v>
      </c>
      <c r="L546" s="182" t="s">
        <v>176</v>
      </c>
      <c r="M546" s="182" t="s">
        <v>58</v>
      </c>
      <c r="N546" s="182">
        <v>12</v>
      </c>
      <c r="O546" s="182">
        <f>water_tanker</f>
        <v>1618</v>
      </c>
      <c r="P546" s="184">
        <f>(N546*O546)</f>
        <v>19416</v>
      </c>
    </row>
    <row r="547" spans="1:21" x14ac:dyDescent="0.25">
      <c r="A547" s="537" t="s">
        <v>30</v>
      </c>
      <c r="B547" s="537"/>
      <c r="C547" s="537"/>
      <c r="D547" s="537"/>
      <c r="E547" s="537"/>
      <c r="F547" s="184">
        <f>SUM(F544:F546)</f>
        <v>4985</v>
      </c>
      <c r="G547" s="537" t="s">
        <v>31</v>
      </c>
      <c r="H547" s="537"/>
      <c r="I547" s="537"/>
      <c r="J547" s="537"/>
      <c r="K547" s="184">
        <f>SUM(K544:K546)</f>
        <v>7440</v>
      </c>
      <c r="L547" s="537" t="s">
        <v>32</v>
      </c>
      <c r="M547" s="537"/>
      <c r="N547" s="537"/>
      <c r="O547" s="537"/>
      <c r="P547" s="184">
        <f>SUM(P544:P546)</f>
        <v>25362</v>
      </c>
      <c r="Q547" s="537" t="s">
        <v>38</v>
      </c>
      <c r="R547" s="537"/>
      <c r="S547" s="537"/>
      <c r="T547" s="537"/>
      <c r="U547" s="223">
        <f>SUM(U544:U546)</f>
        <v>0</v>
      </c>
    </row>
    <row r="548" spans="1:21" x14ac:dyDescent="0.25">
      <c r="A548" s="537" t="s">
        <v>33</v>
      </c>
      <c r="B548" s="537"/>
      <c r="C548" s="537"/>
      <c r="D548" s="537"/>
      <c r="E548" s="537"/>
      <c r="F548" s="184">
        <f>SUM(F547+K547+P547)</f>
        <v>37787</v>
      </c>
      <c r="G548" s="537" t="s">
        <v>39</v>
      </c>
      <c r="H548" s="537"/>
      <c r="I548" s="537"/>
      <c r="J548" s="537"/>
      <c r="K548" s="184">
        <f>SUM(F547+K547+P547+U547)</f>
        <v>37787</v>
      </c>
      <c r="L548" s="537" t="s">
        <v>40</v>
      </c>
      <c r="M548" s="537"/>
      <c r="N548" s="537"/>
      <c r="O548" s="537"/>
      <c r="P548" s="184">
        <f>SUM(K548*0.15)</f>
        <v>5668.05</v>
      </c>
      <c r="Q548" s="537" t="s">
        <v>41</v>
      </c>
      <c r="R548" s="537"/>
      <c r="S548" s="537"/>
      <c r="T548" s="537"/>
      <c r="U548" s="223">
        <f>SUM(K548+P548)</f>
        <v>43455.05</v>
      </c>
    </row>
    <row r="549" spans="1:21" x14ac:dyDescent="0.25">
      <c r="Q549" s="537" t="s">
        <v>42</v>
      </c>
      <c r="R549" s="537"/>
      <c r="S549" s="537"/>
      <c r="T549" s="537"/>
      <c r="U549" s="224">
        <f>ROUND((U548/600),2)</f>
        <v>72.430000000000007</v>
      </c>
    </row>
    <row r="550" spans="1:21" x14ac:dyDescent="0.25">
      <c r="A550" s="544"/>
      <c r="B550" s="544"/>
      <c r="C550" s="544"/>
      <c r="D550" s="544"/>
      <c r="E550" s="544"/>
      <c r="F550" s="544"/>
      <c r="G550" s="544"/>
      <c r="H550" s="544"/>
      <c r="I550" s="544"/>
      <c r="J550" s="544"/>
      <c r="K550" s="544"/>
      <c r="L550" s="544"/>
      <c r="M550" s="544"/>
      <c r="N550" s="544"/>
      <c r="O550" s="544"/>
      <c r="P550" s="544"/>
      <c r="Q550" s="544"/>
      <c r="R550" s="544"/>
      <c r="S550" s="544"/>
      <c r="T550" s="544"/>
      <c r="U550" s="544"/>
    </row>
    <row r="551" spans="1:21" x14ac:dyDescent="0.25">
      <c r="A551" s="538" t="s">
        <v>12</v>
      </c>
      <c r="B551" s="538"/>
      <c r="C551" s="540" t="s">
        <v>224</v>
      </c>
      <c r="D551" s="540"/>
      <c r="E551" s="540"/>
      <c r="F551" s="540"/>
      <c r="G551" s="540"/>
      <c r="H551" s="540"/>
      <c r="I551" s="540"/>
      <c r="J551" s="540"/>
      <c r="K551" s="540"/>
      <c r="L551" s="540"/>
      <c r="M551" s="540"/>
      <c r="N551" s="540"/>
      <c r="O551" s="540"/>
      <c r="P551" s="540"/>
      <c r="Q551" s="540"/>
      <c r="R551" s="540"/>
      <c r="S551" s="540"/>
      <c r="T551" s="540"/>
      <c r="U551" s="541" t="s">
        <v>205</v>
      </c>
    </row>
    <row r="552" spans="1:21" x14ac:dyDescent="0.25">
      <c r="A552" s="538"/>
      <c r="B552" s="538"/>
      <c r="C552" s="540"/>
      <c r="D552" s="540"/>
      <c r="E552" s="540"/>
      <c r="F552" s="540"/>
      <c r="G552" s="540"/>
      <c r="H552" s="540"/>
      <c r="I552" s="540"/>
      <c r="J552" s="540"/>
      <c r="K552" s="540"/>
      <c r="L552" s="540"/>
      <c r="M552" s="540"/>
      <c r="N552" s="540"/>
      <c r="O552" s="540"/>
      <c r="P552" s="540"/>
      <c r="Q552" s="540"/>
      <c r="R552" s="540"/>
      <c r="S552" s="540"/>
      <c r="T552" s="540"/>
      <c r="U552" s="541"/>
    </row>
    <row r="553" spans="1:21" x14ac:dyDescent="0.25">
      <c r="A553" s="539" t="s">
        <v>223</v>
      </c>
      <c r="B553" s="539"/>
      <c r="C553" s="540"/>
      <c r="D553" s="540"/>
      <c r="E553" s="540"/>
      <c r="F553" s="540"/>
      <c r="G553" s="540"/>
      <c r="H553" s="540"/>
      <c r="I553" s="540"/>
      <c r="J553" s="540"/>
      <c r="K553" s="540"/>
      <c r="L553" s="540"/>
      <c r="M553" s="540"/>
      <c r="N553" s="540"/>
      <c r="O553" s="540"/>
      <c r="P553" s="540"/>
      <c r="Q553" s="540"/>
      <c r="R553" s="540"/>
      <c r="S553" s="540"/>
      <c r="T553" s="540"/>
      <c r="U553" s="541"/>
    </row>
    <row r="554" spans="1:21" x14ac:dyDescent="0.25">
      <c r="A554" s="542" t="s">
        <v>16</v>
      </c>
      <c r="B554" s="543" t="s">
        <v>18</v>
      </c>
      <c r="C554" s="543"/>
      <c r="D554" s="543"/>
      <c r="E554" s="543"/>
      <c r="F554" s="543"/>
      <c r="G554" s="543" t="s">
        <v>24</v>
      </c>
      <c r="H554" s="543"/>
      <c r="I554" s="543"/>
      <c r="J554" s="543"/>
      <c r="K554" s="543"/>
      <c r="L554" s="543" t="s">
        <v>25</v>
      </c>
      <c r="M554" s="543"/>
      <c r="N554" s="543"/>
      <c r="O554" s="543"/>
      <c r="P554" s="543"/>
      <c r="Q554" s="543" t="s">
        <v>26</v>
      </c>
      <c r="R554" s="543"/>
      <c r="S554" s="543"/>
      <c r="T554" s="543"/>
      <c r="U554" s="543"/>
    </row>
    <row r="555" spans="1:21" x14ac:dyDescent="0.25">
      <c r="A555" s="542"/>
      <c r="B555" s="182" t="s">
        <v>19</v>
      </c>
      <c r="C555" s="182" t="s">
        <v>20</v>
      </c>
      <c r="D555" s="182" t="s">
        <v>21</v>
      </c>
      <c r="E555" s="182" t="s">
        <v>22</v>
      </c>
      <c r="F555" s="182" t="s">
        <v>23</v>
      </c>
      <c r="G555" s="182" t="s">
        <v>19</v>
      </c>
      <c r="H555" s="216" t="s">
        <v>20</v>
      </c>
      <c r="I555" s="182" t="s">
        <v>21</v>
      </c>
      <c r="J555" s="182" t="s">
        <v>22</v>
      </c>
      <c r="K555" s="182" t="s">
        <v>23</v>
      </c>
      <c r="L555" s="182" t="s">
        <v>19</v>
      </c>
      <c r="M555" s="182" t="s">
        <v>20</v>
      </c>
      <c r="N555" s="182" t="s">
        <v>21</v>
      </c>
      <c r="O555" s="182" t="s">
        <v>22</v>
      </c>
      <c r="P555" s="182" t="s">
        <v>23</v>
      </c>
      <c r="Q555" s="182" t="s">
        <v>19</v>
      </c>
      <c r="R555" s="182" t="s">
        <v>20</v>
      </c>
      <c r="S555" s="182" t="s">
        <v>21</v>
      </c>
      <c r="T555" s="182" t="s">
        <v>22</v>
      </c>
      <c r="U555" s="211" t="s">
        <v>23</v>
      </c>
    </row>
    <row r="556" spans="1:21" ht="31.5" x14ac:dyDescent="0.25">
      <c r="A556" s="183" t="s">
        <v>225</v>
      </c>
      <c r="B556" s="182" t="s">
        <v>47</v>
      </c>
      <c r="C556" s="182" t="s">
        <v>28</v>
      </c>
      <c r="D556" s="182">
        <v>2</v>
      </c>
      <c r="E556" s="182">
        <f>skilled</f>
        <v>1245</v>
      </c>
      <c r="F556" s="184">
        <f>(D556*E556)</f>
        <v>2490</v>
      </c>
      <c r="G556" s="182" t="s">
        <v>226</v>
      </c>
      <c r="H556" s="216" t="s">
        <v>35</v>
      </c>
      <c r="I556" s="182">
        <v>15.75</v>
      </c>
      <c r="J556" s="182">
        <f>adopted_rate_lime</f>
        <v>19000</v>
      </c>
      <c r="K556" s="182">
        <f>(I556*J556)</f>
        <v>299250</v>
      </c>
      <c r="L556" s="182" t="s">
        <v>227</v>
      </c>
      <c r="M556" s="182" t="s">
        <v>58</v>
      </c>
      <c r="N556" s="182">
        <v>12</v>
      </c>
      <c r="O556" s="182">
        <f>tractor_with_ripper_and_rotator</f>
        <v>0</v>
      </c>
      <c r="P556" s="184">
        <f>(N556*O556)</f>
        <v>0</v>
      </c>
    </row>
    <row r="557" spans="1:21" x14ac:dyDescent="0.25">
      <c r="B557" s="182" t="s">
        <v>29</v>
      </c>
      <c r="C557" s="182" t="s">
        <v>28</v>
      </c>
      <c r="D557" s="182">
        <v>12</v>
      </c>
      <c r="E557" s="182">
        <f>unskilled</f>
        <v>935</v>
      </c>
      <c r="F557" s="184">
        <f>(D557*E557)</f>
        <v>11220</v>
      </c>
      <c r="G557" s="182" t="s">
        <v>171</v>
      </c>
      <c r="H557" s="216" t="s">
        <v>172</v>
      </c>
      <c r="I557" s="182">
        <v>72</v>
      </c>
      <c r="J557" s="182">
        <f>adopted_rate_water</f>
        <v>310</v>
      </c>
      <c r="K557" s="182">
        <f>(I557*J557)</f>
        <v>22320</v>
      </c>
      <c r="L557" s="182" t="s">
        <v>175</v>
      </c>
      <c r="M557" s="182" t="s">
        <v>58</v>
      </c>
      <c r="N557" s="182">
        <v>6</v>
      </c>
      <c r="O557" s="182">
        <f>motor_grader</f>
        <v>2915</v>
      </c>
      <c r="P557" s="184">
        <f>(N557*O557)</f>
        <v>17490</v>
      </c>
    </row>
    <row r="558" spans="1:21" x14ac:dyDescent="0.25">
      <c r="L558" s="182" t="s">
        <v>176</v>
      </c>
      <c r="M558" s="182" t="s">
        <v>58</v>
      </c>
      <c r="N558" s="182">
        <v>6</v>
      </c>
      <c r="O558" s="182">
        <f>water_tanker</f>
        <v>1618</v>
      </c>
      <c r="P558" s="184">
        <f>(N558*O558)</f>
        <v>9708</v>
      </c>
    </row>
    <row r="559" spans="1:21" x14ac:dyDescent="0.25">
      <c r="A559" s="537" t="s">
        <v>30</v>
      </c>
      <c r="B559" s="537"/>
      <c r="C559" s="537"/>
      <c r="D559" s="537"/>
      <c r="E559" s="537"/>
      <c r="F559" s="184">
        <f>SUM(F555:F558)</f>
        <v>13710</v>
      </c>
      <c r="G559" s="537" t="s">
        <v>31</v>
      </c>
      <c r="H559" s="537"/>
      <c r="I559" s="537"/>
      <c r="J559" s="537"/>
      <c r="K559" s="184">
        <f>SUM(K555:K558)</f>
        <v>321570</v>
      </c>
      <c r="L559" s="537" t="s">
        <v>32</v>
      </c>
      <c r="M559" s="537"/>
      <c r="N559" s="537"/>
      <c r="O559" s="537"/>
      <c r="P559" s="184">
        <f>SUM(P555:P558)</f>
        <v>27198</v>
      </c>
      <c r="Q559" s="537" t="s">
        <v>38</v>
      </c>
      <c r="R559" s="537"/>
      <c r="S559" s="537"/>
      <c r="T559" s="537"/>
      <c r="U559" s="223">
        <f>SUM(U555:U558)</f>
        <v>0</v>
      </c>
    </row>
    <row r="560" spans="1:21" x14ac:dyDescent="0.25">
      <c r="A560" s="537" t="s">
        <v>33</v>
      </c>
      <c r="B560" s="537"/>
      <c r="C560" s="537"/>
      <c r="D560" s="537"/>
      <c r="E560" s="537"/>
      <c r="F560" s="184">
        <f>SUM(F559+K559+P559)</f>
        <v>362478</v>
      </c>
      <c r="G560" s="537" t="s">
        <v>39</v>
      </c>
      <c r="H560" s="537"/>
      <c r="I560" s="537"/>
      <c r="J560" s="537"/>
      <c r="K560" s="184">
        <f>SUM(F559+K559+P559+U559)</f>
        <v>362478</v>
      </c>
      <c r="L560" s="537" t="s">
        <v>40</v>
      </c>
      <c r="M560" s="537"/>
      <c r="N560" s="537"/>
      <c r="O560" s="537"/>
      <c r="P560" s="184">
        <f>SUM(K560*0.15)</f>
        <v>54371.7</v>
      </c>
      <c r="Q560" s="537" t="s">
        <v>41</v>
      </c>
      <c r="R560" s="537"/>
      <c r="S560" s="537"/>
      <c r="T560" s="537"/>
      <c r="U560" s="223">
        <f>SUM(K560+P560)</f>
        <v>416849.7</v>
      </c>
    </row>
    <row r="561" spans="1:21" x14ac:dyDescent="0.25">
      <c r="Q561" s="537" t="s">
        <v>42</v>
      </c>
      <c r="R561" s="537"/>
      <c r="S561" s="537"/>
      <c r="T561" s="537"/>
      <c r="U561" s="224">
        <f>ROUND((U560/600),2)</f>
        <v>694.75</v>
      </c>
    </row>
    <row r="562" spans="1:21" x14ac:dyDescent="0.25">
      <c r="A562" s="544"/>
      <c r="B562" s="544"/>
      <c r="C562" s="544"/>
      <c r="D562" s="544"/>
      <c r="E562" s="544"/>
      <c r="F562" s="544"/>
      <c r="G562" s="544"/>
      <c r="H562" s="544"/>
      <c r="I562" s="544"/>
      <c r="J562" s="544"/>
      <c r="K562" s="544"/>
      <c r="L562" s="544"/>
      <c r="M562" s="544"/>
      <c r="N562" s="544"/>
      <c r="O562" s="544"/>
      <c r="P562" s="544"/>
      <c r="Q562" s="544"/>
      <c r="R562" s="544"/>
      <c r="S562" s="544"/>
      <c r="T562" s="544"/>
      <c r="U562" s="544"/>
    </row>
    <row r="563" spans="1:21" s="199" customFormat="1" x14ac:dyDescent="0.25">
      <c r="A563" s="525" t="s">
        <v>12</v>
      </c>
      <c r="B563" s="525"/>
      <c r="C563" s="526" t="s">
        <v>229</v>
      </c>
      <c r="D563" s="526"/>
      <c r="E563" s="526"/>
      <c r="F563" s="526"/>
      <c r="G563" s="526"/>
      <c r="H563" s="526"/>
      <c r="I563" s="526"/>
      <c r="J563" s="526"/>
      <c r="K563" s="526"/>
      <c r="L563" s="526"/>
      <c r="M563" s="526"/>
      <c r="N563" s="526"/>
      <c r="O563" s="526"/>
      <c r="P563" s="526"/>
      <c r="Q563" s="526"/>
      <c r="R563" s="526"/>
      <c r="S563" s="526"/>
      <c r="T563" s="526"/>
      <c r="U563" s="524" t="s">
        <v>230</v>
      </c>
    </row>
    <row r="564" spans="1:21" s="199" customFormat="1" x14ac:dyDescent="0.25">
      <c r="A564" s="525"/>
      <c r="B564" s="525"/>
      <c r="C564" s="526"/>
      <c r="D564" s="526"/>
      <c r="E564" s="526"/>
      <c r="F564" s="526"/>
      <c r="G564" s="526"/>
      <c r="H564" s="526"/>
      <c r="I564" s="526"/>
      <c r="J564" s="526"/>
      <c r="K564" s="526"/>
      <c r="L564" s="526"/>
      <c r="M564" s="526"/>
      <c r="N564" s="526"/>
      <c r="O564" s="526"/>
      <c r="P564" s="526"/>
      <c r="Q564" s="526"/>
      <c r="R564" s="526"/>
      <c r="S564" s="526"/>
      <c r="T564" s="526"/>
      <c r="U564" s="524"/>
    </row>
    <row r="565" spans="1:21" s="199" customFormat="1" x14ac:dyDescent="0.25">
      <c r="A565" s="527" t="s">
        <v>228</v>
      </c>
      <c r="B565" s="527"/>
      <c r="C565" s="526"/>
      <c r="D565" s="526"/>
      <c r="E565" s="526"/>
      <c r="F565" s="526"/>
      <c r="G565" s="526"/>
      <c r="H565" s="526"/>
      <c r="I565" s="526"/>
      <c r="J565" s="526"/>
      <c r="K565" s="526"/>
      <c r="L565" s="526"/>
      <c r="M565" s="526"/>
      <c r="N565" s="526"/>
      <c r="O565" s="526"/>
      <c r="P565" s="526"/>
      <c r="Q565" s="526"/>
      <c r="R565" s="526"/>
      <c r="S565" s="526"/>
      <c r="T565" s="526"/>
      <c r="U565" s="524"/>
    </row>
    <row r="566" spans="1:21" s="199" customFormat="1" x14ac:dyDescent="0.25">
      <c r="A566" s="528" t="s">
        <v>16</v>
      </c>
      <c r="B566" s="529" t="s">
        <v>18</v>
      </c>
      <c r="C566" s="529"/>
      <c r="D566" s="529"/>
      <c r="E566" s="529"/>
      <c r="F566" s="529"/>
      <c r="G566" s="529" t="s">
        <v>24</v>
      </c>
      <c r="H566" s="529"/>
      <c r="I566" s="529"/>
      <c r="J566" s="529"/>
      <c r="K566" s="529"/>
      <c r="L566" s="529" t="s">
        <v>25</v>
      </c>
      <c r="M566" s="529"/>
      <c r="N566" s="529"/>
      <c r="O566" s="529"/>
      <c r="P566" s="529"/>
      <c r="Q566" s="529" t="s">
        <v>26</v>
      </c>
      <c r="R566" s="529"/>
      <c r="S566" s="529"/>
      <c r="T566" s="529"/>
      <c r="U566" s="529"/>
    </row>
    <row r="567" spans="1:21" s="199" customFormat="1" x14ac:dyDescent="0.25">
      <c r="A567" s="528"/>
      <c r="B567" s="197" t="s">
        <v>19</v>
      </c>
      <c r="C567" s="197" t="s">
        <v>20</v>
      </c>
      <c r="D567" s="197" t="s">
        <v>21</v>
      </c>
      <c r="E567" s="197" t="s">
        <v>22</v>
      </c>
      <c r="F567" s="197" t="s">
        <v>23</v>
      </c>
      <c r="G567" s="197" t="s">
        <v>19</v>
      </c>
      <c r="H567" s="219" t="s">
        <v>20</v>
      </c>
      <c r="I567" s="197" t="s">
        <v>21</v>
      </c>
      <c r="J567" s="197" t="s">
        <v>22</v>
      </c>
      <c r="K567" s="197" t="s">
        <v>23</v>
      </c>
      <c r="L567" s="197" t="s">
        <v>19</v>
      </c>
      <c r="M567" s="197" t="s">
        <v>20</v>
      </c>
      <c r="N567" s="197" t="s">
        <v>21</v>
      </c>
      <c r="O567" s="197" t="s">
        <v>22</v>
      </c>
      <c r="P567" s="197" t="s">
        <v>23</v>
      </c>
      <c r="Q567" s="197" t="s">
        <v>19</v>
      </c>
      <c r="R567" s="197" t="s">
        <v>20</v>
      </c>
      <c r="S567" s="197" t="s">
        <v>21</v>
      </c>
      <c r="T567" s="197" t="s">
        <v>22</v>
      </c>
      <c r="U567" s="214" t="s">
        <v>23</v>
      </c>
    </row>
    <row r="568" spans="1:21" s="199" customFormat="1" x14ac:dyDescent="0.25">
      <c r="A568" s="200" t="s">
        <v>231</v>
      </c>
      <c r="B568" s="197" t="s">
        <v>47</v>
      </c>
      <c r="C568" s="197" t="s">
        <v>28</v>
      </c>
      <c r="D568" s="197">
        <v>3</v>
      </c>
      <c r="E568" s="197">
        <f>skilled</f>
        <v>1245</v>
      </c>
      <c r="F568" s="201">
        <f>(D568*E568)</f>
        <v>3735</v>
      </c>
      <c r="G568" s="197" t="s">
        <v>232</v>
      </c>
      <c r="H568" s="219" t="s">
        <v>84</v>
      </c>
      <c r="I568" s="197">
        <v>6</v>
      </c>
      <c r="J568" s="207">
        <f>District_Rate!G108</f>
        <v>2575.44</v>
      </c>
      <c r="K568" s="197">
        <f>(I568*J568)</f>
        <v>15452.64</v>
      </c>
      <c r="U568" s="215"/>
    </row>
    <row r="569" spans="1:21" s="199" customFormat="1" x14ac:dyDescent="0.25">
      <c r="B569" s="197" t="s">
        <v>29</v>
      </c>
      <c r="C569" s="197" t="s">
        <v>28</v>
      </c>
      <c r="D569" s="197">
        <v>4</v>
      </c>
      <c r="E569" s="197">
        <f>unskilled</f>
        <v>935</v>
      </c>
      <c r="F569" s="201">
        <f>(D569*E569)</f>
        <v>3740</v>
      </c>
      <c r="G569" s="197"/>
      <c r="H569" s="219"/>
      <c r="I569" s="197">
        <v>0</v>
      </c>
      <c r="U569" s="215"/>
    </row>
    <row r="570" spans="1:21" s="199" customFormat="1" x14ac:dyDescent="0.25">
      <c r="A570" s="524" t="s">
        <v>30</v>
      </c>
      <c r="B570" s="524"/>
      <c r="C570" s="524"/>
      <c r="D570" s="524"/>
      <c r="E570" s="524"/>
      <c r="F570" s="201">
        <f>SUM(F567:F569)</f>
        <v>7475</v>
      </c>
      <c r="G570" s="524" t="s">
        <v>31</v>
      </c>
      <c r="H570" s="524"/>
      <c r="I570" s="524"/>
      <c r="J570" s="524"/>
      <c r="K570" s="201">
        <f>SUM(K567:K569)</f>
        <v>15452.64</v>
      </c>
      <c r="L570" s="524" t="s">
        <v>32</v>
      </c>
      <c r="M570" s="524"/>
      <c r="N570" s="524"/>
      <c r="O570" s="524"/>
      <c r="P570" s="201">
        <f>SUM(P567:P569)</f>
        <v>0</v>
      </c>
      <c r="Q570" s="524" t="s">
        <v>38</v>
      </c>
      <c r="R570" s="524"/>
      <c r="S570" s="524"/>
      <c r="T570" s="524"/>
      <c r="U570" s="225">
        <f>SUM(U567:U569)</f>
        <v>0</v>
      </c>
    </row>
    <row r="571" spans="1:21" s="199" customFormat="1" x14ac:dyDescent="0.25">
      <c r="A571" s="524" t="s">
        <v>33</v>
      </c>
      <c r="B571" s="524"/>
      <c r="C571" s="524"/>
      <c r="D571" s="524"/>
      <c r="E571" s="524"/>
      <c r="F571" s="201">
        <f>SUM(F570+K570+P570)</f>
        <v>22927.64</v>
      </c>
      <c r="G571" s="524" t="s">
        <v>39</v>
      </c>
      <c r="H571" s="524"/>
      <c r="I571" s="524"/>
      <c r="J571" s="524"/>
      <c r="K571" s="201">
        <f>SUM(F570+K570+P570+U570)</f>
        <v>22927.64</v>
      </c>
      <c r="L571" s="524" t="s">
        <v>40</v>
      </c>
      <c r="M571" s="524"/>
      <c r="N571" s="524"/>
      <c r="O571" s="524"/>
      <c r="P571" s="201">
        <f>SUM(K571*0.15)</f>
        <v>3439.1459999999997</v>
      </c>
      <c r="Q571" s="524" t="s">
        <v>41</v>
      </c>
      <c r="R571" s="524"/>
      <c r="S571" s="524"/>
      <c r="T571" s="524"/>
      <c r="U571" s="225">
        <f>SUM(K571+P571)</f>
        <v>26366.786</v>
      </c>
    </row>
    <row r="572" spans="1:21" s="199" customFormat="1" x14ac:dyDescent="0.25">
      <c r="H572" s="220"/>
      <c r="Q572" s="524" t="s">
        <v>42</v>
      </c>
      <c r="R572" s="524"/>
      <c r="S572" s="524"/>
      <c r="T572" s="524"/>
      <c r="U572" s="206">
        <f>ROUND((U571/5),2)</f>
        <v>5273.36</v>
      </c>
    </row>
    <row r="573" spans="1:21" s="199" customFormat="1" x14ac:dyDescent="0.25">
      <c r="H573" s="220"/>
      <c r="Q573" s="255"/>
      <c r="R573" s="255"/>
      <c r="S573" s="255"/>
      <c r="T573" s="255"/>
      <c r="U573" s="255"/>
    </row>
    <row r="574" spans="1:21" s="199" customFormat="1" x14ac:dyDescent="0.25">
      <c r="A574" s="545" t="s">
        <v>12</v>
      </c>
      <c r="B574" s="546"/>
      <c r="C574" s="551" t="s">
        <v>2354</v>
      </c>
      <c r="D574" s="552"/>
      <c r="E574" s="552"/>
      <c r="F574" s="552"/>
      <c r="G574" s="552"/>
      <c r="H574" s="552"/>
      <c r="I574" s="552"/>
      <c r="J574" s="552"/>
      <c r="K574" s="552"/>
      <c r="L574" s="552"/>
      <c r="M574" s="552"/>
      <c r="N574" s="552"/>
      <c r="O574" s="552"/>
      <c r="P574" s="552"/>
      <c r="Q574" s="552"/>
      <c r="R574" s="552"/>
      <c r="S574" s="552"/>
      <c r="T574" s="553"/>
      <c r="U574" s="560" t="s">
        <v>230</v>
      </c>
    </row>
    <row r="575" spans="1:21" s="199" customFormat="1" x14ac:dyDescent="0.25">
      <c r="A575" s="547"/>
      <c r="B575" s="548"/>
      <c r="C575" s="554"/>
      <c r="D575" s="555"/>
      <c r="E575" s="555"/>
      <c r="F575" s="555"/>
      <c r="G575" s="555"/>
      <c r="H575" s="555"/>
      <c r="I575" s="555"/>
      <c r="J575" s="555"/>
      <c r="K575" s="555"/>
      <c r="L575" s="555"/>
      <c r="M575" s="555"/>
      <c r="N575" s="555"/>
      <c r="O575" s="555"/>
      <c r="P575" s="555"/>
      <c r="Q575" s="555"/>
      <c r="R575" s="555"/>
      <c r="S575" s="555"/>
      <c r="T575" s="556"/>
      <c r="U575" s="561"/>
    </row>
    <row r="576" spans="1:21" s="199" customFormat="1" x14ac:dyDescent="0.25">
      <c r="A576" s="549" t="s">
        <v>228</v>
      </c>
      <c r="B576" s="550"/>
      <c r="C576" s="557"/>
      <c r="D576" s="558"/>
      <c r="E576" s="558"/>
      <c r="F576" s="558"/>
      <c r="G576" s="558"/>
      <c r="H576" s="558"/>
      <c r="I576" s="558"/>
      <c r="J576" s="558"/>
      <c r="K576" s="558"/>
      <c r="L576" s="558"/>
      <c r="M576" s="558"/>
      <c r="N576" s="558"/>
      <c r="O576" s="558"/>
      <c r="P576" s="558"/>
      <c r="Q576" s="558"/>
      <c r="R576" s="558"/>
      <c r="S576" s="558"/>
      <c r="T576" s="559"/>
      <c r="U576" s="562"/>
    </row>
    <row r="577" spans="1:21" s="199" customFormat="1" x14ac:dyDescent="0.25">
      <c r="A577" s="563" t="s">
        <v>16</v>
      </c>
      <c r="B577" s="565" t="s">
        <v>18</v>
      </c>
      <c r="C577" s="566"/>
      <c r="D577" s="566"/>
      <c r="E577" s="566"/>
      <c r="F577" s="567"/>
      <c r="G577" s="565" t="s">
        <v>24</v>
      </c>
      <c r="H577" s="566"/>
      <c r="I577" s="566"/>
      <c r="J577" s="566"/>
      <c r="K577" s="567"/>
      <c r="L577" s="565" t="s">
        <v>25</v>
      </c>
      <c r="M577" s="566"/>
      <c r="N577" s="566"/>
      <c r="O577" s="566"/>
      <c r="P577" s="567"/>
      <c r="Q577" s="565" t="s">
        <v>26</v>
      </c>
      <c r="R577" s="566"/>
      <c r="S577" s="566"/>
      <c r="T577" s="566"/>
      <c r="U577" s="567"/>
    </row>
    <row r="578" spans="1:21" s="199" customFormat="1" x14ac:dyDescent="0.25">
      <c r="A578" s="564"/>
      <c r="B578" s="197" t="s">
        <v>19</v>
      </c>
      <c r="C578" s="197" t="s">
        <v>20</v>
      </c>
      <c r="D578" s="197" t="s">
        <v>21</v>
      </c>
      <c r="E578" s="197" t="s">
        <v>22</v>
      </c>
      <c r="F578" s="197" t="s">
        <v>23</v>
      </c>
      <c r="G578" s="197" t="s">
        <v>19</v>
      </c>
      <c r="H578" s="219" t="s">
        <v>20</v>
      </c>
      <c r="I578" s="197" t="s">
        <v>21</v>
      </c>
      <c r="J578" s="197" t="s">
        <v>22</v>
      </c>
      <c r="K578" s="197" t="s">
        <v>23</v>
      </c>
      <c r="L578" s="197" t="s">
        <v>19</v>
      </c>
      <c r="M578" s="197" t="s">
        <v>20</v>
      </c>
      <c r="N578" s="197" t="s">
        <v>21</v>
      </c>
      <c r="O578" s="197" t="s">
        <v>22</v>
      </c>
      <c r="P578" s="197" t="s">
        <v>23</v>
      </c>
      <c r="Q578" s="197" t="s">
        <v>19</v>
      </c>
      <c r="R578" s="197" t="s">
        <v>20</v>
      </c>
      <c r="S578" s="197" t="s">
        <v>21</v>
      </c>
      <c r="T578" s="197" t="s">
        <v>22</v>
      </c>
      <c r="U578" s="214" t="s">
        <v>23</v>
      </c>
    </row>
    <row r="579" spans="1:21" s="199" customFormat="1" x14ac:dyDescent="0.25">
      <c r="A579" s="330" t="s">
        <v>231</v>
      </c>
      <c r="B579" s="197" t="s">
        <v>47</v>
      </c>
      <c r="C579" s="197" t="s">
        <v>28</v>
      </c>
      <c r="D579" s="197">
        <v>3</v>
      </c>
      <c r="E579" s="197">
        <f>skilled</f>
        <v>1245</v>
      </c>
      <c r="F579" s="201">
        <f>(D579*E579)</f>
        <v>3735</v>
      </c>
      <c r="G579" s="197" t="s">
        <v>232</v>
      </c>
      <c r="H579" s="219" t="s">
        <v>84</v>
      </c>
      <c r="I579" s="197">
        <v>6</v>
      </c>
      <c r="J579" s="207">
        <f>District_Rate!L109</f>
        <v>2469.6</v>
      </c>
      <c r="K579" s="197">
        <f>(I579*J579)</f>
        <v>14817.599999999999</v>
      </c>
      <c r="U579" s="215"/>
    </row>
    <row r="580" spans="1:21" s="199" customFormat="1" x14ac:dyDescent="0.25">
      <c r="B580" s="197" t="s">
        <v>29</v>
      </c>
      <c r="C580" s="197" t="s">
        <v>28</v>
      </c>
      <c r="D580" s="197">
        <v>4</v>
      </c>
      <c r="E580" s="197">
        <f>unskilled</f>
        <v>935</v>
      </c>
      <c r="F580" s="201">
        <f>(D580*E580)</f>
        <v>3740</v>
      </c>
      <c r="G580" s="197"/>
      <c r="H580" s="219"/>
      <c r="I580" s="197">
        <v>0</v>
      </c>
      <c r="U580" s="215"/>
    </row>
    <row r="581" spans="1:21" s="199" customFormat="1" x14ac:dyDescent="0.25">
      <c r="A581" s="568" t="s">
        <v>30</v>
      </c>
      <c r="B581" s="569"/>
      <c r="C581" s="569"/>
      <c r="D581" s="569"/>
      <c r="E581" s="570"/>
      <c r="F581" s="201">
        <f>SUM(F578:F580)</f>
        <v>7475</v>
      </c>
      <c r="G581" s="568" t="s">
        <v>31</v>
      </c>
      <c r="H581" s="569"/>
      <c r="I581" s="569"/>
      <c r="J581" s="570"/>
      <c r="K581" s="201">
        <f>SUM(K578:K580)</f>
        <v>14817.599999999999</v>
      </c>
      <c r="L581" s="568" t="s">
        <v>32</v>
      </c>
      <c r="M581" s="569"/>
      <c r="N581" s="569"/>
      <c r="O581" s="570"/>
      <c r="P581" s="201">
        <f>SUM(P578:P580)</f>
        <v>0</v>
      </c>
      <c r="Q581" s="568" t="s">
        <v>38</v>
      </c>
      <c r="R581" s="569"/>
      <c r="S581" s="569"/>
      <c r="T581" s="570"/>
      <c r="U581" s="225">
        <f>SUM(U578:U580)</f>
        <v>0</v>
      </c>
    </row>
    <row r="582" spans="1:21" s="199" customFormat="1" x14ac:dyDescent="0.25">
      <c r="A582" s="568" t="s">
        <v>33</v>
      </c>
      <c r="B582" s="569"/>
      <c r="C582" s="569"/>
      <c r="D582" s="569"/>
      <c r="E582" s="570"/>
      <c r="F582" s="201">
        <f>SUM(F581+K581+P581)</f>
        <v>22292.6</v>
      </c>
      <c r="G582" s="568" t="s">
        <v>39</v>
      </c>
      <c r="H582" s="569"/>
      <c r="I582" s="569"/>
      <c r="J582" s="570"/>
      <c r="K582" s="201">
        <f>SUM(F581+K581+P581+U581)</f>
        <v>22292.6</v>
      </c>
      <c r="L582" s="568" t="s">
        <v>40</v>
      </c>
      <c r="M582" s="569"/>
      <c r="N582" s="569"/>
      <c r="O582" s="570"/>
      <c r="P582" s="201">
        <f>SUM(K582*0.15)</f>
        <v>3343.89</v>
      </c>
      <c r="Q582" s="568" t="s">
        <v>41</v>
      </c>
      <c r="R582" s="569"/>
      <c r="S582" s="569"/>
      <c r="T582" s="570"/>
      <c r="U582" s="225">
        <f>SUM(K582+P582)</f>
        <v>25636.489999999998</v>
      </c>
    </row>
    <row r="583" spans="1:21" s="199" customFormat="1" x14ac:dyDescent="0.25">
      <c r="H583" s="220"/>
      <c r="Q583" s="568" t="s">
        <v>42</v>
      </c>
      <c r="R583" s="569"/>
      <c r="S583" s="569"/>
      <c r="T583" s="570"/>
      <c r="U583" s="329">
        <f>ROUND((U582/5),2)</f>
        <v>5127.3</v>
      </c>
    </row>
    <row r="584" spans="1:21" s="199" customFormat="1" x14ac:dyDescent="0.25">
      <c r="H584" s="220"/>
      <c r="Q584" s="379"/>
      <c r="R584" s="380"/>
      <c r="S584" s="380"/>
      <c r="T584" s="381"/>
      <c r="U584" s="346"/>
    </row>
    <row r="585" spans="1:21" s="199" customFormat="1" x14ac:dyDescent="0.25">
      <c r="A585" s="525" t="s">
        <v>12</v>
      </c>
      <c r="B585" s="525"/>
      <c r="C585" s="526" t="s">
        <v>2382</v>
      </c>
      <c r="D585" s="526"/>
      <c r="E585" s="526"/>
      <c r="F585" s="526"/>
      <c r="G585" s="526"/>
      <c r="H585" s="526"/>
      <c r="I585" s="526"/>
      <c r="J585" s="526"/>
      <c r="K585" s="526"/>
      <c r="L585" s="526"/>
      <c r="M585" s="526"/>
      <c r="N585" s="526"/>
      <c r="O585" s="526"/>
      <c r="P585" s="526"/>
      <c r="Q585" s="526"/>
      <c r="R585" s="526"/>
      <c r="S585" s="526"/>
      <c r="T585" s="526"/>
      <c r="U585" s="524" t="s">
        <v>230</v>
      </c>
    </row>
    <row r="586" spans="1:21" s="199" customFormat="1" x14ac:dyDescent="0.25">
      <c r="A586" s="525"/>
      <c r="B586" s="525"/>
      <c r="C586" s="526"/>
      <c r="D586" s="526"/>
      <c r="E586" s="526"/>
      <c r="F586" s="526"/>
      <c r="G586" s="526"/>
      <c r="H586" s="526"/>
      <c r="I586" s="526"/>
      <c r="J586" s="526"/>
      <c r="K586" s="526"/>
      <c r="L586" s="526"/>
      <c r="M586" s="526"/>
      <c r="N586" s="526"/>
      <c r="O586" s="526"/>
      <c r="P586" s="526"/>
      <c r="Q586" s="526"/>
      <c r="R586" s="526"/>
      <c r="S586" s="526"/>
      <c r="T586" s="526"/>
      <c r="U586" s="524"/>
    </row>
    <row r="587" spans="1:21" s="199" customFormat="1" x14ac:dyDescent="0.25">
      <c r="A587" s="527" t="s">
        <v>228</v>
      </c>
      <c r="B587" s="527"/>
      <c r="C587" s="526"/>
      <c r="D587" s="526"/>
      <c r="E587" s="526"/>
      <c r="F587" s="526"/>
      <c r="G587" s="526"/>
      <c r="H587" s="526"/>
      <c r="I587" s="526"/>
      <c r="J587" s="526"/>
      <c r="K587" s="526"/>
      <c r="L587" s="526"/>
      <c r="M587" s="526"/>
      <c r="N587" s="526"/>
      <c r="O587" s="526"/>
      <c r="P587" s="526"/>
      <c r="Q587" s="526"/>
      <c r="R587" s="526"/>
      <c r="S587" s="526"/>
      <c r="T587" s="526"/>
      <c r="U587" s="524"/>
    </row>
    <row r="588" spans="1:21" s="199" customFormat="1" x14ac:dyDescent="0.25">
      <c r="A588" s="528" t="s">
        <v>16</v>
      </c>
      <c r="B588" s="529" t="s">
        <v>18</v>
      </c>
      <c r="C588" s="529"/>
      <c r="D588" s="529"/>
      <c r="E588" s="529"/>
      <c r="F588" s="529"/>
      <c r="G588" s="529" t="s">
        <v>24</v>
      </c>
      <c r="H588" s="529"/>
      <c r="I588" s="529"/>
      <c r="J588" s="529"/>
      <c r="K588" s="529"/>
      <c r="L588" s="529" t="s">
        <v>25</v>
      </c>
      <c r="M588" s="529"/>
      <c r="N588" s="529"/>
      <c r="O588" s="529"/>
      <c r="P588" s="529"/>
      <c r="Q588" s="529" t="s">
        <v>26</v>
      </c>
      <c r="R588" s="529"/>
      <c r="S588" s="529"/>
      <c r="T588" s="529"/>
      <c r="U588" s="529"/>
    </row>
    <row r="589" spans="1:21" s="199" customFormat="1" x14ac:dyDescent="0.25">
      <c r="A589" s="528"/>
      <c r="B589" s="197" t="s">
        <v>19</v>
      </c>
      <c r="C589" s="197" t="s">
        <v>20</v>
      </c>
      <c r="D589" s="197" t="s">
        <v>21</v>
      </c>
      <c r="E589" s="197" t="s">
        <v>22</v>
      </c>
      <c r="F589" s="197" t="s">
        <v>23</v>
      </c>
      <c r="G589" s="197" t="s">
        <v>19</v>
      </c>
      <c r="H589" s="219" t="s">
        <v>20</v>
      </c>
      <c r="I589" s="197" t="s">
        <v>21</v>
      </c>
      <c r="J589" s="197" t="s">
        <v>22</v>
      </c>
      <c r="K589" s="197" t="s">
        <v>23</v>
      </c>
      <c r="L589" s="197" t="s">
        <v>19</v>
      </c>
      <c r="M589" s="197" t="s">
        <v>20</v>
      </c>
      <c r="N589" s="197" t="s">
        <v>21</v>
      </c>
      <c r="O589" s="197" t="s">
        <v>22</v>
      </c>
      <c r="P589" s="197" t="s">
        <v>23</v>
      </c>
      <c r="Q589" s="197" t="s">
        <v>19</v>
      </c>
      <c r="R589" s="197" t="s">
        <v>20</v>
      </c>
      <c r="S589" s="197" t="s">
        <v>21</v>
      </c>
      <c r="T589" s="197" t="s">
        <v>22</v>
      </c>
      <c r="U589" s="214" t="s">
        <v>23</v>
      </c>
    </row>
    <row r="590" spans="1:21" s="199" customFormat="1" x14ac:dyDescent="0.25">
      <c r="A590" s="378" t="s">
        <v>231</v>
      </c>
      <c r="B590" s="197" t="s">
        <v>47</v>
      </c>
      <c r="C590" s="197" t="s">
        <v>28</v>
      </c>
      <c r="D590" s="197">
        <v>6</v>
      </c>
      <c r="E590" s="197">
        <f>skilled</f>
        <v>1245</v>
      </c>
      <c r="F590" s="201">
        <f>(D590*E590)</f>
        <v>7470</v>
      </c>
      <c r="G590" s="197" t="s">
        <v>232</v>
      </c>
      <c r="H590" s="219" t="s">
        <v>84</v>
      </c>
      <c r="I590" s="197">
        <v>6</v>
      </c>
      <c r="J590" s="207">
        <f>J568</f>
        <v>2575.44</v>
      </c>
      <c r="K590" s="197">
        <f>(I590*J590)</f>
        <v>15452.64</v>
      </c>
      <c r="U590" s="215"/>
    </row>
    <row r="591" spans="1:21" s="199" customFormat="1" x14ac:dyDescent="0.25">
      <c r="B591" s="197" t="s">
        <v>29</v>
      </c>
      <c r="C591" s="197" t="s">
        <v>28</v>
      </c>
      <c r="D591" s="197">
        <v>12</v>
      </c>
      <c r="E591" s="197">
        <f>unskilled</f>
        <v>935</v>
      </c>
      <c r="F591" s="201">
        <f>(D591*E591)</f>
        <v>11220</v>
      </c>
      <c r="G591" s="197"/>
      <c r="H591" s="219"/>
      <c r="I591" s="197">
        <v>0</v>
      </c>
      <c r="U591" s="215"/>
    </row>
    <row r="592" spans="1:21" s="199" customFormat="1" x14ac:dyDescent="0.25">
      <c r="A592" s="524" t="s">
        <v>30</v>
      </c>
      <c r="B592" s="524"/>
      <c r="C592" s="524"/>
      <c r="D592" s="524"/>
      <c r="E592" s="524"/>
      <c r="F592" s="201">
        <f>SUM(F589:F591)</f>
        <v>18690</v>
      </c>
      <c r="G592" s="524" t="s">
        <v>31</v>
      </c>
      <c r="H592" s="524"/>
      <c r="I592" s="524"/>
      <c r="J592" s="524"/>
      <c r="K592" s="201">
        <f>SUM(K589:K591)</f>
        <v>15452.64</v>
      </c>
      <c r="L592" s="524" t="s">
        <v>32</v>
      </c>
      <c r="M592" s="524"/>
      <c r="N592" s="524"/>
      <c r="O592" s="524"/>
      <c r="P592" s="201">
        <f>SUM(P589:P591)</f>
        <v>0</v>
      </c>
      <c r="Q592" s="524" t="s">
        <v>38</v>
      </c>
      <c r="R592" s="524"/>
      <c r="S592" s="524"/>
      <c r="T592" s="524"/>
      <c r="U592" s="225">
        <f>SUM(U589:U591)</f>
        <v>0</v>
      </c>
    </row>
    <row r="593" spans="1:21" s="199" customFormat="1" x14ac:dyDescent="0.25">
      <c r="A593" s="524" t="s">
        <v>33</v>
      </c>
      <c r="B593" s="524"/>
      <c r="C593" s="524"/>
      <c r="D593" s="524"/>
      <c r="E593" s="524"/>
      <c r="F593" s="201">
        <f>SUM(F592+K592+P592)</f>
        <v>34142.639999999999</v>
      </c>
      <c r="G593" s="524" t="s">
        <v>39</v>
      </c>
      <c r="H593" s="524"/>
      <c r="I593" s="524"/>
      <c r="J593" s="524"/>
      <c r="K593" s="201">
        <f>SUM(F592+K592+P592+U592)</f>
        <v>34142.639999999999</v>
      </c>
      <c r="L593" s="524" t="s">
        <v>40</v>
      </c>
      <c r="M593" s="524"/>
      <c r="N593" s="524"/>
      <c r="O593" s="524"/>
      <c r="P593" s="201">
        <f>SUM(K593*0.15)</f>
        <v>5121.3959999999997</v>
      </c>
      <c r="Q593" s="524" t="s">
        <v>41</v>
      </c>
      <c r="R593" s="524"/>
      <c r="S593" s="524"/>
      <c r="T593" s="524"/>
      <c r="U593" s="225">
        <f>SUM(K593+P593)</f>
        <v>39264.036</v>
      </c>
    </row>
    <row r="594" spans="1:21" s="199" customFormat="1" x14ac:dyDescent="0.25">
      <c r="H594" s="220"/>
      <c r="Q594" s="524" t="s">
        <v>42</v>
      </c>
      <c r="R594" s="524"/>
      <c r="S594" s="524"/>
      <c r="T594" s="524"/>
      <c r="U594" s="377">
        <f>ROUND((U593/5),2)</f>
        <v>7852.81</v>
      </c>
    </row>
    <row r="595" spans="1:21" s="199" customFormat="1" x14ac:dyDescent="0.25">
      <c r="H595" s="220"/>
      <c r="Q595" s="255"/>
      <c r="R595" s="255"/>
      <c r="S595" s="255"/>
      <c r="T595" s="255"/>
      <c r="U595" s="255"/>
    </row>
    <row r="596" spans="1:21" s="199" customFormat="1" x14ac:dyDescent="0.25">
      <c r="H596" s="220"/>
      <c r="Q596" s="255"/>
      <c r="R596" s="255"/>
      <c r="S596" s="255"/>
      <c r="T596" s="255"/>
      <c r="U596" s="255"/>
    </row>
    <row r="597" spans="1:21" s="199" customFormat="1" ht="15.75" customHeight="1" x14ac:dyDescent="0.25">
      <c r="A597" s="525" t="s">
        <v>12</v>
      </c>
      <c r="B597" s="525"/>
      <c r="C597" s="526" t="s">
        <v>2383</v>
      </c>
      <c r="D597" s="526"/>
      <c r="E597" s="526"/>
      <c r="F597" s="526"/>
      <c r="G597" s="526"/>
      <c r="H597" s="526"/>
      <c r="I597" s="526"/>
      <c r="J597" s="526"/>
      <c r="K597" s="526"/>
      <c r="L597" s="526"/>
      <c r="M597" s="526"/>
      <c r="N597" s="526"/>
      <c r="O597" s="526"/>
      <c r="P597" s="526"/>
      <c r="Q597" s="526"/>
      <c r="R597" s="526"/>
      <c r="S597" s="526"/>
      <c r="T597" s="526"/>
      <c r="U597" s="524" t="s">
        <v>230</v>
      </c>
    </row>
    <row r="598" spans="1:21" s="199" customFormat="1" x14ac:dyDescent="0.25">
      <c r="A598" s="525"/>
      <c r="B598" s="525"/>
      <c r="C598" s="526"/>
      <c r="D598" s="526"/>
      <c r="E598" s="526"/>
      <c r="F598" s="526"/>
      <c r="G598" s="526"/>
      <c r="H598" s="526"/>
      <c r="I598" s="526"/>
      <c r="J598" s="526"/>
      <c r="K598" s="526"/>
      <c r="L598" s="526"/>
      <c r="M598" s="526"/>
      <c r="N598" s="526"/>
      <c r="O598" s="526"/>
      <c r="P598" s="526"/>
      <c r="Q598" s="526"/>
      <c r="R598" s="526"/>
      <c r="S598" s="526"/>
      <c r="T598" s="526"/>
      <c r="U598" s="524"/>
    </row>
    <row r="599" spans="1:21" s="199" customFormat="1" ht="15.75" customHeight="1" x14ac:dyDescent="0.25">
      <c r="A599" s="527" t="s">
        <v>228</v>
      </c>
      <c r="B599" s="527"/>
      <c r="C599" s="526"/>
      <c r="D599" s="526"/>
      <c r="E599" s="526"/>
      <c r="F599" s="526"/>
      <c r="G599" s="526"/>
      <c r="H599" s="526"/>
      <c r="I599" s="526"/>
      <c r="J599" s="526"/>
      <c r="K599" s="526"/>
      <c r="L599" s="526"/>
      <c r="M599" s="526"/>
      <c r="N599" s="526"/>
      <c r="O599" s="526"/>
      <c r="P599" s="526"/>
      <c r="Q599" s="526"/>
      <c r="R599" s="526"/>
      <c r="S599" s="526"/>
      <c r="T599" s="526"/>
      <c r="U599" s="524"/>
    </row>
    <row r="600" spans="1:21" s="199" customFormat="1" ht="15.75" customHeight="1" x14ac:dyDescent="0.25">
      <c r="A600" s="528" t="s">
        <v>16</v>
      </c>
      <c r="B600" s="529" t="s">
        <v>18</v>
      </c>
      <c r="C600" s="529"/>
      <c r="D600" s="529"/>
      <c r="E600" s="529"/>
      <c r="F600" s="529"/>
      <c r="G600" s="529" t="s">
        <v>24</v>
      </c>
      <c r="H600" s="529"/>
      <c r="I600" s="529"/>
      <c r="J600" s="529"/>
      <c r="K600" s="529"/>
      <c r="L600" s="529" t="s">
        <v>25</v>
      </c>
      <c r="M600" s="529"/>
      <c r="N600" s="529"/>
      <c r="O600" s="529"/>
      <c r="P600" s="529"/>
      <c r="Q600" s="529" t="s">
        <v>26</v>
      </c>
      <c r="R600" s="529"/>
      <c r="S600" s="529"/>
      <c r="T600" s="529"/>
      <c r="U600" s="529"/>
    </row>
    <row r="601" spans="1:21" s="199" customFormat="1" x14ac:dyDescent="0.25">
      <c r="A601" s="528"/>
      <c r="B601" s="197" t="s">
        <v>19</v>
      </c>
      <c r="C601" s="197" t="s">
        <v>20</v>
      </c>
      <c r="D601" s="197" t="s">
        <v>21</v>
      </c>
      <c r="E601" s="197" t="s">
        <v>22</v>
      </c>
      <c r="F601" s="197" t="s">
        <v>23</v>
      </c>
      <c r="G601" s="197" t="s">
        <v>19</v>
      </c>
      <c r="H601" s="219" t="s">
        <v>20</v>
      </c>
      <c r="I601" s="197" t="s">
        <v>21</v>
      </c>
      <c r="J601" s="197" t="s">
        <v>22</v>
      </c>
      <c r="K601" s="197" t="s">
        <v>23</v>
      </c>
      <c r="L601" s="197" t="s">
        <v>19</v>
      </c>
      <c r="M601" s="197" t="s">
        <v>20</v>
      </c>
      <c r="N601" s="197" t="s">
        <v>21</v>
      </c>
      <c r="O601" s="197" t="s">
        <v>22</v>
      </c>
      <c r="P601" s="197" t="s">
        <v>23</v>
      </c>
      <c r="Q601" s="197" t="s">
        <v>19</v>
      </c>
      <c r="R601" s="197" t="s">
        <v>20</v>
      </c>
      <c r="S601" s="197" t="s">
        <v>21</v>
      </c>
      <c r="T601" s="197" t="s">
        <v>22</v>
      </c>
      <c r="U601" s="214" t="s">
        <v>23</v>
      </c>
    </row>
    <row r="602" spans="1:21" s="199" customFormat="1" x14ac:dyDescent="0.25">
      <c r="A602" s="378" t="s">
        <v>231</v>
      </c>
      <c r="B602" s="197" t="s">
        <v>47</v>
      </c>
      <c r="C602" s="197" t="s">
        <v>28</v>
      </c>
      <c r="D602" s="197">
        <v>6</v>
      </c>
      <c r="E602" s="197">
        <f>skilled</f>
        <v>1245</v>
      </c>
      <c r="F602" s="201">
        <f>(D602*E602)</f>
        <v>7470</v>
      </c>
      <c r="G602" s="197" t="s">
        <v>232</v>
      </c>
      <c r="H602" s="219" t="s">
        <v>84</v>
      </c>
      <c r="I602" s="197">
        <v>6</v>
      </c>
      <c r="J602" s="207">
        <f>J579</f>
        <v>2469.6</v>
      </c>
      <c r="K602" s="197">
        <f>(I602*J602)</f>
        <v>14817.599999999999</v>
      </c>
      <c r="U602" s="215"/>
    </row>
    <row r="603" spans="1:21" s="199" customFormat="1" x14ac:dyDescent="0.25">
      <c r="B603" s="197" t="s">
        <v>29</v>
      </c>
      <c r="C603" s="197" t="s">
        <v>28</v>
      </c>
      <c r="D603" s="197">
        <v>12</v>
      </c>
      <c r="E603" s="197">
        <f>unskilled</f>
        <v>935</v>
      </c>
      <c r="F603" s="201">
        <f>(D603*E603)</f>
        <v>11220</v>
      </c>
      <c r="G603" s="197"/>
      <c r="H603" s="219"/>
      <c r="I603" s="197">
        <v>0</v>
      </c>
      <c r="U603" s="215"/>
    </row>
    <row r="604" spans="1:21" s="199" customFormat="1" ht="15.75" customHeight="1" x14ac:dyDescent="0.25">
      <c r="A604" s="524" t="s">
        <v>30</v>
      </c>
      <c r="B604" s="524"/>
      <c r="C604" s="524"/>
      <c r="D604" s="524"/>
      <c r="E604" s="524"/>
      <c r="F604" s="201">
        <f>SUM(F601:F603)</f>
        <v>18690</v>
      </c>
      <c r="G604" s="524" t="s">
        <v>31</v>
      </c>
      <c r="H604" s="524"/>
      <c r="I604" s="524"/>
      <c r="J604" s="524"/>
      <c r="K604" s="201">
        <f>SUM(K601:K603)</f>
        <v>14817.599999999999</v>
      </c>
      <c r="L604" s="524" t="s">
        <v>32</v>
      </c>
      <c r="M604" s="524"/>
      <c r="N604" s="524"/>
      <c r="O604" s="524"/>
      <c r="P604" s="201">
        <f>SUM(P601:P603)</f>
        <v>0</v>
      </c>
      <c r="Q604" s="524" t="s">
        <v>38</v>
      </c>
      <c r="R604" s="524"/>
      <c r="S604" s="524"/>
      <c r="T604" s="524"/>
      <c r="U604" s="225">
        <f>SUM(U601:U603)</f>
        <v>0</v>
      </c>
    </row>
    <row r="605" spans="1:21" s="199" customFormat="1" ht="15.75" customHeight="1" x14ac:dyDescent="0.25">
      <c r="A605" s="524" t="s">
        <v>33</v>
      </c>
      <c r="B605" s="524"/>
      <c r="C605" s="524"/>
      <c r="D605" s="524"/>
      <c r="E605" s="524"/>
      <c r="F605" s="201">
        <f>SUM(F604+K604+P604)</f>
        <v>33507.599999999999</v>
      </c>
      <c r="G605" s="524" t="s">
        <v>39</v>
      </c>
      <c r="H605" s="524"/>
      <c r="I605" s="524"/>
      <c r="J605" s="524"/>
      <c r="K605" s="201">
        <f>SUM(F604+K604+P604+U604)</f>
        <v>33507.599999999999</v>
      </c>
      <c r="L605" s="524" t="s">
        <v>40</v>
      </c>
      <c r="M605" s="524"/>
      <c r="N605" s="524"/>
      <c r="O605" s="524"/>
      <c r="P605" s="201">
        <f>SUM(K605*0.15)</f>
        <v>5026.1399999999994</v>
      </c>
      <c r="Q605" s="524" t="s">
        <v>41</v>
      </c>
      <c r="R605" s="524"/>
      <c r="S605" s="524"/>
      <c r="T605" s="524"/>
      <c r="U605" s="225">
        <f>SUM(K605+P605)</f>
        <v>38533.74</v>
      </c>
    </row>
    <row r="606" spans="1:21" s="199" customFormat="1" x14ac:dyDescent="0.25">
      <c r="H606" s="220"/>
      <c r="Q606" s="524" t="s">
        <v>42</v>
      </c>
      <c r="R606" s="524"/>
      <c r="S606" s="524"/>
      <c r="T606" s="524"/>
      <c r="U606" s="377">
        <f>ROUND((U605/5),2)</f>
        <v>7706.75</v>
      </c>
    </row>
    <row r="607" spans="1:21" x14ac:dyDescent="0.25">
      <c r="A607" s="544"/>
      <c r="B607" s="544"/>
      <c r="C607" s="544"/>
      <c r="D607" s="544"/>
      <c r="E607" s="544"/>
      <c r="F607" s="544"/>
      <c r="G607" s="544"/>
      <c r="H607" s="544"/>
      <c r="I607" s="544"/>
      <c r="J607" s="544"/>
      <c r="K607" s="544"/>
      <c r="L607" s="544"/>
      <c r="M607" s="544"/>
      <c r="N607" s="544"/>
      <c r="O607" s="544"/>
      <c r="P607" s="544"/>
      <c r="Q607" s="544"/>
      <c r="R607" s="544"/>
      <c r="S607" s="544"/>
      <c r="T607" s="544"/>
      <c r="U607" s="544"/>
    </row>
    <row r="608" spans="1:21" s="199" customFormat="1" ht="15.75" customHeight="1" x14ac:dyDescent="0.25">
      <c r="A608" s="545" t="s">
        <v>12</v>
      </c>
      <c r="B608" s="546"/>
      <c r="C608" s="551" t="s">
        <v>233</v>
      </c>
      <c r="D608" s="552"/>
      <c r="E608" s="552"/>
      <c r="F608" s="552"/>
      <c r="G608" s="552"/>
      <c r="H608" s="552"/>
      <c r="I608" s="552"/>
      <c r="J608" s="552"/>
      <c r="K608" s="552"/>
      <c r="L608" s="552"/>
      <c r="M608" s="552"/>
      <c r="N608" s="552"/>
      <c r="O608" s="552"/>
      <c r="P608" s="552"/>
      <c r="Q608" s="552"/>
      <c r="R608" s="552"/>
      <c r="S608" s="552"/>
      <c r="T608" s="553"/>
      <c r="U608" s="560" t="s">
        <v>169</v>
      </c>
    </row>
    <row r="609" spans="1:21" s="199" customFormat="1" x14ac:dyDescent="0.25">
      <c r="A609" s="547"/>
      <c r="B609" s="548"/>
      <c r="C609" s="554"/>
      <c r="D609" s="555"/>
      <c r="E609" s="555"/>
      <c r="F609" s="555"/>
      <c r="G609" s="555"/>
      <c r="H609" s="555"/>
      <c r="I609" s="555"/>
      <c r="J609" s="555"/>
      <c r="K609" s="555"/>
      <c r="L609" s="555"/>
      <c r="M609" s="555"/>
      <c r="N609" s="555"/>
      <c r="O609" s="555"/>
      <c r="P609" s="555"/>
      <c r="Q609" s="555"/>
      <c r="R609" s="555"/>
      <c r="S609" s="555"/>
      <c r="T609" s="556"/>
      <c r="U609" s="561"/>
    </row>
    <row r="610" spans="1:21" s="199" customFormat="1" ht="15.75" customHeight="1" x14ac:dyDescent="0.25">
      <c r="A610" s="549" t="s">
        <v>50</v>
      </c>
      <c r="B610" s="550"/>
      <c r="C610" s="557"/>
      <c r="D610" s="558"/>
      <c r="E610" s="558"/>
      <c r="F610" s="558"/>
      <c r="G610" s="558"/>
      <c r="H610" s="558"/>
      <c r="I610" s="558"/>
      <c r="J610" s="558"/>
      <c r="K610" s="558"/>
      <c r="L610" s="558"/>
      <c r="M610" s="558"/>
      <c r="N610" s="558"/>
      <c r="O610" s="558"/>
      <c r="P610" s="558"/>
      <c r="Q610" s="558"/>
      <c r="R610" s="558"/>
      <c r="S610" s="558"/>
      <c r="T610" s="559"/>
      <c r="U610" s="562"/>
    </row>
    <row r="611" spans="1:21" s="199" customFormat="1" ht="15.75" customHeight="1" x14ac:dyDescent="0.25">
      <c r="A611" s="563" t="s">
        <v>16</v>
      </c>
      <c r="B611" s="565" t="s">
        <v>18</v>
      </c>
      <c r="C611" s="566"/>
      <c r="D611" s="566"/>
      <c r="E611" s="566"/>
      <c r="F611" s="567"/>
      <c r="G611" s="565" t="s">
        <v>24</v>
      </c>
      <c r="H611" s="566"/>
      <c r="I611" s="566"/>
      <c r="J611" s="566"/>
      <c r="K611" s="567"/>
      <c r="L611" s="565" t="s">
        <v>25</v>
      </c>
      <c r="M611" s="566"/>
      <c r="N611" s="566"/>
      <c r="O611" s="566"/>
      <c r="P611" s="567"/>
      <c r="Q611" s="565" t="s">
        <v>26</v>
      </c>
      <c r="R611" s="566"/>
      <c r="S611" s="566"/>
      <c r="T611" s="566"/>
      <c r="U611" s="567"/>
    </row>
    <row r="612" spans="1:21" s="199" customFormat="1" x14ac:dyDescent="0.25">
      <c r="A612" s="564"/>
      <c r="B612" s="197" t="s">
        <v>19</v>
      </c>
      <c r="C612" s="197" t="s">
        <v>20</v>
      </c>
      <c r="D612" s="197" t="s">
        <v>21</v>
      </c>
      <c r="E612" s="197" t="s">
        <v>22</v>
      </c>
      <c r="F612" s="197" t="s">
        <v>23</v>
      </c>
      <c r="G612" s="197" t="s">
        <v>19</v>
      </c>
      <c r="H612" s="219" t="s">
        <v>20</v>
      </c>
      <c r="I612" s="197" t="s">
        <v>21</v>
      </c>
      <c r="J612" s="197" t="s">
        <v>22</v>
      </c>
      <c r="K612" s="197" t="s">
        <v>23</v>
      </c>
      <c r="L612" s="197" t="s">
        <v>19</v>
      </c>
      <c r="M612" s="197" t="s">
        <v>20</v>
      </c>
      <c r="N612" s="197" t="s">
        <v>21</v>
      </c>
      <c r="O612" s="197" t="s">
        <v>22</v>
      </c>
      <c r="P612" s="197" t="s">
        <v>23</v>
      </c>
      <c r="Q612" s="197" t="s">
        <v>19</v>
      </c>
      <c r="R612" s="197" t="s">
        <v>20</v>
      </c>
      <c r="S612" s="197" t="s">
        <v>21</v>
      </c>
      <c r="T612" s="197" t="s">
        <v>22</v>
      </c>
      <c r="U612" s="214" t="s">
        <v>23</v>
      </c>
    </row>
    <row r="613" spans="1:21" s="199" customFormat="1" x14ac:dyDescent="0.25">
      <c r="A613" s="330" t="s">
        <v>234</v>
      </c>
      <c r="B613" s="197" t="s">
        <v>47</v>
      </c>
      <c r="C613" s="197" t="s">
        <v>28</v>
      </c>
      <c r="D613" s="197">
        <v>2</v>
      </c>
      <c r="E613" s="197">
        <f>skilled</f>
        <v>1245</v>
      </c>
      <c r="F613" s="201">
        <f>(D613*E613)</f>
        <v>2490</v>
      </c>
      <c r="G613" s="197" t="s">
        <v>235</v>
      </c>
      <c r="H613" s="219" t="s">
        <v>84</v>
      </c>
      <c r="I613" s="197">
        <v>384</v>
      </c>
      <c r="J613" s="197">
        <f>adopted_rate_sub_base_material</f>
        <v>2152.08</v>
      </c>
      <c r="K613" s="197">
        <f>(I613*J613)</f>
        <v>826398.71999999997</v>
      </c>
      <c r="L613" s="197" t="s">
        <v>175</v>
      </c>
      <c r="M613" s="197" t="s">
        <v>58</v>
      </c>
      <c r="N613" s="197">
        <v>6</v>
      </c>
      <c r="O613" s="197">
        <f>motor_grader</f>
        <v>2915</v>
      </c>
      <c r="P613" s="201">
        <f>(N613*O613)</f>
        <v>17490</v>
      </c>
      <c r="U613" s="215"/>
    </row>
    <row r="614" spans="1:21" s="199" customFormat="1" x14ac:dyDescent="0.25">
      <c r="B614" s="197" t="s">
        <v>29</v>
      </c>
      <c r="C614" s="197" t="s">
        <v>28</v>
      </c>
      <c r="D614" s="197">
        <v>12</v>
      </c>
      <c r="E614" s="197">
        <f>unskilled</f>
        <v>935</v>
      </c>
      <c r="F614" s="201">
        <f>(D614*E614)</f>
        <v>11220</v>
      </c>
      <c r="G614" s="197" t="s">
        <v>171</v>
      </c>
      <c r="H614" s="219" t="s">
        <v>172</v>
      </c>
      <c r="I614" s="197">
        <v>18</v>
      </c>
      <c r="J614" s="197">
        <f>adopted_rate_water</f>
        <v>310</v>
      </c>
      <c r="K614" s="197">
        <f>(I614*J614)</f>
        <v>5580</v>
      </c>
      <c r="L614" s="197" t="s">
        <v>176</v>
      </c>
      <c r="M614" s="197" t="s">
        <v>58</v>
      </c>
      <c r="N614" s="197">
        <v>12</v>
      </c>
      <c r="O614" s="197">
        <f>water_tanker</f>
        <v>1618</v>
      </c>
      <c r="P614" s="201">
        <f>(N614*O614)</f>
        <v>19416</v>
      </c>
      <c r="U614" s="215"/>
    </row>
    <row r="615" spans="1:21" s="199" customFormat="1" x14ac:dyDescent="0.25">
      <c r="H615" s="220"/>
      <c r="L615" s="197" t="s">
        <v>236</v>
      </c>
      <c r="M615" s="197" t="s">
        <v>58</v>
      </c>
      <c r="N615" s="197">
        <v>12</v>
      </c>
      <c r="O615" s="197">
        <f>tractor</f>
        <v>868</v>
      </c>
      <c r="P615" s="201">
        <f>(N615*O615)</f>
        <v>10416</v>
      </c>
      <c r="U615" s="215"/>
    </row>
    <row r="616" spans="1:21" s="199" customFormat="1" ht="15.75" customHeight="1" x14ac:dyDescent="0.25">
      <c r="A616" s="568" t="s">
        <v>30</v>
      </c>
      <c r="B616" s="569"/>
      <c r="C616" s="569"/>
      <c r="D616" s="569"/>
      <c r="E616" s="570"/>
      <c r="F616" s="201">
        <f>SUM(F612:F615)</f>
        <v>13710</v>
      </c>
      <c r="G616" s="568" t="s">
        <v>31</v>
      </c>
      <c r="H616" s="569"/>
      <c r="I616" s="569"/>
      <c r="J616" s="570"/>
      <c r="K616" s="201">
        <f>SUM(K612:K615)</f>
        <v>831978.72</v>
      </c>
      <c r="L616" s="568" t="s">
        <v>32</v>
      </c>
      <c r="M616" s="569"/>
      <c r="N616" s="569"/>
      <c r="O616" s="570"/>
      <c r="P616" s="201">
        <f>SUM(P612:P615)</f>
        <v>47322</v>
      </c>
      <c r="Q616" s="568" t="s">
        <v>38</v>
      </c>
      <c r="R616" s="569"/>
      <c r="S616" s="569"/>
      <c r="T616" s="570"/>
      <c r="U616" s="225">
        <f>SUM(U612:U615)</f>
        <v>0</v>
      </c>
    </row>
    <row r="617" spans="1:21" s="199" customFormat="1" ht="15.75" customHeight="1" x14ac:dyDescent="0.25">
      <c r="A617" s="568" t="s">
        <v>33</v>
      </c>
      <c r="B617" s="569"/>
      <c r="C617" s="569"/>
      <c r="D617" s="569"/>
      <c r="E617" s="570"/>
      <c r="F617" s="201">
        <f>SUM(F616+K616+P616)</f>
        <v>893010.72</v>
      </c>
      <c r="G617" s="568" t="s">
        <v>39</v>
      </c>
      <c r="H617" s="569"/>
      <c r="I617" s="569"/>
      <c r="J617" s="570"/>
      <c r="K617" s="201">
        <f>SUM(F616+K616+P616+U616)</f>
        <v>893010.72</v>
      </c>
      <c r="L617" s="568" t="s">
        <v>40</v>
      </c>
      <c r="M617" s="569"/>
      <c r="N617" s="569"/>
      <c r="O617" s="570"/>
      <c r="P617" s="201">
        <f>SUM(K617*0.15)</f>
        <v>133951.60799999998</v>
      </c>
      <c r="Q617" s="568" t="s">
        <v>41</v>
      </c>
      <c r="R617" s="569"/>
      <c r="S617" s="569"/>
      <c r="T617" s="570"/>
      <c r="U617" s="225">
        <f>SUM(K617+P617)</f>
        <v>1026962.328</v>
      </c>
    </row>
    <row r="618" spans="1:21" s="199" customFormat="1" x14ac:dyDescent="0.25">
      <c r="H618" s="220"/>
      <c r="Q618" s="568" t="s">
        <v>42</v>
      </c>
      <c r="R618" s="569"/>
      <c r="S618" s="569"/>
      <c r="T618" s="570"/>
      <c r="U618" s="329">
        <f>ROUND((U617/300),2)</f>
        <v>3423.21</v>
      </c>
    </row>
    <row r="619" spans="1:21" s="199" customFormat="1" ht="15.75" customHeight="1" x14ac:dyDescent="0.25">
      <c r="A619" s="545" t="s">
        <v>12</v>
      </c>
      <c r="B619" s="546"/>
      <c r="C619" s="551" t="s">
        <v>2356</v>
      </c>
      <c r="D619" s="552"/>
      <c r="E619" s="552"/>
      <c r="F619" s="552"/>
      <c r="G619" s="552"/>
      <c r="H619" s="552"/>
      <c r="I619" s="552"/>
      <c r="J619" s="552"/>
      <c r="K619" s="552"/>
      <c r="L619" s="552"/>
      <c r="M619" s="552"/>
      <c r="N619" s="552"/>
      <c r="O619" s="552"/>
      <c r="P619" s="552"/>
      <c r="Q619" s="552"/>
      <c r="R619" s="552"/>
      <c r="S619" s="552"/>
      <c r="T619" s="553"/>
      <c r="U619" s="560" t="s">
        <v>169</v>
      </c>
    </row>
    <row r="620" spans="1:21" s="199" customFormat="1" ht="15.75" customHeight="1" x14ac:dyDescent="0.25">
      <c r="A620" s="547"/>
      <c r="B620" s="548"/>
      <c r="C620" s="554"/>
      <c r="D620" s="555"/>
      <c r="E620" s="555"/>
      <c r="F620" s="555"/>
      <c r="G620" s="555"/>
      <c r="H620" s="555"/>
      <c r="I620" s="555"/>
      <c r="J620" s="555"/>
      <c r="K620" s="555"/>
      <c r="L620" s="555"/>
      <c r="M620" s="555"/>
      <c r="N620" s="555"/>
      <c r="O620" s="555"/>
      <c r="P620" s="555"/>
      <c r="Q620" s="555"/>
      <c r="R620" s="555"/>
      <c r="S620" s="555"/>
      <c r="T620" s="556"/>
      <c r="U620" s="561"/>
    </row>
    <row r="621" spans="1:21" s="199" customFormat="1" ht="15.75" customHeight="1" x14ac:dyDescent="0.25">
      <c r="A621" s="549" t="s">
        <v>50</v>
      </c>
      <c r="B621" s="550"/>
      <c r="C621" s="557"/>
      <c r="D621" s="558"/>
      <c r="E621" s="558"/>
      <c r="F621" s="558"/>
      <c r="G621" s="558"/>
      <c r="H621" s="558"/>
      <c r="I621" s="558"/>
      <c r="J621" s="558"/>
      <c r="K621" s="558"/>
      <c r="L621" s="558"/>
      <c r="M621" s="558"/>
      <c r="N621" s="558"/>
      <c r="O621" s="558"/>
      <c r="P621" s="558"/>
      <c r="Q621" s="558"/>
      <c r="R621" s="558"/>
      <c r="S621" s="558"/>
      <c r="T621" s="559"/>
      <c r="U621" s="562"/>
    </row>
    <row r="622" spans="1:21" s="199" customFormat="1" ht="15.75" customHeight="1" x14ac:dyDescent="0.25">
      <c r="A622" s="563" t="s">
        <v>16</v>
      </c>
      <c r="B622" s="565" t="s">
        <v>18</v>
      </c>
      <c r="C622" s="566"/>
      <c r="D622" s="566"/>
      <c r="E622" s="566"/>
      <c r="F622" s="567"/>
      <c r="G622" s="565" t="s">
        <v>24</v>
      </c>
      <c r="H622" s="566"/>
      <c r="I622" s="566"/>
      <c r="J622" s="566"/>
      <c r="K622" s="567"/>
      <c r="L622" s="565" t="s">
        <v>25</v>
      </c>
      <c r="M622" s="566"/>
      <c r="N622" s="566"/>
      <c r="O622" s="566"/>
      <c r="P622" s="567"/>
      <c r="Q622" s="565" t="s">
        <v>26</v>
      </c>
      <c r="R622" s="566"/>
      <c r="S622" s="566"/>
      <c r="T622" s="566"/>
      <c r="U622" s="567"/>
    </row>
    <row r="623" spans="1:21" s="199" customFormat="1" ht="15.75" customHeight="1" x14ac:dyDescent="0.25">
      <c r="A623" s="564"/>
      <c r="B623" s="197" t="s">
        <v>19</v>
      </c>
      <c r="C623" s="197" t="s">
        <v>20</v>
      </c>
      <c r="D623" s="197" t="s">
        <v>21</v>
      </c>
      <c r="E623" s="197" t="s">
        <v>22</v>
      </c>
      <c r="F623" s="197" t="s">
        <v>23</v>
      </c>
      <c r="G623" s="197" t="s">
        <v>19</v>
      </c>
      <c r="H623" s="219" t="s">
        <v>20</v>
      </c>
      <c r="I623" s="197" t="s">
        <v>21</v>
      </c>
      <c r="J623" s="197" t="s">
        <v>22</v>
      </c>
      <c r="K623" s="197" t="s">
        <v>23</v>
      </c>
      <c r="L623" s="197" t="s">
        <v>19</v>
      </c>
      <c r="M623" s="197" t="s">
        <v>20</v>
      </c>
      <c r="N623" s="197" t="s">
        <v>21</v>
      </c>
      <c r="O623" s="197" t="s">
        <v>22</v>
      </c>
      <c r="P623" s="197" t="s">
        <v>23</v>
      </c>
      <c r="Q623" s="197" t="s">
        <v>19</v>
      </c>
      <c r="R623" s="197" t="s">
        <v>20</v>
      </c>
      <c r="S623" s="197" t="s">
        <v>21</v>
      </c>
      <c r="T623" s="197" t="s">
        <v>22</v>
      </c>
      <c r="U623" s="214" t="s">
        <v>23</v>
      </c>
    </row>
    <row r="624" spans="1:21" s="199" customFormat="1" x14ac:dyDescent="0.25">
      <c r="A624" s="330" t="s">
        <v>234</v>
      </c>
      <c r="B624" s="197" t="s">
        <v>47</v>
      </c>
      <c r="C624" s="197" t="s">
        <v>28</v>
      </c>
      <c r="D624" s="197">
        <v>2</v>
      </c>
      <c r="E624" s="197">
        <f>skilled</f>
        <v>1245</v>
      </c>
      <c r="F624" s="201">
        <f>(D624*E624)</f>
        <v>2490</v>
      </c>
      <c r="G624" s="197" t="s">
        <v>235</v>
      </c>
      <c r="H624" s="219" t="s">
        <v>84</v>
      </c>
      <c r="I624" s="197">
        <v>384</v>
      </c>
      <c r="J624" s="197">
        <f>adopted_rate_sub_base_material</f>
        <v>2152.08</v>
      </c>
      <c r="K624" s="197">
        <f>(I624*J624)</f>
        <v>826398.71999999997</v>
      </c>
      <c r="L624" s="197" t="s">
        <v>175</v>
      </c>
      <c r="M624" s="197" t="s">
        <v>58</v>
      </c>
      <c r="N624" s="197">
        <v>4</v>
      </c>
      <c r="O624" s="197">
        <f>motor_grader</f>
        <v>2915</v>
      </c>
      <c r="P624" s="201">
        <f>(N624*O624)</f>
        <v>11660</v>
      </c>
      <c r="U624" s="215"/>
    </row>
    <row r="625" spans="1:21" s="199" customFormat="1" x14ac:dyDescent="0.25">
      <c r="B625" s="197" t="s">
        <v>29</v>
      </c>
      <c r="C625" s="197" t="s">
        <v>28</v>
      </c>
      <c r="D625" s="197">
        <v>6</v>
      </c>
      <c r="E625" s="197">
        <f>unskilled</f>
        <v>935</v>
      </c>
      <c r="F625" s="201">
        <f>(D625*E625)</f>
        <v>5610</v>
      </c>
      <c r="G625" s="197" t="s">
        <v>171</v>
      </c>
      <c r="H625" s="219" t="s">
        <v>172</v>
      </c>
      <c r="I625" s="197">
        <v>0</v>
      </c>
      <c r="J625" s="197">
        <f>adopted_rate_water</f>
        <v>310</v>
      </c>
      <c r="K625" s="197">
        <f>(I625*J625)</f>
        <v>0</v>
      </c>
      <c r="L625" s="197" t="s">
        <v>176</v>
      </c>
      <c r="M625" s="197" t="s">
        <v>58</v>
      </c>
      <c r="N625" s="197">
        <v>0</v>
      </c>
      <c r="O625" s="197">
        <f>water_tanker</f>
        <v>1618</v>
      </c>
      <c r="P625" s="201">
        <f>(N625*O625)</f>
        <v>0</v>
      </c>
      <c r="U625" s="215"/>
    </row>
    <row r="626" spans="1:21" s="199" customFormat="1" x14ac:dyDescent="0.25">
      <c r="H626" s="220"/>
      <c r="L626" s="197" t="s">
        <v>236</v>
      </c>
      <c r="M626" s="197" t="s">
        <v>58</v>
      </c>
      <c r="N626" s="197">
        <v>0</v>
      </c>
      <c r="O626" s="197">
        <f>tractor</f>
        <v>868</v>
      </c>
      <c r="P626" s="201">
        <f>(N626*O626)</f>
        <v>0</v>
      </c>
      <c r="U626" s="215"/>
    </row>
    <row r="627" spans="1:21" s="199" customFormat="1" ht="15.75" customHeight="1" x14ac:dyDescent="0.25">
      <c r="A627" s="568" t="s">
        <v>30</v>
      </c>
      <c r="B627" s="569"/>
      <c r="C627" s="569"/>
      <c r="D627" s="569"/>
      <c r="E627" s="570"/>
      <c r="F627" s="201">
        <f>SUM(F623:F626)</f>
        <v>8100</v>
      </c>
      <c r="G627" s="568" t="s">
        <v>31</v>
      </c>
      <c r="H627" s="569"/>
      <c r="I627" s="569"/>
      <c r="J627" s="570"/>
      <c r="K627" s="201">
        <f>SUM(K623:K626)</f>
        <v>826398.71999999997</v>
      </c>
      <c r="L627" s="568" t="s">
        <v>32</v>
      </c>
      <c r="M627" s="569"/>
      <c r="N627" s="569"/>
      <c r="O627" s="570"/>
      <c r="P627" s="201">
        <f>SUM(P623:P626)</f>
        <v>11660</v>
      </c>
      <c r="Q627" s="568" t="s">
        <v>38</v>
      </c>
      <c r="R627" s="569"/>
      <c r="S627" s="569"/>
      <c r="T627" s="570"/>
      <c r="U627" s="225">
        <f>SUM(U623:U626)</f>
        <v>0</v>
      </c>
    </row>
    <row r="628" spans="1:21" s="199" customFormat="1" ht="15.75" customHeight="1" x14ac:dyDescent="0.25">
      <c r="A628" s="568" t="s">
        <v>33</v>
      </c>
      <c r="B628" s="569"/>
      <c r="C628" s="569"/>
      <c r="D628" s="569"/>
      <c r="E628" s="570"/>
      <c r="F628" s="201">
        <f>SUM(F627+K627+P627)</f>
        <v>846158.72</v>
      </c>
      <c r="G628" s="568" t="s">
        <v>39</v>
      </c>
      <c r="H628" s="569"/>
      <c r="I628" s="569"/>
      <c r="J628" s="570"/>
      <c r="K628" s="201">
        <f>SUM(F627+K627+P627+U627)</f>
        <v>846158.72</v>
      </c>
      <c r="L628" s="568" t="s">
        <v>40</v>
      </c>
      <c r="M628" s="569"/>
      <c r="N628" s="569"/>
      <c r="O628" s="570"/>
      <c r="P628" s="201">
        <f>SUM(K628*0.15)</f>
        <v>126923.80799999999</v>
      </c>
      <c r="Q628" s="568" t="s">
        <v>41</v>
      </c>
      <c r="R628" s="569"/>
      <c r="S628" s="569"/>
      <c r="T628" s="570"/>
      <c r="U628" s="225">
        <f>SUM(K628+P628)</f>
        <v>973082.52799999993</v>
      </c>
    </row>
    <row r="629" spans="1:21" s="199" customFormat="1" ht="15.75" customHeight="1" x14ac:dyDescent="0.25">
      <c r="H629" s="220"/>
      <c r="Q629" s="568" t="s">
        <v>42</v>
      </c>
      <c r="R629" s="569"/>
      <c r="S629" s="569"/>
      <c r="T629" s="570"/>
      <c r="U629" s="329">
        <f>ROUND((U628/300),2)</f>
        <v>3243.61</v>
      </c>
    </row>
    <row r="630" spans="1:21" s="199" customFormat="1" ht="15.75" customHeight="1" x14ac:dyDescent="0.25">
      <c r="A630" s="545" t="s">
        <v>12</v>
      </c>
      <c r="B630" s="546"/>
      <c r="C630" s="551" t="s">
        <v>2357</v>
      </c>
      <c r="D630" s="552"/>
      <c r="E630" s="552"/>
      <c r="F630" s="552"/>
      <c r="G630" s="552"/>
      <c r="H630" s="552"/>
      <c r="I630" s="552"/>
      <c r="J630" s="552"/>
      <c r="K630" s="552"/>
      <c r="L630" s="552"/>
      <c r="M630" s="552"/>
      <c r="N630" s="552"/>
      <c r="O630" s="552"/>
      <c r="P630" s="552"/>
      <c r="Q630" s="552"/>
      <c r="R630" s="552"/>
      <c r="S630" s="552"/>
      <c r="T630" s="553"/>
      <c r="U630" s="560" t="s">
        <v>169</v>
      </c>
    </row>
    <row r="631" spans="1:21" s="199" customFormat="1" x14ac:dyDescent="0.25">
      <c r="A631" s="547"/>
      <c r="B631" s="548"/>
      <c r="C631" s="554"/>
      <c r="D631" s="555"/>
      <c r="E631" s="555"/>
      <c r="F631" s="555"/>
      <c r="G631" s="555"/>
      <c r="H631" s="555"/>
      <c r="I631" s="555"/>
      <c r="J631" s="555"/>
      <c r="K631" s="555"/>
      <c r="L631" s="555"/>
      <c r="M631" s="555"/>
      <c r="N631" s="555"/>
      <c r="O631" s="555"/>
      <c r="P631" s="555"/>
      <c r="Q631" s="555"/>
      <c r="R631" s="555"/>
      <c r="S631" s="555"/>
      <c r="T631" s="556"/>
      <c r="U631" s="561"/>
    </row>
    <row r="632" spans="1:21" s="199" customFormat="1" ht="15.75" customHeight="1" x14ac:dyDescent="0.25">
      <c r="A632" s="549" t="s">
        <v>50</v>
      </c>
      <c r="B632" s="550"/>
      <c r="C632" s="557"/>
      <c r="D632" s="558"/>
      <c r="E632" s="558"/>
      <c r="F632" s="558"/>
      <c r="G632" s="558"/>
      <c r="H632" s="558"/>
      <c r="I632" s="558"/>
      <c r="J632" s="558"/>
      <c r="K632" s="558"/>
      <c r="L632" s="558"/>
      <c r="M632" s="558"/>
      <c r="N632" s="558"/>
      <c r="O632" s="558"/>
      <c r="P632" s="558"/>
      <c r="Q632" s="558"/>
      <c r="R632" s="558"/>
      <c r="S632" s="558"/>
      <c r="T632" s="559"/>
      <c r="U632" s="562"/>
    </row>
    <row r="633" spans="1:21" s="199" customFormat="1" ht="15.75" customHeight="1" x14ac:dyDescent="0.25">
      <c r="A633" s="563" t="s">
        <v>16</v>
      </c>
      <c r="B633" s="565" t="s">
        <v>18</v>
      </c>
      <c r="C633" s="566"/>
      <c r="D633" s="566"/>
      <c r="E633" s="566"/>
      <c r="F633" s="567"/>
      <c r="G633" s="565" t="s">
        <v>24</v>
      </c>
      <c r="H633" s="566"/>
      <c r="I633" s="566"/>
      <c r="J633" s="566"/>
      <c r="K633" s="567"/>
      <c r="L633" s="565" t="s">
        <v>25</v>
      </c>
      <c r="M633" s="566"/>
      <c r="N633" s="566"/>
      <c r="O633" s="566"/>
      <c r="P633" s="567"/>
      <c r="Q633" s="565" t="s">
        <v>26</v>
      </c>
      <c r="R633" s="566"/>
      <c r="S633" s="566"/>
      <c r="T633" s="566"/>
      <c r="U633" s="567"/>
    </row>
    <row r="634" spans="1:21" s="199" customFormat="1" x14ac:dyDescent="0.25">
      <c r="A634" s="564"/>
      <c r="B634" s="197" t="s">
        <v>19</v>
      </c>
      <c r="C634" s="197" t="s">
        <v>20</v>
      </c>
      <c r="D634" s="197" t="s">
        <v>21</v>
      </c>
      <c r="E634" s="197" t="s">
        <v>22</v>
      </c>
      <c r="F634" s="197" t="s">
        <v>23</v>
      </c>
      <c r="G634" s="197" t="s">
        <v>19</v>
      </c>
      <c r="H634" s="219" t="s">
        <v>20</v>
      </c>
      <c r="I634" s="197" t="s">
        <v>21</v>
      </c>
      <c r="J634" s="197" t="s">
        <v>22</v>
      </c>
      <c r="K634" s="197" t="s">
        <v>23</v>
      </c>
      <c r="L634" s="197" t="s">
        <v>19</v>
      </c>
      <c r="M634" s="197" t="s">
        <v>20</v>
      </c>
      <c r="N634" s="197" t="s">
        <v>21</v>
      </c>
      <c r="O634" s="197" t="s">
        <v>22</v>
      </c>
      <c r="P634" s="197" t="s">
        <v>23</v>
      </c>
      <c r="Q634" s="197" t="s">
        <v>19</v>
      </c>
      <c r="R634" s="197" t="s">
        <v>20</v>
      </c>
      <c r="S634" s="197" t="s">
        <v>21</v>
      </c>
      <c r="T634" s="197" t="s">
        <v>22</v>
      </c>
      <c r="U634" s="214" t="s">
        <v>23</v>
      </c>
    </row>
    <row r="635" spans="1:21" s="199" customFormat="1" x14ac:dyDescent="0.25">
      <c r="A635" s="330" t="s">
        <v>234</v>
      </c>
      <c r="B635" s="197" t="s">
        <v>47</v>
      </c>
      <c r="C635" s="197" t="s">
        <v>28</v>
      </c>
      <c r="D635" s="197">
        <v>2</v>
      </c>
      <c r="E635" s="197">
        <f>skilled</f>
        <v>1245</v>
      </c>
      <c r="F635" s="201">
        <f>(D635*E635)</f>
        <v>2490</v>
      </c>
      <c r="G635" s="197" t="s">
        <v>235</v>
      </c>
      <c r="H635" s="219" t="s">
        <v>84</v>
      </c>
      <c r="I635" s="197">
        <v>384</v>
      </c>
      <c r="J635" s="197">
        <f>District_Rate!D123</f>
        <v>1148.364</v>
      </c>
      <c r="K635" s="197">
        <f>(I635*J635)</f>
        <v>440971.77600000001</v>
      </c>
      <c r="L635" s="197" t="s">
        <v>175</v>
      </c>
      <c r="M635" s="197" t="s">
        <v>58</v>
      </c>
      <c r="N635" s="197">
        <v>6</v>
      </c>
      <c r="O635" s="197">
        <f>motor_grader</f>
        <v>2915</v>
      </c>
      <c r="P635" s="201">
        <f>(N635*O635)</f>
        <v>17490</v>
      </c>
      <c r="U635" s="215"/>
    </row>
    <row r="636" spans="1:21" s="199" customFormat="1" x14ac:dyDescent="0.25">
      <c r="B636" s="197" t="s">
        <v>29</v>
      </c>
      <c r="C636" s="197" t="s">
        <v>28</v>
      </c>
      <c r="D636" s="197">
        <v>12</v>
      </c>
      <c r="E636" s="197">
        <f>unskilled</f>
        <v>935</v>
      </c>
      <c r="F636" s="201">
        <f>(D636*E636)</f>
        <v>11220</v>
      </c>
      <c r="G636" s="197" t="s">
        <v>171</v>
      </c>
      <c r="H636" s="219" t="s">
        <v>172</v>
      </c>
      <c r="I636" s="197">
        <v>18</v>
      </c>
      <c r="J636" s="197">
        <f>adopted_rate_water</f>
        <v>310</v>
      </c>
      <c r="K636" s="197">
        <f>(I636*J636)</f>
        <v>5580</v>
      </c>
      <c r="L636" s="197" t="s">
        <v>176</v>
      </c>
      <c r="M636" s="197" t="s">
        <v>58</v>
      </c>
      <c r="N636" s="197">
        <v>12</v>
      </c>
      <c r="O636" s="197">
        <f>water_tanker</f>
        <v>1618</v>
      </c>
      <c r="P636" s="201">
        <f>(N636*O636)</f>
        <v>19416</v>
      </c>
      <c r="U636" s="215"/>
    </row>
    <row r="637" spans="1:21" s="199" customFormat="1" x14ac:dyDescent="0.25">
      <c r="H637" s="220"/>
      <c r="L637" s="197" t="s">
        <v>236</v>
      </c>
      <c r="M637" s="197" t="s">
        <v>58</v>
      </c>
      <c r="N637" s="197">
        <v>12</v>
      </c>
      <c r="O637" s="197">
        <f>tractor</f>
        <v>868</v>
      </c>
      <c r="P637" s="201">
        <f>(N637*O637)</f>
        <v>10416</v>
      </c>
      <c r="U637" s="215"/>
    </row>
    <row r="638" spans="1:21" s="199" customFormat="1" ht="15.75" customHeight="1" x14ac:dyDescent="0.25">
      <c r="A638" s="568" t="s">
        <v>30</v>
      </c>
      <c r="B638" s="569"/>
      <c r="C638" s="569"/>
      <c r="D638" s="569"/>
      <c r="E638" s="570"/>
      <c r="F638" s="201">
        <f>SUM(F634:F637)</f>
        <v>13710</v>
      </c>
      <c r="G638" s="568" t="s">
        <v>31</v>
      </c>
      <c r="H638" s="569"/>
      <c r="I638" s="569"/>
      <c r="J638" s="570"/>
      <c r="K638" s="201">
        <f>SUM(K634:K637)</f>
        <v>446551.77600000001</v>
      </c>
      <c r="L638" s="568" t="s">
        <v>32</v>
      </c>
      <c r="M638" s="569"/>
      <c r="N638" s="569"/>
      <c r="O638" s="570"/>
      <c r="P638" s="201">
        <f>SUM(P634:P637)</f>
        <v>47322</v>
      </c>
      <c r="Q638" s="568" t="s">
        <v>38</v>
      </c>
      <c r="R638" s="569"/>
      <c r="S638" s="569"/>
      <c r="T638" s="570"/>
      <c r="U638" s="225">
        <f>SUM(U634:U637)</f>
        <v>0</v>
      </c>
    </row>
    <row r="639" spans="1:21" s="199" customFormat="1" ht="15.75" customHeight="1" x14ac:dyDescent="0.25">
      <c r="A639" s="568" t="s">
        <v>33</v>
      </c>
      <c r="B639" s="569"/>
      <c r="C639" s="569"/>
      <c r="D639" s="569"/>
      <c r="E639" s="570"/>
      <c r="F639" s="201">
        <f>SUM(F638+K638+P638)</f>
        <v>507583.77600000001</v>
      </c>
      <c r="G639" s="568" t="s">
        <v>39</v>
      </c>
      <c r="H639" s="569"/>
      <c r="I639" s="569"/>
      <c r="J639" s="570"/>
      <c r="K639" s="201">
        <f>SUM(F638+K638+P638+U638)</f>
        <v>507583.77600000001</v>
      </c>
      <c r="L639" s="568" t="s">
        <v>40</v>
      </c>
      <c r="M639" s="569"/>
      <c r="N639" s="569"/>
      <c r="O639" s="570"/>
      <c r="P639" s="201">
        <f>SUM(K639*0.15)</f>
        <v>76137.566399999996</v>
      </c>
      <c r="Q639" s="568" t="s">
        <v>41</v>
      </c>
      <c r="R639" s="569"/>
      <c r="S639" s="569"/>
      <c r="T639" s="570"/>
      <c r="U639" s="225">
        <f>SUM(K639+P639)</f>
        <v>583721.34239999996</v>
      </c>
    </row>
    <row r="640" spans="1:21" s="199" customFormat="1" x14ac:dyDescent="0.25">
      <c r="H640" s="220"/>
      <c r="Q640" s="568" t="s">
        <v>42</v>
      </c>
      <c r="R640" s="569"/>
      <c r="S640" s="569"/>
      <c r="T640" s="570"/>
      <c r="U640" s="329">
        <f>ROUND((U639/300),2)</f>
        <v>1945.74</v>
      </c>
    </row>
    <row r="641" spans="1:21" s="199" customFormat="1" ht="15.75" customHeight="1" x14ac:dyDescent="0.25">
      <c r="A641" s="545" t="s">
        <v>12</v>
      </c>
      <c r="B641" s="546"/>
      <c r="C641" s="551" t="s">
        <v>2358</v>
      </c>
      <c r="D641" s="552"/>
      <c r="E641" s="552"/>
      <c r="F641" s="552"/>
      <c r="G641" s="552"/>
      <c r="H641" s="552"/>
      <c r="I641" s="552"/>
      <c r="J641" s="552"/>
      <c r="K641" s="552"/>
      <c r="L641" s="552"/>
      <c r="M641" s="552"/>
      <c r="N641" s="552"/>
      <c r="O641" s="552"/>
      <c r="P641" s="552"/>
      <c r="Q641" s="552"/>
      <c r="R641" s="552"/>
      <c r="S641" s="552"/>
      <c r="T641" s="553"/>
      <c r="U641" s="560" t="s">
        <v>169</v>
      </c>
    </row>
    <row r="642" spans="1:21" s="199" customFormat="1" ht="15.75" customHeight="1" x14ac:dyDescent="0.25">
      <c r="A642" s="547"/>
      <c r="B642" s="548"/>
      <c r="C642" s="554"/>
      <c r="D642" s="555"/>
      <c r="E642" s="555"/>
      <c r="F642" s="555"/>
      <c r="G642" s="555"/>
      <c r="H642" s="555"/>
      <c r="I642" s="555"/>
      <c r="J642" s="555"/>
      <c r="K642" s="555"/>
      <c r="L642" s="555"/>
      <c r="M642" s="555"/>
      <c r="N642" s="555"/>
      <c r="O642" s="555"/>
      <c r="P642" s="555"/>
      <c r="Q642" s="555"/>
      <c r="R642" s="555"/>
      <c r="S642" s="555"/>
      <c r="T642" s="556"/>
      <c r="U642" s="561"/>
    </row>
    <row r="643" spans="1:21" s="199" customFormat="1" ht="15.75" customHeight="1" x14ac:dyDescent="0.25">
      <c r="A643" s="549" t="s">
        <v>50</v>
      </c>
      <c r="B643" s="550"/>
      <c r="C643" s="557"/>
      <c r="D643" s="558"/>
      <c r="E643" s="558"/>
      <c r="F643" s="558"/>
      <c r="G643" s="558"/>
      <c r="H643" s="558"/>
      <c r="I643" s="558"/>
      <c r="J643" s="558"/>
      <c r="K643" s="558"/>
      <c r="L643" s="558"/>
      <c r="M643" s="558"/>
      <c r="N643" s="558"/>
      <c r="O643" s="558"/>
      <c r="P643" s="558"/>
      <c r="Q643" s="558"/>
      <c r="R643" s="558"/>
      <c r="S643" s="558"/>
      <c r="T643" s="559"/>
      <c r="U643" s="562"/>
    </row>
    <row r="644" spans="1:21" s="199" customFormat="1" ht="15.75" customHeight="1" x14ac:dyDescent="0.25">
      <c r="A644" s="563" t="s">
        <v>16</v>
      </c>
      <c r="B644" s="565" t="s">
        <v>18</v>
      </c>
      <c r="C644" s="566"/>
      <c r="D644" s="566"/>
      <c r="E644" s="566"/>
      <c r="F644" s="567"/>
      <c r="G644" s="565" t="s">
        <v>24</v>
      </c>
      <c r="H644" s="566"/>
      <c r="I644" s="566"/>
      <c r="J644" s="566"/>
      <c r="K644" s="567"/>
      <c r="L644" s="565" t="s">
        <v>25</v>
      </c>
      <c r="M644" s="566"/>
      <c r="N644" s="566"/>
      <c r="O644" s="566"/>
      <c r="P644" s="567"/>
      <c r="Q644" s="565" t="s">
        <v>26</v>
      </c>
      <c r="R644" s="566"/>
      <c r="S644" s="566"/>
      <c r="T644" s="566"/>
      <c r="U644" s="567"/>
    </row>
    <row r="645" spans="1:21" s="199" customFormat="1" ht="15.75" customHeight="1" x14ac:dyDescent="0.25">
      <c r="A645" s="564"/>
      <c r="B645" s="197" t="s">
        <v>19</v>
      </c>
      <c r="C645" s="197" t="s">
        <v>20</v>
      </c>
      <c r="D645" s="197" t="s">
        <v>21</v>
      </c>
      <c r="E645" s="197" t="s">
        <v>22</v>
      </c>
      <c r="F645" s="197" t="s">
        <v>23</v>
      </c>
      <c r="G645" s="197" t="s">
        <v>19</v>
      </c>
      <c r="H645" s="219" t="s">
        <v>20</v>
      </c>
      <c r="I645" s="197" t="s">
        <v>21</v>
      </c>
      <c r="J645" s="197" t="s">
        <v>22</v>
      </c>
      <c r="K645" s="197" t="s">
        <v>23</v>
      </c>
      <c r="L645" s="197" t="s">
        <v>19</v>
      </c>
      <c r="M645" s="197" t="s">
        <v>20</v>
      </c>
      <c r="N645" s="197" t="s">
        <v>21</v>
      </c>
      <c r="O645" s="197" t="s">
        <v>22</v>
      </c>
      <c r="P645" s="197" t="s">
        <v>23</v>
      </c>
      <c r="Q645" s="197" t="s">
        <v>19</v>
      </c>
      <c r="R645" s="197" t="s">
        <v>20</v>
      </c>
      <c r="S645" s="197" t="s">
        <v>21</v>
      </c>
      <c r="T645" s="197" t="s">
        <v>22</v>
      </c>
      <c r="U645" s="214" t="s">
        <v>23</v>
      </c>
    </row>
    <row r="646" spans="1:21" s="199" customFormat="1" x14ac:dyDescent="0.25">
      <c r="A646" s="330" t="s">
        <v>234</v>
      </c>
      <c r="B646" s="197" t="s">
        <v>47</v>
      </c>
      <c r="C646" s="197" t="s">
        <v>28</v>
      </c>
      <c r="D646" s="197">
        <v>2</v>
      </c>
      <c r="E646" s="197">
        <f>skilled</f>
        <v>1245</v>
      </c>
      <c r="F646" s="201">
        <f>(D646*E646)</f>
        <v>2490</v>
      </c>
      <c r="G646" s="197" t="s">
        <v>235</v>
      </c>
      <c r="H646" s="219" t="s">
        <v>84</v>
      </c>
      <c r="I646" s="197">
        <v>384</v>
      </c>
      <c r="J646" s="197">
        <f>J635</f>
        <v>1148.364</v>
      </c>
      <c r="K646" s="197">
        <f>(I646*J646)</f>
        <v>440971.77600000001</v>
      </c>
      <c r="L646" s="197" t="s">
        <v>175</v>
      </c>
      <c r="M646" s="197" t="s">
        <v>58</v>
      </c>
      <c r="N646" s="197">
        <v>4</v>
      </c>
      <c r="O646" s="197">
        <f>motor_grader</f>
        <v>2915</v>
      </c>
      <c r="P646" s="201">
        <f>(N646*O646)</f>
        <v>11660</v>
      </c>
      <c r="U646" s="215"/>
    </row>
    <row r="647" spans="1:21" s="199" customFormat="1" x14ac:dyDescent="0.25">
      <c r="B647" s="197" t="s">
        <v>29</v>
      </c>
      <c r="C647" s="197" t="s">
        <v>28</v>
      </c>
      <c r="D647" s="197">
        <v>6</v>
      </c>
      <c r="E647" s="197">
        <f>unskilled</f>
        <v>935</v>
      </c>
      <c r="F647" s="201">
        <f>(D647*E647)</f>
        <v>5610</v>
      </c>
      <c r="G647" s="197" t="s">
        <v>171</v>
      </c>
      <c r="H647" s="219" t="s">
        <v>172</v>
      </c>
      <c r="I647" s="197">
        <v>0</v>
      </c>
      <c r="J647" s="197">
        <f>adopted_rate_water</f>
        <v>310</v>
      </c>
      <c r="K647" s="197">
        <f>(I647*J647)</f>
        <v>0</v>
      </c>
      <c r="L647" s="197" t="s">
        <v>176</v>
      </c>
      <c r="M647" s="197" t="s">
        <v>58</v>
      </c>
      <c r="N647" s="197">
        <v>0</v>
      </c>
      <c r="O647" s="197">
        <f>water_tanker</f>
        <v>1618</v>
      </c>
      <c r="P647" s="201">
        <f>(N647*O647)</f>
        <v>0</v>
      </c>
      <c r="U647" s="215"/>
    </row>
    <row r="648" spans="1:21" s="199" customFormat="1" x14ac:dyDescent="0.25">
      <c r="H648" s="220"/>
      <c r="L648" s="197" t="s">
        <v>236</v>
      </c>
      <c r="M648" s="197" t="s">
        <v>58</v>
      </c>
      <c r="N648" s="197">
        <v>0</v>
      </c>
      <c r="O648" s="197">
        <f>tractor</f>
        <v>868</v>
      </c>
      <c r="P648" s="201">
        <f>(N648*O648)</f>
        <v>0</v>
      </c>
      <c r="U648" s="215"/>
    </row>
    <row r="649" spans="1:21" s="199" customFormat="1" ht="15.75" customHeight="1" x14ac:dyDescent="0.25">
      <c r="A649" s="568" t="s">
        <v>30</v>
      </c>
      <c r="B649" s="569"/>
      <c r="C649" s="569"/>
      <c r="D649" s="569"/>
      <c r="E649" s="570"/>
      <c r="F649" s="201">
        <f>SUM(F645:F648)</f>
        <v>8100</v>
      </c>
      <c r="G649" s="568" t="s">
        <v>31</v>
      </c>
      <c r="H649" s="569"/>
      <c r="I649" s="569"/>
      <c r="J649" s="570"/>
      <c r="K649" s="201">
        <f>SUM(K645:K648)</f>
        <v>440971.77600000001</v>
      </c>
      <c r="L649" s="568" t="s">
        <v>32</v>
      </c>
      <c r="M649" s="569"/>
      <c r="N649" s="569"/>
      <c r="O649" s="570"/>
      <c r="P649" s="201">
        <f>SUM(P645:P648)</f>
        <v>11660</v>
      </c>
      <c r="Q649" s="568" t="s">
        <v>38</v>
      </c>
      <c r="R649" s="569"/>
      <c r="S649" s="569"/>
      <c r="T649" s="570"/>
      <c r="U649" s="225">
        <f>SUM(U645:U648)</f>
        <v>0</v>
      </c>
    </row>
    <row r="650" spans="1:21" s="199" customFormat="1" ht="15.75" customHeight="1" x14ac:dyDescent="0.25">
      <c r="A650" s="568" t="s">
        <v>33</v>
      </c>
      <c r="B650" s="569"/>
      <c r="C650" s="569"/>
      <c r="D650" s="569"/>
      <c r="E650" s="570"/>
      <c r="F650" s="201">
        <f>SUM(F649+K649+P649)</f>
        <v>460731.77600000001</v>
      </c>
      <c r="G650" s="568" t="s">
        <v>39</v>
      </c>
      <c r="H650" s="569"/>
      <c r="I650" s="569"/>
      <c r="J650" s="570"/>
      <c r="K650" s="201">
        <f>SUM(F649+K649+P649+U649)</f>
        <v>460731.77600000001</v>
      </c>
      <c r="L650" s="568" t="s">
        <v>40</v>
      </c>
      <c r="M650" s="569"/>
      <c r="N650" s="569"/>
      <c r="O650" s="570"/>
      <c r="P650" s="201">
        <f>SUM(K650*0.15)</f>
        <v>69109.766399999993</v>
      </c>
      <c r="Q650" s="568" t="s">
        <v>41</v>
      </c>
      <c r="R650" s="569"/>
      <c r="S650" s="569"/>
      <c r="T650" s="570"/>
      <c r="U650" s="225">
        <f>SUM(K650+P650)</f>
        <v>529841.54240000003</v>
      </c>
    </row>
    <row r="651" spans="1:21" s="199" customFormat="1" ht="15.75" customHeight="1" x14ac:dyDescent="0.25">
      <c r="H651" s="220"/>
      <c r="Q651" s="568" t="s">
        <v>42</v>
      </c>
      <c r="R651" s="569"/>
      <c r="S651" s="569"/>
      <c r="T651" s="570"/>
      <c r="U651" s="329">
        <f>ROUND((U650/300),2)</f>
        <v>1766.14</v>
      </c>
    </row>
    <row r="652" spans="1:21" s="199" customFormat="1" x14ac:dyDescent="0.25">
      <c r="A652" s="571"/>
      <c r="B652" s="571"/>
      <c r="C652" s="571"/>
      <c r="D652" s="571"/>
      <c r="E652" s="571"/>
      <c r="F652" s="571"/>
      <c r="G652" s="571"/>
      <c r="H652" s="571"/>
      <c r="I652" s="571"/>
      <c r="J652" s="571"/>
      <c r="K652" s="571"/>
      <c r="L652" s="571"/>
      <c r="M652" s="571"/>
      <c r="N652" s="571"/>
      <c r="O652" s="571"/>
      <c r="P652" s="571"/>
      <c r="Q652" s="571"/>
      <c r="R652" s="571"/>
      <c r="S652" s="571"/>
      <c r="T652" s="571"/>
      <c r="U652" s="571"/>
    </row>
    <row r="653" spans="1:21" x14ac:dyDescent="0.25">
      <c r="A653" s="572" t="s">
        <v>12</v>
      </c>
      <c r="B653" s="573"/>
      <c r="C653" s="578" t="s">
        <v>237</v>
      </c>
      <c r="D653" s="579"/>
      <c r="E653" s="579"/>
      <c r="F653" s="579"/>
      <c r="G653" s="579"/>
      <c r="H653" s="579"/>
      <c r="I653" s="579"/>
      <c r="J653" s="579"/>
      <c r="K653" s="579"/>
      <c r="L653" s="579"/>
      <c r="M653" s="579"/>
      <c r="N653" s="579"/>
      <c r="O653" s="579"/>
      <c r="P653" s="579"/>
      <c r="Q653" s="579"/>
      <c r="R653" s="579"/>
      <c r="S653" s="579"/>
      <c r="T653" s="580"/>
      <c r="U653" s="587" t="s">
        <v>169</v>
      </c>
    </row>
    <row r="654" spans="1:21" x14ac:dyDescent="0.25">
      <c r="A654" s="574"/>
      <c r="B654" s="575"/>
      <c r="C654" s="581"/>
      <c r="D654" s="582"/>
      <c r="E654" s="582"/>
      <c r="F654" s="582"/>
      <c r="G654" s="582"/>
      <c r="H654" s="582"/>
      <c r="I654" s="582"/>
      <c r="J654" s="582"/>
      <c r="K654" s="582"/>
      <c r="L654" s="582"/>
      <c r="M654" s="582"/>
      <c r="N654" s="582"/>
      <c r="O654" s="582"/>
      <c r="P654" s="582"/>
      <c r="Q654" s="582"/>
      <c r="R654" s="582"/>
      <c r="S654" s="582"/>
      <c r="T654" s="583"/>
      <c r="U654" s="588"/>
    </row>
    <row r="655" spans="1:21" x14ac:dyDescent="0.25">
      <c r="A655" s="576" t="s">
        <v>50</v>
      </c>
      <c r="B655" s="577"/>
      <c r="C655" s="584"/>
      <c r="D655" s="585"/>
      <c r="E655" s="585"/>
      <c r="F655" s="585"/>
      <c r="G655" s="585"/>
      <c r="H655" s="585"/>
      <c r="I655" s="585"/>
      <c r="J655" s="585"/>
      <c r="K655" s="585"/>
      <c r="L655" s="585"/>
      <c r="M655" s="585"/>
      <c r="N655" s="585"/>
      <c r="O655" s="585"/>
      <c r="P655" s="585"/>
      <c r="Q655" s="585"/>
      <c r="R655" s="585"/>
      <c r="S655" s="585"/>
      <c r="T655" s="586"/>
      <c r="U655" s="589"/>
    </row>
    <row r="656" spans="1:21" x14ac:dyDescent="0.25">
      <c r="A656" s="590" t="s">
        <v>16</v>
      </c>
      <c r="B656" s="592" t="s">
        <v>18</v>
      </c>
      <c r="C656" s="593"/>
      <c r="D656" s="593"/>
      <c r="E656" s="593"/>
      <c r="F656" s="594"/>
      <c r="G656" s="592" t="s">
        <v>24</v>
      </c>
      <c r="H656" s="593"/>
      <c r="I656" s="593"/>
      <c r="J656" s="593"/>
      <c r="K656" s="594"/>
      <c r="L656" s="592" t="s">
        <v>25</v>
      </c>
      <c r="M656" s="593"/>
      <c r="N656" s="593"/>
      <c r="O656" s="593"/>
      <c r="P656" s="594"/>
      <c r="Q656" s="592" t="s">
        <v>26</v>
      </c>
      <c r="R656" s="593"/>
      <c r="S656" s="593"/>
      <c r="T656" s="593"/>
      <c r="U656" s="594"/>
    </row>
    <row r="657" spans="1:21" x14ac:dyDescent="0.25">
      <c r="A657" s="591"/>
      <c r="B657" s="182" t="s">
        <v>19</v>
      </c>
      <c r="C657" s="182" t="s">
        <v>20</v>
      </c>
      <c r="D657" s="182" t="s">
        <v>21</v>
      </c>
      <c r="E657" s="182" t="s">
        <v>22</v>
      </c>
      <c r="F657" s="182" t="s">
        <v>23</v>
      </c>
      <c r="G657" s="182" t="s">
        <v>19</v>
      </c>
      <c r="H657" s="216" t="s">
        <v>20</v>
      </c>
      <c r="I657" s="182" t="s">
        <v>21</v>
      </c>
      <c r="J657" s="182" t="s">
        <v>22</v>
      </c>
      <c r="K657" s="182" t="s">
        <v>23</v>
      </c>
      <c r="L657" s="182" t="s">
        <v>19</v>
      </c>
      <c r="M657" s="182" t="s">
        <v>20</v>
      </c>
      <c r="N657" s="182" t="s">
        <v>21</v>
      </c>
      <c r="O657" s="182" t="s">
        <v>22</v>
      </c>
      <c r="P657" s="182" t="s">
        <v>23</v>
      </c>
      <c r="Q657" s="182" t="s">
        <v>19</v>
      </c>
      <c r="R657" s="182" t="s">
        <v>20</v>
      </c>
      <c r="S657" s="182" t="s">
        <v>21</v>
      </c>
      <c r="T657" s="182" t="s">
        <v>22</v>
      </c>
      <c r="U657" s="211" t="s">
        <v>23</v>
      </c>
    </row>
    <row r="658" spans="1:21" x14ac:dyDescent="0.25">
      <c r="A658" s="333" t="s">
        <v>238</v>
      </c>
      <c r="B658" s="182" t="s">
        <v>47</v>
      </c>
      <c r="C658" s="182" t="s">
        <v>28</v>
      </c>
      <c r="D658" s="182">
        <v>3</v>
      </c>
      <c r="E658" s="182">
        <f>skilled</f>
        <v>1245</v>
      </c>
      <c r="F658" s="184">
        <f>(D658*E658)</f>
        <v>3735</v>
      </c>
      <c r="G658" s="182" t="s">
        <v>85</v>
      </c>
      <c r="H658" s="216" t="s">
        <v>35</v>
      </c>
      <c r="I658" s="182">
        <v>24</v>
      </c>
      <c r="J658" s="182">
        <f>adopted_rate_cement</f>
        <v>13031</v>
      </c>
      <c r="K658" s="182">
        <f>(I658*J658)</f>
        <v>312744</v>
      </c>
      <c r="L658" s="182" t="s">
        <v>175</v>
      </c>
      <c r="M658" s="182" t="s">
        <v>58</v>
      </c>
      <c r="N658" s="182">
        <v>6</v>
      </c>
      <c r="O658" s="182">
        <f>motor_grader</f>
        <v>2915</v>
      </c>
      <c r="P658" s="184">
        <f>(N658*O658)</f>
        <v>17490</v>
      </c>
      <c r="Q658" s="263"/>
      <c r="R658" s="263"/>
      <c r="S658" s="263"/>
      <c r="T658" s="263"/>
    </row>
    <row r="659" spans="1:21" ht="31.5" x14ac:dyDescent="0.25">
      <c r="A659" s="263"/>
      <c r="B659" s="182" t="s">
        <v>29</v>
      </c>
      <c r="C659" s="182" t="s">
        <v>28</v>
      </c>
      <c r="D659" s="182">
        <v>15</v>
      </c>
      <c r="E659" s="182">
        <f>unskilled</f>
        <v>935</v>
      </c>
      <c r="F659" s="184">
        <f>(D659*E659)</f>
        <v>14025</v>
      </c>
      <c r="G659" s="182" t="s">
        <v>239</v>
      </c>
      <c r="H659" s="216" t="s">
        <v>84</v>
      </c>
      <c r="I659" s="182">
        <v>384</v>
      </c>
      <c r="J659" s="182">
        <f>adopted_rate_base_course_material</f>
        <v>2892.96</v>
      </c>
      <c r="K659" s="182">
        <f>(I659*J659)</f>
        <v>1110896.6400000001</v>
      </c>
      <c r="L659" s="182" t="s">
        <v>176</v>
      </c>
      <c r="M659" s="182" t="s">
        <v>58</v>
      </c>
      <c r="N659" s="182">
        <v>6</v>
      </c>
      <c r="O659" s="182">
        <f>water_tanker</f>
        <v>1618</v>
      </c>
      <c r="P659" s="184">
        <f>(N659*O659)</f>
        <v>9708</v>
      </c>
      <c r="Q659" s="263"/>
      <c r="R659" s="263"/>
      <c r="S659" s="263"/>
      <c r="T659" s="263"/>
    </row>
    <row r="660" spans="1:21" x14ac:dyDescent="0.25">
      <c r="A660" s="263"/>
      <c r="B660" s="263"/>
      <c r="C660" s="263"/>
      <c r="D660" s="263"/>
      <c r="E660" s="263"/>
      <c r="F660" s="263"/>
      <c r="G660" s="182" t="s">
        <v>171</v>
      </c>
      <c r="H660" s="216" t="s">
        <v>172</v>
      </c>
      <c r="I660" s="182">
        <v>72</v>
      </c>
      <c r="J660" s="182">
        <f>adopted_rate_water</f>
        <v>310</v>
      </c>
      <c r="K660" s="182">
        <f>(I660*J660)</f>
        <v>22320</v>
      </c>
      <c r="L660" s="182" t="s">
        <v>236</v>
      </c>
      <c r="M660" s="182" t="s">
        <v>58</v>
      </c>
      <c r="N660" s="182">
        <v>12</v>
      </c>
      <c r="O660" s="182">
        <f>tractor</f>
        <v>868</v>
      </c>
      <c r="P660" s="184">
        <f>(N660*O660)</f>
        <v>10416</v>
      </c>
      <c r="Q660" s="263"/>
      <c r="R660" s="263"/>
      <c r="S660" s="263"/>
      <c r="T660" s="263"/>
    </row>
    <row r="661" spans="1:21" x14ac:dyDescent="0.25">
      <c r="A661" s="595" t="s">
        <v>30</v>
      </c>
      <c r="B661" s="596"/>
      <c r="C661" s="596"/>
      <c r="D661" s="596"/>
      <c r="E661" s="597"/>
      <c r="F661" s="184">
        <f>SUM(F657:F660)</f>
        <v>17760</v>
      </c>
      <c r="G661" s="595" t="s">
        <v>31</v>
      </c>
      <c r="H661" s="596"/>
      <c r="I661" s="596"/>
      <c r="J661" s="597"/>
      <c r="K661" s="184">
        <f>SUM(K657:K660)</f>
        <v>1445960.6400000001</v>
      </c>
      <c r="L661" s="595" t="s">
        <v>32</v>
      </c>
      <c r="M661" s="596"/>
      <c r="N661" s="596"/>
      <c r="O661" s="597"/>
      <c r="P661" s="184">
        <f>SUM(P657:P660)</f>
        <v>37614</v>
      </c>
      <c r="Q661" s="595" t="s">
        <v>38</v>
      </c>
      <c r="R661" s="596"/>
      <c r="S661" s="596"/>
      <c r="T661" s="597"/>
      <c r="U661" s="223">
        <f>SUM(U657:U660)</f>
        <v>0</v>
      </c>
    </row>
    <row r="662" spans="1:21" x14ac:dyDescent="0.25">
      <c r="A662" s="595" t="s">
        <v>33</v>
      </c>
      <c r="B662" s="596"/>
      <c r="C662" s="596"/>
      <c r="D662" s="596"/>
      <c r="E662" s="597"/>
      <c r="F662" s="184">
        <f>SUM(F661+K661+P661)</f>
        <v>1501334.6400000001</v>
      </c>
      <c r="G662" s="595" t="s">
        <v>39</v>
      </c>
      <c r="H662" s="596"/>
      <c r="I662" s="596"/>
      <c r="J662" s="597"/>
      <c r="K662" s="184">
        <f>SUM(F661+K661+P661+U661)</f>
        <v>1501334.6400000001</v>
      </c>
      <c r="L662" s="595" t="s">
        <v>40</v>
      </c>
      <c r="M662" s="596"/>
      <c r="N662" s="596"/>
      <c r="O662" s="597"/>
      <c r="P662" s="184">
        <f>SUM(K662*0.15)</f>
        <v>225200.19600000003</v>
      </c>
      <c r="Q662" s="595" t="s">
        <v>41</v>
      </c>
      <c r="R662" s="596"/>
      <c r="S662" s="596"/>
      <c r="T662" s="597"/>
      <c r="U662" s="223">
        <f>SUM(K662+P662)</f>
        <v>1726534.8360000001</v>
      </c>
    </row>
    <row r="663" spans="1:21" x14ac:dyDescent="0.25">
      <c r="Q663" s="537" t="s">
        <v>42</v>
      </c>
      <c r="R663" s="537"/>
      <c r="S663" s="537"/>
      <c r="T663" s="537"/>
      <c r="U663" s="224">
        <f>ROUND((U662/300),2)</f>
        <v>5755.12</v>
      </c>
    </row>
    <row r="664" spans="1:21" x14ac:dyDescent="0.25">
      <c r="A664" s="544"/>
      <c r="B664" s="544"/>
      <c r="C664" s="544"/>
      <c r="D664" s="544"/>
      <c r="E664" s="544"/>
      <c r="F664" s="544"/>
      <c r="G664" s="544"/>
      <c r="H664" s="544"/>
      <c r="I664" s="544"/>
      <c r="J664" s="544"/>
      <c r="K664" s="544"/>
      <c r="L664" s="544"/>
      <c r="M664" s="544"/>
      <c r="N664" s="544"/>
      <c r="O664" s="544"/>
      <c r="P664" s="544"/>
      <c r="Q664" s="544"/>
      <c r="R664" s="544"/>
      <c r="S664" s="544"/>
      <c r="T664" s="544"/>
      <c r="U664" s="544"/>
    </row>
    <row r="665" spans="1:21" x14ac:dyDescent="0.25">
      <c r="A665" s="538" t="s">
        <v>12</v>
      </c>
      <c r="B665" s="538"/>
      <c r="C665" s="540" t="s">
        <v>240</v>
      </c>
      <c r="D665" s="540"/>
      <c r="E665" s="540"/>
      <c r="F665" s="540"/>
      <c r="G665" s="540"/>
      <c r="H665" s="540"/>
      <c r="I665" s="540"/>
      <c r="J665" s="540"/>
      <c r="K665" s="540"/>
      <c r="L665" s="540"/>
      <c r="M665" s="540"/>
      <c r="N665" s="540"/>
      <c r="O665" s="540"/>
      <c r="P665" s="540"/>
      <c r="Q665" s="540"/>
      <c r="R665" s="540"/>
      <c r="S665" s="540"/>
      <c r="T665" s="540"/>
      <c r="U665" s="541" t="s">
        <v>128</v>
      </c>
    </row>
    <row r="666" spans="1:21" x14ac:dyDescent="0.25">
      <c r="A666" s="538"/>
      <c r="B666" s="538"/>
      <c r="C666" s="540"/>
      <c r="D666" s="540"/>
      <c r="E666" s="540"/>
      <c r="F666" s="540"/>
      <c r="G666" s="540"/>
      <c r="H666" s="540"/>
      <c r="I666" s="540"/>
      <c r="J666" s="540"/>
      <c r="K666" s="540"/>
      <c r="L666" s="540"/>
      <c r="M666" s="540"/>
      <c r="N666" s="540"/>
      <c r="O666" s="540"/>
      <c r="P666" s="540"/>
      <c r="Q666" s="540"/>
      <c r="R666" s="540"/>
      <c r="S666" s="540"/>
      <c r="T666" s="540"/>
      <c r="U666" s="541"/>
    </row>
    <row r="667" spans="1:21" x14ac:dyDescent="0.25">
      <c r="A667" s="539" t="s">
        <v>50</v>
      </c>
      <c r="B667" s="539"/>
      <c r="C667" s="540"/>
      <c r="D667" s="540"/>
      <c r="E667" s="540"/>
      <c r="F667" s="540"/>
      <c r="G667" s="540"/>
      <c r="H667" s="540"/>
      <c r="I667" s="540"/>
      <c r="J667" s="540"/>
      <c r="K667" s="540"/>
      <c r="L667" s="540"/>
      <c r="M667" s="540"/>
      <c r="N667" s="540"/>
      <c r="O667" s="540"/>
      <c r="P667" s="540"/>
      <c r="Q667" s="540"/>
      <c r="R667" s="540"/>
      <c r="S667" s="540"/>
      <c r="T667" s="540"/>
      <c r="U667" s="541"/>
    </row>
    <row r="668" spans="1:21" x14ac:dyDescent="0.25">
      <c r="A668" s="542" t="s">
        <v>16</v>
      </c>
      <c r="B668" s="543" t="s">
        <v>18</v>
      </c>
      <c r="C668" s="543"/>
      <c r="D668" s="543"/>
      <c r="E668" s="543"/>
      <c r="F668" s="543"/>
      <c r="G668" s="543" t="s">
        <v>24</v>
      </c>
      <c r="H668" s="543"/>
      <c r="I668" s="543"/>
      <c r="J668" s="543"/>
      <c r="K668" s="543"/>
      <c r="L668" s="543" t="s">
        <v>25</v>
      </c>
      <c r="M668" s="543"/>
      <c r="N668" s="543"/>
      <c r="O668" s="543"/>
      <c r="P668" s="543"/>
      <c r="Q668" s="543" t="s">
        <v>26</v>
      </c>
      <c r="R668" s="543"/>
      <c r="S668" s="543"/>
      <c r="T668" s="543"/>
      <c r="U668" s="543"/>
    </row>
    <row r="669" spans="1:21" x14ac:dyDescent="0.25">
      <c r="A669" s="542"/>
      <c r="B669" s="182" t="s">
        <v>19</v>
      </c>
      <c r="C669" s="182" t="s">
        <v>20</v>
      </c>
      <c r="D669" s="182" t="s">
        <v>21</v>
      </c>
      <c r="E669" s="182" t="s">
        <v>22</v>
      </c>
      <c r="F669" s="182" t="s">
        <v>23</v>
      </c>
      <c r="G669" s="182" t="s">
        <v>19</v>
      </c>
      <c r="H669" s="216" t="s">
        <v>20</v>
      </c>
      <c r="I669" s="182" t="s">
        <v>21</v>
      </c>
      <c r="J669" s="182" t="s">
        <v>22</v>
      </c>
      <c r="K669" s="182" t="s">
        <v>23</v>
      </c>
      <c r="L669" s="182" t="s">
        <v>19</v>
      </c>
      <c r="M669" s="182" t="s">
        <v>20</v>
      </c>
      <c r="N669" s="182" t="s">
        <v>21</v>
      </c>
      <c r="O669" s="182" t="s">
        <v>22</v>
      </c>
      <c r="P669" s="182" t="s">
        <v>23</v>
      </c>
      <c r="Q669" s="182" t="s">
        <v>19</v>
      </c>
      <c r="R669" s="182" t="s">
        <v>20</v>
      </c>
      <c r="S669" s="182" t="s">
        <v>21</v>
      </c>
      <c r="T669" s="182" t="s">
        <v>22</v>
      </c>
      <c r="U669" s="211" t="s">
        <v>23</v>
      </c>
    </row>
    <row r="670" spans="1:21" x14ac:dyDescent="0.25">
      <c r="A670" s="183" t="s">
        <v>241</v>
      </c>
      <c r="B670" s="182" t="s">
        <v>47</v>
      </c>
      <c r="C670" s="182" t="s">
        <v>28</v>
      </c>
      <c r="D670" s="182">
        <v>3</v>
      </c>
      <c r="E670" s="182">
        <f>skilled</f>
        <v>1245</v>
      </c>
      <c r="F670" s="184">
        <f>(D670*E670)</f>
        <v>3735</v>
      </c>
      <c r="G670" s="182" t="s">
        <v>242</v>
      </c>
      <c r="H670" s="216"/>
      <c r="L670" s="182" t="s">
        <v>175</v>
      </c>
      <c r="M670" s="182" t="s">
        <v>58</v>
      </c>
      <c r="N670" s="182">
        <v>6</v>
      </c>
      <c r="O670" s="195">
        <f>motor_grader</f>
        <v>2915</v>
      </c>
      <c r="P670" s="195">
        <f>O670*N670</f>
        <v>17490</v>
      </c>
    </row>
    <row r="671" spans="1:21" x14ac:dyDescent="0.25">
      <c r="B671" s="182" t="s">
        <v>29</v>
      </c>
      <c r="C671" s="182" t="s">
        <v>28</v>
      </c>
      <c r="D671" s="182">
        <v>14</v>
      </c>
      <c r="E671" s="182">
        <f>unskilled</f>
        <v>935</v>
      </c>
      <c r="F671" s="184">
        <f>(D671*E671)</f>
        <v>13090</v>
      </c>
      <c r="G671" s="182" t="s">
        <v>243</v>
      </c>
      <c r="H671" s="216"/>
      <c r="L671" s="182" t="s">
        <v>176</v>
      </c>
      <c r="M671" s="182" t="s">
        <v>58</v>
      </c>
      <c r="N671" s="182">
        <v>6</v>
      </c>
      <c r="O671" s="195">
        <f>water_tanker</f>
        <v>1618</v>
      </c>
      <c r="P671" s="195">
        <f>O671*N671</f>
        <v>9708</v>
      </c>
    </row>
    <row r="672" spans="1:21" x14ac:dyDescent="0.25">
      <c r="G672" s="182" t="s">
        <v>244</v>
      </c>
      <c r="H672" s="216" t="s">
        <v>84</v>
      </c>
      <c r="I672" s="182">
        <v>157.46</v>
      </c>
      <c r="J672" s="182">
        <f>adopted_rate_aggregate_40_70_mm</f>
        <v>2469.6</v>
      </c>
      <c r="K672" s="182">
        <f>(I672*J672)</f>
        <v>388863.21600000001</v>
      </c>
    </row>
    <row r="673" spans="1:25" x14ac:dyDescent="0.25">
      <c r="G673" s="182" t="s">
        <v>245</v>
      </c>
      <c r="H673" s="216" t="s">
        <v>84</v>
      </c>
      <c r="I673" s="182">
        <v>151.06</v>
      </c>
      <c r="J673" s="182">
        <f>adopted_rate_aggregate_10_20_mm</f>
        <v>3351.6</v>
      </c>
      <c r="K673" s="182">
        <f>(I673*J673)</f>
        <v>506292.696</v>
      </c>
    </row>
    <row r="674" spans="1:25" x14ac:dyDescent="0.25">
      <c r="G674" s="182" t="s">
        <v>246</v>
      </c>
      <c r="H674" s="216" t="s">
        <v>84</v>
      </c>
      <c r="I674" s="182">
        <v>166.68</v>
      </c>
      <c r="J674" s="182">
        <f>District_Rate!L12</f>
        <v>3175.2000000000003</v>
      </c>
      <c r="K674" s="182">
        <f>(I674*J674)</f>
        <v>529242.33600000001</v>
      </c>
    </row>
    <row r="675" spans="1:25" x14ac:dyDescent="0.25">
      <c r="G675" s="182" t="s">
        <v>171</v>
      </c>
      <c r="H675" s="216" t="s">
        <v>172</v>
      </c>
      <c r="I675" s="182">
        <v>36</v>
      </c>
      <c r="J675" s="182">
        <f>adopted_rate_water</f>
        <v>310</v>
      </c>
      <c r="K675" s="182">
        <f>(I675*J675)</f>
        <v>11160</v>
      </c>
    </row>
    <row r="676" spans="1:25" x14ac:dyDescent="0.25">
      <c r="A676" s="537" t="s">
        <v>30</v>
      </c>
      <c r="B676" s="537"/>
      <c r="C676" s="537"/>
      <c r="D676" s="537"/>
      <c r="E676" s="537"/>
      <c r="F676" s="184">
        <f>SUM(F669:F675)</f>
        <v>16825</v>
      </c>
      <c r="G676" s="537" t="s">
        <v>31</v>
      </c>
      <c r="H676" s="537"/>
      <c r="I676" s="537"/>
      <c r="J676" s="537"/>
      <c r="K676" s="184">
        <f>SUM(K669:K675)</f>
        <v>1435558.2480000001</v>
      </c>
      <c r="L676" s="537" t="s">
        <v>32</v>
      </c>
      <c r="M676" s="537"/>
      <c r="N676" s="537"/>
      <c r="O676" s="537"/>
      <c r="P676" s="184">
        <f>SUM(P669:P675)</f>
        <v>27198</v>
      </c>
      <c r="Q676" s="537" t="s">
        <v>38</v>
      </c>
      <c r="R676" s="537"/>
      <c r="S676" s="537"/>
      <c r="T676" s="537"/>
      <c r="U676" s="223">
        <f>SUM(U669:U675)</f>
        <v>0</v>
      </c>
    </row>
    <row r="677" spans="1:25" x14ac:dyDescent="0.25">
      <c r="A677" s="537" t="s">
        <v>33</v>
      </c>
      <c r="B677" s="537"/>
      <c r="C677" s="537"/>
      <c r="D677" s="537"/>
      <c r="E677" s="537"/>
      <c r="F677" s="184">
        <f>SUM(F676+K676+P676)</f>
        <v>1479581.2480000001</v>
      </c>
      <c r="G677" s="537" t="s">
        <v>39</v>
      </c>
      <c r="H677" s="537"/>
      <c r="I677" s="537"/>
      <c r="J677" s="537"/>
      <c r="K677" s="184">
        <f>SUM(F676+K676+P676+U676)</f>
        <v>1479581.2480000001</v>
      </c>
      <c r="L677" s="537" t="s">
        <v>40</v>
      </c>
      <c r="M677" s="537"/>
      <c r="N677" s="537"/>
      <c r="O677" s="537"/>
      <c r="P677" s="184">
        <f>SUM(K677*0.15)</f>
        <v>221937.18720000001</v>
      </c>
      <c r="Q677" s="537" t="s">
        <v>41</v>
      </c>
      <c r="R677" s="537"/>
      <c r="S677" s="537"/>
      <c r="T677" s="537"/>
      <c r="U677" s="223">
        <f>SUM(K677+P677)</f>
        <v>1701518.4352000002</v>
      </c>
    </row>
    <row r="678" spans="1:25" x14ac:dyDescent="0.25">
      <c r="Q678" s="537" t="s">
        <v>42</v>
      </c>
      <c r="R678" s="537"/>
      <c r="S678" s="537"/>
      <c r="T678" s="537"/>
      <c r="U678" s="224">
        <f>ROUND((U677/360),2)</f>
        <v>4726.4399999999996</v>
      </c>
    </row>
    <row r="679" spans="1:25" x14ac:dyDescent="0.25">
      <c r="A679" s="544"/>
      <c r="B679" s="544"/>
      <c r="C679" s="544"/>
      <c r="D679" s="544"/>
      <c r="E679" s="544"/>
      <c r="F679" s="544"/>
      <c r="G679" s="544"/>
      <c r="H679" s="544"/>
      <c r="I679" s="544"/>
      <c r="J679" s="544"/>
      <c r="K679" s="544"/>
      <c r="L679" s="544"/>
      <c r="M679" s="544"/>
      <c r="N679" s="544"/>
      <c r="O679" s="544"/>
      <c r="P679" s="544"/>
      <c r="Q679" s="544"/>
      <c r="R679" s="544"/>
      <c r="S679" s="544"/>
      <c r="T679" s="544"/>
      <c r="U679" s="544"/>
    </row>
    <row r="680" spans="1:25" x14ac:dyDescent="0.25">
      <c r="A680" s="538" t="s">
        <v>12</v>
      </c>
      <c r="B680" s="538"/>
      <c r="C680" s="540" t="s">
        <v>240</v>
      </c>
      <c r="D680" s="540"/>
      <c r="E680" s="540"/>
      <c r="F680" s="540"/>
      <c r="G680" s="540"/>
      <c r="H680" s="540"/>
      <c r="I680" s="540"/>
      <c r="J680" s="540"/>
      <c r="K680" s="540"/>
      <c r="L680" s="540"/>
      <c r="M680" s="540"/>
      <c r="N680" s="540"/>
      <c r="O680" s="540"/>
      <c r="P680" s="540"/>
      <c r="Q680" s="540"/>
      <c r="R680" s="540"/>
      <c r="S680" s="540"/>
      <c r="T680" s="540"/>
      <c r="U680" s="541" t="s">
        <v>128</v>
      </c>
    </row>
    <row r="681" spans="1:25" x14ac:dyDescent="0.25">
      <c r="A681" s="538"/>
      <c r="B681" s="538"/>
      <c r="C681" s="540"/>
      <c r="D681" s="540"/>
      <c r="E681" s="540"/>
      <c r="F681" s="540"/>
      <c r="G681" s="540"/>
      <c r="H681" s="540"/>
      <c r="I681" s="540"/>
      <c r="J681" s="540"/>
      <c r="K681" s="540"/>
      <c r="L681" s="540"/>
      <c r="M681" s="540"/>
      <c r="N681" s="540"/>
      <c r="O681" s="540"/>
      <c r="P681" s="540"/>
      <c r="Q681" s="540"/>
      <c r="R681" s="540"/>
      <c r="S681" s="540"/>
      <c r="T681" s="540"/>
      <c r="U681" s="541"/>
      <c r="Y681" s="196">
        <f>K691+F691</f>
        <v>1578752.68</v>
      </c>
    </row>
    <row r="682" spans="1:25" x14ac:dyDescent="0.25">
      <c r="A682" s="539" t="s">
        <v>50</v>
      </c>
      <c r="B682" s="539"/>
      <c r="C682" s="540"/>
      <c r="D682" s="540"/>
      <c r="E682" s="540"/>
      <c r="F682" s="540"/>
      <c r="G682" s="540"/>
      <c r="H682" s="540"/>
      <c r="I682" s="540"/>
      <c r="J682" s="540"/>
      <c r="K682" s="540"/>
      <c r="L682" s="540"/>
      <c r="M682" s="540"/>
      <c r="N682" s="540"/>
      <c r="O682" s="540"/>
      <c r="P682" s="540"/>
      <c r="Q682" s="540"/>
      <c r="R682" s="540"/>
      <c r="S682" s="540"/>
      <c r="T682" s="540"/>
      <c r="U682" s="541"/>
      <c r="Y682" s="195">
        <f>Y681/360</f>
        <v>4385.4241111111105</v>
      </c>
    </row>
    <row r="683" spans="1:25" x14ac:dyDescent="0.25">
      <c r="A683" s="542" t="s">
        <v>16</v>
      </c>
      <c r="B683" s="543" t="s">
        <v>18</v>
      </c>
      <c r="C683" s="543"/>
      <c r="D683" s="543"/>
      <c r="E683" s="543"/>
      <c r="F683" s="543"/>
      <c r="G683" s="543" t="s">
        <v>24</v>
      </c>
      <c r="H683" s="543"/>
      <c r="I683" s="543"/>
      <c r="J683" s="543"/>
      <c r="K683" s="543"/>
      <c r="L683" s="543" t="s">
        <v>25</v>
      </c>
      <c r="M683" s="543"/>
      <c r="N683" s="543"/>
      <c r="O683" s="543"/>
      <c r="P683" s="543"/>
      <c r="Q683" s="543" t="s">
        <v>26</v>
      </c>
      <c r="R683" s="543"/>
      <c r="S683" s="543"/>
      <c r="T683" s="543"/>
      <c r="U683" s="543"/>
    </row>
    <row r="684" spans="1:25" x14ac:dyDescent="0.25">
      <c r="A684" s="542"/>
      <c r="B684" s="182" t="s">
        <v>19</v>
      </c>
      <c r="C684" s="182" t="s">
        <v>20</v>
      </c>
      <c r="D684" s="182" t="s">
        <v>21</v>
      </c>
      <c r="E684" s="182" t="s">
        <v>22</v>
      </c>
      <c r="F684" s="182" t="s">
        <v>23</v>
      </c>
      <c r="G684" s="182" t="s">
        <v>19</v>
      </c>
      <c r="H684" s="216" t="s">
        <v>20</v>
      </c>
      <c r="I684" s="182" t="s">
        <v>21</v>
      </c>
      <c r="J684" s="182" t="s">
        <v>22</v>
      </c>
      <c r="K684" s="182" t="s">
        <v>23</v>
      </c>
      <c r="L684" s="182" t="s">
        <v>19</v>
      </c>
      <c r="M684" s="182" t="s">
        <v>20</v>
      </c>
      <c r="N684" s="182" t="s">
        <v>21</v>
      </c>
      <c r="O684" s="182" t="s">
        <v>22</v>
      </c>
      <c r="P684" s="182" t="s">
        <v>23</v>
      </c>
      <c r="Q684" s="182" t="s">
        <v>19</v>
      </c>
      <c r="R684" s="182" t="s">
        <v>20</v>
      </c>
      <c r="S684" s="182" t="s">
        <v>21</v>
      </c>
      <c r="T684" s="182" t="s">
        <v>22</v>
      </c>
      <c r="U684" s="211" t="s">
        <v>23</v>
      </c>
    </row>
    <row r="685" spans="1:25" x14ac:dyDescent="0.25">
      <c r="A685" s="183" t="s">
        <v>247</v>
      </c>
      <c r="B685" s="182" t="s">
        <v>47</v>
      </c>
      <c r="C685" s="182" t="s">
        <v>28</v>
      </c>
      <c r="D685" s="182">
        <v>3</v>
      </c>
      <c r="E685" s="182">
        <f>skilled</f>
        <v>1245</v>
      </c>
      <c r="F685" s="184">
        <f>(D685*E685)</f>
        <v>3735</v>
      </c>
      <c r="G685" s="182" t="s">
        <v>242</v>
      </c>
      <c r="H685" s="216"/>
      <c r="L685" s="182" t="s">
        <v>175</v>
      </c>
      <c r="M685" s="182" t="s">
        <v>58</v>
      </c>
      <c r="N685" s="182">
        <v>6</v>
      </c>
      <c r="O685" s="182">
        <f>motor_grader</f>
        <v>2915</v>
      </c>
      <c r="P685" s="184">
        <f>(N685*O685)</f>
        <v>17490</v>
      </c>
      <c r="X685" s="195">
        <f>K687+K688+K689</f>
        <v>1550767.68</v>
      </c>
    </row>
    <row r="686" spans="1:25" x14ac:dyDescent="0.25">
      <c r="B686" s="182" t="s">
        <v>29</v>
      </c>
      <c r="C686" s="182" t="s">
        <v>28</v>
      </c>
      <c r="D686" s="182">
        <v>14</v>
      </c>
      <c r="E686" s="182">
        <f>unskilled</f>
        <v>935</v>
      </c>
      <c r="F686" s="184">
        <f>(D686*E686)</f>
        <v>13090</v>
      </c>
      <c r="G686" s="182" t="s">
        <v>248</v>
      </c>
      <c r="H686" s="216"/>
      <c r="L686" s="182" t="s">
        <v>176</v>
      </c>
      <c r="M686" s="182" t="s">
        <v>58</v>
      </c>
      <c r="N686" s="182">
        <v>6</v>
      </c>
      <c r="O686" s="182">
        <f>water_tanker</f>
        <v>1618</v>
      </c>
      <c r="P686" s="184">
        <f>(N686*O686)</f>
        <v>9708</v>
      </c>
      <c r="X686" s="195">
        <f>X685/360</f>
        <v>4307.6880000000001</v>
      </c>
    </row>
    <row r="687" spans="1:25" x14ac:dyDescent="0.25">
      <c r="G687" s="182" t="s">
        <v>249</v>
      </c>
      <c r="H687" s="216" t="s">
        <v>84</v>
      </c>
      <c r="I687" s="182">
        <v>24.12</v>
      </c>
      <c r="J687" s="182">
        <f>adopted_rate_aggregate_20_40_mm</f>
        <v>3175.2000000000003</v>
      </c>
      <c r="K687" s="182">
        <f>(I687*J687)</f>
        <v>76585.824000000008</v>
      </c>
    </row>
    <row r="688" spans="1:25" x14ac:dyDescent="0.25">
      <c r="G688" s="182" t="s">
        <v>245</v>
      </c>
      <c r="H688" s="216" t="s">
        <v>84</v>
      </c>
      <c r="I688" s="182">
        <v>237.6</v>
      </c>
      <c r="J688" s="182">
        <f>adopted_rate_aggregate_10_20_mm</f>
        <v>3351.6</v>
      </c>
      <c r="K688" s="182">
        <f>(I688*J688)</f>
        <v>796340.15999999992</v>
      </c>
    </row>
    <row r="689" spans="1:21" x14ac:dyDescent="0.25">
      <c r="G689" s="182" t="s">
        <v>246</v>
      </c>
      <c r="H689" s="216" t="s">
        <v>84</v>
      </c>
      <c r="I689" s="182">
        <v>213.48</v>
      </c>
      <c r="J689" s="182">
        <f>District_Rate!L12</f>
        <v>3175.2000000000003</v>
      </c>
      <c r="K689" s="182">
        <f>(I689*J689)</f>
        <v>677841.696</v>
      </c>
    </row>
    <row r="690" spans="1:21" x14ac:dyDescent="0.25">
      <c r="G690" s="182" t="s">
        <v>171</v>
      </c>
      <c r="H690" s="216" t="s">
        <v>172</v>
      </c>
      <c r="I690" s="182">
        <v>36</v>
      </c>
      <c r="J690" s="182">
        <f>adopted_rate_water</f>
        <v>310</v>
      </c>
      <c r="K690" s="182">
        <f>(I690*J690)</f>
        <v>11160</v>
      </c>
    </row>
    <row r="691" spans="1:21" x14ac:dyDescent="0.25">
      <c r="A691" s="537" t="s">
        <v>30</v>
      </c>
      <c r="B691" s="537"/>
      <c r="C691" s="537"/>
      <c r="D691" s="537"/>
      <c r="E691" s="537"/>
      <c r="F691" s="184">
        <f>SUM(F684:F690)</f>
        <v>16825</v>
      </c>
      <c r="G691" s="537" t="s">
        <v>31</v>
      </c>
      <c r="H691" s="537"/>
      <c r="I691" s="537"/>
      <c r="J691" s="537"/>
      <c r="K691" s="184">
        <f>SUM(K684:K690)</f>
        <v>1561927.6799999999</v>
      </c>
      <c r="L691" s="537" t="s">
        <v>32</v>
      </c>
      <c r="M691" s="537"/>
      <c r="N691" s="537"/>
      <c r="O691" s="537"/>
      <c r="P691" s="184">
        <f>SUM(P684:P690)</f>
        <v>27198</v>
      </c>
      <c r="Q691" s="537" t="s">
        <v>38</v>
      </c>
      <c r="R691" s="537"/>
      <c r="S691" s="537"/>
      <c r="T691" s="537"/>
      <c r="U691" s="223">
        <f>SUM(U684:U690)</f>
        <v>0</v>
      </c>
    </row>
    <row r="692" spans="1:21" x14ac:dyDescent="0.25">
      <c r="A692" s="537" t="s">
        <v>33</v>
      </c>
      <c r="B692" s="537"/>
      <c r="C692" s="537"/>
      <c r="D692" s="537"/>
      <c r="E692" s="537"/>
      <c r="F692" s="184">
        <f>SUM(F691+K691+P691)</f>
        <v>1605950.68</v>
      </c>
      <c r="G692" s="537" t="s">
        <v>39</v>
      </c>
      <c r="H692" s="537"/>
      <c r="I692" s="537"/>
      <c r="J692" s="537"/>
      <c r="K692" s="184">
        <f>SUM(F691+K691+P691+U691)</f>
        <v>1605950.68</v>
      </c>
      <c r="L692" s="537" t="s">
        <v>40</v>
      </c>
      <c r="M692" s="537"/>
      <c r="N692" s="537"/>
      <c r="O692" s="537"/>
      <c r="P692" s="184">
        <f>SUM(K692*0.15)</f>
        <v>240892.60199999998</v>
      </c>
      <c r="Q692" s="537" t="s">
        <v>41</v>
      </c>
      <c r="R692" s="537"/>
      <c r="S692" s="537"/>
      <c r="T692" s="537"/>
      <c r="U692" s="223">
        <f>SUM(K692+P692)</f>
        <v>1846843.2819999999</v>
      </c>
    </row>
    <row r="693" spans="1:21" x14ac:dyDescent="0.25">
      <c r="Q693" s="537" t="s">
        <v>42</v>
      </c>
      <c r="R693" s="537"/>
      <c r="S693" s="537"/>
      <c r="T693" s="537"/>
      <c r="U693" s="224">
        <f>ROUND((U692/360),2)</f>
        <v>5130.12</v>
      </c>
    </row>
    <row r="694" spans="1:21" x14ac:dyDescent="0.25">
      <c r="A694" s="544"/>
      <c r="B694" s="544"/>
      <c r="C694" s="544"/>
      <c r="D694" s="544"/>
      <c r="E694" s="544"/>
      <c r="F694" s="544"/>
      <c r="G694" s="544"/>
      <c r="H694" s="544"/>
      <c r="I694" s="544"/>
      <c r="J694" s="544"/>
      <c r="K694" s="544"/>
      <c r="L694" s="544"/>
      <c r="M694" s="544"/>
      <c r="N694" s="544"/>
      <c r="O694" s="544"/>
      <c r="P694" s="544"/>
      <c r="Q694" s="544"/>
      <c r="R694" s="544"/>
      <c r="S694" s="544"/>
      <c r="T694" s="544"/>
      <c r="U694" s="544"/>
    </row>
    <row r="695" spans="1:21" x14ac:dyDescent="0.25">
      <c r="A695" s="538" t="s">
        <v>12</v>
      </c>
      <c r="B695" s="538"/>
      <c r="C695" s="540" t="s">
        <v>250</v>
      </c>
      <c r="D695" s="540"/>
      <c r="E695" s="540"/>
      <c r="F695" s="540"/>
      <c r="G695" s="540"/>
      <c r="H695" s="540"/>
      <c r="I695" s="540"/>
      <c r="J695" s="540"/>
      <c r="K695" s="540"/>
      <c r="L695" s="540"/>
      <c r="M695" s="540"/>
      <c r="N695" s="540"/>
      <c r="O695" s="540"/>
      <c r="P695" s="540"/>
      <c r="Q695" s="540"/>
      <c r="R695" s="540"/>
      <c r="S695" s="540"/>
      <c r="T695" s="540"/>
      <c r="U695" s="541" t="s">
        <v>251</v>
      </c>
    </row>
    <row r="696" spans="1:21" x14ac:dyDescent="0.25">
      <c r="A696" s="538"/>
      <c r="B696" s="538"/>
      <c r="C696" s="540"/>
      <c r="D696" s="540"/>
      <c r="E696" s="540"/>
      <c r="F696" s="540"/>
      <c r="G696" s="540"/>
      <c r="H696" s="540"/>
      <c r="I696" s="540"/>
      <c r="J696" s="540"/>
      <c r="K696" s="540"/>
      <c r="L696" s="540"/>
      <c r="M696" s="540"/>
      <c r="N696" s="540"/>
      <c r="O696" s="540"/>
      <c r="P696" s="540"/>
      <c r="Q696" s="540"/>
      <c r="R696" s="540"/>
      <c r="S696" s="540"/>
      <c r="T696" s="540"/>
      <c r="U696" s="541"/>
    </row>
    <row r="697" spans="1:21" x14ac:dyDescent="0.25">
      <c r="A697" s="539" t="s">
        <v>50</v>
      </c>
      <c r="B697" s="539"/>
      <c r="C697" s="540"/>
      <c r="D697" s="540"/>
      <c r="E697" s="540"/>
      <c r="F697" s="540"/>
      <c r="G697" s="540"/>
      <c r="H697" s="540"/>
      <c r="I697" s="540"/>
      <c r="J697" s="540"/>
      <c r="K697" s="540"/>
      <c r="L697" s="540"/>
      <c r="M697" s="540"/>
      <c r="N697" s="540"/>
      <c r="O697" s="540"/>
      <c r="P697" s="540"/>
      <c r="Q697" s="540"/>
      <c r="R697" s="540"/>
      <c r="S697" s="540"/>
      <c r="T697" s="540"/>
      <c r="U697" s="541"/>
    </row>
    <row r="698" spans="1:21" x14ac:dyDescent="0.25">
      <c r="A698" s="542" t="s">
        <v>16</v>
      </c>
      <c r="B698" s="543" t="s">
        <v>18</v>
      </c>
      <c r="C698" s="543"/>
      <c r="D698" s="543"/>
      <c r="E698" s="543"/>
      <c r="F698" s="543"/>
      <c r="G698" s="543" t="s">
        <v>24</v>
      </c>
      <c r="H698" s="543"/>
      <c r="I698" s="543"/>
      <c r="J698" s="543"/>
      <c r="K698" s="543"/>
      <c r="L698" s="543" t="s">
        <v>25</v>
      </c>
      <c r="M698" s="543"/>
      <c r="N698" s="543"/>
      <c r="O698" s="543"/>
      <c r="P698" s="543"/>
      <c r="Q698" s="543" t="s">
        <v>26</v>
      </c>
      <c r="R698" s="543"/>
      <c r="S698" s="543"/>
      <c r="T698" s="543"/>
      <c r="U698" s="543"/>
    </row>
    <row r="699" spans="1:21" x14ac:dyDescent="0.25">
      <c r="A699" s="542"/>
      <c r="B699" s="182" t="s">
        <v>19</v>
      </c>
      <c r="C699" s="182" t="s">
        <v>20</v>
      </c>
      <c r="D699" s="182" t="s">
        <v>21</v>
      </c>
      <c r="E699" s="182" t="s">
        <v>22</v>
      </c>
      <c r="F699" s="182" t="s">
        <v>23</v>
      </c>
      <c r="G699" s="182" t="s">
        <v>19</v>
      </c>
      <c r="H699" s="216" t="s">
        <v>20</v>
      </c>
      <c r="I699" s="182" t="s">
        <v>21</v>
      </c>
      <c r="J699" s="182" t="s">
        <v>22</v>
      </c>
      <c r="K699" s="182" t="s">
        <v>23</v>
      </c>
      <c r="L699" s="182" t="s">
        <v>19</v>
      </c>
      <c r="M699" s="182" t="s">
        <v>20</v>
      </c>
      <c r="N699" s="182" t="s">
        <v>21</v>
      </c>
      <c r="O699" s="182" t="s">
        <v>22</v>
      </c>
      <c r="P699" s="182" t="s">
        <v>23</v>
      </c>
      <c r="Q699" s="182" t="s">
        <v>19</v>
      </c>
      <c r="R699" s="182" t="s">
        <v>20</v>
      </c>
      <c r="S699" s="182" t="s">
        <v>21</v>
      </c>
      <c r="T699" s="182" t="s">
        <v>22</v>
      </c>
      <c r="U699" s="211" t="s">
        <v>23</v>
      </c>
    </row>
    <row r="700" spans="1:21" x14ac:dyDescent="0.25">
      <c r="A700" s="183" t="s">
        <v>252</v>
      </c>
      <c r="B700" s="182" t="s">
        <v>47</v>
      </c>
      <c r="C700" s="182" t="s">
        <v>28</v>
      </c>
      <c r="D700" s="182">
        <v>3</v>
      </c>
      <c r="E700" s="182">
        <f>skilled</f>
        <v>1245</v>
      </c>
      <c r="F700" s="184">
        <f>(D700*E700)</f>
        <v>3735</v>
      </c>
      <c r="G700" s="182" t="s">
        <v>253</v>
      </c>
      <c r="H700" s="216" t="s">
        <v>84</v>
      </c>
      <c r="I700" s="182">
        <v>89.1</v>
      </c>
      <c r="J700" s="182">
        <f>adopted_rate_aggregate_20_40_mm</f>
        <v>3175.2000000000003</v>
      </c>
      <c r="K700" s="182">
        <f>(I700*J700)</f>
        <v>282910.32</v>
      </c>
      <c r="L700" s="182" t="s">
        <v>256</v>
      </c>
      <c r="M700" s="182" t="s">
        <v>58</v>
      </c>
      <c r="N700" s="182">
        <v>9</v>
      </c>
      <c r="O700" s="182">
        <f>wet_mix_plant</f>
        <v>1094</v>
      </c>
      <c r="P700" s="184">
        <f>(N700*O700)</f>
        <v>9846</v>
      </c>
    </row>
    <row r="701" spans="1:21" x14ac:dyDescent="0.25">
      <c r="B701" s="182" t="s">
        <v>29</v>
      </c>
      <c r="C701" s="182" t="s">
        <v>28</v>
      </c>
      <c r="D701" s="182">
        <v>15</v>
      </c>
      <c r="E701" s="182">
        <f>unskilled</f>
        <v>935</v>
      </c>
      <c r="F701" s="184">
        <f>(D701*E701)</f>
        <v>14025</v>
      </c>
      <c r="G701" s="182" t="s">
        <v>254</v>
      </c>
      <c r="H701" s="216" t="s">
        <v>84</v>
      </c>
      <c r="I701" s="182">
        <v>118.8</v>
      </c>
      <c r="J701" s="182">
        <f>adopted_rate_aggregate_10_20_mm</f>
        <v>3351.6</v>
      </c>
      <c r="K701" s="182">
        <f>(I701*J701)</f>
        <v>398170.07999999996</v>
      </c>
      <c r="L701" s="182" t="s">
        <v>257</v>
      </c>
      <c r="M701" s="182" t="s">
        <v>58</v>
      </c>
      <c r="N701" s="182">
        <v>6</v>
      </c>
      <c r="O701" s="182">
        <f>electric_generator</f>
        <v>855</v>
      </c>
      <c r="P701" s="184">
        <f>(N701*O701)</f>
        <v>5130</v>
      </c>
    </row>
    <row r="702" spans="1:21" x14ac:dyDescent="0.25">
      <c r="G702" s="182" t="s">
        <v>255</v>
      </c>
      <c r="H702" s="216" t="s">
        <v>84</v>
      </c>
      <c r="I702" s="182">
        <v>89.1</v>
      </c>
      <c r="J702" s="182">
        <f>adopted_rate_sand</f>
        <v>3175.2000000000003</v>
      </c>
      <c r="K702" s="182">
        <f>(I702*J702)</f>
        <v>282910.32</v>
      </c>
      <c r="L702" s="182" t="s">
        <v>258</v>
      </c>
      <c r="M702" s="182" t="s">
        <v>58</v>
      </c>
      <c r="N702" s="182">
        <v>6</v>
      </c>
      <c r="O702" s="182">
        <f>paver_finisher</f>
        <v>2374</v>
      </c>
      <c r="P702" s="184">
        <f>(N702*O702)</f>
        <v>14244</v>
      </c>
    </row>
    <row r="703" spans="1:21" x14ac:dyDescent="0.25">
      <c r="G703" s="182" t="s">
        <v>171</v>
      </c>
      <c r="H703" s="216" t="s">
        <v>172</v>
      </c>
      <c r="I703" s="182">
        <v>18</v>
      </c>
      <c r="J703" s="182">
        <f>adopted_rate_water</f>
        <v>310</v>
      </c>
      <c r="K703" s="182">
        <f>(I703*J703)</f>
        <v>5580</v>
      </c>
      <c r="L703" s="182" t="s">
        <v>176</v>
      </c>
      <c r="M703" s="182" t="s">
        <v>58</v>
      </c>
      <c r="N703" s="182">
        <v>6</v>
      </c>
      <c r="O703" s="182">
        <f>water_tanker</f>
        <v>1618</v>
      </c>
      <c r="P703" s="184">
        <f>(N703*O703)</f>
        <v>9708</v>
      </c>
    </row>
    <row r="704" spans="1:21" x14ac:dyDescent="0.25">
      <c r="A704" s="537" t="s">
        <v>30</v>
      </c>
      <c r="B704" s="537"/>
      <c r="C704" s="537"/>
      <c r="D704" s="537"/>
      <c r="E704" s="537"/>
      <c r="F704" s="184">
        <f>SUM(F699:F703)</f>
        <v>17760</v>
      </c>
      <c r="G704" s="537" t="s">
        <v>31</v>
      </c>
      <c r="H704" s="537"/>
      <c r="I704" s="537"/>
      <c r="J704" s="537"/>
      <c r="K704" s="184">
        <f>SUM(K699:K703)</f>
        <v>969570.72</v>
      </c>
      <c r="L704" s="537" t="s">
        <v>32</v>
      </c>
      <c r="M704" s="537"/>
      <c r="N704" s="537"/>
      <c r="O704" s="537"/>
      <c r="P704" s="184">
        <f>SUM(P699:P703)</f>
        <v>38928</v>
      </c>
      <c r="Q704" s="537" t="s">
        <v>38</v>
      </c>
      <c r="R704" s="537"/>
      <c r="S704" s="537"/>
      <c r="T704" s="537"/>
      <c r="U704" s="223">
        <f>SUM(U699:U703)</f>
        <v>0</v>
      </c>
    </row>
    <row r="705" spans="1:21" x14ac:dyDescent="0.25">
      <c r="A705" s="537" t="s">
        <v>33</v>
      </c>
      <c r="B705" s="537"/>
      <c r="C705" s="537"/>
      <c r="D705" s="537"/>
      <c r="E705" s="537"/>
      <c r="F705" s="184">
        <f>SUM(F704+K704+P704)</f>
        <v>1026258.72</v>
      </c>
      <c r="G705" s="537" t="s">
        <v>39</v>
      </c>
      <c r="H705" s="537"/>
      <c r="I705" s="537"/>
      <c r="J705" s="537"/>
      <c r="K705" s="184">
        <f>SUM(F704+K704+P704+U704)</f>
        <v>1026258.72</v>
      </c>
      <c r="L705" s="537" t="s">
        <v>40</v>
      </c>
      <c r="M705" s="537"/>
      <c r="N705" s="537"/>
      <c r="O705" s="537"/>
      <c r="P705" s="184">
        <f>SUM(K705*0.15)</f>
        <v>153938.80799999999</v>
      </c>
      <c r="Q705" s="537" t="s">
        <v>41</v>
      </c>
      <c r="R705" s="537"/>
      <c r="S705" s="537"/>
      <c r="T705" s="537"/>
      <c r="U705" s="223">
        <f>SUM(K705+P705)</f>
        <v>1180197.5279999999</v>
      </c>
    </row>
    <row r="706" spans="1:21" x14ac:dyDescent="0.25">
      <c r="Q706" s="537" t="s">
        <v>42</v>
      </c>
      <c r="R706" s="537"/>
      <c r="S706" s="537"/>
      <c r="T706" s="537"/>
      <c r="U706" s="224">
        <f>ROUND((U705/225),2)</f>
        <v>5245.32</v>
      </c>
    </row>
    <row r="707" spans="1:21" x14ac:dyDescent="0.25">
      <c r="A707" s="544"/>
      <c r="B707" s="544"/>
      <c r="C707" s="544"/>
      <c r="D707" s="544"/>
      <c r="E707" s="544"/>
      <c r="F707" s="544"/>
      <c r="G707" s="544"/>
      <c r="H707" s="544"/>
      <c r="I707" s="544"/>
      <c r="J707" s="544"/>
      <c r="K707" s="544"/>
      <c r="L707" s="544"/>
      <c r="M707" s="544"/>
      <c r="N707" s="544"/>
      <c r="O707" s="544"/>
      <c r="P707" s="544"/>
      <c r="Q707" s="544"/>
      <c r="R707" s="544"/>
      <c r="S707" s="544"/>
      <c r="T707" s="544"/>
      <c r="U707" s="544"/>
    </row>
    <row r="708" spans="1:21" x14ac:dyDescent="0.25">
      <c r="A708" s="538" t="s">
        <v>12</v>
      </c>
      <c r="B708" s="538"/>
      <c r="C708" s="540" t="s">
        <v>259</v>
      </c>
      <c r="D708" s="540"/>
      <c r="E708" s="540"/>
      <c r="F708" s="540"/>
      <c r="G708" s="540"/>
      <c r="H708" s="540"/>
      <c r="I708" s="540"/>
      <c r="J708" s="540"/>
      <c r="K708" s="540"/>
      <c r="L708" s="540"/>
      <c r="M708" s="540"/>
      <c r="N708" s="540"/>
      <c r="O708" s="540"/>
      <c r="P708" s="540"/>
      <c r="Q708" s="540"/>
      <c r="R708" s="540"/>
      <c r="S708" s="540"/>
      <c r="T708" s="540"/>
      <c r="U708" s="541" t="s">
        <v>251</v>
      </c>
    </row>
    <row r="709" spans="1:21" x14ac:dyDescent="0.25">
      <c r="A709" s="538"/>
      <c r="B709" s="538"/>
      <c r="C709" s="540"/>
      <c r="D709" s="540"/>
      <c r="E709" s="540"/>
      <c r="F709" s="540"/>
      <c r="G709" s="540"/>
      <c r="H709" s="540"/>
      <c r="I709" s="540"/>
      <c r="J709" s="540"/>
      <c r="K709" s="540"/>
      <c r="L709" s="540"/>
      <c r="M709" s="540"/>
      <c r="N709" s="540"/>
      <c r="O709" s="540"/>
      <c r="P709" s="540"/>
      <c r="Q709" s="540"/>
      <c r="R709" s="540"/>
      <c r="S709" s="540"/>
      <c r="T709" s="540"/>
      <c r="U709" s="541"/>
    </row>
    <row r="710" spans="1:21" x14ac:dyDescent="0.25">
      <c r="A710" s="539" t="s">
        <v>50</v>
      </c>
      <c r="B710" s="539"/>
      <c r="C710" s="540"/>
      <c r="D710" s="540"/>
      <c r="E710" s="540"/>
      <c r="F710" s="540"/>
      <c r="G710" s="540"/>
      <c r="H710" s="540"/>
      <c r="I710" s="540"/>
      <c r="J710" s="540"/>
      <c r="K710" s="540"/>
      <c r="L710" s="540"/>
      <c r="M710" s="540"/>
      <c r="N710" s="540"/>
      <c r="O710" s="540"/>
      <c r="P710" s="540"/>
      <c r="Q710" s="540"/>
      <c r="R710" s="540"/>
      <c r="S710" s="540"/>
      <c r="T710" s="540"/>
      <c r="U710" s="541"/>
    </row>
    <row r="711" spans="1:21" x14ac:dyDescent="0.25">
      <c r="A711" s="542" t="s">
        <v>16</v>
      </c>
      <c r="B711" s="543" t="s">
        <v>18</v>
      </c>
      <c r="C711" s="543"/>
      <c r="D711" s="543"/>
      <c r="E711" s="543"/>
      <c r="F711" s="543"/>
      <c r="G711" s="543" t="s">
        <v>24</v>
      </c>
      <c r="H711" s="543"/>
      <c r="I711" s="543"/>
      <c r="J711" s="543"/>
      <c r="K711" s="543"/>
      <c r="L711" s="543" t="s">
        <v>25</v>
      </c>
      <c r="M711" s="543"/>
      <c r="N711" s="543"/>
      <c r="O711" s="543"/>
      <c r="P711" s="543"/>
      <c r="Q711" s="543" t="s">
        <v>26</v>
      </c>
      <c r="R711" s="543"/>
      <c r="S711" s="543"/>
      <c r="T711" s="543"/>
      <c r="U711" s="543"/>
    </row>
    <row r="712" spans="1:21" x14ac:dyDescent="0.25">
      <c r="A712" s="542"/>
      <c r="B712" s="182" t="s">
        <v>19</v>
      </c>
      <c r="C712" s="182" t="s">
        <v>20</v>
      </c>
      <c r="D712" s="182" t="s">
        <v>21</v>
      </c>
      <c r="E712" s="182" t="s">
        <v>22</v>
      </c>
      <c r="F712" s="182" t="s">
        <v>23</v>
      </c>
      <c r="G712" s="182" t="s">
        <v>19</v>
      </c>
      <c r="H712" s="216" t="s">
        <v>20</v>
      </c>
      <c r="I712" s="182" t="s">
        <v>21</v>
      </c>
      <c r="J712" s="182" t="s">
        <v>22</v>
      </c>
      <c r="K712" s="182" t="s">
        <v>23</v>
      </c>
      <c r="L712" s="182" t="s">
        <v>19</v>
      </c>
      <c r="M712" s="182" t="s">
        <v>20</v>
      </c>
      <c r="N712" s="182" t="s">
        <v>21</v>
      </c>
      <c r="O712" s="182" t="s">
        <v>22</v>
      </c>
      <c r="P712" s="182" t="s">
        <v>23</v>
      </c>
      <c r="Q712" s="182" t="s">
        <v>19</v>
      </c>
      <c r="R712" s="182" t="s">
        <v>20</v>
      </c>
      <c r="S712" s="182" t="s">
        <v>21</v>
      </c>
      <c r="T712" s="182" t="s">
        <v>22</v>
      </c>
      <c r="U712" s="211" t="s">
        <v>23</v>
      </c>
    </row>
    <row r="713" spans="1:21" x14ac:dyDescent="0.25">
      <c r="A713" s="183" t="s">
        <v>260</v>
      </c>
      <c r="B713" s="182" t="s">
        <v>47</v>
      </c>
      <c r="C713" s="182" t="s">
        <v>28</v>
      </c>
      <c r="D713" s="182">
        <v>3</v>
      </c>
      <c r="E713" s="182">
        <f>skilled</f>
        <v>1245</v>
      </c>
      <c r="F713" s="184">
        <f>(D713*E713)</f>
        <v>3735</v>
      </c>
      <c r="G713" s="182" t="s">
        <v>253</v>
      </c>
      <c r="H713" s="216" t="s">
        <v>84</v>
      </c>
      <c r="I713" s="182">
        <v>89.1</v>
      </c>
      <c r="J713" s="182">
        <f>adopted_rate_aggregate_20_40_mm</f>
        <v>3175.2000000000003</v>
      </c>
      <c r="K713" s="182">
        <f>(I713*J713)</f>
        <v>282910.32</v>
      </c>
      <c r="L713" s="182" t="s">
        <v>256</v>
      </c>
      <c r="M713" s="182" t="s">
        <v>58</v>
      </c>
      <c r="N713" s="182">
        <v>9</v>
      </c>
      <c r="O713" s="182">
        <f>wet_mix_plant</f>
        <v>1094</v>
      </c>
      <c r="P713" s="184">
        <f>(N713*O713)</f>
        <v>9846</v>
      </c>
    </row>
    <row r="714" spans="1:21" x14ac:dyDescent="0.25">
      <c r="B714" s="182" t="s">
        <v>29</v>
      </c>
      <c r="C714" s="182" t="s">
        <v>28</v>
      </c>
      <c r="D714" s="182">
        <v>15</v>
      </c>
      <c r="E714" s="182">
        <f>unskilled</f>
        <v>935</v>
      </c>
      <c r="F714" s="184">
        <f>(D714*E714)</f>
        <v>14025</v>
      </c>
      <c r="G714" s="182" t="s">
        <v>254</v>
      </c>
      <c r="H714" s="216" t="s">
        <v>84</v>
      </c>
      <c r="I714" s="182">
        <v>118.8</v>
      </c>
      <c r="J714" s="182">
        <f>adopted_rate_aggregate_10_20_mm</f>
        <v>3351.6</v>
      </c>
      <c r="K714" s="182">
        <f>(I714*J714)</f>
        <v>398170.07999999996</v>
      </c>
      <c r="L714" s="182" t="s">
        <v>257</v>
      </c>
      <c r="M714" s="182" t="s">
        <v>58</v>
      </c>
      <c r="N714" s="182">
        <v>6</v>
      </c>
      <c r="O714" s="182">
        <f>Equipment_Rate!J51</f>
        <v>854.24446902654881</v>
      </c>
      <c r="P714" s="184">
        <f>(N714*O714)</f>
        <v>5125.4668141592929</v>
      </c>
    </row>
    <row r="715" spans="1:21" x14ac:dyDescent="0.25">
      <c r="G715" s="182" t="s">
        <v>255</v>
      </c>
      <c r="H715" s="216" t="s">
        <v>84</v>
      </c>
      <c r="I715" s="182">
        <v>89.1</v>
      </c>
      <c r="J715" s="182">
        <f>adopted_rate_sand</f>
        <v>3175.2000000000003</v>
      </c>
      <c r="K715" s="182">
        <f>(I715*J715)</f>
        <v>282910.32</v>
      </c>
      <c r="L715" s="182" t="s">
        <v>258</v>
      </c>
      <c r="M715" s="182" t="s">
        <v>58</v>
      </c>
      <c r="N715" s="182">
        <v>6</v>
      </c>
      <c r="O715" s="182">
        <f>paver_finisher</f>
        <v>2374</v>
      </c>
      <c r="P715" s="184">
        <f>(N715*O715)</f>
        <v>14244</v>
      </c>
    </row>
    <row r="716" spans="1:21" x14ac:dyDescent="0.25">
      <c r="G716" s="182" t="s">
        <v>171</v>
      </c>
      <c r="H716" s="216" t="s">
        <v>172</v>
      </c>
      <c r="I716" s="182">
        <v>18</v>
      </c>
      <c r="J716" s="182">
        <f>adopted_rate_water</f>
        <v>310</v>
      </c>
      <c r="K716" s="182">
        <f>(I716*J716)</f>
        <v>5580</v>
      </c>
      <c r="L716" s="182" t="s">
        <v>176</v>
      </c>
      <c r="M716" s="182" t="s">
        <v>58</v>
      </c>
      <c r="N716" s="182">
        <v>6</v>
      </c>
      <c r="O716" s="182">
        <f>water_tanker</f>
        <v>1618</v>
      </c>
      <c r="P716" s="184">
        <f>(N716*O716)</f>
        <v>9708</v>
      </c>
    </row>
    <row r="717" spans="1:21" x14ac:dyDescent="0.25">
      <c r="A717" s="537" t="s">
        <v>30</v>
      </c>
      <c r="B717" s="537"/>
      <c r="C717" s="537"/>
      <c r="D717" s="537"/>
      <c r="E717" s="537"/>
      <c r="F717" s="184">
        <f>SUM(F712:F716)</f>
        <v>17760</v>
      </c>
      <c r="G717" s="537" t="s">
        <v>31</v>
      </c>
      <c r="H717" s="537"/>
      <c r="I717" s="537"/>
      <c r="J717" s="537"/>
      <c r="K717" s="184">
        <f>SUM(K712:K716)</f>
        <v>969570.72</v>
      </c>
      <c r="L717" s="537" t="s">
        <v>32</v>
      </c>
      <c r="M717" s="537"/>
      <c r="N717" s="537"/>
      <c r="O717" s="537"/>
      <c r="P717" s="184">
        <f>SUM(P712:P716)</f>
        <v>38923.466814159292</v>
      </c>
      <c r="Q717" s="537" t="s">
        <v>38</v>
      </c>
      <c r="R717" s="537"/>
      <c r="S717" s="537"/>
      <c r="T717" s="537"/>
      <c r="U717" s="223">
        <f>SUM(U712:U716)</f>
        <v>0</v>
      </c>
    </row>
    <row r="718" spans="1:21" x14ac:dyDescent="0.25">
      <c r="A718" s="537" t="s">
        <v>33</v>
      </c>
      <c r="B718" s="537"/>
      <c r="C718" s="537"/>
      <c r="D718" s="537"/>
      <c r="E718" s="537"/>
      <c r="F718" s="184">
        <f>SUM(F717+K717+P717)</f>
        <v>1026254.1868141593</v>
      </c>
      <c r="G718" s="537" t="s">
        <v>39</v>
      </c>
      <c r="H718" s="537"/>
      <c r="I718" s="537"/>
      <c r="J718" s="537"/>
      <c r="K718" s="184">
        <f>SUM(F717+K717+P717+U717)</f>
        <v>1026254.1868141593</v>
      </c>
      <c r="L718" s="537" t="s">
        <v>40</v>
      </c>
      <c r="M718" s="537"/>
      <c r="N718" s="537"/>
      <c r="O718" s="537"/>
      <c r="P718" s="184">
        <f>SUM(K718*0.15)</f>
        <v>153938.12802212388</v>
      </c>
      <c r="Q718" s="537" t="s">
        <v>41</v>
      </c>
      <c r="R718" s="537"/>
      <c r="S718" s="537"/>
      <c r="T718" s="537"/>
      <c r="U718" s="223">
        <f>SUM(K718+P718)</f>
        <v>1180192.3148362832</v>
      </c>
    </row>
    <row r="719" spans="1:21" x14ac:dyDescent="0.25">
      <c r="Q719" s="537" t="s">
        <v>42</v>
      </c>
      <c r="R719" s="537"/>
      <c r="S719" s="537"/>
      <c r="T719" s="537"/>
      <c r="U719" s="224">
        <f>ROUND((U718/225),2)</f>
        <v>5245.3</v>
      </c>
    </row>
    <row r="720" spans="1:21" x14ac:dyDescent="0.25">
      <c r="A720" s="544"/>
      <c r="B720" s="544"/>
      <c r="C720" s="544"/>
      <c r="D720" s="544"/>
      <c r="E720" s="544"/>
      <c r="F720" s="544"/>
      <c r="G720" s="544"/>
      <c r="H720" s="544"/>
      <c r="I720" s="544"/>
      <c r="J720" s="544"/>
      <c r="K720" s="544"/>
      <c r="L720" s="544"/>
      <c r="M720" s="544"/>
      <c r="N720" s="544"/>
      <c r="O720" s="544"/>
      <c r="P720" s="544"/>
      <c r="Q720" s="544"/>
      <c r="R720" s="544"/>
      <c r="S720" s="544"/>
      <c r="T720" s="544"/>
      <c r="U720" s="544"/>
    </row>
    <row r="721" spans="1:21" x14ac:dyDescent="0.25">
      <c r="A721" s="538" t="s">
        <v>12</v>
      </c>
      <c r="B721" s="538"/>
      <c r="C721" s="540" t="s">
        <v>261</v>
      </c>
      <c r="D721" s="540"/>
      <c r="E721" s="540"/>
      <c r="F721" s="540"/>
      <c r="G721" s="540"/>
      <c r="H721" s="540"/>
      <c r="I721" s="540"/>
      <c r="J721" s="540"/>
      <c r="K721" s="540"/>
      <c r="L721" s="540"/>
      <c r="M721" s="540"/>
      <c r="N721" s="540"/>
      <c r="O721" s="540"/>
      <c r="P721" s="540"/>
      <c r="Q721" s="540"/>
      <c r="R721" s="540"/>
      <c r="S721" s="540"/>
      <c r="T721" s="540"/>
      <c r="U721" s="541" t="s">
        <v>169</v>
      </c>
    </row>
    <row r="722" spans="1:21" x14ac:dyDescent="0.25">
      <c r="A722" s="538"/>
      <c r="B722" s="538"/>
      <c r="C722" s="540"/>
      <c r="D722" s="540"/>
      <c r="E722" s="540"/>
      <c r="F722" s="540"/>
      <c r="G722" s="540"/>
      <c r="H722" s="540"/>
      <c r="I722" s="540"/>
      <c r="J722" s="540"/>
      <c r="K722" s="540"/>
      <c r="L722" s="540"/>
      <c r="M722" s="540"/>
      <c r="N722" s="540"/>
      <c r="O722" s="540"/>
      <c r="P722" s="540"/>
      <c r="Q722" s="540"/>
      <c r="R722" s="540"/>
      <c r="S722" s="540"/>
      <c r="T722" s="540"/>
      <c r="U722" s="541"/>
    </row>
    <row r="723" spans="1:21" x14ac:dyDescent="0.25">
      <c r="A723" s="539" t="s">
        <v>50</v>
      </c>
      <c r="B723" s="539"/>
      <c r="C723" s="540"/>
      <c r="D723" s="540"/>
      <c r="E723" s="540"/>
      <c r="F723" s="540"/>
      <c r="G723" s="540"/>
      <c r="H723" s="540"/>
      <c r="I723" s="540"/>
      <c r="J723" s="540"/>
      <c r="K723" s="540"/>
      <c r="L723" s="540"/>
      <c r="M723" s="540"/>
      <c r="N723" s="540"/>
      <c r="O723" s="540"/>
      <c r="P723" s="540"/>
      <c r="Q723" s="540"/>
      <c r="R723" s="540"/>
      <c r="S723" s="540"/>
      <c r="T723" s="540"/>
      <c r="U723" s="541"/>
    </row>
    <row r="724" spans="1:21" x14ac:dyDescent="0.25">
      <c r="A724" s="542" t="s">
        <v>16</v>
      </c>
      <c r="B724" s="543" t="s">
        <v>18</v>
      </c>
      <c r="C724" s="543"/>
      <c r="D724" s="543"/>
      <c r="E724" s="543"/>
      <c r="F724" s="543"/>
      <c r="G724" s="543" t="s">
        <v>24</v>
      </c>
      <c r="H724" s="543"/>
      <c r="I724" s="543"/>
      <c r="J724" s="543"/>
      <c r="K724" s="543"/>
      <c r="L724" s="543" t="s">
        <v>25</v>
      </c>
      <c r="M724" s="543"/>
      <c r="N724" s="543"/>
      <c r="O724" s="543"/>
      <c r="P724" s="543"/>
      <c r="Q724" s="543" t="s">
        <v>26</v>
      </c>
      <c r="R724" s="543"/>
      <c r="S724" s="543"/>
      <c r="T724" s="543"/>
      <c r="U724" s="543"/>
    </row>
    <row r="725" spans="1:21" x14ac:dyDescent="0.25">
      <c r="A725" s="542"/>
      <c r="B725" s="182" t="s">
        <v>19</v>
      </c>
      <c r="C725" s="182" t="s">
        <v>20</v>
      </c>
      <c r="D725" s="182" t="s">
        <v>21</v>
      </c>
      <c r="E725" s="182" t="s">
        <v>22</v>
      </c>
      <c r="F725" s="182" t="s">
        <v>23</v>
      </c>
      <c r="G725" s="182" t="s">
        <v>19</v>
      </c>
      <c r="H725" s="216" t="s">
        <v>20</v>
      </c>
      <c r="I725" s="182" t="s">
        <v>21</v>
      </c>
      <c r="J725" s="182" t="s">
        <v>22</v>
      </c>
      <c r="K725" s="182" t="s">
        <v>23</v>
      </c>
      <c r="L725" s="182" t="s">
        <v>19</v>
      </c>
      <c r="M725" s="182" t="s">
        <v>20</v>
      </c>
      <c r="N725" s="182" t="s">
        <v>21</v>
      </c>
      <c r="O725" s="182" t="s">
        <v>22</v>
      </c>
      <c r="P725" s="182" t="s">
        <v>23</v>
      </c>
      <c r="Q725" s="182" t="s">
        <v>19</v>
      </c>
      <c r="R725" s="182" t="s">
        <v>20</v>
      </c>
      <c r="S725" s="182" t="s">
        <v>21</v>
      </c>
      <c r="T725" s="182" t="s">
        <v>22</v>
      </c>
      <c r="U725" s="211" t="s">
        <v>23</v>
      </c>
    </row>
    <row r="726" spans="1:21" x14ac:dyDescent="0.25">
      <c r="A726" s="183" t="s">
        <v>262</v>
      </c>
      <c r="B726" s="182" t="s">
        <v>47</v>
      </c>
      <c r="C726" s="182" t="s">
        <v>28</v>
      </c>
      <c r="D726" s="182">
        <v>8</v>
      </c>
      <c r="E726" s="182">
        <f>skilled</f>
        <v>1245</v>
      </c>
      <c r="F726" s="184">
        <f>(D726*E726)</f>
        <v>9960</v>
      </c>
      <c r="G726" s="182" t="s">
        <v>263</v>
      </c>
      <c r="H726" s="216"/>
      <c r="L726" s="182" t="s">
        <v>176</v>
      </c>
      <c r="M726" s="182" t="s">
        <v>58</v>
      </c>
      <c r="N726" s="182" t="s">
        <v>275</v>
      </c>
      <c r="O726" s="182">
        <f>water_tanker</f>
        <v>1618</v>
      </c>
      <c r="P726" s="184">
        <f>(N726*O726)</f>
        <v>2022.5</v>
      </c>
    </row>
    <row r="727" spans="1:21" x14ac:dyDescent="0.25">
      <c r="B727" s="182" t="s">
        <v>29</v>
      </c>
      <c r="C727" s="182" t="s">
        <v>28</v>
      </c>
      <c r="D727" s="182">
        <v>45</v>
      </c>
      <c r="E727" s="182">
        <f>unskilled</f>
        <v>935</v>
      </c>
      <c r="F727" s="184">
        <f>(D727*E727)</f>
        <v>42075</v>
      </c>
      <c r="G727" s="182" t="s">
        <v>264</v>
      </c>
      <c r="H727" s="216" t="s">
        <v>84</v>
      </c>
      <c r="I727" s="182">
        <v>20.79</v>
      </c>
      <c r="J727" s="182">
        <f>adopted_rate_sub_base_material_footpath</f>
        <v>2152.08</v>
      </c>
      <c r="K727" s="182">
        <f>(I727*J727)</f>
        <v>44741.743199999997</v>
      </c>
      <c r="L727" s="182" t="s">
        <v>276</v>
      </c>
      <c r="M727" s="182" t="s">
        <v>58</v>
      </c>
      <c r="N727" s="182">
        <v>9</v>
      </c>
      <c r="O727" s="182">
        <f>concrete_mixer</f>
        <v>296</v>
      </c>
      <c r="P727" s="184">
        <f>(N727*O727)</f>
        <v>2664</v>
      </c>
    </row>
    <row r="728" spans="1:21" x14ac:dyDescent="0.25">
      <c r="G728" s="182" t="s">
        <v>265</v>
      </c>
      <c r="H728" s="216" t="s">
        <v>84</v>
      </c>
      <c r="I728" s="182">
        <v>26.73</v>
      </c>
      <c r="J728" s="182">
        <f>adopted_rate_sub_base_material_footpath</f>
        <v>2152.08</v>
      </c>
      <c r="K728" s="182">
        <f>(I728*J728)</f>
        <v>57525.098400000003</v>
      </c>
    </row>
    <row r="729" spans="1:21" x14ac:dyDescent="0.25">
      <c r="G729" s="182" t="s">
        <v>266</v>
      </c>
      <c r="H729" s="216" t="s">
        <v>84</v>
      </c>
      <c r="I729" s="182">
        <v>11.88</v>
      </c>
      <c r="J729" s="182">
        <f>adopted_rate_sub_base_material_footpath</f>
        <v>2152.08</v>
      </c>
      <c r="K729" s="182">
        <f>(I729*J729)</f>
        <v>25566.7104</v>
      </c>
    </row>
    <row r="730" spans="1:21" ht="31.5" x14ac:dyDescent="0.25">
      <c r="G730" s="182" t="s">
        <v>267</v>
      </c>
      <c r="H730" s="216"/>
    </row>
    <row r="731" spans="1:21" x14ac:dyDescent="0.25">
      <c r="G731" s="182" t="s">
        <v>268</v>
      </c>
      <c r="H731" s="216" t="s">
        <v>84</v>
      </c>
      <c r="I731" s="182">
        <v>6.75</v>
      </c>
      <c r="J731" s="182">
        <f>adopted_rate_aggregate_10_20_mm</f>
        <v>3351.6</v>
      </c>
      <c r="K731" s="182">
        <f>(I731*J731)</f>
        <v>22623.3</v>
      </c>
    </row>
    <row r="732" spans="1:21" x14ac:dyDescent="0.25">
      <c r="G732" s="182" t="s">
        <v>83</v>
      </c>
      <c r="H732" s="216" t="s">
        <v>84</v>
      </c>
      <c r="I732" s="182">
        <v>3.38</v>
      </c>
      <c r="J732" s="182">
        <f>adopted_rate_sand</f>
        <v>3175.2000000000003</v>
      </c>
      <c r="K732" s="182">
        <f>(I732*J732)</f>
        <v>10732.176000000001</v>
      </c>
    </row>
    <row r="733" spans="1:21" x14ac:dyDescent="0.25">
      <c r="G733" s="182" t="s">
        <v>85</v>
      </c>
      <c r="H733" s="216" t="s">
        <v>35</v>
      </c>
      <c r="I733" s="182">
        <v>1.88</v>
      </c>
      <c r="J733" s="182">
        <f>adopted_rate_cement</f>
        <v>13031</v>
      </c>
      <c r="K733" s="182">
        <f>(I733*J733)</f>
        <v>24498.28</v>
      </c>
    </row>
    <row r="734" spans="1:21" x14ac:dyDescent="0.25">
      <c r="G734" s="182" t="s">
        <v>269</v>
      </c>
      <c r="H734" s="216"/>
    </row>
    <row r="735" spans="1:21" x14ac:dyDescent="0.25">
      <c r="G735" s="182" t="s">
        <v>83</v>
      </c>
      <c r="H735" s="216" t="s">
        <v>84</v>
      </c>
      <c r="I735" s="182">
        <v>3.84</v>
      </c>
      <c r="J735" s="182">
        <f>adopted_rate_sand</f>
        <v>3175.2000000000003</v>
      </c>
      <c r="K735" s="182">
        <f>(I735*J735)</f>
        <v>12192.768</v>
      </c>
    </row>
    <row r="736" spans="1:21" x14ac:dyDescent="0.25">
      <c r="G736" s="182" t="s">
        <v>85</v>
      </c>
      <c r="H736" s="216" t="s">
        <v>35</v>
      </c>
      <c r="I736" s="182">
        <v>1.83</v>
      </c>
      <c r="J736" s="182">
        <f>adopted_rate_cement</f>
        <v>13031</v>
      </c>
      <c r="K736" s="182">
        <f>(I736*J736)</f>
        <v>23846.73</v>
      </c>
    </row>
    <row r="737" spans="1:21" x14ac:dyDescent="0.25">
      <c r="G737" s="182" t="s">
        <v>270</v>
      </c>
      <c r="H737" s="216"/>
    </row>
    <row r="738" spans="1:21" x14ac:dyDescent="0.25">
      <c r="G738" s="182" t="s">
        <v>271</v>
      </c>
      <c r="H738" s="216" t="s">
        <v>272</v>
      </c>
      <c r="I738" s="182">
        <v>3300</v>
      </c>
      <c r="J738" s="182">
        <f>adopted_rate_tiles_300_300_mm_and_25mm_thick</f>
        <v>0</v>
      </c>
      <c r="K738" s="182">
        <f>(I738*J738)</f>
        <v>0</v>
      </c>
    </row>
    <row r="739" spans="1:21" x14ac:dyDescent="0.25">
      <c r="G739" s="182" t="s">
        <v>273</v>
      </c>
      <c r="H739" s="216"/>
    </row>
    <row r="740" spans="1:21" x14ac:dyDescent="0.25">
      <c r="G740" s="182" t="s">
        <v>274</v>
      </c>
      <c r="H740" s="216" t="s">
        <v>75</v>
      </c>
      <c r="I740" s="182">
        <v>22.5</v>
      </c>
      <c r="J740" s="182">
        <v>689.85</v>
      </c>
      <c r="K740" s="182">
        <f>(I740*J740)</f>
        <v>15521.625</v>
      </c>
    </row>
    <row r="741" spans="1:21" x14ac:dyDescent="0.25">
      <c r="G741" s="182" t="s">
        <v>171</v>
      </c>
      <c r="H741" s="216" t="s">
        <v>172</v>
      </c>
      <c r="I741" s="182">
        <v>12</v>
      </c>
      <c r="J741" s="182">
        <f>adopted_rate_water</f>
        <v>310</v>
      </c>
      <c r="K741" s="182">
        <f>(I741*J741)</f>
        <v>3720</v>
      </c>
    </row>
    <row r="742" spans="1:21" x14ac:dyDescent="0.25">
      <c r="A742" s="537" t="s">
        <v>30</v>
      </c>
      <c r="B742" s="537"/>
      <c r="C742" s="537"/>
      <c r="D742" s="537"/>
      <c r="E742" s="537"/>
      <c r="F742" s="184">
        <f>SUM(F725:F741)</f>
        <v>52035</v>
      </c>
      <c r="G742" s="537" t="s">
        <v>31</v>
      </c>
      <c r="H742" s="537"/>
      <c r="I742" s="537"/>
      <c r="J742" s="537"/>
      <c r="K742" s="184">
        <f>SUM(K725:K741)</f>
        <v>240968.43100000001</v>
      </c>
      <c r="L742" s="537" t="s">
        <v>32</v>
      </c>
      <c r="M742" s="537"/>
      <c r="N742" s="537"/>
      <c r="O742" s="537"/>
      <c r="P742" s="184">
        <f>SUM(P725:P741)</f>
        <v>4686.5</v>
      </c>
      <c r="Q742" s="537" t="s">
        <v>38</v>
      </c>
      <c r="R742" s="537"/>
      <c r="S742" s="537"/>
      <c r="T742" s="537"/>
      <c r="U742" s="223">
        <f>SUM(U725:U741)</f>
        <v>0</v>
      </c>
    </row>
    <row r="743" spans="1:21" x14ac:dyDescent="0.25">
      <c r="A743" s="537" t="s">
        <v>33</v>
      </c>
      <c r="B743" s="537"/>
      <c r="C743" s="537"/>
      <c r="D743" s="537"/>
      <c r="E743" s="537"/>
      <c r="F743" s="184">
        <f>SUM(F742+K742+P742)</f>
        <v>297689.93099999998</v>
      </c>
      <c r="G743" s="537" t="s">
        <v>39</v>
      </c>
      <c r="H743" s="537"/>
      <c r="I743" s="537"/>
      <c r="J743" s="537"/>
      <c r="K743" s="184">
        <f>SUM(F742+K742+P742+U742)</f>
        <v>297689.93099999998</v>
      </c>
      <c r="L743" s="537" t="s">
        <v>40</v>
      </c>
      <c r="M743" s="537"/>
      <c r="N743" s="537"/>
      <c r="O743" s="537"/>
      <c r="P743" s="184">
        <f>SUM(K743*0.15)</f>
        <v>44653.489649999996</v>
      </c>
      <c r="Q743" s="537" t="s">
        <v>41</v>
      </c>
      <c r="R743" s="537"/>
      <c r="S743" s="537"/>
      <c r="T743" s="537"/>
      <c r="U743" s="223">
        <f>SUM(K743+P743)</f>
        <v>342343.42064999999</v>
      </c>
    </row>
    <row r="744" spans="1:21" x14ac:dyDescent="0.25">
      <c r="Q744" s="537" t="s">
        <v>42</v>
      </c>
      <c r="R744" s="537"/>
      <c r="S744" s="537"/>
      <c r="T744" s="537"/>
      <c r="U744" s="224">
        <f>ROUND((U743/300),2)</f>
        <v>1141.1400000000001</v>
      </c>
    </row>
    <row r="745" spans="1:21" x14ac:dyDescent="0.25">
      <c r="A745" s="544"/>
      <c r="B745" s="544"/>
      <c r="C745" s="544"/>
      <c r="D745" s="544"/>
      <c r="E745" s="544"/>
      <c r="F745" s="544"/>
      <c r="G745" s="544"/>
      <c r="H745" s="544"/>
      <c r="I745" s="544"/>
      <c r="J745" s="544"/>
      <c r="K745" s="544"/>
      <c r="L745" s="544"/>
      <c r="M745" s="544"/>
      <c r="N745" s="544"/>
      <c r="O745" s="544"/>
      <c r="P745" s="544"/>
      <c r="Q745" s="544"/>
      <c r="R745" s="544"/>
      <c r="S745" s="544"/>
      <c r="T745" s="544"/>
      <c r="U745" s="544"/>
    </row>
    <row r="746" spans="1:21" x14ac:dyDescent="0.25">
      <c r="A746" s="538" t="s">
        <v>12</v>
      </c>
      <c r="B746" s="538"/>
      <c r="C746" s="540" t="s">
        <v>277</v>
      </c>
      <c r="D746" s="540"/>
      <c r="E746" s="540"/>
      <c r="F746" s="540"/>
      <c r="G746" s="540"/>
      <c r="H746" s="540"/>
      <c r="I746" s="540"/>
      <c r="J746" s="540"/>
      <c r="K746" s="540"/>
      <c r="L746" s="540"/>
      <c r="M746" s="540"/>
      <c r="N746" s="540"/>
      <c r="O746" s="540"/>
      <c r="P746" s="540"/>
      <c r="Q746" s="540"/>
      <c r="R746" s="540"/>
      <c r="S746" s="540"/>
      <c r="T746" s="540"/>
      <c r="U746" s="541" t="s">
        <v>278</v>
      </c>
    </row>
    <row r="747" spans="1:21" x14ac:dyDescent="0.25">
      <c r="A747" s="538"/>
      <c r="B747" s="538"/>
      <c r="C747" s="540"/>
      <c r="D747" s="540"/>
      <c r="E747" s="540"/>
      <c r="F747" s="540"/>
      <c r="G747" s="540"/>
      <c r="H747" s="540"/>
      <c r="I747" s="540"/>
      <c r="J747" s="540"/>
      <c r="K747" s="540"/>
      <c r="L747" s="540"/>
      <c r="M747" s="540"/>
      <c r="N747" s="540"/>
      <c r="O747" s="540"/>
      <c r="P747" s="540"/>
      <c r="Q747" s="540"/>
      <c r="R747" s="540"/>
      <c r="S747" s="540"/>
      <c r="T747" s="540"/>
      <c r="U747" s="541"/>
    </row>
    <row r="748" spans="1:21" x14ac:dyDescent="0.25">
      <c r="A748" s="539" t="s">
        <v>50</v>
      </c>
      <c r="B748" s="539"/>
      <c r="C748" s="540"/>
      <c r="D748" s="540"/>
      <c r="E748" s="540"/>
      <c r="F748" s="540"/>
      <c r="G748" s="540"/>
      <c r="H748" s="540"/>
      <c r="I748" s="540"/>
      <c r="J748" s="540"/>
      <c r="K748" s="540"/>
      <c r="L748" s="540"/>
      <c r="M748" s="540"/>
      <c r="N748" s="540"/>
      <c r="O748" s="540"/>
      <c r="P748" s="540"/>
      <c r="Q748" s="540"/>
      <c r="R748" s="540"/>
      <c r="S748" s="540"/>
      <c r="T748" s="540"/>
      <c r="U748" s="541"/>
    </row>
    <row r="749" spans="1:21" x14ac:dyDescent="0.25">
      <c r="A749" s="542" t="s">
        <v>16</v>
      </c>
      <c r="B749" s="543" t="s">
        <v>18</v>
      </c>
      <c r="C749" s="543"/>
      <c r="D749" s="543"/>
      <c r="E749" s="543"/>
      <c r="F749" s="543"/>
      <c r="G749" s="543" t="s">
        <v>24</v>
      </c>
      <c r="H749" s="543"/>
      <c r="I749" s="543"/>
      <c r="J749" s="543"/>
      <c r="K749" s="543"/>
      <c r="L749" s="543" t="s">
        <v>25</v>
      </c>
      <c r="M749" s="543"/>
      <c r="N749" s="543"/>
      <c r="O749" s="543"/>
      <c r="P749" s="543"/>
      <c r="Q749" s="543" t="s">
        <v>26</v>
      </c>
      <c r="R749" s="543"/>
      <c r="S749" s="543"/>
      <c r="T749" s="543"/>
      <c r="U749" s="543"/>
    </row>
    <row r="750" spans="1:21" x14ac:dyDescent="0.25">
      <c r="A750" s="542"/>
      <c r="B750" s="182" t="s">
        <v>19</v>
      </c>
      <c r="C750" s="182" t="s">
        <v>20</v>
      </c>
      <c r="D750" s="182" t="s">
        <v>21</v>
      </c>
      <c r="E750" s="182" t="s">
        <v>22</v>
      </c>
      <c r="F750" s="182" t="s">
        <v>23</v>
      </c>
      <c r="G750" s="182" t="s">
        <v>19</v>
      </c>
      <c r="H750" s="216" t="s">
        <v>20</v>
      </c>
      <c r="I750" s="182" t="s">
        <v>21</v>
      </c>
      <c r="J750" s="182" t="s">
        <v>22</v>
      </c>
      <c r="K750" s="182" t="s">
        <v>23</v>
      </c>
      <c r="L750" s="182" t="s">
        <v>19</v>
      </c>
      <c r="M750" s="182" t="s">
        <v>20</v>
      </c>
      <c r="N750" s="182" t="s">
        <v>21</v>
      </c>
      <c r="O750" s="182" t="s">
        <v>22</v>
      </c>
      <c r="P750" s="182" t="s">
        <v>23</v>
      </c>
      <c r="Q750" s="182" t="s">
        <v>19</v>
      </c>
      <c r="R750" s="182" t="s">
        <v>20</v>
      </c>
      <c r="S750" s="182" t="s">
        <v>21</v>
      </c>
      <c r="T750" s="182" t="s">
        <v>22</v>
      </c>
      <c r="U750" s="211" t="s">
        <v>23</v>
      </c>
    </row>
    <row r="751" spans="1:21" x14ac:dyDescent="0.25">
      <c r="A751" s="183" t="s">
        <v>279</v>
      </c>
      <c r="B751" s="182" t="s">
        <v>47</v>
      </c>
      <c r="C751" s="182" t="s">
        <v>28</v>
      </c>
      <c r="D751" s="182">
        <v>1</v>
      </c>
      <c r="E751" s="182">
        <f>skilled</f>
        <v>1245</v>
      </c>
      <c r="F751" s="184">
        <f>(D751*E751)</f>
        <v>1245</v>
      </c>
      <c r="G751" s="182" t="s">
        <v>171</v>
      </c>
      <c r="H751" s="216" t="s">
        <v>172</v>
      </c>
      <c r="I751" s="182">
        <v>6</v>
      </c>
      <c r="J751" s="182">
        <f>adopted_rate_water</f>
        <v>310</v>
      </c>
      <c r="K751" s="182">
        <f>(I751*J751)</f>
        <v>1860</v>
      </c>
      <c r="L751" s="182" t="s">
        <v>183</v>
      </c>
      <c r="M751" s="182" t="s">
        <v>58</v>
      </c>
      <c r="N751" s="182">
        <v>9</v>
      </c>
      <c r="O751" s="182">
        <f>plate_compactor</f>
        <v>429</v>
      </c>
      <c r="P751" s="184">
        <f>(N751*O751)</f>
        <v>3861</v>
      </c>
    </row>
    <row r="752" spans="1:21" x14ac:dyDescent="0.25">
      <c r="B752" s="182" t="s">
        <v>29</v>
      </c>
      <c r="C752" s="182" t="s">
        <v>28</v>
      </c>
      <c r="D752" s="182">
        <v>9</v>
      </c>
      <c r="E752" s="182">
        <f>unskilled</f>
        <v>935</v>
      </c>
      <c r="F752" s="184">
        <f>(D752*E752)</f>
        <v>8415</v>
      </c>
    </row>
    <row r="753" spans="1:21" x14ac:dyDescent="0.25">
      <c r="A753" s="537" t="s">
        <v>30</v>
      </c>
      <c r="B753" s="537"/>
      <c r="C753" s="537"/>
      <c r="D753" s="537"/>
      <c r="E753" s="537"/>
      <c r="F753" s="184">
        <f>SUM(F750:F752)</f>
        <v>9660</v>
      </c>
      <c r="G753" s="537" t="s">
        <v>31</v>
      </c>
      <c r="H753" s="537"/>
      <c r="I753" s="537"/>
      <c r="J753" s="537"/>
      <c r="K753" s="184">
        <f>SUM(K750:K752)</f>
        <v>1860</v>
      </c>
      <c r="L753" s="537" t="s">
        <v>32</v>
      </c>
      <c r="M753" s="537"/>
      <c r="N753" s="537"/>
      <c r="O753" s="537"/>
      <c r="P753" s="184">
        <f>SUM(P750:P752)</f>
        <v>3861</v>
      </c>
      <c r="Q753" s="537" t="s">
        <v>38</v>
      </c>
      <c r="R753" s="537"/>
      <c r="S753" s="537"/>
      <c r="T753" s="537"/>
      <c r="U753" s="223">
        <f>SUM(U750:U752)</f>
        <v>0</v>
      </c>
    </row>
    <row r="754" spans="1:21" x14ac:dyDescent="0.25">
      <c r="A754" s="537" t="s">
        <v>33</v>
      </c>
      <c r="B754" s="537"/>
      <c r="C754" s="537"/>
      <c r="D754" s="537"/>
      <c r="E754" s="537"/>
      <c r="F754" s="184">
        <f>SUM(F753+K753+P753)</f>
        <v>15381</v>
      </c>
      <c r="G754" s="537" t="s">
        <v>39</v>
      </c>
      <c r="H754" s="537"/>
      <c r="I754" s="537"/>
      <c r="J754" s="537"/>
      <c r="K754" s="184">
        <f>SUM(F753+K753+P753+U753)</f>
        <v>15381</v>
      </c>
      <c r="L754" s="537" t="s">
        <v>40</v>
      </c>
      <c r="M754" s="537"/>
      <c r="N754" s="537"/>
      <c r="O754" s="537"/>
      <c r="P754" s="184">
        <f>SUM(K754*0.15)</f>
        <v>2307.15</v>
      </c>
      <c r="Q754" s="537" t="s">
        <v>41</v>
      </c>
      <c r="R754" s="537"/>
      <c r="S754" s="537"/>
      <c r="T754" s="537"/>
      <c r="U754" s="223">
        <f>SUM(K754+P754)</f>
        <v>17688.150000000001</v>
      </c>
    </row>
    <row r="755" spans="1:21" x14ac:dyDescent="0.25">
      <c r="Q755" s="537" t="s">
        <v>42</v>
      </c>
      <c r="R755" s="537"/>
      <c r="S755" s="537"/>
      <c r="T755" s="537"/>
      <c r="U755" s="224">
        <f>ROUND((U754/21),2)</f>
        <v>842.29</v>
      </c>
    </row>
    <row r="756" spans="1:21" x14ac:dyDescent="0.25">
      <c r="A756" s="544"/>
      <c r="B756" s="544"/>
      <c r="C756" s="544"/>
      <c r="D756" s="544"/>
      <c r="E756" s="544"/>
      <c r="F756" s="544"/>
      <c r="G756" s="544"/>
      <c r="H756" s="544"/>
      <c r="I756" s="544"/>
      <c r="J756" s="544"/>
      <c r="K756" s="544"/>
      <c r="L756" s="544"/>
      <c r="M756" s="544"/>
      <c r="N756" s="544"/>
      <c r="O756" s="544"/>
      <c r="P756" s="544"/>
      <c r="Q756" s="544"/>
      <c r="R756" s="544"/>
      <c r="S756" s="544"/>
      <c r="T756" s="544"/>
      <c r="U756" s="544"/>
    </row>
    <row r="757" spans="1:21" x14ac:dyDescent="0.25">
      <c r="A757" s="538" t="s">
        <v>12</v>
      </c>
      <c r="B757" s="538"/>
      <c r="C757" s="540" t="s">
        <v>280</v>
      </c>
      <c r="D757" s="540"/>
      <c r="E757" s="540"/>
      <c r="F757" s="540"/>
      <c r="G757" s="540"/>
      <c r="H757" s="540"/>
      <c r="I757" s="540"/>
      <c r="J757" s="540"/>
      <c r="K757" s="540"/>
      <c r="L757" s="540"/>
      <c r="M757" s="540"/>
      <c r="N757" s="540"/>
      <c r="O757" s="540"/>
      <c r="P757" s="540"/>
      <c r="Q757" s="540"/>
      <c r="R757" s="540"/>
      <c r="S757" s="540"/>
      <c r="T757" s="540"/>
      <c r="U757" s="541" t="s">
        <v>278</v>
      </c>
    </row>
    <row r="758" spans="1:21" x14ac:dyDescent="0.25">
      <c r="A758" s="538"/>
      <c r="B758" s="538"/>
      <c r="C758" s="540"/>
      <c r="D758" s="540"/>
      <c r="E758" s="540"/>
      <c r="F758" s="540"/>
      <c r="G758" s="540"/>
      <c r="H758" s="540"/>
      <c r="I758" s="540"/>
      <c r="J758" s="540"/>
      <c r="K758" s="540"/>
      <c r="L758" s="540"/>
      <c r="M758" s="540"/>
      <c r="N758" s="540"/>
      <c r="O758" s="540"/>
      <c r="P758" s="540"/>
      <c r="Q758" s="540"/>
      <c r="R758" s="540"/>
      <c r="S758" s="540"/>
      <c r="T758" s="540"/>
      <c r="U758" s="541"/>
    </row>
    <row r="759" spans="1:21" x14ac:dyDescent="0.25">
      <c r="A759" s="539" t="s">
        <v>50</v>
      </c>
      <c r="B759" s="539"/>
      <c r="C759" s="540"/>
      <c r="D759" s="540"/>
      <c r="E759" s="540"/>
      <c r="F759" s="540"/>
      <c r="G759" s="540"/>
      <c r="H759" s="540"/>
      <c r="I759" s="540"/>
      <c r="J759" s="540"/>
      <c r="K759" s="540"/>
      <c r="L759" s="540"/>
      <c r="M759" s="540"/>
      <c r="N759" s="540"/>
      <c r="O759" s="540"/>
      <c r="P759" s="540"/>
      <c r="Q759" s="540"/>
      <c r="R759" s="540"/>
      <c r="S759" s="540"/>
      <c r="T759" s="540"/>
      <c r="U759" s="541"/>
    </row>
    <row r="760" spans="1:21" x14ac:dyDescent="0.25">
      <c r="A760" s="542" t="s">
        <v>16</v>
      </c>
      <c r="B760" s="543" t="s">
        <v>18</v>
      </c>
      <c r="C760" s="543"/>
      <c r="D760" s="543"/>
      <c r="E760" s="543"/>
      <c r="F760" s="543"/>
      <c r="G760" s="543" t="s">
        <v>24</v>
      </c>
      <c r="H760" s="543"/>
      <c r="I760" s="543"/>
      <c r="J760" s="543"/>
      <c r="K760" s="543"/>
      <c r="L760" s="543" t="s">
        <v>25</v>
      </c>
      <c r="M760" s="543"/>
      <c r="N760" s="543"/>
      <c r="O760" s="543"/>
      <c r="P760" s="543"/>
      <c r="Q760" s="543" t="s">
        <v>26</v>
      </c>
      <c r="R760" s="543"/>
      <c r="S760" s="543"/>
      <c r="T760" s="543"/>
      <c r="U760" s="543"/>
    </row>
    <row r="761" spans="1:21" x14ac:dyDescent="0.25">
      <c r="A761" s="542"/>
      <c r="B761" s="182" t="s">
        <v>19</v>
      </c>
      <c r="C761" s="182" t="s">
        <v>20</v>
      </c>
      <c r="D761" s="182" t="s">
        <v>21</v>
      </c>
      <c r="E761" s="182" t="s">
        <v>22</v>
      </c>
      <c r="F761" s="182" t="s">
        <v>23</v>
      </c>
      <c r="G761" s="182" t="s">
        <v>19</v>
      </c>
      <c r="H761" s="216" t="s">
        <v>20</v>
      </c>
      <c r="I761" s="182" t="s">
        <v>21</v>
      </c>
      <c r="J761" s="182" t="s">
        <v>22</v>
      </c>
      <c r="K761" s="182" t="s">
        <v>23</v>
      </c>
      <c r="L761" s="182" t="s">
        <v>19</v>
      </c>
      <c r="M761" s="182" t="s">
        <v>20</v>
      </c>
      <c r="N761" s="182" t="s">
        <v>21</v>
      </c>
      <c r="O761" s="182" t="s">
        <v>22</v>
      </c>
      <c r="P761" s="182" t="s">
        <v>23</v>
      </c>
      <c r="Q761" s="182" t="s">
        <v>19</v>
      </c>
      <c r="R761" s="182" t="s">
        <v>20</v>
      </c>
      <c r="S761" s="182" t="s">
        <v>21</v>
      </c>
      <c r="T761" s="182" t="s">
        <v>22</v>
      </c>
      <c r="U761" s="211" t="s">
        <v>23</v>
      </c>
    </row>
    <row r="762" spans="1:21" x14ac:dyDescent="0.25">
      <c r="A762" s="183" t="s">
        <v>281</v>
      </c>
      <c r="B762" s="182" t="s">
        <v>47</v>
      </c>
      <c r="C762" s="182" t="s">
        <v>28</v>
      </c>
      <c r="D762" s="182">
        <v>1</v>
      </c>
      <c r="E762" s="182">
        <f>skilled</f>
        <v>1245</v>
      </c>
      <c r="F762" s="184">
        <f>(D762*E762)</f>
        <v>1245</v>
      </c>
      <c r="G762" s="182" t="s">
        <v>282</v>
      </c>
      <c r="H762" s="216" t="s">
        <v>84</v>
      </c>
      <c r="I762" s="182">
        <v>27</v>
      </c>
      <c r="J762" s="182">
        <f>J364</f>
        <v>151.274</v>
      </c>
      <c r="K762" s="182">
        <f>(I762*J762)</f>
        <v>4084.3980000000001</v>
      </c>
      <c r="L762" s="182" t="s">
        <v>183</v>
      </c>
      <c r="M762" s="182" t="s">
        <v>58</v>
      </c>
      <c r="N762" s="182">
        <v>9</v>
      </c>
      <c r="O762" s="182">
        <f>plate_compactor</f>
        <v>429</v>
      </c>
      <c r="P762" s="184">
        <f>(N762*O762)</f>
        <v>3861</v>
      </c>
    </row>
    <row r="763" spans="1:21" x14ac:dyDescent="0.25">
      <c r="B763" s="182" t="s">
        <v>29</v>
      </c>
      <c r="C763" s="182" t="s">
        <v>28</v>
      </c>
      <c r="D763" s="182">
        <v>6</v>
      </c>
      <c r="E763" s="182">
        <f>unskilled</f>
        <v>935</v>
      </c>
      <c r="F763" s="184">
        <f>(D763*E763)</f>
        <v>5610</v>
      </c>
      <c r="G763" s="182" t="s">
        <v>171</v>
      </c>
      <c r="H763" s="216" t="s">
        <v>172</v>
      </c>
      <c r="I763" s="182">
        <v>6</v>
      </c>
      <c r="J763" s="182">
        <f>adopted_rate_water</f>
        <v>310</v>
      </c>
      <c r="K763" s="182">
        <f>(I763*J763)</f>
        <v>1860</v>
      </c>
    </row>
    <row r="764" spans="1:21" x14ac:dyDescent="0.25">
      <c r="A764" s="537" t="s">
        <v>30</v>
      </c>
      <c r="B764" s="537"/>
      <c r="C764" s="537"/>
      <c r="D764" s="537"/>
      <c r="E764" s="537"/>
      <c r="F764" s="184">
        <f>SUM(F761:F763)</f>
        <v>6855</v>
      </c>
      <c r="G764" s="537" t="s">
        <v>31</v>
      </c>
      <c r="H764" s="537"/>
      <c r="I764" s="537"/>
      <c r="J764" s="537"/>
      <c r="K764" s="184">
        <f>SUM(K761:K763)</f>
        <v>5944.3980000000001</v>
      </c>
      <c r="L764" s="537" t="s">
        <v>32</v>
      </c>
      <c r="M764" s="537"/>
      <c r="N764" s="537"/>
      <c r="O764" s="537"/>
      <c r="P764" s="184">
        <f>SUM(P761:P763)</f>
        <v>3861</v>
      </c>
      <c r="Q764" s="537" t="s">
        <v>38</v>
      </c>
      <c r="R764" s="537"/>
      <c r="S764" s="537"/>
      <c r="T764" s="537"/>
      <c r="U764" s="223">
        <f>SUM(U761:U763)</f>
        <v>0</v>
      </c>
    </row>
    <row r="765" spans="1:21" x14ac:dyDescent="0.25">
      <c r="A765" s="537" t="s">
        <v>33</v>
      </c>
      <c r="B765" s="537"/>
      <c r="C765" s="537"/>
      <c r="D765" s="537"/>
      <c r="E765" s="537"/>
      <c r="F765" s="184">
        <f>SUM(F764+K764+P764)</f>
        <v>16660.398000000001</v>
      </c>
      <c r="G765" s="537" t="s">
        <v>39</v>
      </c>
      <c r="H765" s="537"/>
      <c r="I765" s="537"/>
      <c r="J765" s="537"/>
      <c r="K765" s="184">
        <f>SUM(F764+K764+P764+U764)</f>
        <v>16660.398000000001</v>
      </c>
      <c r="L765" s="537" t="s">
        <v>40</v>
      </c>
      <c r="M765" s="537"/>
      <c r="N765" s="537"/>
      <c r="O765" s="537"/>
      <c r="P765" s="184">
        <f>SUM(K765*0.15)</f>
        <v>2499.0597000000002</v>
      </c>
      <c r="Q765" s="537" t="s">
        <v>41</v>
      </c>
      <c r="R765" s="537"/>
      <c r="S765" s="537"/>
      <c r="T765" s="537"/>
      <c r="U765" s="223">
        <f>SUM(K765+P765)</f>
        <v>19159.457700000003</v>
      </c>
    </row>
    <row r="766" spans="1:21" x14ac:dyDescent="0.25">
      <c r="Q766" s="537" t="s">
        <v>42</v>
      </c>
      <c r="R766" s="537"/>
      <c r="S766" s="537"/>
      <c r="T766" s="537"/>
      <c r="U766" s="224">
        <f>ROUND((U765/21),2)</f>
        <v>912.36</v>
      </c>
    </row>
    <row r="767" spans="1:21" x14ac:dyDescent="0.25">
      <c r="A767" s="544"/>
      <c r="B767" s="544"/>
      <c r="C767" s="544"/>
      <c r="D767" s="544"/>
      <c r="E767" s="544"/>
      <c r="F767" s="544"/>
      <c r="G767" s="544"/>
      <c r="H767" s="544"/>
      <c r="I767" s="544"/>
      <c r="J767" s="544"/>
      <c r="K767" s="544"/>
      <c r="L767" s="544"/>
      <c r="M767" s="544"/>
      <c r="N767" s="544"/>
      <c r="O767" s="544"/>
      <c r="P767" s="544"/>
      <c r="Q767" s="544"/>
      <c r="R767" s="544"/>
      <c r="S767" s="544"/>
      <c r="T767" s="544"/>
      <c r="U767" s="544"/>
    </row>
    <row r="768" spans="1:21" x14ac:dyDescent="0.25">
      <c r="A768" s="538" t="s">
        <v>12</v>
      </c>
      <c r="B768" s="538"/>
      <c r="C768" s="540" t="s">
        <v>284</v>
      </c>
      <c r="D768" s="540"/>
      <c r="E768" s="540"/>
      <c r="F768" s="540"/>
      <c r="G768" s="540"/>
      <c r="H768" s="540"/>
      <c r="I768" s="540"/>
      <c r="J768" s="540"/>
      <c r="K768" s="540"/>
      <c r="L768" s="540"/>
      <c r="M768" s="540"/>
      <c r="N768" s="540"/>
      <c r="O768" s="540"/>
      <c r="P768" s="540"/>
      <c r="Q768" s="540"/>
      <c r="R768" s="540"/>
      <c r="S768" s="540"/>
      <c r="T768" s="540"/>
      <c r="U768" s="541" t="s">
        <v>285</v>
      </c>
    </row>
    <row r="769" spans="1:21" x14ac:dyDescent="0.25">
      <c r="A769" s="538"/>
      <c r="B769" s="538"/>
      <c r="C769" s="540"/>
      <c r="D769" s="540"/>
      <c r="E769" s="540"/>
      <c r="F769" s="540"/>
      <c r="G769" s="540"/>
      <c r="H769" s="540"/>
      <c r="I769" s="540"/>
      <c r="J769" s="540"/>
      <c r="K769" s="540"/>
      <c r="L769" s="540"/>
      <c r="M769" s="540"/>
      <c r="N769" s="540"/>
      <c r="O769" s="540"/>
      <c r="P769" s="540"/>
      <c r="Q769" s="540"/>
      <c r="R769" s="540"/>
      <c r="S769" s="540"/>
      <c r="T769" s="540"/>
      <c r="U769" s="541"/>
    </row>
    <row r="770" spans="1:21" x14ac:dyDescent="0.25">
      <c r="A770" s="539" t="s">
        <v>283</v>
      </c>
      <c r="B770" s="539"/>
      <c r="C770" s="540"/>
      <c r="D770" s="540"/>
      <c r="E770" s="540"/>
      <c r="F770" s="540"/>
      <c r="G770" s="540"/>
      <c r="H770" s="540"/>
      <c r="I770" s="540"/>
      <c r="J770" s="540"/>
      <c r="K770" s="540"/>
      <c r="L770" s="540"/>
      <c r="M770" s="540"/>
      <c r="N770" s="540"/>
      <c r="O770" s="540"/>
      <c r="P770" s="540"/>
      <c r="Q770" s="540"/>
      <c r="R770" s="540"/>
      <c r="S770" s="540"/>
      <c r="T770" s="540"/>
      <c r="U770" s="541"/>
    </row>
    <row r="771" spans="1:21" x14ac:dyDescent="0.25">
      <c r="A771" s="542" t="s">
        <v>16</v>
      </c>
      <c r="B771" s="543" t="s">
        <v>18</v>
      </c>
      <c r="C771" s="543"/>
      <c r="D771" s="543"/>
      <c r="E771" s="543"/>
      <c r="F771" s="543"/>
      <c r="G771" s="543" t="s">
        <v>24</v>
      </c>
      <c r="H771" s="543"/>
      <c r="I771" s="543"/>
      <c r="J771" s="543"/>
      <c r="K771" s="543"/>
      <c r="L771" s="543" t="s">
        <v>25</v>
      </c>
      <c r="M771" s="543"/>
      <c r="N771" s="543"/>
      <c r="O771" s="543"/>
      <c r="P771" s="543"/>
      <c r="Q771" s="543" t="s">
        <v>26</v>
      </c>
      <c r="R771" s="543"/>
      <c r="S771" s="543"/>
      <c r="T771" s="543"/>
      <c r="U771" s="543"/>
    </row>
    <row r="772" spans="1:21" x14ac:dyDescent="0.25">
      <c r="A772" s="542"/>
      <c r="B772" s="182" t="s">
        <v>19</v>
      </c>
      <c r="C772" s="182" t="s">
        <v>20</v>
      </c>
      <c r="D772" s="182" t="s">
        <v>21</v>
      </c>
      <c r="E772" s="182" t="s">
        <v>22</v>
      </c>
      <c r="F772" s="182" t="s">
        <v>23</v>
      </c>
      <c r="G772" s="182" t="s">
        <v>19</v>
      </c>
      <c r="H772" s="216" t="s">
        <v>20</v>
      </c>
      <c r="I772" s="182" t="s">
        <v>21</v>
      </c>
      <c r="J772" s="182" t="s">
        <v>22</v>
      </c>
      <c r="K772" s="182" t="s">
        <v>23</v>
      </c>
      <c r="L772" s="182" t="s">
        <v>19</v>
      </c>
      <c r="M772" s="182" t="s">
        <v>20</v>
      </c>
      <c r="N772" s="182" t="s">
        <v>21</v>
      </c>
      <c r="O772" s="182" t="s">
        <v>22</v>
      </c>
      <c r="P772" s="182" t="s">
        <v>23</v>
      </c>
      <c r="Q772" s="182" t="s">
        <v>19</v>
      </c>
      <c r="R772" s="182" t="s">
        <v>20</v>
      </c>
      <c r="S772" s="182" t="s">
        <v>21</v>
      </c>
      <c r="T772" s="182" t="s">
        <v>22</v>
      </c>
      <c r="U772" s="211" t="s">
        <v>23</v>
      </c>
    </row>
    <row r="773" spans="1:21" ht="31.5" x14ac:dyDescent="0.25">
      <c r="A773" s="183" t="s">
        <v>286</v>
      </c>
      <c r="B773" s="182" t="s">
        <v>47</v>
      </c>
      <c r="C773" s="182" t="s">
        <v>28</v>
      </c>
      <c r="D773" s="182">
        <v>3</v>
      </c>
      <c r="E773" s="182">
        <f>skilled</f>
        <v>1245</v>
      </c>
      <c r="F773" s="184">
        <f>(D773*E773)</f>
        <v>3735</v>
      </c>
      <c r="G773" s="182" t="s">
        <v>287</v>
      </c>
      <c r="H773" s="216" t="s">
        <v>35</v>
      </c>
      <c r="I773" s="182">
        <v>5.25</v>
      </c>
      <c r="J773" s="182">
        <f>adopted_rate_cutback_bitumen</f>
        <v>108000</v>
      </c>
      <c r="K773" s="182">
        <f>(I773*J773)</f>
        <v>567000</v>
      </c>
      <c r="L773" s="182" t="s">
        <v>288</v>
      </c>
      <c r="M773" s="182" t="s">
        <v>58</v>
      </c>
      <c r="N773" s="182">
        <v>8</v>
      </c>
      <c r="O773" s="182">
        <f>mechanical_broom</f>
        <v>1393</v>
      </c>
      <c r="P773" s="184">
        <f>(N773*O773)</f>
        <v>11144</v>
      </c>
    </row>
    <row r="774" spans="1:21" x14ac:dyDescent="0.25">
      <c r="B774" s="182" t="s">
        <v>29</v>
      </c>
      <c r="C774" s="182" t="s">
        <v>28</v>
      </c>
      <c r="D774" s="182">
        <v>50</v>
      </c>
      <c r="E774" s="182">
        <f>unskilled</f>
        <v>935</v>
      </c>
      <c r="F774" s="184">
        <f>(D774*E774)</f>
        <v>46750</v>
      </c>
      <c r="G774" s="182" t="s">
        <v>171</v>
      </c>
      <c r="H774" s="216" t="s">
        <v>172</v>
      </c>
      <c r="I774" s="182">
        <v>10</v>
      </c>
      <c r="J774" s="182">
        <f>adopted_rate_water</f>
        <v>310</v>
      </c>
      <c r="K774" s="182">
        <f>(I774*J774)</f>
        <v>3100</v>
      </c>
      <c r="L774" s="182" t="s">
        <v>63</v>
      </c>
      <c r="M774" s="182" t="s">
        <v>58</v>
      </c>
      <c r="N774" s="182">
        <v>8</v>
      </c>
      <c r="O774" s="182">
        <f>air_compressor</f>
        <v>1190</v>
      </c>
      <c r="P774" s="184">
        <f>(N774*O774)</f>
        <v>9520</v>
      </c>
    </row>
    <row r="775" spans="1:21" x14ac:dyDescent="0.25">
      <c r="L775" s="182" t="s">
        <v>289</v>
      </c>
      <c r="M775" s="182" t="s">
        <v>58</v>
      </c>
      <c r="N775" s="182">
        <v>6</v>
      </c>
      <c r="O775" s="182">
        <f>bitumen_distributor</f>
        <v>2689</v>
      </c>
      <c r="P775" s="184">
        <f>(N775*O775)</f>
        <v>16134</v>
      </c>
    </row>
    <row r="776" spans="1:21" x14ac:dyDescent="0.25">
      <c r="L776" s="182" t="s">
        <v>290</v>
      </c>
      <c r="M776" s="182" t="s">
        <v>58</v>
      </c>
      <c r="N776" s="182">
        <v>8</v>
      </c>
      <c r="O776" s="182">
        <f>bitumen_boiler</f>
        <v>701</v>
      </c>
      <c r="P776" s="184">
        <f>(N776*O776)</f>
        <v>5608</v>
      </c>
    </row>
    <row r="777" spans="1:21" x14ac:dyDescent="0.25">
      <c r="L777" s="182" t="s">
        <v>76</v>
      </c>
      <c r="M777" s="182" t="s">
        <v>58</v>
      </c>
      <c r="N777" s="182">
        <v>8</v>
      </c>
      <c r="O777" s="182">
        <f>generator</f>
        <v>855</v>
      </c>
      <c r="P777" s="184">
        <f>(N777*O777)</f>
        <v>6840</v>
      </c>
    </row>
    <row r="778" spans="1:21" x14ac:dyDescent="0.25">
      <c r="A778" s="537" t="s">
        <v>30</v>
      </c>
      <c r="B778" s="537"/>
      <c r="C778" s="537"/>
      <c r="D778" s="537"/>
      <c r="E778" s="537"/>
      <c r="F778" s="184">
        <f>SUM(F772:F777)</f>
        <v>50485</v>
      </c>
      <c r="G778" s="537" t="s">
        <v>31</v>
      </c>
      <c r="H778" s="537"/>
      <c r="I778" s="537"/>
      <c r="J778" s="537"/>
      <c r="K778" s="184">
        <f>SUM(K772:K777)</f>
        <v>570100</v>
      </c>
      <c r="L778" s="537" t="s">
        <v>32</v>
      </c>
      <c r="M778" s="537"/>
      <c r="N778" s="537"/>
      <c r="O778" s="537"/>
      <c r="P778" s="184">
        <f>SUM(P772:P777)</f>
        <v>49246</v>
      </c>
      <c r="Q778" s="537" t="s">
        <v>38</v>
      </c>
      <c r="R778" s="537"/>
      <c r="S778" s="537"/>
      <c r="T778" s="537"/>
      <c r="U778" s="223">
        <f>SUM(U772:U777)</f>
        <v>0</v>
      </c>
    </row>
    <row r="779" spans="1:21" x14ac:dyDescent="0.25">
      <c r="A779" s="537" t="s">
        <v>33</v>
      </c>
      <c r="B779" s="537"/>
      <c r="C779" s="537"/>
      <c r="D779" s="537"/>
      <c r="E779" s="537"/>
      <c r="F779" s="184">
        <f>SUM(F778+K778+P778)</f>
        <v>669831</v>
      </c>
      <c r="G779" s="537" t="s">
        <v>39</v>
      </c>
      <c r="H779" s="537"/>
      <c r="I779" s="537"/>
      <c r="J779" s="537"/>
      <c r="K779" s="184">
        <f>SUM(F778+K778+P778+U778)</f>
        <v>669831</v>
      </c>
      <c r="L779" s="537" t="s">
        <v>40</v>
      </c>
      <c r="M779" s="537"/>
      <c r="N779" s="537"/>
      <c r="O779" s="537"/>
      <c r="P779" s="184">
        <f>SUM(K779*0.15)</f>
        <v>100474.65</v>
      </c>
      <c r="Q779" s="537" t="s">
        <v>41</v>
      </c>
      <c r="R779" s="537"/>
      <c r="S779" s="537"/>
      <c r="T779" s="537"/>
      <c r="U779" s="223">
        <f>SUM(K779+P779)</f>
        <v>770305.65</v>
      </c>
    </row>
    <row r="780" spans="1:21" x14ac:dyDescent="0.25">
      <c r="Q780" s="537" t="s">
        <v>42</v>
      </c>
      <c r="R780" s="537"/>
      <c r="S780" s="537"/>
      <c r="T780" s="537"/>
      <c r="U780" s="224">
        <f>ROUND((U779/5000),2)</f>
        <v>154.06</v>
      </c>
    </row>
    <row r="781" spans="1:21" x14ac:dyDescent="0.25">
      <c r="A781" s="544"/>
      <c r="B781" s="544"/>
      <c r="C781" s="544"/>
      <c r="D781" s="544"/>
      <c r="E781" s="544"/>
      <c r="F781" s="544"/>
      <c r="G781" s="544"/>
      <c r="H781" s="544"/>
      <c r="I781" s="544"/>
      <c r="J781" s="544"/>
      <c r="K781" s="544"/>
      <c r="L781" s="544"/>
      <c r="M781" s="544"/>
      <c r="N781" s="544"/>
      <c r="O781" s="544"/>
      <c r="P781" s="544"/>
      <c r="Q781" s="544"/>
      <c r="R781" s="544"/>
      <c r="S781" s="544"/>
      <c r="T781" s="544"/>
      <c r="U781" s="544"/>
    </row>
    <row r="782" spans="1:21" x14ac:dyDescent="0.25">
      <c r="A782" s="538" t="s">
        <v>12</v>
      </c>
      <c r="B782" s="538"/>
      <c r="C782" s="540" t="s">
        <v>291</v>
      </c>
      <c r="D782" s="540"/>
      <c r="E782" s="540"/>
      <c r="F782" s="540"/>
      <c r="G782" s="540"/>
      <c r="H782" s="540"/>
      <c r="I782" s="540"/>
      <c r="J782" s="540"/>
      <c r="K782" s="540"/>
      <c r="L782" s="540"/>
      <c r="M782" s="540"/>
      <c r="N782" s="540"/>
      <c r="O782" s="540"/>
      <c r="P782" s="540"/>
      <c r="Q782" s="540"/>
      <c r="R782" s="540"/>
      <c r="S782" s="540"/>
      <c r="T782" s="540"/>
      <c r="U782" s="541" t="s">
        <v>285</v>
      </c>
    </row>
    <row r="783" spans="1:21" x14ac:dyDescent="0.25">
      <c r="A783" s="538"/>
      <c r="B783" s="538"/>
      <c r="C783" s="540"/>
      <c r="D783" s="540"/>
      <c r="E783" s="540"/>
      <c r="F783" s="540"/>
      <c r="G783" s="540"/>
      <c r="H783" s="540"/>
      <c r="I783" s="540"/>
      <c r="J783" s="540"/>
      <c r="K783" s="540"/>
      <c r="L783" s="540"/>
      <c r="M783" s="540"/>
      <c r="N783" s="540"/>
      <c r="O783" s="540"/>
      <c r="P783" s="540"/>
      <c r="Q783" s="540"/>
      <c r="R783" s="540"/>
      <c r="S783" s="540"/>
      <c r="T783" s="540"/>
      <c r="U783" s="541"/>
    </row>
    <row r="784" spans="1:21" x14ac:dyDescent="0.25">
      <c r="A784" s="539" t="s">
        <v>283</v>
      </c>
      <c r="B784" s="539"/>
      <c r="C784" s="540"/>
      <c r="D784" s="540"/>
      <c r="E784" s="540"/>
      <c r="F784" s="540"/>
      <c r="G784" s="540"/>
      <c r="H784" s="540"/>
      <c r="I784" s="540"/>
      <c r="J784" s="540"/>
      <c r="K784" s="540"/>
      <c r="L784" s="540"/>
      <c r="M784" s="540"/>
      <c r="N784" s="540"/>
      <c r="O784" s="540"/>
      <c r="P784" s="540"/>
      <c r="Q784" s="540"/>
      <c r="R784" s="540"/>
      <c r="S784" s="540"/>
      <c r="T784" s="540"/>
      <c r="U784" s="541"/>
    </row>
    <row r="785" spans="1:21" x14ac:dyDescent="0.25">
      <c r="A785" s="542" t="s">
        <v>16</v>
      </c>
      <c r="B785" s="543" t="s">
        <v>18</v>
      </c>
      <c r="C785" s="543"/>
      <c r="D785" s="543"/>
      <c r="E785" s="543"/>
      <c r="F785" s="543"/>
      <c r="G785" s="543" t="s">
        <v>24</v>
      </c>
      <c r="H785" s="543"/>
      <c r="I785" s="543"/>
      <c r="J785" s="543"/>
      <c r="K785" s="543"/>
      <c r="L785" s="543" t="s">
        <v>25</v>
      </c>
      <c r="M785" s="543"/>
      <c r="N785" s="543"/>
      <c r="O785" s="543"/>
      <c r="P785" s="543"/>
      <c r="Q785" s="543" t="s">
        <v>26</v>
      </c>
      <c r="R785" s="543"/>
      <c r="S785" s="543"/>
      <c r="T785" s="543"/>
      <c r="U785" s="543"/>
    </row>
    <row r="786" spans="1:21" x14ac:dyDescent="0.25">
      <c r="A786" s="542"/>
      <c r="B786" s="182" t="s">
        <v>19</v>
      </c>
      <c r="C786" s="182" t="s">
        <v>20</v>
      </c>
      <c r="D786" s="182" t="s">
        <v>21</v>
      </c>
      <c r="E786" s="182" t="s">
        <v>22</v>
      </c>
      <c r="F786" s="182" t="s">
        <v>23</v>
      </c>
      <c r="G786" s="182" t="s">
        <v>19</v>
      </c>
      <c r="H786" s="216" t="s">
        <v>20</v>
      </c>
      <c r="I786" s="182" t="s">
        <v>21</v>
      </c>
      <c r="J786" s="182" t="s">
        <v>22</v>
      </c>
      <c r="K786" s="182" t="s">
        <v>23</v>
      </c>
      <c r="L786" s="182" t="s">
        <v>19</v>
      </c>
      <c r="M786" s="182" t="s">
        <v>20</v>
      </c>
      <c r="N786" s="182" t="s">
        <v>21</v>
      </c>
      <c r="O786" s="182" t="s">
        <v>22</v>
      </c>
      <c r="P786" s="182" t="s">
        <v>23</v>
      </c>
      <c r="Q786" s="182" t="s">
        <v>19</v>
      </c>
      <c r="R786" s="182" t="s">
        <v>20</v>
      </c>
      <c r="S786" s="182" t="s">
        <v>21</v>
      </c>
      <c r="T786" s="182" t="s">
        <v>22</v>
      </c>
      <c r="U786" s="211" t="s">
        <v>23</v>
      </c>
    </row>
    <row r="787" spans="1:21" x14ac:dyDescent="0.25">
      <c r="A787" s="183" t="s">
        <v>292</v>
      </c>
      <c r="B787" s="182" t="s">
        <v>47</v>
      </c>
      <c r="C787" s="182" t="s">
        <v>28</v>
      </c>
      <c r="D787" s="182">
        <v>3</v>
      </c>
      <c r="E787" s="182">
        <f>skilled</f>
        <v>1245</v>
      </c>
      <c r="F787" s="184">
        <f>(D787*E787)</f>
        <v>3735</v>
      </c>
      <c r="G787" s="182" t="s">
        <v>293</v>
      </c>
      <c r="H787" s="216" t="s">
        <v>35</v>
      </c>
      <c r="I787" s="182">
        <v>5.25</v>
      </c>
      <c r="J787" s="182">
        <f>adopted_rate_emulsion</f>
        <v>94000</v>
      </c>
      <c r="K787" s="182">
        <f>(I787*J787)</f>
        <v>493500</v>
      </c>
      <c r="L787" s="182" t="s">
        <v>288</v>
      </c>
      <c r="M787" s="182" t="s">
        <v>58</v>
      </c>
      <c r="N787" s="182">
        <v>8</v>
      </c>
      <c r="O787" s="182">
        <f>mechanical_broom</f>
        <v>1393</v>
      </c>
      <c r="P787" s="184">
        <f>(N787*O787)</f>
        <v>11144</v>
      </c>
    </row>
    <row r="788" spans="1:21" x14ac:dyDescent="0.25">
      <c r="B788" s="182" t="s">
        <v>29</v>
      </c>
      <c r="C788" s="182" t="s">
        <v>28</v>
      </c>
      <c r="D788" s="182">
        <v>40</v>
      </c>
      <c r="E788" s="182">
        <f>unskilled</f>
        <v>935</v>
      </c>
      <c r="F788" s="184">
        <f>(D788*E788)</f>
        <v>37400</v>
      </c>
      <c r="G788" s="182" t="s">
        <v>171</v>
      </c>
      <c r="H788" s="216" t="s">
        <v>172</v>
      </c>
      <c r="I788" s="182">
        <v>10</v>
      </c>
      <c r="J788" s="182">
        <f>adopted_rate_water</f>
        <v>310</v>
      </c>
      <c r="K788" s="182">
        <f>(I788*J788)</f>
        <v>3100</v>
      </c>
      <c r="L788" s="182" t="s">
        <v>63</v>
      </c>
      <c r="M788" s="182" t="s">
        <v>58</v>
      </c>
      <c r="N788" s="182">
        <v>8</v>
      </c>
      <c r="O788" s="182">
        <f>air_compressor</f>
        <v>1190</v>
      </c>
      <c r="P788" s="184">
        <f>(N788*O788)</f>
        <v>9520</v>
      </c>
    </row>
    <row r="789" spans="1:21" ht="31.5" x14ac:dyDescent="0.25">
      <c r="L789" s="182" t="s">
        <v>294</v>
      </c>
      <c r="M789" s="182" t="s">
        <v>58</v>
      </c>
      <c r="N789" s="182">
        <v>6</v>
      </c>
      <c r="O789" s="182">
        <f>emulsion_distributor</f>
        <v>751</v>
      </c>
      <c r="P789" s="184">
        <f>(N789*O789)</f>
        <v>4506</v>
      </c>
    </row>
    <row r="790" spans="1:21" x14ac:dyDescent="0.25">
      <c r="A790" s="537" t="s">
        <v>30</v>
      </c>
      <c r="B790" s="537"/>
      <c r="C790" s="537"/>
      <c r="D790" s="537"/>
      <c r="E790" s="537"/>
      <c r="F790" s="184">
        <f>SUM(F786:F789)</f>
        <v>41135</v>
      </c>
      <c r="G790" s="537" t="s">
        <v>31</v>
      </c>
      <c r="H790" s="537"/>
      <c r="I790" s="537"/>
      <c r="J790" s="537"/>
      <c r="K790" s="184">
        <f>SUM(K786:K789)</f>
        <v>496600</v>
      </c>
      <c r="L790" s="537" t="s">
        <v>32</v>
      </c>
      <c r="M790" s="537"/>
      <c r="N790" s="537"/>
      <c r="O790" s="537"/>
      <c r="P790" s="184">
        <f>SUM(P786:P789)</f>
        <v>25170</v>
      </c>
      <c r="Q790" s="537" t="s">
        <v>38</v>
      </c>
      <c r="R790" s="537"/>
      <c r="S790" s="537"/>
      <c r="T790" s="537"/>
      <c r="U790" s="223">
        <f>SUM(U786:U789)</f>
        <v>0</v>
      </c>
    </row>
    <row r="791" spans="1:21" x14ac:dyDescent="0.25">
      <c r="A791" s="537" t="s">
        <v>33</v>
      </c>
      <c r="B791" s="537"/>
      <c r="C791" s="537"/>
      <c r="D791" s="537"/>
      <c r="E791" s="537"/>
      <c r="F791" s="184">
        <f>SUM(F790+K790+P790)</f>
        <v>562905</v>
      </c>
      <c r="G791" s="537" t="s">
        <v>39</v>
      </c>
      <c r="H791" s="537"/>
      <c r="I791" s="537"/>
      <c r="J791" s="537"/>
      <c r="K791" s="184">
        <f>SUM(F790+K790+P790+U790)</f>
        <v>562905</v>
      </c>
      <c r="L791" s="537" t="s">
        <v>40</v>
      </c>
      <c r="M791" s="537"/>
      <c r="N791" s="537"/>
      <c r="O791" s="537"/>
      <c r="P791" s="184">
        <f>SUM(K791*0.15)</f>
        <v>84435.75</v>
      </c>
      <c r="Q791" s="537" t="s">
        <v>41</v>
      </c>
      <c r="R791" s="537"/>
      <c r="S791" s="537"/>
      <c r="T791" s="537"/>
      <c r="U791" s="223">
        <f>SUM(K791+P791)</f>
        <v>647340.75</v>
      </c>
    </row>
    <row r="792" spans="1:21" x14ac:dyDescent="0.25">
      <c r="Q792" s="537" t="s">
        <v>42</v>
      </c>
      <c r="R792" s="537"/>
      <c r="S792" s="537"/>
      <c r="T792" s="537"/>
      <c r="U792" s="224">
        <f>ROUND((U791/5000),2)</f>
        <v>129.47</v>
      </c>
    </row>
    <row r="793" spans="1:21" x14ac:dyDescent="0.25">
      <c r="A793" s="544"/>
      <c r="B793" s="544"/>
      <c r="C793" s="544"/>
      <c r="D793" s="544"/>
      <c r="E793" s="544"/>
      <c r="F793" s="544"/>
      <c r="G793" s="544"/>
      <c r="H793" s="544"/>
      <c r="I793" s="544"/>
      <c r="J793" s="544"/>
      <c r="K793" s="544"/>
      <c r="L793" s="544"/>
      <c r="M793" s="544"/>
      <c r="N793" s="544"/>
      <c r="O793" s="544"/>
      <c r="P793" s="544"/>
      <c r="Q793" s="544"/>
      <c r="R793" s="544"/>
      <c r="S793" s="544"/>
      <c r="T793" s="544"/>
      <c r="U793" s="544"/>
    </row>
    <row r="794" spans="1:21" x14ac:dyDescent="0.25">
      <c r="A794" s="538" t="s">
        <v>12</v>
      </c>
      <c r="B794" s="538"/>
      <c r="C794" s="540" t="s">
        <v>295</v>
      </c>
      <c r="D794" s="540"/>
      <c r="E794" s="540"/>
      <c r="F794" s="540"/>
      <c r="G794" s="540"/>
      <c r="H794" s="540"/>
      <c r="I794" s="540"/>
      <c r="J794" s="540"/>
      <c r="K794" s="540"/>
      <c r="L794" s="540"/>
      <c r="M794" s="540"/>
      <c r="N794" s="540"/>
      <c r="O794" s="540"/>
      <c r="P794" s="540"/>
      <c r="Q794" s="540"/>
      <c r="R794" s="540"/>
      <c r="S794" s="540"/>
      <c r="T794" s="540"/>
      <c r="U794" s="541" t="s">
        <v>285</v>
      </c>
    </row>
    <row r="795" spans="1:21" x14ac:dyDescent="0.25">
      <c r="A795" s="538"/>
      <c r="B795" s="538"/>
      <c r="C795" s="540"/>
      <c r="D795" s="540"/>
      <c r="E795" s="540"/>
      <c r="F795" s="540"/>
      <c r="G795" s="540"/>
      <c r="H795" s="540"/>
      <c r="I795" s="540"/>
      <c r="J795" s="540"/>
      <c r="K795" s="540"/>
      <c r="L795" s="540"/>
      <c r="M795" s="540"/>
      <c r="N795" s="540"/>
      <c r="O795" s="540"/>
      <c r="P795" s="540"/>
      <c r="Q795" s="540"/>
      <c r="R795" s="540"/>
      <c r="S795" s="540"/>
      <c r="T795" s="540"/>
      <c r="U795" s="541"/>
    </row>
    <row r="796" spans="1:21" x14ac:dyDescent="0.25">
      <c r="A796" s="539" t="s">
        <v>283</v>
      </c>
      <c r="B796" s="539"/>
      <c r="C796" s="540"/>
      <c r="D796" s="540"/>
      <c r="E796" s="540"/>
      <c r="F796" s="540"/>
      <c r="G796" s="540"/>
      <c r="H796" s="540"/>
      <c r="I796" s="540"/>
      <c r="J796" s="540"/>
      <c r="K796" s="540"/>
      <c r="L796" s="540"/>
      <c r="M796" s="540"/>
      <c r="N796" s="540"/>
      <c r="O796" s="540"/>
      <c r="P796" s="540"/>
      <c r="Q796" s="540"/>
      <c r="R796" s="540"/>
      <c r="S796" s="540"/>
      <c r="T796" s="540"/>
      <c r="U796" s="541"/>
    </row>
    <row r="797" spans="1:21" x14ac:dyDescent="0.25">
      <c r="A797" s="542" t="s">
        <v>16</v>
      </c>
      <c r="B797" s="543" t="s">
        <v>18</v>
      </c>
      <c r="C797" s="543"/>
      <c r="D797" s="543"/>
      <c r="E797" s="543"/>
      <c r="F797" s="543"/>
      <c r="G797" s="543" t="s">
        <v>24</v>
      </c>
      <c r="H797" s="543"/>
      <c r="I797" s="543"/>
      <c r="J797" s="543"/>
      <c r="K797" s="543"/>
      <c r="L797" s="543" t="s">
        <v>25</v>
      </c>
      <c r="M797" s="543"/>
      <c r="N797" s="543"/>
      <c r="O797" s="543"/>
      <c r="P797" s="543"/>
      <c r="Q797" s="543" t="s">
        <v>26</v>
      </c>
      <c r="R797" s="543"/>
      <c r="S797" s="543"/>
      <c r="T797" s="543"/>
      <c r="U797" s="543"/>
    </row>
    <row r="798" spans="1:21" x14ac:dyDescent="0.25">
      <c r="A798" s="542"/>
      <c r="B798" s="182" t="s">
        <v>19</v>
      </c>
      <c r="C798" s="182" t="s">
        <v>20</v>
      </c>
      <c r="D798" s="182" t="s">
        <v>21</v>
      </c>
      <c r="E798" s="182" t="s">
        <v>22</v>
      </c>
      <c r="F798" s="182" t="s">
        <v>23</v>
      </c>
      <c r="G798" s="182" t="s">
        <v>19</v>
      </c>
      <c r="H798" s="216" t="s">
        <v>20</v>
      </c>
      <c r="I798" s="182" t="s">
        <v>21</v>
      </c>
      <c r="J798" s="182" t="s">
        <v>22</v>
      </c>
      <c r="K798" s="182" t="s">
        <v>23</v>
      </c>
      <c r="L798" s="182" t="s">
        <v>19</v>
      </c>
      <c r="M798" s="182" t="s">
        <v>20</v>
      </c>
      <c r="N798" s="182" t="s">
        <v>21</v>
      </c>
      <c r="O798" s="182" t="s">
        <v>22</v>
      </c>
      <c r="P798" s="182" t="s">
        <v>23</v>
      </c>
      <c r="Q798" s="182" t="s">
        <v>19</v>
      </c>
      <c r="R798" s="182" t="s">
        <v>20</v>
      </c>
      <c r="S798" s="182" t="s">
        <v>21</v>
      </c>
      <c r="T798" s="182" t="s">
        <v>22</v>
      </c>
      <c r="U798" s="211" t="s">
        <v>23</v>
      </c>
    </row>
    <row r="799" spans="1:21" x14ac:dyDescent="0.25">
      <c r="A799" s="183" t="s">
        <v>296</v>
      </c>
      <c r="B799" s="182" t="s">
        <v>47</v>
      </c>
      <c r="C799" s="182" t="s">
        <v>28</v>
      </c>
      <c r="D799" s="182">
        <v>3</v>
      </c>
      <c r="E799" s="182">
        <f>skilled</f>
        <v>1245</v>
      </c>
      <c r="F799" s="184">
        <f>(D799*E799)</f>
        <v>3735</v>
      </c>
      <c r="G799" s="182" t="s">
        <v>297</v>
      </c>
      <c r="H799" s="216" t="s">
        <v>35</v>
      </c>
      <c r="I799" s="182">
        <v>5.25</v>
      </c>
      <c r="J799" s="182">
        <f>adopted_rate_bitumen</f>
        <v>108000</v>
      </c>
      <c r="K799" s="182">
        <f>(I799*J799)</f>
        <v>567000</v>
      </c>
      <c r="L799" s="182" t="s">
        <v>63</v>
      </c>
      <c r="M799" s="182" t="s">
        <v>58</v>
      </c>
      <c r="N799" s="182">
        <v>6</v>
      </c>
      <c r="O799" s="182">
        <f>air_compressor</f>
        <v>1190</v>
      </c>
      <c r="P799" s="184">
        <f>(N799*O799)</f>
        <v>7140</v>
      </c>
    </row>
    <row r="800" spans="1:21" x14ac:dyDescent="0.25">
      <c r="B800" s="182" t="s">
        <v>29</v>
      </c>
      <c r="C800" s="182" t="s">
        <v>28</v>
      </c>
      <c r="D800" s="182">
        <v>20</v>
      </c>
      <c r="E800" s="182">
        <f>unskilled</f>
        <v>935</v>
      </c>
      <c r="F800" s="184">
        <f>(D800*E800)</f>
        <v>18700</v>
      </c>
      <c r="L800" s="182" t="s">
        <v>289</v>
      </c>
      <c r="M800" s="182" t="s">
        <v>58</v>
      </c>
      <c r="N800" s="182">
        <v>6</v>
      </c>
      <c r="O800" s="182">
        <f>bitumen_distributor</f>
        <v>2689</v>
      </c>
      <c r="P800" s="184">
        <f>(N800*O800)</f>
        <v>16134</v>
      </c>
    </row>
    <row r="801" spans="1:21" x14ac:dyDescent="0.25">
      <c r="L801" s="182" t="s">
        <v>290</v>
      </c>
      <c r="M801" s="182" t="s">
        <v>58</v>
      </c>
      <c r="N801" s="182">
        <v>6</v>
      </c>
      <c r="O801" s="182">
        <f>bitumen_boiler</f>
        <v>701</v>
      </c>
      <c r="P801" s="184">
        <f>(N801*O801)</f>
        <v>4206</v>
      </c>
    </row>
    <row r="802" spans="1:21" x14ac:dyDescent="0.25">
      <c r="L802" s="182" t="s">
        <v>76</v>
      </c>
      <c r="M802" s="182" t="s">
        <v>58</v>
      </c>
      <c r="N802" s="182">
        <v>6</v>
      </c>
      <c r="O802" s="182">
        <f>generator</f>
        <v>855</v>
      </c>
      <c r="P802" s="184">
        <f>(N802*O802)</f>
        <v>5130</v>
      </c>
    </row>
    <row r="803" spans="1:21" x14ac:dyDescent="0.25">
      <c r="A803" s="537" t="s">
        <v>30</v>
      </c>
      <c r="B803" s="537"/>
      <c r="C803" s="537"/>
      <c r="D803" s="537"/>
      <c r="E803" s="537"/>
      <c r="F803" s="184">
        <f>SUM(F798:F802)</f>
        <v>22435</v>
      </c>
      <c r="G803" s="537" t="s">
        <v>31</v>
      </c>
      <c r="H803" s="537"/>
      <c r="I803" s="537"/>
      <c r="J803" s="537"/>
      <c r="K803" s="184">
        <f>SUM(K798:K802)</f>
        <v>567000</v>
      </c>
      <c r="L803" s="537" t="s">
        <v>32</v>
      </c>
      <c r="M803" s="537"/>
      <c r="N803" s="537"/>
      <c r="O803" s="537"/>
      <c r="P803" s="184">
        <f>SUM(P798:P802)</f>
        <v>32610</v>
      </c>
      <c r="Q803" s="537" t="s">
        <v>38</v>
      </c>
      <c r="R803" s="537"/>
      <c r="S803" s="537"/>
      <c r="T803" s="537"/>
      <c r="U803" s="223">
        <f>SUM(U798:U802)</f>
        <v>0</v>
      </c>
    </row>
    <row r="804" spans="1:21" x14ac:dyDescent="0.25">
      <c r="A804" s="537" t="s">
        <v>33</v>
      </c>
      <c r="B804" s="537"/>
      <c r="C804" s="537"/>
      <c r="D804" s="537"/>
      <c r="E804" s="537"/>
      <c r="F804" s="184">
        <f>SUM(F803+K803+P803)</f>
        <v>622045</v>
      </c>
      <c r="G804" s="537" t="s">
        <v>39</v>
      </c>
      <c r="H804" s="537"/>
      <c r="I804" s="537"/>
      <c r="J804" s="537"/>
      <c r="K804" s="184">
        <f>SUM(F803+K803+P803+U803)</f>
        <v>622045</v>
      </c>
      <c r="L804" s="537" t="s">
        <v>40</v>
      </c>
      <c r="M804" s="537"/>
      <c r="N804" s="537"/>
      <c r="O804" s="537"/>
      <c r="P804" s="184">
        <f>SUM(K804*0.15)</f>
        <v>93306.75</v>
      </c>
      <c r="Q804" s="537" t="s">
        <v>41</v>
      </c>
      <c r="R804" s="537"/>
      <c r="S804" s="537"/>
      <c r="T804" s="537"/>
      <c r="U804" s="223">
        <f>SUM(K804+P804)</f>
        <v>715351.75</v>
      </c>
    </row>
    <row r="805" spans="1:21" x14ac:dyDescent="0.25">
      <c r="Q805" s="537" t="s">
        <v>42</v>
      </c>
      <c r="R805" s="537"/>
      <c r="S805" s="537"/>
      <c r="T805" s="537"/>
      <c r="U805" s="224">
        <f>ROUND((U804/5000),2)</f>
        <v>143.07</v>
      </c>
    </row>
    <row r="806" spans="1:21" x14ac:dyDescent="0.25">
      <c r="A806" s="544"/>
      <c r="B806" s="544"/>
      <c r="C806" s="544"/>
      <c r="D806" s="544"/>
      <c r="E806" s="544"/>
      <c r="F806" s="544"/>
      <c r="G806" s="544"/>
      <c r="H806" s="544"/>
      <c r="I806" s="544"/>
      <c r="J806" s="544"/>
      <c r="K806" s="544"/>
      <c r="L806" s="544"/>
      <c r="M806" s="544"/>
      <c r="N806" s="544"/>
      <c r="O806" s="544"/>
      <c r="P806" s="544"/>
      <c r="Q806" s="544"/>
      <c r="R806" s="544"/>
      <c r="S806" s="544"/>
      <c r="T806" s="544"/>
      <c r="U806" s="544"/>
    </row>
    <row r="807" spans="1:21" x14ac:dyDescent="0.25">
      <c r="A807" s="538" t="s">
        <v>12</v>
      </c>
      <c r="B807" s="538"/>
      <c r="C807" s="540" t="s">
        <v>299</v>
      </c>
      <c r="D807" s="540"/>
      <c r="E807" s="540"/>
      <c r="F807" s="540"/>
      <c r="G807" s="540"/>
      <c r="H807" s="540"/>
      <c r="I807" s="540"/>
      <c r="J807" s="540"/>
      <c r="K807" s="540"/>
      <c r="L807" s="540"/>
      <c r="M807" s="540"/>
      <c r="N807" s="540"/>
      <c r="O807" s="540"/>
      <c r="P807" s="540"/>
      <c r="Q807" s="540"/>
      <c r="R807" s="540"/>
      <c r="S807" s="540"/>
      <c r="T807" s="540"/>
      <c r="U807" s="541" t="s">
        <v>300</v>
      </c>
    </row>
    <row r="808" spans="1:21" x14ac:dyDescent="0.25">
      <c r="A808" s="538"/>
      <c r="B808" s="538"/>
      <c r="C808" s="540"/>
      <c r="D808" s="540"/>
      <c r="E808" s="540"/>
      <c r="F808" s="540"/>
      <c r="G808" s="540"/>
      <c r="H808" s="540"/>
      <c r="I808" s="540"/>
      <c r="J808" s="540"/>
      <c r="K808" s="540"/>
      <c r="L808" s="540"/>
      <c r="M808" s="540"/>
      <c r="N808" s="540"/>
      <c r="O808" s="540"/>
      <c r="P808" s="540"/>
      <c r="Q808" s="540"/>
      <c r="R808" s="540"/>
      <c r="S808" s="540"/>
      <c r="T808" s="540"/>
      <c r="U808" s="541"/>
    </row>
    <row r="809" spans="1:21" x14ac:dyDescent="0.25">
      <c r="A809" s="539" t="s">
        <v>298</v>
      </c>
      <c r="B809" s="539"/>
      <c r="C809" s="540"/>
      <c r="D809" s="540"/>
      <c r="E809" s="540"/>
      <c r="F809" s="540"/>
      <c r="G809" s="540"/>
      <c r="H809" s="540"/>
      <c r="I809" s="540"/>
      <c r="J809" s="540"/>
      <c r="K809" s="540"/>
      <c r="L809" s="540"/>
      <c r="M809" s="540"/>
      <c r="N809" s="540"/>
      <c r="O809" s="540"/>
      <c r="P809" s="540"/>
      <c r="Q809" s="540"/>
      <c r="R809" s="540"/>
      <c r="S809" s="540"/>
      <c r="T809" s="540"/>
      <c r="U809" s="541"/>
    </row>
    <row r="810" spans="1:21" x14ac:dyDescent="0.25">
      <c r="A810" s="542" t="s">
        <v>16</v>
      </c>
      <c r="B810" s="543" t="s">
        <v>18</v>
      </c>
      <c r="C810" s="543"/>
      <c r="D810" s="543"/>
      <c r="E810" s="543"/>
      <c r="F810" s="543"/>
      <c r="G810" s="543" t="s">
        <v>24</v>
      </c>
      <c r="H810" s="543"/>
      <c r="I810" s="543"/>
      <c r="J810" s="543"/>
      <c r="K810" s="543"/>
      <c r="L810" s="543" t="s">
        <v>25</v>
      </c>
      <c r="M810" s="543"/>
      <c r="N810" s="543"/>
      <c r="O810" s="543"/>
      <c r="P810" s="543"/>
      <c r="Q810" s="543" t="s">
        <v>26</v>
      </c>
      <c r="R810" s="543"/>
      <c r="S810" s="543"/>
      <c r="T810" s="543"/>
      <c r="U810" s="543"/>
    </row>
    <row r="811" spans="1:21" x14ac:dyDescent="0.25">
      <c r="A811" s="542"/>
      <c r="B811" s="182" t="s">
        <v>19</v>
      </c>
      <c r="C811" s="182" t="s">
        <v>20</v>
      </c>
      <c r="D811" s="182" t="s">
        <v>21</v>
      </c>
      <c r="E811" s="182" t="s">
        <v>22</v>
      </c>
      <c r="F811" s="182" t="s">
        <v>23</v>
      </c>
      <c r="G811" s="182" t="s">
        <v>19</v>
      </c>
      <c r="H811" s="216" t="s">
        <v>20</v>
      </c>
      <c r="I811" s="182" t="s">
        <v>21</v>
      </c>
      <c r="J811" s="182" t="s">
        <v>22</v>
      </c>
      <c r="K811" s="182" t="s">
        <v>23</v>
      </c>
      <c r="L811" s="182" t="s">
        <v>19</v>
      </c>
      <c r="M811" s="182" t="s">
        <v>20</v>
      </c>
      <c r="N811" s="182" t="s">
        <v>21</v>
      </c>
      <c r="O811" s="182" t="s">
        <v>22</v>
      </c>
      <c r="P811" s="182" t="s">
        <v>23</v>
      </c>
      <c r="Q811" s="182" t="s">
        <v>19</v>
      </c>
      <c r="R811" s="182" t="s">
        <v>20</v>
      </c>
      <c r="S811" s="182" t="s">
        <v>21</v>
      </c>
      <c r="T811" s="182" t="s">
        <v>22</v>
      </c>
      <c r="U811" s="211" t="s">
        <v>23</v>
      </c>
    </row>
    <row r="812" spans="1:21" x14ac:dyDescent="0.25">
      <c r="A812" s="183" t="s">
        <v>301</v>
      </c>
      <c r="B812" s="182" t="s">
        <v>47</v>
      </c>
      <c r="C812" s="182" t="s">
        <v>28</v>
      </c>
      <c r="D812" s="182">
        <v>7</v>
      </c>
      <c r="E812" s="182">
        <f>skilled</f>
        <v>1245</v>
      </c>
      <c r="F812" s="184">
        <f>(D812*E812)</f>
        <v>8715</v>
      </c>
      <c r="G812" s="182" t="s">
        <v>297</v>
      </c>
      <c r="H812" s="216" t="s">
        <v>35</v>
      </c>
      <c r="I812" s="182">
        <v>7.43</v>
      </c>
      <c r="J812" s="182">
        <f>adopted_rate_bitumen</f>
        <v>108000</v>
      </c>
      <c r="K812" s="182">
        <f>(I812*J812)</f>
        <v>802440</v>
      </c>
      <c r="L812" s="182" t="s">
        <v>307</v>
      </c>
      <c r="M812" s="182" t="s">
        <v>58</v>
      </c>
      <c r="N812" s="182">
        <v>6</v>
      </c>
      <c r="O812" s="182">
        <f>hot_mix_plant</f>
        <v>28602</v>
      </c>
      <c r="P812" s="184">
        <f t="shared" ref="P812:P817" si="0">(N812*O812)</f>
        <v>171612</v>
      </c>
    </row>
    <row r="813" spans="1:21" x14ac:dyDescent="0.25">
      <c r="B813" s="182" t="s">
        <v>29</v>
      </c>
      <c r="C813" s="182" t="s">
        <v>28</v>
      </c>
      <c r="D813" s="182">
        <v>12</v>
      </c>
      <c r="E813" s="182">
        <f>unskilled</f>
        <v>935</v>
      </c>
      <c r="F813" s="184">
        <f>(D813*E813)</f>
        <v>11220</v>
      </c>
      <c r="G813" s="182" t="s">
        <v>302</v>
      </c>
      <c r="H813" s="216"/>
      <c r="L813" s="182" t="s">
        <v>63</v>
      </c>
      <c r="M813" s="182" t="s">
        <v>58</v>
      </c>
      <c r="N813" s="182">
        <v>6</v>
      </c>
      <c r="O813" s="182">
        <f>air_compressor</f>
        <v>1190</v>
      </c>
      <c r="P813" s="184">
        <f t="shared" si="0"/>
        <v>7140</v>
      </c>
    </row>
    <row r="814" spans="1:21" x14ac:dyDescent="0.25">
      <c r="G814" s="182" t="s">
        <v>303</v>
      </c>
      <c r="H814" s="216" t="s">
        <v>84</v>
      </c>
      <c r="I814" s="182">
        <v>21.76</v>
      </c>
      <c r="J814" s="182">
        <f>adopted_rate_aggregate_20_40_mm</f>
        <v>3175.2000000000003</v>
      </c>
      <c r="K814" s="182">
        <f>(I814*J814)</f>
        <v>69092.352000000014</v>
      </c>
      <c r="L814" s="182" t="s">
        <v>258</v>
      </c>
      <c r="M814" s="182" t="s">
        <v>58</v>
      </c>
      <c r="N814" s="182">
        <v>6</v>
      </c>
      <c r="O814" s="182">
        <f>paver_finisher</f>
        <v>2374</v>
      </c>
      <c r="P814" s="184">
        <f t="shared" si="0"/>
        <v>14244</v>
      </c>
    </row>
    <row r="815" spans="1:21" x14ac:dyDescent="0.25">
      <c r="G815" s="182" t="s">
        <v>304</v>
      </c>
      <c r="H815" s="216" t="s">
        <v>84</v>
      </c>
      <c r="I815" s="182">
        <v>65.28</v>
      </c>
      <c r="J815" s="182">
        <f>adopted_rate_aggregate_10_20_mm</f>
        <v>3351.6</v>
      </c>
      <c r="K815" s="182">
        <f>(I815*J815)</f>
        <v>218792.448</v>
      </c>
      <c r="L815" s="182" t="s">
        <v>76</v>
      </c>
      <c r="M815" s="182" t="s">
        <v>58</v>
      </c>
      <c r="N815" s="182">
        <v>6</v>
      </c>
      <c r="O815" s="182">
        <f>generator</f>
        <v>855</v>
      </c>
      <c r="P815" s="184">
        <f t="shared" si="0"/>
        <v>5130</v>
      </c>
    </row>
    <row r="816" spans="1:21" x14ac:dyDescent="0.25">
      <c r="G816" s="182" t="s">
        <v>305</v>
      </c>
      <c r="H816" s="216" t="s">
        <v>84</v>
      </c>
      <c r="I816" s="182">
        <v>36.270000000000003</v>
      </c>
      <c r="J816" s="182">
        <f>adopted_rate_aggregate_10_mm</f>
        <v>3175.2000000000003</v>
      </c>
      <c r="K816" s="182">
        <f>(I816*J816)</f>
        <v>115164.50400000002</v>
      </c>
      <c r="L816" s="182" t="s">
        <v>308</v>
      </c>
      <c r="M816" s="182" t="s">
        <v>58</v>
      </c>
      <c r="N816" s="182">
        <v>6</v>
      </c>
      <c r="O816" s="182">
        <f>pneumatic_roller</f>
        <v>2121</v>
      </c>
      <c r="P816" s="184">
        <f t="shared" si="0"/>
        <v>12726</v>
      </c>
    </row>
    <row r="817" spans="1:21" x14ac:dyDescent="0.25">
      <c r="G817" s="182" t="s">
        <v>306</v>
      </c>
      <c r="H817" s="216" t="s">
        <v>84</v>
      </c>
      <c r="I817" s="182">
        <v>21.76</v>
      </c>
      <c r="J817" s="182">
        <f>adopted_rate_aggregate_10_mm</f>
        <v>3175.2000000000003</v>
      </c>
      <c r="K817" s="182">
        <f>(I817*J817)</f>
        <v>69092.352000000014</v>
      </c>
      <c r="L817" s="182" t="s">
        <v>288</v>
      </c>
      <c r="M817" s="182" t="s">
        <v>58</v>
      </c>
      <c r="N817" s="182">
        <v>8</v>
      </c>
      <c r="O817" s="182">
        <f>mechanical_broom</f>
        <v>1393</v>
      </c>
      <c r="P817" s="184">
        <f t="shared" si="0"/>
        <v>11144</v>
      </c>
    </row>
    <row r="818" spans="1:21" x14ac:dyDescent="0.25">
      <c r="A818" s="537" t="s">
        <v>30</v>
      </c>
      <c r="B818" s="537"/>
      <c r="C818" s="537"/>
      <c r="D818" s="537"/>
      <c r="E818" s="537"/>
      <c r="F818" s="184">
        <f>SUM(F811:F817)</f>
        <v>19935</v>
      </c>
      <c r="G818" s="537" t="s">
        <v>31</v>
      </c>
      <c r="H818" s="537"/>
      <c r="I818" s="537"/>
      <c r="J818" s="537"/>
      <c r="K818" s="184">
        <f>SUM(K811:K817)</f>
        <v>1274581.656</v>
      </c>
      <c r="L818" s="537" t="s">
        <v>32</v>
      </c>
      <c r="M818" s="537"/>
      <c r="N818" s="537"/>
      <c r="O818" s="537"/>
      <c r="P818" s="184">
        <f>SUM(P811:P817)</f>
        <v>221996</v>
      </c>
      <c r="Q818" s="537" t="s">
        <v>38</v>
      </c>
      <c r="R818" s="537"/>
      <c r="S818" s="537"/>
      <c r="T818" s="537"/>
      <c r="U818" s="223">
        <f>SUM(U811:U817)</f>
        <v>0</v>
      </c>
    </row>
    <row r="819" spans="1:21" x14ac:dyDescent="0.25">
      <c r="A819" s="537" t="s">
        <v>33</v>
      </c>
      <c r="B819" s="537"/>
      <c r="C819" s="537"/>
      <c r="D819" s="537"/>
      <c r="E819" s="537"/>
      <c r="F819" s="184">
        <f>SUM(F818+K818+P818)</f>
        <v>1516512.656</v>
      </c>
      <c r="G819" s="537" t="s">
        <v>39</v>
      </c>
      <c r="H819" s="537"/>
      <c r="I819" s="537"/>
      <c r="J819" s="537"/>
      <c r="K819" s="184">
        <f>SUM(F818+K818+P818+U818)</f>
        <v>1516512.656</v>
      </c>
      <c r="L819" s="537" t="s">
        <v>40</v>
      </c>
      <c r="M819" s="537"/>
      <c r="N819" s="537"/>
      <c r="O819" s="537"/>
      <c r="P819" s="184">
        <f>SUM(K819*0.15)</f>
        <v>227476.89839999998</v>
      </c>
      <c r="Q819" s="537" t="s">
        <v>41</v>
      </c>
      <c r="R819" s="537"/>
      <c r="S819" s="537"/>
      <c r="T819" s="537"/>
      <c r="U819" s="223">
        <f>SUM(K819+P819)</f>
        <v>1743989.5544</v>
      </c>
    </row>
    <row r="820" spans="1:21" x14ac:dyDescent="0.25">
      <c r="Q820" s="537" t="s">
        <v>42</v>
      </c>
      <c r="R820" s="537"/>
      <c r="S820" s="537"/>
      <c r="T820" s="537"/>
      <c r="U820" s="224">
        <f>ROUND((U819/102.5),2)</f>
        <v>17014.53</v>
      </c>
    </row>
    <row r="821" spans="1:21" x14ac:dyDescent="0.25">
      <c r="A821" s="544"/>
      <c r="B821" s="544"/>
      <c r="C821" s="544"/>
      <c r="D821" s="544"/>
      <c r="E821" s="544"/>
      <c r="F821" s="544"/>
      <c r="G821" s="544"/>
      <c r="H821" s="544"/>
      <c r="I821" s="544"/>
      <c r="J821" s="544"/>
      <c r="K821" s="544"/>
      <c r="L821" s="544"/>
      <c r="M821" s="544"/>
      <c r="N821" s="544"/>
      <c r="O821" s="544"/>
      <c r="P821" s="544"/>
      <c r="Q821" s="544"/>
      <c r="R821" s="544"/>
      <c r="S821" s="544"/>
      <c r="T821" s="544"/>
      <c r="U821" s="544"/>
    </row>
    <row r="822" spans="1:21" x14ac:dyDescent="0.25">
      <c r="A822" s="538" t="s">
        <v>12</v>
      </c>
      <c r="B822" s="538"/>
      <c r="C822" s="540" t="s">
        <v>309</v>
      </c>
      <c r="D822" s="540"/>
      <c r="E822" s="540"/>
      <c r="F822" s="540"/>
      <c r="G822" s="540"/>
      <c r="H822" s="540"/>
      <c r="I822" s="540"/>
      <c r="J822" s="540"/>
      <c r="K822" s="540"/>
      <c r="L822" s="540"/>
      <c r="M822" s="540"/>
      <c r="N822" s="540"/>
      <c r="O822" s="540"/>
      <c r="P822" s="540"/>
      <c r="Q822" s="540"/>
      <c r="R822" s="540"/>
      <c r="S822" s="540"/>
      <c r="T822" s="540"/>
      <c r="U822" s="541" t="s">
        <v>300</v>
      </c>
    </row>
    <row r="823" spans="1:21" x14ac:dyDescent="0.25">
      <c r="A823" s="538"/>
      <c r="B823" s="538"/>
      <c r="C823" s="540"/>
      <c r="D823" s="540"/>
      <c r="E823" s="540"/>
      <c r="F823" s="540"/>
      <c r="G823" s="540"/>
      <c r="H823" s="540"/>
      <c r="I823" s="540"/>
      <c r="J823" s="540"/>
      <c r="K823" s="540"/>
      <c r="L823" s="540"/>
      <c r="M823" s="540"/>
      <c r="N823" s="540"/>
      <c r="O823" s="540"/>
      <c r="P823" s="540"/>
      <c r="Q823" s="540"/>
      <c r="R823" s="540"/>
      <c r="S823" s="540"/>
      <c r="T823" s="540"/>
      <c r="U823" s="541"/>
    </row>
    <row r="824" spans="1:21" x14ac:dyDescent="0.25">
      <c r="A824" s="539" t="s">
        <v>298</v>
      </c>
      <c r="B824" s="539"/>
      <c r="C824" s="540"/>
      <c r="D824" s="540"/>
      <c r="E824" s="540"/>
      <c r="F824" s="540"/>
      <c r="G824" s="540"/>
      <c r="H824" s="540"/>
      <c r="I824" s="540"/>
      <c r="J824" s="540"/>
      <c r="K824" s="540"/>
      <c r="L824" s="540"/>
      <c r="M824" s="540"/>
      <c r="N824" s="540"/>
      <c r="O824" s="540"/>
      <c r="P824" s="540"/>
      <c r="Q824" s="540"/>
      <c r="R824" s="540"/>
      <c r="S824" s="540"/>
      <c r="T824" s="540"/>
      <c r="U824" s="541"/>
    </row>
    <row r="825" spans="1:21" x14ac:dyDescent="0.25">
      <c r="A825" s="542" t="s">
        <v>16</v>
      </c>
      <c r="B825" s="543" t="s">
        <v>18</v>
      </c>
      <c r="C825" s="543"/>
      <c r="D825" s="543"/>
      <c r="E825" s="543"/>
      <c r="F825" s="543"/>
      <c r="G825" s="543" t="s">
        <v>24</v>
      </c>
      <c r="H825" s="543"/>
      <c r="I825" s="543"/>
      <c r="J825" s="543"/>
      <c r="K825" s="543"/>
      <c r="L825" s="543" t="s">
        <v>25</v>
      </c>
      <c r="M825" s="543"/>
      <c r="N825" s="543"/>
      <c r="O825" s="543"/>
      <c r="P825" s="543"/>
      <c r="Q825" s="543" t="s">
        <v>26</v>
      </c>
      <c r="R825" s="543"/>
      <c r="S825" s="543"/>
      <c r="T825" s="543"/>
      <c r="U825" s="543"/>
    </row>
    <row r="826" spans="1:21" x14ac:dyDescent="0.25">
      <c r="A826" s="542"/>
      <c r="B826" s="182" t="s">
        <v>19</v>
      </c>
      <c r="C826" s="182" t="s">
        <v>20</v>
      </c>
      <c r="D826" s="182" t="s">
        <v>21</v>
      </c>
      <c r="E826" s="182" t="s">
        <v>22</v>
      </c>
      <c r="F826" s="182" t="s">
        <v>23</v>
      </c>
      <c r="G826" s="182" t="s">
        <v>19</v>
      </c>
      <c r="H826" s="216" t="s">
        <v>20</v>
      </c>
      <c r="I826" s="182" t="s">
        <v>21</v>
      </c>
      <c r="J826" s="182" t="s">
        <v>22</v>
      </c>
      <c r="K826" s="182" t="s">
        <v>23</v>
      </c>
      <c r="L826" s="182" t="s">
        <v>19</v>
      </c>
      <c r="M826" s="182" t="s">
        <v>20</v>
      </c>
      <c r="N826" s="182" t="s">
        <v>21</v>
      </c>
      <c r="O826" s="182" t="s">
        <v>22</v>
      </c>
      <c r="P826" s="182" t="s">
        <v>23</v>
      </c>
      <c r="Q826" s="182" t="s">
        <v>19</v>
      </c>
      <c r="R826" s="182" t="s">
        <v>20</v>
      </c>
      <c r="S826" s="182" t="s">
        <v>21</v>
      </c>
      <c r="T826" s="182" t="s">
        <v>22</v>
      </c>
      <c r="U826" s="211" t="s">
        <v>23</v>
      </c>
    </row>
    <row r="827" spans="1:21" x14ac:dyDescent="0.25">
      <c r="A827" s="183" t="s">
        <v>310</v>
      </c>
      <c r="B827" s="182" t="s">
        <v>47</v>
      </c>
      <c r="C827" s="182" t="s">
        <v>28</v>
      </c>
      <c r="D827" s="182">
        <v>7</v>
      </c>
      <c r="E827" s="182">
        <f>skilled</f>
        <v>1245</v>
      </c>
      <c r="F827" s="184">
        <f>(D827*E827)</f>
        <v>8715</v>
      </c>
      <c r="G827" s="182" t="s">
        <v>297</v>
      </c>
      <c r="H827" s="216" t="s">
        <v>35</v>
      </c>
      <c r="I827" s="182">
        <v>7.43</v>
      </c>
      <c r="J827" s="182">
        <f>adopted_rate_bitumen</f>
        <v>108000</v>
      </c>
      <c r="K827" s="182">
        <f>(I827*J827)</f>
        <v>802440</v>
      </c>
      <c r="L827" s="182" t="s">
        <v>307</v>
      </c>
      <c r="M827" s="182" t="s">
        <v>58</v>
      </c>
      <c r="N827" s="182">
        <v>6</v>
      </c>
      <c r="O827" s="182">
        <f>hot_mix_plant</f>
        <v>28602</v>
      </c>
      <c r="P827" s="184">
        <f t="shared" ref="P827:P832" si="1">(N827*O827)</f>
        <v>171612</v>
      </c>
    </row>
    <row r="828" spans="1:21" x14ac:dyDescent="0.25">
      <c r="B828" s="182" t="s">
        <v>29</v>
      </c>
      <c r="C828" s="182" t="s">
        <v>28</v>
      </c>
      <c r="D828" s="182">
        <v>12</v>
      </c>
      <c r="E828" s="182">
        <f>unskilled</f>
        <v>935</v>
      </c>
      <c r="F828" s="184">
        <f>(D828*E828)</f>
        <v>11220</v>
      </c>
      <c r="G828" s="182" t="s">
        <v>311</v>
      </c>
      <c r="H828" s="216"/>
      <c r="L828" s="182" t="s">
        <v>63</v>
      </c>
      <c r="M828" s="182" t="s">
        <v>58</v>
      </c>
      <c r="N828" s="182">
        <v>6</v>
      </c>
      <c r="O828" s="182">
        <f>air_compressor</f>
        <v>1190</v>
      </c>
      <c r="P828" s="184">
        <f t="shared" si="1"/>
        <v>7140</v>
      </c>
    </row>
    <row r="829" spans="1:21" x14ac:dyDescent="0.25">
      <c r="G829" s="182" t="s">
        <v>304</v>
      </c>
      <c r="H829" s="216" t="s">
        <v>84</v>
      </c>
      <c r="I829" s="182">
        <v>58.02</v>
      </c>
      <c r="J829" s="182">
        <f>adopted_rate_aggregate_10_20_mm</f>
        <v>3351.6</v>
      </c>
      <c r="K829" s="182">
        <f>(I829*J829)</f>
        <v>194459.83199999999</v>
      </c>
      <c r="L829" s="182" t="s">
        <v>258</v>
      </c>
      <c r="M829" s="182" t="s">
        <v>58</v>
      </c>
      <c r="N829" s="182">
        <v>6</v>
      </c>
      <c r="O829" s="182">
        <f>paver_finisher</f>
        <v>2374</v>
      </c>
      <c r="P829" s="184">
        <f t="shared" si="1"/>
        <v>14244</v>
      </c>
    </row>
    <row r="830" spans="1:21" x14ac:dyDescent="0.25">
      <c r="G830" s="182" t="s">
        <v>305</v>
      </c>
      <c r="H830" s="216" t="s">
        <v>84</v>
      </c>
      <c r="I830" s="182">
        <v>58.02</v>
      </c>
      <c r="J830" s="182">
        <f>adopted_rate_aggregate_10_mm</f>
        <v>3175.2000000000003</v>
      </c>
      <c r="K830" s="182">
        <f>(I830*J830)</f>
        <v>184225.10400000002</v>
      </c>
      <c r="L830" s="182" t="s">
        <v>76</v>
      </c>
      <c r="M830" s="182" t="s">
        <v>58</v>
      </c>
      <c r="N830" s="182">
        <v>6</v>
      </c>
      <c r="O830" s="182">
        <f>generator</f>
        <v>855</v>
      </c>
      <c r="P830" s="184">
        <f t="shared" si="1"/>
        <v>5130</v>
      </c>
    </row>
    <row r="831" spans="1:21" x14ac:dyDescent="0.25">
      <c r="G831" s="182" t="s">
        <v>306</v>
      </c>
      <c r="H831" s="216" t="s">
        <v>84</v>
      </c>
      <c r="I831" s="182">
        <v>29.01</v>
      </c>
      <c r="J831" s="182">
        <f>adopted_rate_aggregate_10_mm</f>
        <v>3175.2000000000003</v>
      </c>
      <c r="K831" s="182">
        <f>(I831*J831)</f>
        <v>92112.552000000011</v>
      </c>
      <c r="L831" s="182" t="s">
        <v>308</v>
      </c>
      <c r="M831" s="182" t="s">
        <v>58</v>
      </c>
      <c r="N831" s="182">
        <v>6</v>
      </c>
      <c r="O831" s="182">
        <f>pneumatic_roller</f>
        <v>2121</v>
      </c>
      <c r="P831" s="184">
        <f t="shared" si="1"/>
        <v>12726</v>
      </c>
    </row>
    <row r="832" spans="1:21" x14ac:dyDescent="0.25">
      <c r="L832" s="182" t="s">
        <v>288</v>
      </c>
      <c r="M832" s="182" t="s">
        <v>58</v>
      </c>
      <c r="N832" s="182">
        <v>8</v>
      </c>
      <c r="O832" s="182">
        <f>mechanical_broom</f>
        <v>1393</v>
      </c>
      <c r="P832" s="184">
        <f t="shared" si="1"/>
        <v>11144</v>
      </c>
    </row>
    <row r="833" spans="1:21" x14ac:dyDescent="0.25">
      <c r="A833" s="537" t="s">
        <v>30</v>
      </c>
      <c r="B833" s="537"/>
      <c r="C833" s="537"/>
      <c r="D833" s="537"/>
      <c r="E833" s="537"/>
      <c r="F833" s="184">
        <f>SUM(F826:F832)</f>
        <v>19935</v>
      </c>
      <c r="G833" s="537" t="s">
        <v>31</v>
      </c>
      <c r="H833" s="537"/>
      <c r="I833" s="537"/>
      <c r="J833" s="537"/>
      <c r="K833" s="184">
        <f>SUM(K826:K832)</f>
        <v>1273237.4879999999</v>
      </c>
      <c r="L833" s="537" t="s">
        <v>32</v>
      </c>
      <c r="M833" s="537"/>
      <c r="N833" s="537"/>
      <c r="O833" s="537"/>
      <c r="P833" s="184">
        <f>SUM(P826:P832)</f>
        <v>221996</v>
      </c>
      <c r="Q833" s="537" t="s">
        <v>38</v>
      </c>
      <c r="R833" s="537"/>
      <c r="S833" s="537"/>
      <c r="T833" s="537"/>
      <c r="U833" s="223">
        <f>SUM(U826:U832)</f>
        <v>0</v>
      </c>
    </row>
    <row r="834" spans="1:21" x14ac:dyDescent="0.25">
      <c r="A834" s="537" t="s">
        <v>33</v>
      </c>
      <c r="B834" s="537"/>
      <c r="C834" s="537"/>
      <c r="D834" s="537"/>
      <c r="E834" s="537"/>
      <c r="F834" s="184">
        <f>SUM(F833+K833+P833)</f>
        <v>1515168.4879999999</v>
      </c>
      <c r="G834" s="537" t="s">
        <v>39</v>
      </c>
      <c r="H834" s="537"/>
      <c r="I834" s="537"/>
      <c r="J834" s="537"/>
      <c r="K834" s="184">
        <f>SUM(F833+K833+P833+U833)</f>
        <v>1515168.4879999999</v>
      </c>
      <c r="L834" s="537" t="s">
        <v>40</v>
      </c>
      <c r="M834" s="537"/>
      <c r="N834" s="537"/>
      <c r="O834" s="537"/>
      <c r="P834" s="184">
        <f>SUM(K834*0.15)</f>
        <v>227275.27319999997</v>
      </c>
      <c r="Q834" s="537" t="s">
        <v>41</v>
      </c>
      <c r="R834" s="537"/>
      <c r="S834" s="537"/>
      <c r="T834" s="537"/>
      <c r="U834" s="223">
        <f>SUM(K834+P834)</f>
        <v>1742443.7611999998</v>
      </c>
    </row>
    <row r="835" spans="1:21" x14ac:dyDescent="0.25">
      <c r="Q835" s="537" t="s">
        <v>42</v>
      </c>
      <c r="R835" s="537"/>
      <c r="S835" s="537"/>
      <c r="T835" s="537"/>
      <c r="U835" s="224">
        <f>ROUND((U834/102.5),2)</f>
        <v>16999.45</v>
      </c>
    </row>
    <row r="836" spans="1:21" x14ac:dyDescent="0.25">
      <c r="A836" s="544"/>
      <c r="B836" s="544"/>
      <c r="C836" s="544"/>
      <c r="D836" s="544"/>
      <c r="E836" s="544"/>
      <c r="F836" s="544"/>
      <c r="G836" s="544"/>
      <c r="H836" s="544"/>
      <c r="I836" s="544"/>
      <c r="J836" s="544"/>
      <c r="K836" s="544"/>
      <c r="L836" s="544"/>
      <c r="M836" s="544"/>
      <c r="N836" s="544"/>
      <c r="O836" s="544"/>
      <c r="P836" s="544"/>
      <c r="Q836" s="544"/>
      <c r="R836" s="544"/>
      <c r="S836" s="544"/>
      <c r="T836" s="544"/>
      <c r="U836" s="544"/>
    </row>
    <row r="837" spans="1:21" x14ac:dyDescent="0.25">
      <c r="A837" s="538" t="s">
        <v>12</v>
      </c>
      <c r="B837" s="538"/>
      <c r="C837" s="540" t="s">
        <v>313</v>
      </c>
      <c r="D837" s="540"/>
      <c r="E837" s="540"/>
      <c r="F837" s="540"/>
      <c r="G837" s="540"/>
      <c r="H837" s="540"/>
      <c r="I837" s="540"/>
      <c r="J837" s="540"/>
      <c r="K837" s="540"/>
      <c r="L837" s="540"/>
      <c r="M837" s="540"/>
      <c r="N837" s="540"/>
      <c r="O837" s="540"/>
      <c r="P837" s="540"/>
      <c r="Q837" s="540"/>
      <c r="R837" s="540"/>
      <c r="S837" s="540"/>
      <c r="T837" s="540"/>
      <c r="U837" s="541" t="s">
        <v>314</v>
      </c>
    </row>
    <row r="838" spans="1:21" x14ac:dyDescent="0.25">
      <c r="A838" s="538"/>
      <c r="B838" s="538"/>
      <c r="C838" s="540"/>
      <c r="D838" s="540"/>
      <c r="E838" s="540"/>
      <c r="F838" s="540"/>
      <c r="G838" s="540"/>
      <c r="H838" s="540"/>
      <c r="I838" s="540"/>
      <c r="J838" s="540"/>
      <c r="K838" s="540"/>
      <c r="L838" s="540"/>
      <c r="M838" s="540"/>
      <c r="N838" s="540"/>
      <c r="O838" s="540"/>
      <c r="P838" s="540"/>
      <c r="Q838" s="540"/>
      <c r="R838" s="540"/>
      <c r="S838" s="540"/>
      <c r="T838" s="540"/>
      <c r="U838" s="541"/>
    </row>
    <row r="839" spans="1:21" x14ac:dyDescent="0.25">
      <c r="A839" s="539" t="s">
        <v>312</v>
      </c>
      <c r="B839" s="539"/>
      <c r="C839" s="540"/>
      <c r="D839" s="540"/>
      <c r="E839" s="540"/>
      <c r="F839" s="540"/>
      <c r="G839" s="540"/>
      <c r="H839" s="540"/>
      <c r="I839" s="540"/>
      <c r="J839" s="540"/>
      <c r="K839" s="540"/>
      <c r="L839" s="540"/>
      <c r="M839" s="540"/>
      <c r="N839" s="540"/>
      <c r="O839" s="540"/>
      <c r="P839" s="540"/>
      <c r="Q839" s="540"/>
      <c r="R839" s="540"/>
      <c r="S839" s="540"/>
      <c r="T839" s="540"/>
      <c r="U839" s="541"/>
    </row>
    <row r="840" spans="1:21" x14ac:dyDescent="0.25">
      <c r="A840" s="542" t="s">
        <v>16</v>
      </c>
      <c r="B840" s="543" t="s">
        <v>18</v>
      </c>
      <c r="C840" s="543"/>
      <c r="D840" s="543"/>
      <c r="E840" s="543"/>
      <c r="F840" s="543"/>
      <c r="G840" s="543" t="s">
        <v>24</v>
      </c>
      <c r="H840" s="543"/>
      <c r="I840" s="543"/>
      <c r="J840" s="543"/>
      <c r="K840" s="543"/>
      <c r="L840" s="543" t="s">
        <v>25</v>
      </c>
      <c r="M840" s="543"/>
      <c r="N840" s="543"/>
      <c r="O840" s="543"/>
      <c r="P840" s="543"/>
      <c r="Q840" s="543" t="s">
        <v>26</v>
      </c>
      <c r="R840" s="543"/>
      <c r="S840" s="543"/>
      <c r="T840" s="543"/>
      <c r="U840" s="543"/>
    </row>
    <row r="841" spans="1:21" x14ac:dyDescent="0.25">
      <c r="A841" s="542"/>
      <c r="B841" s="182" t="s">
        <v>19</v>
      </c>
      <c r="C841" s="182" t="s">
        <v>20</v>
      </c>
      <c r="D841" s="182" t="s">
        <v>21</v>
      </c>
      <c r="E841" s="182" t="s">
        <v>22</v>
      </c>
      <c r="F841" s="182" t="s">
        <v>23</v>
      </c>
      <c r="G841" s="182" t="s">
        <v>19</v>
      </c>
      <c r="H841" s="216" t="s">
        <v>20</v>
      </c>
      <c r="I841" s="182" t="s">
        <v>21</v>
      </c>
      <c r="J841" s="182" t="s">
        <v>22</v>
      </c>
      <c r="K841" s="182" t="s">
        <v>23</v>
      </c>
      <c r="L841" s="182" t="s">
        <v>19</v>
      </c>
      <c r="M841" s="182" t="s">
        <v>20</v>
      </c>
      <c r="N841" s="182" t="s">
        <v>21</v>
      </c>
      <c r="O841" s="182" t="s">
        <v>22</v>
      </c>
      <c r="P841" s="182" t="s">
        <v>23</v>
      </c>
      <c r="Q841" s="182" t="s">
        <v>19</v>
      </c>
      <c r="R841" s="182" t="s">
        <v>20</v>
      </c>
      <c r="S841" s="182" t="s">
        <v>21</v>
      </c>
      <c r="T841" s="182" t="s">
        <v>22</v>
      </c>
      <c r="U841" s="211" t="s">
        <v>23</v>
      </c>
    </row>
    <row r="842" spans="1:21" x14ac:dyDescent="0.25">
      <c r="A842" s="183" t="s">
        <v>315</v>
      </c>
      <c r="B842" s="182" t="s">
        <v>29</v>
      </c>
      <c r="C842" s="182" t="s">
        <v>28</v>
      </c>
      <c r="D842" s="182">
        <v>9</v>
      </c>
      <c r="E842" s="182">
        <f>unskilled</f>
        <v>935</v>
      </c>
      <c r="F842" s="184">
        <f>(D842*E842)</f>
        <v>8415</v>
      </c>
      <c r="G842" s="182" t="s">
        <v>297</v>
      </c>
      <c r="H842" s="216" t="s">
        <v>35</v>
      </c>
      <c r="I842" s="182">
        <v>15.3</v>
      </c>
      <c r="J842" s="182">
        <f>adopted_rate_bitumen</f>
        <v>108000</v>
      </c>
      <c r="K842" s="182">
        <f>(I842*J842)</f>
        <v>1652400</v>
      </c>
      <c r="L842" s="182" t="s">
        <v>318</v>
      </c>
      <c r="M842" s="182" t="s">
        <v>58</v>
      </c>
      <c r="N842" s="182">
        <v>6</v>
      </c>
      <c r="O842" s="182">
        <f>chip_spreader</f>
        <v>1488</v>
      </c>
      <c r="P842" s="184">
        <f>(N842*O842)</f>
        <v>8928</v>
      </c>
    </row>
    <row r="843" spans="1:21" x14ac:dyDescent="0.25">
      <c r="B843" s="182" t="s">
        <v>47</v>
      </c>
      <c r="C843" s="182" t="s">
        <v>28</v>
      </c>
      <c r="D843" s="182">
        <v>3</v>
      </c>
      <c r="E843" s="182">
        <f>skilled</f>
        <v>1245</v>
      </c>
      <c r="F843" s="184">
        <f>(D843*E843)</f>
        <v>3735</v>
      </c>
      <c r="G843" s="182" t="s">
        <v>316</v>
      </c>
      <c r="H843" s="216" t="s">
        <v>84</v>
      </c>
      <c r="I843" s="182">
        <v>270</v>
      </c>
      <c r="J843" s="182">
        <f>adopted_rate_aggregate_20_40_mm</f>
        <v>3175.2000000000003</v>
      </c>
      <c r="K843" s="182">
        <f>(I843*J843)</f>
        <v>857304.00000000012</v>
      </c>
      <c r="L843" s="182" t="s">
        <v>289</v>
      </c>
      <c r="M843" s="182" t="s">
        <v>58</v>
      </c>
      <c r="N843" s="182">
        <v>6</v>
      </c>
      <c r="O843" s="182">
        <f>bitumen_distributor</f>
        <v>2689</v>
      </c>
      <c r="P843" s="184">
        <f>(N843*O843)</f>
        <v>16134</v>
      </c>
    </row>
    <row r="844" spans="1:21" x14ac:dyDescent="0.25">
      <c r="G844" s="182" t="s">
        <v>317</v>
      </c>
      <c r="H844" s="216" t="s">
        <v>84</v>
      </c>
      <c r="I844" s="182">
        <v>67.5</v>
      </c>
      <c r="J844" s="182">
        <f>adopted_rate_aggregate_10_20_mm</f>
        <v>3351.6</v>
      </c>
      <c r="K844" s="182">
        <f>(I844*J844)</f>
        <v>226233</v>
      </c>
      <c r="L844" s="182" t="s">
        <v>176</v>
      </c>
      <c r="M844" s="182" t="s">
        <v>58</v>
      </c>
      <c r="N844" s="182">
        <v>6</v>
      </c>
      <c r="O844" s="182">
        <f>water_tanker</f>
        <v>1618</v>
      </c>
      <c r="P844" s="184">
        <f>(N844*O844)</f>
        <v>9708</v>
      </c>
    </row>
    <row r="845" spans="1:21" x14ac:dyDescent="0.25">
      <c r="A845" s="537" t="s">
        <v>30</v>
      </c>
      <c r="B845" s="537"/>
      <c r="C845" s="537"/>
      <c r="D845" s="537"/>
      <c r="E845" s="537"/>
      <c r="F845" s="184">
        <f>SUM(F841:F844)</f>
        <v>12150</v>
      </c>
      <c r="G845" s="537" t="s">
        <v>31</v>
      </c>
      <c r="H845" s="537"/>
      <c r="I845" s="537"/>
      <c r="J845" s="537"/>
      <c r="K845" s="184">
        <f>SUM(K841:K844)</f>
        <v>2735937</v>
      </c>
      <c r="L845" s="537" t="s">
        <v>32</v>
      </c>
      <c r="M845" s="537"/>
      <c r="N845" s="537"/>
      <c r="O845" s="537"/>
      <c r="P845" s="184">
        <f>SUM(P841:P844)</f>
        <v>34770</v>
      </c>
      <c r="Q845" s="537" t="s">
        <v>38</v>
      </c>
      <c r="R845" s="537"/>
      <c r="S845" s="537"/>
      <c r="T845" s="537"/>
      <c r="U845" s="223">
        <f>SUM(U841:U844)</f>
        <v>0</v>
      </c>
    </row>
    <row r="846" spans="1:21" x14ac:dyDescent="0.25">
      <c r="A846" s="537" t="s">
        <v>33</v>
      </c>
      <c r="B846" s="537"/>
      <c r="C846" s="537"/>
      <c r="D846" s="537"/>
      <c r="E846" s="537"/>
      <c r="F846" s="184">
        <f>SUM(F845+K845+P845)</f>
        <v>2782857</v>
      </c>
      <c r="G846" s="537" t="s">
        <v>39</v>
      </c>
      <c r="H846" s="537"/>
      <c r="I846" s="537"/>
      <c r="J846" s="537"/>
      <c r="K846" s="184">
        <f>SUM(F845+K845+P845+U845)</f>
        <v>2782857</v>
      </c>
      <c r="L846" s="537" t="s">
        <v>40</v>
      </c>
      <c r="M846" s="537"/>
      <c r="N846" s="537"/>
      <c r="O846" s="537"/>
      <c r="P846" s="184">
        <f>SUM(K846*0.15)</f>
        <v>417428.55</v>
      </c>
      <c r="Q846" s="537" t="s">
        <v>41</v>
      </c>
      <c r="R846" s="537"/>
      <c r="S846" s="537"/>
      <c r="T846" s="537"/>
      <c r="U846" s="223">
        <f>SUM(K846+P846)</f>
        <v>3200285.55</v>
      </c>
    </row>
    <row r="847" spans="1:21" x14ac:dyDescent="0.25">
      <c r="Q847" s="537" t="s">
        <v>42</v>
      </c>
      <c r="R847" s="537"/>
      <c r="S847" s="537"/>
      <c r="T847" s="537"/>
      <c r="U847" s="224">
        <f>ROUND((U846/4500),2)</f>
        <v>711.17</v>
      </c>
    </row>
    <row r="848" spans="1:21" x14ac:dyDescent="0.25">
      <c r="A848" s="544"/>
      <c r="B848" s="544"/>
      <c r="C848" s="544"/>
      <c r="D848" s="544"/>
      <c r="E848" s="544"/>
      <c r="F848" s="544"/>
      <c r="G848" s="544"/>
      <c r="H848" s="544"/>
      <c r="I848" s="544"/>
      <c r="J848" s="544"/>
      <c r="K848" s="544"/>
      <c r="L848" s="544"/>
      <c r="M848" s="544"/>
      <c r="N848" s="544"/>
      <c r="O848" s="544"/>
      <c r="P848" s="544"/>
      <c r="Q848" s="544"/>
      <c r="R848" s="544"/>
      <c r="S848" s="544"/>
      <c r="T848" s="544"/>
      <c r="U848" s="544"/>
    </row>
    <row r="849" spans="1:21" x14ac:dyDescent="0.25">
      <c r="A849" s="538" t="s">
        <v>12</v>
      </c>
      <c r="B849" s="538"/>
      <c r="C849" s="540" t="s">
        <v>319</v>
      </c>
      <c r="D849" s="540"/>
      <c r="E849" s="540"/>
      <c r="F849" s="540"/>
      <c r="G849" s="540"/>
      <c r="H849" s="540"/>
      <c r="I849" s="540"/>
      <c r="J849" s="540"/>
      <c r="K849" s="540"/>
      <c r="L849" s="540"/>
      <c r="M849" s="540"/>
      <c r="N849" s="540"/>
      <c r="O849" s="540"/>
      <c r="P849" s="540"/>
      <c r="Q849" s="540"/>
      <c r="R849" s="540"/>
      <c r="S849" s="540"/>
      <c r="T849" s="540"/>
      <c r="U849" s="541" t="s">
        <v>314</v>
      </c>
    </row>
    <row r="850" spans="1:21" x14ac:dyDescent="0.25">
      <c r="A850" s="538"/>
      <c r="B850" s="538"/>
      <c r="C850" s="540"/>
      <c r="D850" s="540"/>
      <c r="E850" s="540"/>
      <c r="F850" s="540"/>
      <c r="G850" s="540"/>
      <c r="H850" s="540"/>
      <c r="I850" s="540"/>
      <c r="J850" s="540"/>
      <c r="K850" s="540"/>
      <c r="L850" s="540"/>
      <c r="M850" s="540"/>
      <c r="N850" s="540"/>
      <c r="O850" s="540"/>
      <c r="P850" s="540"/>
      <c r="Q850" s="540"/>
      <c r="R850" s="540"/>
      <c r="S850" s="540"/>
      <c r="T850" s="540"/>
      <c r="U850" s="541"/>
    </row>
    <row r="851" spans="1:21" x14ac:dyDescent="0.25">
      <c r="A851" s="539" t="s">
        <v>312</v>
      </c>
      <c r="B851" s="539"/>
      <c r="C851" s="540"/>
      <c r="D851" s="540"/>
      <c r="E851" s="540"/>
      <c r="F851" s="540"/>
      <c r="G851" s="540"/>
      <c r="H851" s="540"/>
      <c r="I851" s="540"/>
      <c r="J851" s="540"/>
      <c r="K851" s="540"/>
      <c r="L851" s="540"/>
      <c r="M851" s="540"/>
      <c r="N851" s="540"/>
      <c r="O851" s="540"/>
      <c r="P851" s="540"/>
      <c r="Q851" s="540"/>
      <c r="R851" s="540"/>
      <c r="S851" s="540"/>
      <c r="T851" s="540"/>
      <c r="U851" s="541"/>
    </row>
    <row r="852" spans="1:21" x14ac:dyDescent="0.25">
      <c r="A852" s="542" t="s">
        <v>16</v>
      </c>
      <c r="B852" s="543" t="s">
        <v>18</v>
      </c>
      <c r="C852" s="543"/>
      <c r="D852" s="543"/>
      <c r="E852" s="543"/>
      <c r="F852" s="543"/>
      <c r="G852" s="543" t="s">
        <v>24</v>
      </c>
      <c r="H852" s="543"/>
      <c r="I852" s="543"/>
      <c r="J852" s="543"/>
      <c r="K852" s="543"/>
      <c r="L852" s="543" t="s">
        <v>25</v>
      </c>
      <c r="M852" s="543"/>
      <c r="N852" s="543"/>
      <c r="O852" s="543"/>
      <c r="P852" s="543"/>
      <c r="Q852" s="543" t="s">
        <v>26</v>
      </c>
      <c r="R852" s="543"/>
      <c r="S852" s="543"/>
      <c r="T852" s="543"/>
      <c r="U852" s="543"/>
    </row>
    <row r="853" spans="1:21" x14ac:dyDescent="0.25">
      <c r="A853" s="542"/>
      <c r="B853" s="182" t="s">
        <v>19</v>
      </c>
      <c r="C853" s="182" t="s">
        <v>20</v>
      </c>
      <c r="D853" s="182" t="s">
        <v>21</v>
      </c>
      <c r="E853" s="182" t="s">
        <v>22</v>
      </c>
      <c r="F853" s="182" t="s">
        <v>23</v>
      </c>
      <c r="G853" s="182" t="s">
        <v>19</v>
      </c>
      <c r="H853" s="216" t="s">
        <v>20</v>
      </c>
      <c r="I853" s="182" t="s">
        <v>21</v>
      </c>
      <c r="J853" s="182" t="s">
        <v>22</v>
      </c>
      <c r="K853" s="182" t="s">
        <v>23</v>
      </c>
      <c r="L853" s="182" t="s">
        <v>19</v>
      </c>
      <c r="M853" s="182" t="s">
        <v>20</v>
      </c>
      <c r="N853" s="182" t="s">
        <v>21</v>
      </c>
      <c r="O853" s="182" t="s">
        <v>22</v>
      </c>
      <c r="P853" s="182" t="s">
        <v>23</v>
      </c>
      <c r="Q853" s="182" t="s">
        <v>19</v>
      </c>
      <c r="R853" s="182" t="s">
        <v>20</v>
      </c>
      <c r="S853" s="182" t="s">
        <v>21</v>
      </c>
      <c r="T853" s="182" t="s">
        <v>22</v>
      </c>
      <c r="U853" s="211" t="s">
        <v>23</v>
      </c>
    </row>
    <row r="854" spans="1:21" x14ac:dyDescent="0.25">
      <c r="A854" s="183" t="s">
        <v>320</v>
      </c>
      <c r="B854" s="182" t="s">
        <v>29</v>
      </c>
      <c r="C854" s="182" t="s">
        <v>28</v>
      </c>
      <c r="D854" s="182">
        <v>12</v>
      </c>
      <c r="E854" s="182">
        <f>unskilled</f>
        <v>935</v>
      </c>
      <c r="F854" s="184">
        <f>(D854*E854)</f>
        <v>11220</v>
      </c>
      <c r="G854" s="182" t="s">
        <v>297</v>
      </c>
      <c r="H854" s="216" t="s">
        <v>35</v>
      </c>
      <c r="I854" s="182">
        <v>22.7</v>
      </c>
      <c r="J854" s="182">
        <f>adopted_rate_bitumen</f>
        <v>108000</v>
      </c>
      <c r="K854" s="182">
        <f>(I854*J854)</f>
        <v>2451600</v>
      </c>
      <c r="L854" s="182" t="s">
        <v>318</v>
      </c>
      <c r="M854" s="182" t="s">
        <v>58</v>
      </c>
      <c r="N854" s="182">
        <v>6</v>
      </c>
      <c r="O854" s="182">
        <f>chip_spreader</f>
        <v>1488</v>
      </c>
      <c r="P854" s="184">
        <f>(N854*O854)</f>
        <v>8928</v>
      </c>
    </row>
    <row r="855" spans="1:21" x14ac:dyDescent="0.25">
      <c r="B855" s="182" t="s">
        <v>47</v>
      </c>
      <c r="C855" s="182" t="s">
        <v>28</v>
      </c>
      <c r="D855" s="182">
        <v>3</v>
      </c>
      <c r="E855" s="182">
        <f>skilled</f>
        <v>1245</v>
      </c>
      <c r="F855" s="184">
        <f>(D855*E855)</f>
        <v>3735</v>
      </c>
      <c r="G855" s="182" t="s">
        <v>321</v>
      </c>
      <c r="H855" s="216" t="s">
        <v>84</v>
      </c>
      <c r="I855" s="182">
        <v>405</v>
      </c>
      <c r="J855" s="182">
        <f>adopted_rate_aggregate_40_70_mm</f>
        <v>2469.6</v>
      </c>
      <c r="K855" s="182">
        <f>(I855*J855)</f>
        <v>1000188</v>
      </c>
      <c r="L855" s="182" t="s">
        <v>289</v>
      </c>
      <c r="M855" s="182" t="s">
        <v>58</v>
      </c>
      <c r="N855" s="182">
        <v>6</v>
      </c>
      <c r="O855" s="182">
        <f>bitumen_distributor</f>
        <v>2689</v>
      </c>
      <c r="P855" s="184">
        <f>(N855*O855)</f>
        <v>16134</v>
      </c>
    </row>
    <row r="856" spans="1:21" x14ac:dyDescent="0.25">
      <c r="G856" s="182" t="s">
        <v>322</v>
      </c>
      <c r="H856" s="216" t="s">
        <v>84</v>
      </c>
      <c r="I856" s="182">
        <v>81</v>
      </c>
      <c r="J856" s="182">
        <f>adopted_rate_aggregate_10_20_mm</f>
        <v>3351.6</v>
      </c>
      <c r="K856" s="182">
        <f>(I856*J856)</f>
        <v>271479.59999999998</v>
      </c>
      <c r="L856" s="182" t="s">
        <v>176</v>
      </c>
      <c r="M856" s="182" t="s">
        <v>58</v>
      </c>
      <c r="N856" s="182">
        <v>12</v>
      </c>
      <c r="O856" s="182">
        <f>water_tanker</f>
        <v>1618</v>
      </c>
      <c r="P856" s="184">
        <f>(N856*O856)</f>
        <v>19416</v>
      </c>
    </row>
    <row r="857" spans="1:21" x14ac:dyDescent="0.25">
      <c r="A857" s="537" t="s">
        <v>30</v>
      </c>
      <c r="B857" s="537"/>
      <c r="C857" s="537"/>
      <c r="D857" s="537"/>
      <c r="E857" s="537"/>
      <c r="F857" s="184">
        <f>SUM(F853:F856)</f>
        <v>14955</v>
      </c>
      <c r="G857" s="537" t="s">
        <v>31</v>
      </c>
      <c r="H857" s="537"/>
      <c r="I857" s="537"/>
      <c r="J857" s="537"/>
      <c r="K857" s="184">
        <f>SUM(K853:K856)</f>
        <v>3723267.6</v>
      </c>
      <c r="L857" s="537" t="s">
        <v>32</v>
      </c>
      <c r="M857" s="537"/>
      <c r="N857" s="537"/>
      <c r="O857" s="537"/>
      <c r="P857" s="184">
        <f>SUM(P853:P856)</f>
        <v>44478</v>
      </c>
      <c r="Q857" s="537" t="s">
        <v>38</v>
      </c>
      <c r="R857" s="537"/>
      <c r="S857" s="537"/>
      <c r="T857" s="537"/>
      <c r="U857" s="223">
        <f>SUM(U853:U856)</f>
        <v>0</v>
      </c>
    </row>
    <row r="858" spans="1:21" x14ac:dyDescent="0.25">
      <c r="A858" s="537" t="s">
        <v>33</v>
      </c>
      <c r="B858" s="537"/>
      <c r="C858" s="537"/>
      <c r="D858" s="537"/>
      <c r="E858" s="537"/>
      <c r="F858" s="184">
        <f>SUM(F857+K857+P857)</f>
        <v>3782700.6</v>
      </c>
      <c r="G858" s="537" t="s">
        <v>39</v>
      </c>
      <c r="H858" s="537"/>
      <c r="I858" s="537"/>
      <c r="J858" s="537"/>
      <c r="K858" s="184">
        <f>SUM(F857+K857+P857+U857)</f>
        <v>3782700.6</v>
      </c>
      <c r="L858" s="537" t="s">
        <v>40</v>
      </c>
      <c r="M858" s="537"/>
      <c r="N858" s="537"/>
      <c r="O858" s="537"/>
      <c r="P858" s="184">
        <f>SUM(K858*0.15)</f>
        <v>567405.09</v>
      </c>
      <c r="Q858" s="537" t="s">
        <v>41</v>
      </c>
      <c r="R858" s="537"/>
      <c r="S858" s="537"/>
      <c r="T858" s="537"/>
      <c r="U858" s="223">
        <f>SUM(K858+P858)</f>
        <v>4350105.6900000004</v>
      </c>
    </row>
    <row r="859" spans="1:21" x14ac:dyDescent="0.25">
      <c r="Q859" s="537" t="s">
        <v>42</v>
      </c>
      <c r="R859" s="537"/>
      <c r="S859" s="537"/>
      <c r="T859" s="537"/>
      <c r="U859" s="224">
        <f>ROUND((U858/4500),2)</f>
        <v>966.69</v>
      </c>
    </row>
    <row r="860" spans="1:21" x14ac:dyDescent="0.25">
      <c r="A860" s="544"/>
      <c r="B860" s="544"/>
      <c r="C860" s="544"/>
      <c r="D860" s="544"/>
      <c r="E860" s="544"/>
      <c r="F860" s="544"/>
      <c r="G860" s="544"/>
      <c r="H860" s="544"/>
      <c r="I860" s="544"/>
      <c r="J860" s="544"/>
      <c r="K860" s="544"/>
      <c r="L860" s="544"/>
      <c r="M860" s="544"/>
      <c r="N860" s="544"/>
      <c r="O860" s="544"/>
      <c r="P860" s="544"/>
      <c r="Q860" s="544"/>
      <c r="R860" s="544"/>
      <c r="S860" s="544"/>
      <c r="T860" s="544"/>
      <c r="U860" s="544"/>
    </row>
    <row r="861" spans="1:21" x14ac:dyDescent="0.25">
      <c r="A861" s="538" t="s">
        <v>12</v>
      </c>
      <c r="B861" s="538"/>
      <c r="C861" s="540" t="s">
        <v>324</v>
      </c>
      <c r="D861" s="540"/>
      <c r="E861" s="540"/>
      <c r="F861" s="540"/>
      <c r="G861" s="540"/>
      <c r="H861" s="540"/>
      <c r="I861" s="540"/>
      <c r="J861" s="540"/>
      <c r="K861" s="540"/>
      <c r="L861" s="540"/>
      <c r="M861" s="540"/>
      <c r="N861" s="540"/>
      <c r="O861" s="540"/>
      <c r="P861" s="540"/>
      <c r="Q861" s="540"/>
      <c r="R861" s="540"/>
      <c r="S861" s="540"/>
      <c r="T861" s="540"/>
      <c r="U861" s="541" t="s">
        <v>325</v>
      </c>
    </row>
    <row r="862" spans="1:21" x14ac:dyDescent="0.25">
      <c r="A862" s="538"/>
      <c r="B862" s="538"/>
      <c r="C862" s="540"/>
      <c r="D862" s="540"/>
      <c r="E862" s="540"/>
      <c r="F862" s="540"/>
      <c r="G862" s="540"/>
      <c r="H862" s="540"/>
      <c r="I862" s="540"/>
      <c r="J862" s="540"/>
      <c r="K862" s="540"/>
      <c r="L862" s="540"/>
      <c r="M862" s="540"/>
      <c r="N862" s="540"/>
      <c r="O862" s="540"/>
      <c r="P862" s="540"/>
      <c r="Q862" s="540"/>
      <c r="R862" s="540"/>
      <c r="S862" s="540"/>
      <c r="T862" s="540"/>
      <c r="U862" s="541"/>
    </row>
    <row r="863" spans="1:21" x14ac:dyDescent="0.25">
      <c r="A863" s="539" t="s">
        <v>323</v>
      </c>
      <c r="B863" s="539"/>
      <c r="C863" s="540"/>
      <c r="D863" s="540"/>
      <c r="E863" s="540"/>
      <c r="F863" s="540"/>
      <c r="G863" s="540"/>
      <c r="H863" s="540"/>
      <c r="I863" s="540"/>
      <c r="J863" s="540"/>
      <c r="K863" s="540"/>
      <c r="L863" s="540"/>
      <c r="M863" s="540"/>
      <c r="N863" s="540"/>
      <c r="O863" s="540"/>
      <c r="P863" s="540"/>
      <c r="Q863" s="540"/>
      <c r="R863" s="540"/>
      <c r="S863" s="540"/>
      <c r="T863" s="540"/>
      <c r="U863" s="541"/>
    </row>
    <row r="864" spans="1:21" x14ac:dyDescent="0.25">
      <c r="A864" s="542" t="s">
        <v>16</v>
      </c>
      <c r="B864" s="543" t="s">
        <v>18</v>
      </c>
      <c r="C864" s="543"/>
      <c r="D864" s="543"/>
      <c r="E864" s="543"/>
      <c r="F864" s="543"/>
      <c r="G864" s="543" t="s">
        <v>24</v>
      </c>
      <c r="H864" s="543"/>
      <c r="I864" s="543"/>
      <c r="J864" s="543"/>
      <c r="K864" s="543"/>
      <c r="L864" s="543" t="s">
        <v>25</v>
      </c>
      <c r="M864" s="543"/>
      <c r="N864" s="543"/>
      <c r="O864" s="543"/>
      <c r="P864" s="543"/>
      <c r="Q864" s="543" t="s">
        <v>26</v>
      </c>
      <c r="R864" s="543"/>
      <c r="S864" s="543"/>
      <c r="T864" s="543"/>
      <c r="U864" s="543"/>
    </row>
    <row r="865" spans="1:21" x14ac:dyDescent="0.25">
      <c r="A865" s="542"/>
      <c r="B865" s="182" t="s">
        <v>19</v>
      </c>
      <c r="C865" s="182" t="s">
        <v>20</v>
      </c>
      <c r="D865" s="182" t="s">
        <v>21</v>
      </c>
      <c r="E865" s="182" t="s">
        <v>22</v>
      </c>
      <c r="F865" s="182" t="s">
        <v>23</v>
      </c>
      <c r="G865" s="182" t="s">
        <v>19</v>
      </c>
      <c r="H865" s="216" t="s">
        <v>20</v>
      </c>
      <c r="I865" s="182" t="s">
        <v>21</v>
      </c>
      <c r="J865" s="182" t="s">
        <v>22</v>
      </c>
      <c r="K865" s="182" t="s">
        <v>23</v>
      </c>
      <c r="L865" s="182" t="s">
        <v>19</v>
      </c>
      <c r="M865" s="182" t="s">
        <v>20</v>
      </c>
      <c r="N865" s="182" t="s">
        <v>21</v>
      </c>
      <c r="O865" s="182" t="s">
        <v>22</v>
      </c>
      <c r="P865" s="182" t="s">
        <v>23</v>
      </c>
      <c r="Q865" s="182" t="s">
        <v>19</v>
      </c>
      <c r="R865" s="182" t="s">
        <v>20</v>
      </c>
      <c r="S865" s="182" t="s">
        <v>21</v>
      </c>
      <c r="T865" s="182" t="s">
        <v>22</v>
      </c>
      <c r="U865" s="211" t="s">
        <v>23</v>
      </c>
    </row>
    <row r="866" spans="1:21" x14ac:dyDescent="0.25">
      <c r="A866" s="183" t="s">
        <v>326</v>
      </c>
      <c r="B866" s="182" t="s">
        <v>29</v>
      </c>
      <c r="C866" s="182" t="s">
        <v>28</v>
      </c>
      <c r="D866" s="182">
        <v>16</v>
      </c>
      <c r="E866" s="182">
        <f>unskilled</f>
        <v>935</v>
      </c>
      <c r="F866" s="184">
        <f>(D866*E866)</f>
        <v>14960</v>
      </c>
      <c r="G866" s="182" t="s">
        <v>297</v>
      </c>
      <c r="H866" s="216" t="s">
        <v>35</v>
      </c>
      <c r="I866" s="182">
        <v>9.56</v>
      </c>
      <c r="J866" s="182">
        <f>adopted_rate_bitumen</f>
        <v>108000</v>
      </c>
      <c r="K866" s="182">
        <f>(I866*J866)</f>
        <v>1032480</v>
      </c>
      <c r="L866" s="182" t="s">
        <v>307</v>
      </c>
      <c r="M866" s="182" t="s">
        <v>58</v>
      </c>
      <c r="N866" s="182">
        <v>6</v>
      </c>
      <c r="O866" s="182">
        <f>hot_mix_plant</f>
        <v>28602</v>
      </c>
      <c r="P866" s="184">
        <f t="shared" ref="P866:P872" si="2">(N866*O866)</f>
        <v>171612</v>
      </c>
    </row>
    <row r="867" spans="1:21" x14ac:dyDescent="0.25">
      <c r="B867" s="182" t="s">
        <v>47</v>
      </c>
      <c r="C867" s="182" t="s">
        <v>28</v>
      </c>
      <c r="D867" s="182">
        <v>5</v>
      </c>
      <c r="E867" s="182">
        <f>skilled</f>
        <v>1245</v>
      </c>
      <c r="F867" s="184">
        <f>(D867*E867)</f>
        <v>6225</v>
      </c>
      <c r="G867" s="182" t="s">
        <v>327</v>
      </c>
      <c r="H867" s="216"/>
      <c r="L867" s="182" t="s">
        <v>258</v>
      </c>
      <c r="M867" s="182" t="s">
        <v>58</v>
      </c>
      <c r="N867" s="182">
        <v>6</v>
      </c>
      <c r="O867" s="182">
        <f>paver_finisher</f>
        <v>2374</v>
      </c>
      <c r="P867" s="184">
        <f t="shared" si="2"/>
        <v>14244</v>
      </c>
    </row>
    <row r="868" spans="1:21" x14ac:dyDescent="0.25">
      <c r="G868" s="182" t="s">
        <v>328</v>
      </c>
      <c r="H868" s="216"/>
      <c r="L868" s="182" t="s">
        <v>76</v>
      </c>
      <c r="M868" s="182" t="s">
        <v>58</v>
      </c>
      <c r="N868" s="182">
        <v>6</v>
      </c>
      <c r="O868" s="182">
        <f>generator</f>
        <v>855</v>
      </c>
      <c r="P868" s="184">
        <f t="shared" si="2"/>
        <v>5130</v>
      </c>
    </row>
    <row r="869" spans="1:21" x14ac:dyDescent="0.25">
      <c r="G869" s="182" t="s">
        <v>303</v>
      </c>
      <c r="H869" s="216" t="s">
        <v>84</v>
      </c>
      <c r="I869" s="182">
        <v>31.6</v>
      </c>
      <c r="J869" s="182">
        <f>adopted_rate_aggregate_20_40_mm</f>
        <v>3175.2000000000003</v>
      </c>
      <c r="K869" s="182">
        <f>(I869*J869)</f>
        <v>100336.32000000001</v>
      </c>
      <c r="L869" s="182" t="s">
        <v>308</v>
      </c>
      <c r="M869" s="182" t="s">
        <v>58</v>
      </c>
      <c r="N869" s="182">
        <v>6</v>
      </c>
      <c r="O869" s="182">
        <f>pneumatic_roller</f>
        <v>2121</v>
      </c>
      <c r="P869" s="184">
        <f t="shared" si="2"/>
        <v>12726</v>
      </c>
    </row>
    <row r="870" spans="1:21" x14ac:dyDescent="0.25">
      <c r="G870" s="182" t="s">
        <v>304</v>
      </c>
      <c r="H870" s="216" t="s">
        <v>84</v>
      </c>
      <c r="I870" s="182">
        <v>18.670000000000002</v>
      </c>
      <c r="J870" s="182">
        <f>adopted_rate_aggregate_10_20_mm</f>
        <v>3351.6</v>
      </c>
      <c r="K870" s="182">
        <f>(I870*J870)</f>
        <v>62574.372000000003</v>
      </c>
      <c r="L870" s="182" t="s">
        <v>176</v>
      </c>
      <c r="M870" s="182" t="s">
        <v>58</v>
      </c>
      <c r="N870" s="182">
        <v>6</v>
      </c>
      <c r="O870" s="182">
        <f>water_tanker</f>
        <v>1618</v>
      </c>
      <c r="P870" s="184">
        <f t="shared" si="2"/>
        <v>9708</v>
      </c>
    </row>
    <row r="871" spans="1:21" ht="31.5" x14ac:dyDescent="0.25">
      <c r="G871" s="182" t="s">
        <v>329</v>
      </c>
      <c r="H871" s="216" t="s">
        <v>84</v>
      </c>
      <c r="I871" s="182">
        <v>27.29</v>
      </c>
      <c r="J871" s="182">
        <f>adopted_rate_aggregate_10_mm</f>
        <v>3175.2000000000003</v>
      </c>
      <c r="K871" s="182">
        <f>(I871*J871)</f>
        <v>86651.207999999999</v>
      </c>
      <c r="L871" s="182" t="s">
        <v>332</v>
      </c>
      <c r="M871" s="182" t="s">
        <v>58</v>
      </c>
      <c r="N871" s="182">
        <v>6</v>
      </c>
      <c r="O871" s="182">
        <f>smooth_wheel_roller</f>
        <v>1089</v>
      </c>
      <c r="P871" s="184">
        <f t="shared" si="2"/>
        <v>6534</v>
      </c>
    </row>
    <row r="872" spans="1:21" x14ac:dyDescent="0.25">
      <c r="G872" s="182" t="s">
        <v>330</v>
      </c>
      <c r="H872" s="216" t="s">
        <v>84</v>
      </c>
      <c r="I872" s="182">
        <v>63.2</v>
      </c>
      <c r="J872" s="182">
        <f>adopted_rate_sand</f>
        <v>3175.2000000000003</v>
      </c>
      <c r="K872" s="182">
        <f>(I872*J872)</f>
        <v>200672.64000000001</v>
      </c>
      <c r="L872" s="182" t="s">
        <v>288</v>
      </c>
      <c r="M872" s="182" t="s">
        <v>58</v>
      </c>
      <c r="N872" s="182">
        <v>0</v>
      </c>
      <c r="O872" s="182">
        <f>mechanical_broom</f>
        <v>1393</v>
      </c>
      <c r="P872" s="184">
        <f t="shared" si="2"/>
        <v>0</v>
      </c>
    </row>
    <row r="873" spans="1:21" x14ac:dyDescent="0.25">
      <c r="G873" s="187" t="s">
        <v>331</v>
      </c>
      <c r="H873" s="216" t="s">
        <v>35</v>
      </c>
      <c r="I873" s="182">
        <v>4.3099999999999996</v>
      </c>
      <c r="J873" s="182">
        <f>adopted_rate_stone_dust</f>
        <v>1234.8</v>
      </c>
      <c r="K873" s="182">
        <f>(I873*J873)</f>
        <v>5321.9879999999994</v>
      </c>
    </row>
    <row r="874" spans="1:21" x14ac:dyDescent="0.25">
      <c r="A874" s="537" t="s">
        <v>30</v>
      </c>
      <c r="B874" s="537"/>
      <c r="C874" s="537"/>
      <c r="D874" s="537"/>
      <c r="E874" s="537"/>
      <c r="F874" s="184">
        <f>SUM(F865:F873)</f>
        <v>21185</v>
      </c>
      <c r="G874" s="537" t="s">
        <v>31</v>
      </c>
      <c r="H874" s="537"/>
      <c r="I874" s="537"/>
      <c r="J874" s="537"/>
      <c r="K874" s="184">
        <f>SUM(K865:K873)</f>
        <v>1488036.5279999999</v>
      </c>
      <c r="L874" s="537" t="s">
        <v>32</v>
      </c>
      <c r="M874" s="537"/>
      <c r="N874" s="537"/>
      <c r="O874" s="537"/>
      <c r="P874" s="184">
        <f>SUM(P865:P873)</f>
        <v>219954</v>
      </c>
      <c r="Q874" s="537" t="s">
        <v>38</v>
      </c>
      <c r="R874" s="537"/>
      <c r="S874" s="537"/>
      <c r="T874" s="537"/>
      <c r="U874" s="223">
        <f>SUM(U865:U873)</f>
        <v>0</v>
      </c>
    </row>
    <row r="875" spans="1:21" x14ac:dyDescent="0.25">
      <c r="A875" s="537" t="s">
        <v>33</v>
      </c>
      <c r="B875" s="537"/>
      <c r="C875" s="537"/>
      <c r="D875" s="537"/>
      <c r="E875" s="537"/>
      <c r="F875" s="184">
        <f>SUM(F874+K874+P874)</f>
        <v>1729175.5279999999</v>
      </c>
      <c r="G875" s="537" t="s">
        <v>39</v>
      </c>
      <c r="H875" s="537"/>
      <c r="I875" s="537"/>
      <c r="J875" s="537"/>
      <c r="K875" s="184">
        <f>SUM(F874+K874+P874+U874)</f>
        <v>1729175.5279999999</v>
      </c>
      <c r="L875" s="537" t="s">
        <v>40</v>
      </c>
      <c r="M875" s="537"/>
      <c r="N875" s="537"/>
      <c r="O875" s="537"/>
      <c r="P875" s="184">
        <f>SUM(K875*0.15)</f>
        <v>259376.32919999998</v>
      </c>
      <c r="Q875" s="537" t="s">
        <v>41</v>
      </c>
      <c r="R875" s="537"/>
      <c r="S875" s="537"/>
      <c r="T875" s="537"/>
      <c r="U875" s="223">
        <f>SUM(K875+P875)</f>
        <v>1988551.8572</v>
      </c>
    </row>
    <row r="876" spans="1:21" x14ac:dyDescent="0.25">
      <c r="Q876" s="537" t="s">
        <v>42</v>
      </c>
      <c r="R876" s="537"/>
      <c r="S876" s="537"/>
      <c r="T876" s="537"/>
      <c r="U876" s="224">
        <f>ROUND((U875/97.5),2)</f>
        <v>20395.400000000001</v>
      </c>
    </row>
    <row r="877" spans="1:21" x14ac:dyDescent="0.25">
      <c r="A877" s="544"/>
      <c r="B877" s="544"/>
      <c r="C877" s="544"/>
      <c r="D877" s="544"/>
      <c r="E877" s="544"/>
      <c r="F877" s="544"/>
      <c r="G877" s="544"/>
      <c r="H877" s="544"/>
      <c r="I877" s="544"/>
      <c r="J877" s="544"/>
      <c r="K877" s="544"/>
      <c r="L877" s="544"/>
      <c r="M877" s="544"/>
      <c r="N877" s="544"/>
      <c r="O877" s="544"/>
      <c r="P877" s="544"/>
      <c r="Q877" s="544"/>
      <c r="R877" s="544"/>
      <c r="S877" s="544"/>
      <c r="T877" s="544"/>
      <c r="U877" s="544"/>
    </row>
    <row r="878" spans="1:21" x14ac:dyDescent="0.25">
      <c r="A878" s="538" t="s">
        <v>12</v>
      </c>
      <c r="B878" s="538"/>
      <c r="C878" s="540" t="s">
        <v>333</v>
      </c>
      <c r="D878" s="540"/>
      <c r="E878" s="540"/>
      <c r="F878" s="540"/>
      <c r="G878" s="540"/>
      <c r="H878" s="540"/>
      <c r="I878" s="540"/>
      <c r="J878" s="540"/>
      <c r="K878" s="540"/>
      <c r="L878" s="540"/>
      <c r="M878" s="540"/>
      <c r="N878" s="540"/>
      <c r="O878" s="540"/>
      <c r="P878" s="540"/>
      <c r="Q878" s="540"/>
      <c r="R878" s="540"/>
      <c r="S878" s="540"/>
      <c r="T878" s="540"/>
      <c r="U878" s="541" t="s">
        <v>334</v>
      </c>
    </row>
    <row r="879" spans="1:21" x14ac:dyDescent="0.25">
      <c r="A879" s="538"/>
      <c r="B879" s="538"/>
      <c r="C879" s="540"/>
      <c r="D879" s="540"/>
      <c r="E879" s="540"/>
      <c r="F879" s="540"/>
      <c r="G879" s="540"/>
      <c r="H879" s="540"/>
      <c r="I879" s="540"/>
      <c r="J879" s="540"/>
      <c r="K879" s="540"/>
      <c r="L879" s="540"/>
      <c r="M879" s="540"/>
      <c r="N879" s="540"/>
      <c r="O879" s="540"/>
      <c r="P879" s="540"/>
      <c r="Q879" s="540"/>
      <c r="R879" s="540"/>
      <c r="S879" s="540"/>
      <c r="T879" s="540"/>
      <c r="U879" s="541"/>
    </row>
    <row r="880" spans="1:21" x14ac:dyDescent="0.25">
      <c r="A880" s="539" t="s">
        <v>323</v>
      </c>
      <c r="B880" s="539"/>
      <c r="C880" s="540"/>
      <c r="D880" s="540"/>
      <c r="E880" s="540"/>
      <c r="F880" s="540"/>
      <c r="G880" s="540"/>
      <c r="H880" s="540"/>
      <c r="I880" s="540"/>
      <c r="J880" s="540"/>
      <c r="K880" s="540"/>
      <c r="L880" s="540"/>
      <c r="M880" s="540"/>
      <c r="N880" s="540"/>
      <c r="O880" s="540"/>
      <c r="P880" s="540"/>
      <c r="Q880" s="540"/>
      <c r="R880" s="540"/>
      <c r="S880" s="540"/>
      <c r="T880" s="540"/>
      <c r="U880" s="541"/>
    </row>
    <row r="881" spans="1:21" x14ac:dyDescent="0.25">
      <c r="A881" s="542" t="s">
        <v>16</v>
      </c>
      <c r="B881" s="543" t="s">
        <v>18</v>
      </c>
      <c r="C881" s="543"/>
      <c r="D881" s="543"/>
      <c r="E881" s="543"/>
      <c r="F881" s="543"/>
      <c r="G881" s="543" t="s">
        <v>24</v>
      </c>
      <c r="H881" s="543"/>
      <c r="I881" s="543"/>
      <c r="J881" s="543"/>
      <c r="K881" s="543"/>
      <c r="L881" s="543" t="s">
        <v>25</v>
      </c>
      <c r="M881" s="543"/>
      <c r="N881" s="543"/>
      <c r="O881" s="543"/>
      <c r="P881" s="543"/>
      <c r="Q881" s="543" t="s">
        <v>26</v>
      </c>
      <c r="R881" s="543"/>
      <c r="S881" s="543"/>
      <c r="T881" s="543"/>
      <c r="U881" s="543"/>
    </row>
    <row r="882" spans="1:21" x14ac:dyDescent="0.25">
      <c r="A882" s="542"/>
      <c r="B882" s="182" t="s">
        <v>19</v>
      </c>
      <c r="C882" s="182" t="s">
        <v>20</v>
      </c>
      <c r="D882" s="182" t="s">
        <v>21</v>
      </c>
      <c r="E882" s="182" t="s">
        <v>22</v>
      </c>
      <c r="F882" s="182" t="s">
        <v>23</v>
      </c>
      <c r="G882" s="182" t="s">
        <v>19</v>
      </c>
      <c r="H882" s="216" t="s">
        <v>20</v>
      </c>
      <c r="I882" s="182" t="s">
        <v>21</v>
      </c>
      <c r="J882" s="182" t="s">
        <v>22</v>
      </c>
      <c r="K882" s="182" t="s">
        <v>23</v>
      </c>
      <c r="L882" s="182" t="s">
        <v>19</v>
      </c>
      <c r="M882" s="182" t="s">
        <v>20</v>
      </c>
      <c r="N882" s="182" t="s">
        <v>21</v>
      </c>
      <c r="O882" s="182" t="s">
        <v>22</v>
      </c>
      <c r="P882" s="182" t="s">
        <v>23</v>
      </c>
      <c r="Q882" s="182" t="s">
        <v>19</v>
      </c>
      <c r="R882" s="182" t="s">
        <v>20</v>
      </c>
      <c r="S882" s="182" t="s">
        <v>21</v>
      </c>
      <c r="T882" s="182" t="s">
        <v>22</v>
      </c>
      <c r="U882" s="211" t="s">
        <v>23</v>
      </c>
    </row>
    <row r="883" spans="1:21" x14ac:dyDescent="0.25">
      <c r="A883" s="183" t="s">
        <v>335</v>
      </c>
      <c r="B883" s="182" t="s">
        <v>29</v>
      </c>
      <c r="C883" s="182" t="s">
        <v>28</v>
      </c>
      <c r="D883" s="182">
        <v>16</v>
      </c>
      <c r="E883" s="182">
        <f>unskilled</f>
        <v>935</v>
      </c>
      <c r="F883" s="184">
        <f>(D883*E883)</f>
        <v>14960</v>
      </c>
      <c r="G883" s="182" t="s">
        <v>297</v>
      </c>
      <c r="H883" s="216" t="s">
        <v>35</v>
      </c>
      <c r="I883" s="182">
        <v>9.56</v>
      </c>
      <c r="J883" s="182">
        <f>adopted_rate_bitumen</f>
        <v>108000</v>
      </c>
      <c r="K883" s="182">
        <f>(I883*J883)</f>
        <v>1032480</v>
      </c>
      <c r="L883" s="182" t="s">
        <v>307</v>
      </c>
      <c r="M883" s="182" t="s">
        <v>58</v>
      </c>
      <c r="N883" s="182">
        <v>6</v>
      </c>
      <c r="O883" s="182">
        <f>hot_mix_plant</f>
        <v>28602</v>
      </c>
      <c r="P883" s="184">
        <f t="shared" ref="P883:P889" si="3">(N883*O883)</f>
        <v>171612</v>
      </c>
    </row>
    <row r="884" spans="1:21" x14ac:dyDescent="0.25">
      <c r="B884" s="182" t="s">
        <v>47</v>
      </c>
      <c r="C884" s="182" t="s">
        <v>28</v>
      </c>
      <c r="D884" s="182">
        <v>5</v>
      </c>
      <c r="E884" s="182">
        <f>skilled</f>
        <v>1245</v>
      </c>
      <c r="F884" s="184">
        <f>(D884*E884)</f>
        <v>6225</v>
      </c>
      <c r="G884" s="182" t="s">
        <v>327</v>
      </c>
      <c r="H884" s="216"/>
      <c r="I884" s="182"/>
      <c r="L884" s="182" t="s">
        <v>258</v>
      </c>
      <c r="M884" s="182" t="s">
        <v>58</v>
      </c>
      <c r="N884" s="182">
        <v>6</v>
      </c>
      <c r="O884" s="182">
        <f>paver_finisher</f>
        <v>2374</v>
      </c>
      <c r="P884" s="184">
        <f t="shared" si="3"/>
        <v>14244</v>
      </c>
    </row>
    <row r="885" spans="1:21" x14ac:dyDescent="0.25">
      <c r="G885" s="182" t="s">
        <v>336</v>
      </c>
      <c r="H885" s="216"/>
      <c r="I885" s="182"/>
      <c r="L885" s="182" t="s">
        <v>76</v>
      </c>
      <c r="M885" s="182" t="s">
        <v>58</v>
      </c>
      <c r="N885" s="182">
        <v>6</v>
      </c>
      <c r="O885" s="182">
        <f>generator</f>
        <v>855</v>
      </c>
      <c r="P885" s="184">
        <f t="shared" si="3"/>
        <v>5130</v>
      </c>
    </row>
    <row r="886" spans="1:21" x14ac:dyDescent="0.25">
      <c r="G886" s="182" t="s">
        <v>304</v>
      </c>
      <c r="H886" s="216" t="s">
        <v>84</v>
      </c>
      <c r="I886" s="182">
        <v>43.08</v>
      </c>
      <c r="J886" s="182">
        <f>adopted_rate_aggregate_10_20_mm</f>
        <v>3351.6</v>
      </c>
      <c r="K886" s="182">
        <f>(I886*J886)</f>
        <v>144386.92799999999</v>
      </c>
      <c r="L886" s="182" t="s">
        <v>308</v>
      </c>
      <c r="M886" s="182" t="s">
        <v>58</v>
      </c>
      <c r="N886" s="182">
        <v>6</v>
      </c>
      <c r="O886" s="182">
        <f>pneumatic_roller</f>
        <v>2121</v>
      </c>
      <c r="P886" s="184">
        <f t="shared" si="3"/>
        <v>12726</v>
      </c>
    </row>
    <row r="887" spans="1:21" x14ac:dyDescent="0.25">
      <c r="G887" s="182" t="s">
        <v>305</v>
      </c>
      <c r="H887" s="216" t="s">
        <v>84</v>
      </c>
      <c r="I887" s="182">
        <v>40.22</v>
      </c>
      <c r="J887" s="182">
        <f>District_Rate!L12</f>
        <v>3175.2000000000003</v>
      </c>
      <c r="K887" s="182">
        <f>(I887*J887)</f>
        <v>127706.54400000001</v>
      </c>
      <c r="L887" s="182" t="s">
        <v>176</v>
      </c>
      <c r="M887" s="182" t="s">
        <v>58</v>
      </c>
      <c r="N887" s="182">
        <v>6</v>
      </c>
      <c r="O887" s="182">
        <f>water_tanker</f>
        <v>1618</v>
      </c>
      <c r="P887" s="184">
        <f t="shared" si="3"/>
        <v>9708</v>
      </c>
    </row>
    <row r="888" spans="1:21" ht="31.5" x14ac:dyDescent="0.25">
      <c r="G888" s="182" t="s">
        <v>306</v>
      </c>
      <c r="H888" s="216" t="s">
        <v>84</v>
      </c>
      <c r="I888" s="182">
        <v>57.45</v>
      </c>
      <c r="J888" s="182">
        <f>adopted_rate_sand</f>
        <v>3175.2000000000003</v>
      </c>
      <c r="K888" s="182">
        <f>(I888*J888)</f>
        <v>182415.24000000002</v>
      </c>
      <c r="L888" s="182" t="s">
        <v>332</v>
      </c>
      <c r="M888" s="182" t="s">
        <v>58</v>
      </c>
      <c r="N888" s="182">
        <v>6</v>
      </c>
      <c r="O888" s="182">
        <f>smooth_wheel_roller</f>
        <v>1089</v>
      </c>
      <c r="P888" s="184">
        <f t="shared" si="3"/>
        <v>6534</v>
      </c>
    </row>
    <row r="889" spans="1:21" x14ac:dyDescent="0.25">
      <c r="G889" s="187" t="s">
        <v>331</v>
      </c>
      <c r="H889" s="216" t="s">
        <v>35</v>
      </c>
      <c r="I889" s="182">
        <v>4.3099999999999996</v>
      </c>
      <c r="J889" s="182">
        <f>adopted_rate_stone_dust</f>
        <v>1234.8</v>
      </c>
      <c r="K889" s="182">
        <f>(I889*J889)</f>
        <v>5321.9879999999994</v>
      </c>
      <c r="L889" s="182" t="s">
        <v>288</v>
      </c>
      <c r="M889" s="182" t="s">
        <v>58</v>
      </c>
      <c r="N889" s="182">
        <v>0</v>
      </c>
      <c r="O889" s="182">
        <f>mechanical_broom</f>
        <v>1393</v>
      </c>
      <c r="P889" s="184">
        <f t="shared" si="3"/>
        <v>0</v>
      </c>
    </row>
    <row r="890" spans="1:21" x14ac:dyDescent="0.25">
      <c r="G890" s="182"/>
      <c r="H890" s="216"/>
      <c r="I890" s="182">
        <v>0</v>
      </c>
    </row>
    <row r="891" spans="1:21" x14ac:dyDescent="0.25">
      <c r="A891" s="537" t="s">
        <v>30</v>
      </c>
      <c r="B891" s="537"/>
      <c r="C891" s="537"/>
      <c r="D891" s="537"/>
      <c r="E891" s="537"/>
      <c r="F891" s="184">
        <f>SUM(F882:F890)</f>
        <v>21185</v>
      </c>
      <c r="G891" s="537" t="s">
        <v>31</v>
      </c>
      <c r="H891" s="537"/>
      <c r="I891" s="537"/>
      <c r="J891" s="537"/>
      <c r="K891" s="184">
        <f>SUM(K882:K890)</f>
        <v>1492310.7</v>
      </c>
      <c r="L891" s="537" t="s">
        <v>32</v>
      </c>
      <c r="M891" s="537"/>
      <c r="N891" s="537"/>
      <c r="O891" s="537"/>
      <c r="P891" s="184">
        <f>SUM(P882:P890)</f>
        <v>219954</v>
      </c>
      <c r="Q891" s="537" t="s">
        <v>38</v>
      </c>
      <c r="R891" s="537"/>
      <c r="S891" s="537"/>
      <c r="T891" s="537"/>
      <c r="U891" s="223">
        <f>SUM(U882:U890)</f>
        <v>0</v>
      </c>
    </row>
    <row r="892" spans="1:21" x14ac:dyDescent="0.25">
      <c r="A892" s="537" t="s">
        <v>33</v>
      </c>
      <c r="B892" s="537"/>
      <c r="C892" s="537"/>
      <c r="D892" s="537"/>
      <c r="E892" s="537"/>
      <c r="F892" s="184">
        <f>SUM(F891+K891+P891)</f>
        <v>1733449.7</v>
      </c>
      <c r="G892" s="537" t="s">
        <v>39</v>
      </c>
      <c r="H892" s="537"/>
      <c r="I892" s="537"/>
      <c r="J892" s="537"/>
      <c r="K892" s="184">
        <f>SUM(F891+K891+P891+U891)</f>
        <v>1733449.7</v>
      </c>
      <c r="L892" s="537" t="s">
        <v>40</v>
      </c>
      <c r="M892" s="537"/>
      <c r="N892" s="537"/>
      <c r="O892" s="537"/>
      <c r="P892" s="184">
        <f>SUM(K892*0.15)</f>
        <v>260017.45499999999</v>
      </c>
      <c r="Q892" s="537" t="s">
        <v>41</v>
      </c>
      <c r="R892" s="537"/>
      <c r="S892" s="537"/>
      <c r="T892" s="537"/>
      <c r="U892" s="223">
        <f>SUM(K892+P892)</f>
        <v>1993467.155</v>
      </c>
    </row>
    <row r="893" spans="1:21" x14ac:dyDescent="0.25">
      <c r="Q893" s="537" t="s">
        <v>42</v>
      </c>
      <c r="R893" s="537"/>
      <c r="S893" s="537"/>
      <c r="T893" s="537"/>
      <c r="U893" s="224">
        <f>ROUND((U892/97.5),2)</f>
        <v>20445.82</v>
      </c>
    </row>
    <row r="894" spans="1:21" x14ac:dyDescent="0.25">
      <c r="A894" s="544"/>
      <c r="B894" s="544"/>
      <c r="C894" s="544"/>
      <c r="D894" s="544"/>
      <c r="E894" s="544"/>
      <c r="F894" s="544"/>
      <c r="G894" s="544"/>
      <c r="H894" s="544"/>
      <c r="I894" s="544"/>
      <c r="J894" s="544"/>
      <c r="K894" s="544"/>
      <c r="L894" s="544"/>
      <c r="M894" s="544"/>
      <c r="N894" s="544"/>
      <c r="O894" s="544"/>
      <c r="P894" s="544"/>
      <c r="Q894" s="544"/>
      <c r="R894" s="544"/>
      <c r="S894" s="544"/>
      <c r="T894" s="544"/>
      <c r="U894" s="544"/>
    </row>
    <row r="895" spans="1:21" x14ac:dyDescent="0.25">
      <c r="A895" s="538" t="s">
        <v>12</v>
      </c>
      <c r="B895" s="538"/>
      <c r="C895" s="540" t="s">
        <v>338</v>
      </c>
      <c r="D895" s="540"/>
      <c r="E895" s="540"/>
      <c r="F895" s="540"/>
      <c r="G895" s="540"/>
      <c r="H895" s="540"/>
      <c r="I895" s="540"/>
      <c r="J895" s="540"/>
      <c r="K895" s="540"/>
      <c r="L895" s="540"/>
      <c r="M895" s="540"/>
      <c r="N895" s="540"/>
      <c r="O895" s="540"/>
      <c r="P895" s="540"/>
      <c r="Q895" s="540"/>
      <c r="R895" s="540"/>
      <c r="S895" s="540"/>
      <c r="T895" s="540"/>
      <c r="U895" s="541" t="s">
        <v>339</v>
      </c>
    </row>
    <row r="896" spans="1:21" x14ac:dyDescent="0.25">
      <c r="A896" s="538"/>
      <c r="B896" s="538"/>
      <c r="C896" s="540"/>
      <c r="D896" s="540"/>
      <c r="E896" s="540"/>
      <c r="F896" s="540"/>
      <c r="G896" s="540"/>
      <c r="H896" s="540"/>
      <c r="I896" s="540"/>
      <c r="J896" s="540"/>
      <c r="K896" s="540"/>
      <c r="L896" s="540"/>
      <c r="M896" s="540"/>
      <c r="N896" s="540"/>
      <c r="O896" s="540"/>
      <c r="P896" s="540"/>
      <c r="Q896" s="540"/>
      <c r="R896" s="540"/>
      <c r="S896" s="540"/>
      <c r="T896" s="540"/>
      <c r="U896" s="541"/>
    </row>
    <row r="897" spans="1:21" x14ac:dyDescent="0.25">
      <c r="A897" s="539" t="s">
        <v>337</v>
      </c>
      <c r="B897" s="539"/>
      <c r="C897" s="540"/>
      <c r="D897" s="540"/>
      <c r="E897" s="540"/>
      <c r="F897" s="540"/>
      <c r="G897" s="540"/>
      <c r="H897" s="540"/>
      <c r="I897" s="540"/>
      <c r="J897" s="540"/>
      <c r="K897" s="540"/>
      <c r="L897" s="540"/>
      <c r="M897" s="540"/>
      <c r="N897" s="540"/>
      <c r="O897" s="540"/>
      <c r="P897" s="540"/>
      <c r="Q897" s="540"/>
      <c r="R897" s="540"/>
      <c r="S897" s="540"/>
      <c r="T897" s="540"/>
      <c r="U897" s="541"/>
    </row>
    <row r="898" spans="1:21" x14ac:dyDescent="0.25">
      <c r="A898" s="542" t="s">
        <v>16</v>
      </c>
      <c r="B898" s="543" t="s">
        <v>18</v>
      </c>
      <c r="C898" s="543"/>
      <c r="D898" s="543"/>
      <c r="E898" s="543"/>
      <c r="F898" s="543"/>
      <c r="G898" s="543" t="s">
        <v>24</v>
      </c>
      <c r="H898" s="543"/>
      <c r="I898" s="543"/>
      <c r="J898" s="543"/>
      <c r="K898" s="543"/>
      <c r="L898" s="543" t="s">
        <v>25</v>
      </c>
      <c r="M898" s="543"/>
      <c r="N898" s="543"/>
      <c r="O898" s="543"/>
      <c r="P898" s="543"/>
      <c r="Q898" s="543" t="s">
        <v>26</v>
      </c>
      <c r="R898" s="543"/>
      <c r="S898" s="543"/>
      <c r="T898" s="543"/>
      <c r="U898" s="543"/>
    </row>
    <row r="899" spans="1:21" x14ac:dyDescent="0.25">
      <c r="A899" s="542"/>
      <c r="B899" s="182" t="s">
        <v>19</v>
      </c>
      <c r="C899" s="182" t="s">
        <v>20</v>
      </c>
      <c r="D899" s="182" t="s">
        <v>21</v>
      </c>
      <c r="E899" s="182" t="s">
        <v>22</v>
      </c>
      <c r="F899" s="182" t="s">
        <v>23</v>
      </c>
      <c r="G899" s="182" t="s">
        <v>19</v>
      </c>
      <c r="H899" s="216" t="s">
        <v>20</v>
      </c>
      <c r="I899" s="182" t="s">
        <v>21</v>
      </c>
      <c r="J899" s="182" t="s">
        <v>22</v>
      </c>
      <c r="K899" s="182" t="s">
        <v>23</v>
      </c>
      <c r="L899" s="182" t="s">
        <v>19</v>
      </c>
      <c r="M899" s="182" t="s">
        <v>20</v>
      </c>
      <c r="N899" s="182" t="s">
        <v>21</v>
      </c>
      <c r="O899" s="182" t="s">
        <v>22</v>
      </c>
      <c r="P899" s="182" t="s">
        <v>23</v>
      </c>
      <c r="Q899" s="182" t="s">
        <v>19</v>
      </c>
      <c r="R899" s="182" t="s">
        <v>20</v>
      </c>
      <c r="S899" s="182" t="s">
        <v>21</v>
      </c>
      <c r="T899" s="182" t="s">
        <v>22</v>
      </c>
      <c r="U899" s="211" t="s">
        <v>23</v>
      </c>
    </row>
    <row r="900" spans="1:21" x14ac:dyDescent="0.25">
      <c r="A900" s="183" t="s">
        <v>340</v>
      </c>
      <c r="B900" s="182" t="s">
        <v>29</v>
      </c>
      <c r="C900" s="182" t="s">
        <v>28</v>
      </c>
      <c r="D900" s="182">
        <v>15</v>
      </c>
      <c r="E900" s="182">
        <f>unskilled</f>
        <v>935</v>
      </c>
      <c r="F900" s="184">
        <f>(D900*E900)</f>
        <v>14025</v>
      </c>
      <c r="G900" s="182" t="s">
        <v>297</v>
      </c>
      <c r="H900" s="216" t="s">
        <v>35</v>
      </c>
      <c r="I900" s="182">
        <v>12.94</v>
      </c>
      <c r="J900" s="182">
        <f>adopted_rate_bitumen</f>
        <v>108000</v>
      </c>
      <c r="K900" s="182">
        <f>(I900*J900)</f>
        <v>1397520</v>
      </c>
      <c r="L900" s="182" t="s">
        <v>307</v>
      </c>
      <c r="M900" s="182" t="s">
        <v>58</v>
      </c>
      <c r="N900" s="182">
        <v>6</v>
      </c>
      <c r="O900" s="182">
        <f>hot_mix_plant</f>
        <v>28602</v>
      </c>
      <c r="P900" s="184">
        <f t="shared" ref="P900:P905" si="4">(N900*O900)</f>
        <v>171612</v>
      </c>
    </row>
    <row r="901" spans="1:21" x14ac:dyDescent="0.25">
      <c r="B901" s="182" t="s">
        <v>47</v>
      </c>
      <c r="C901" s="182" t="s">
        <v>28</v>
      </c>
      <c r="D901" s="182">
        <v>5</v>
      </c>
      <c r="E901" s="182">
        <f>skilled</f>
        <v>1245</v>
      </c>
      <c r="F901" s="184">
        <f>(D901*E901)</f>
        <v>6225</v>
      </c>
      <c r="G901" s="182" t="s">
        <v>327</v>
      </c>
      <c r="H901" s="216"/>
      <c r="L901" s="182" t="s">
        <v>258</v>
      </c>
      <c r="M901" s="182" t="s">
        <v>58</v>
      </c>
      <c r="N901" s="182">
        <v>6</v>
      </c>
      <c r="O901" s="182">
        <f>paver_finisher</f>
        <v>2374</v>
      </c>
      <c r="P901" s="184">
        <f t="shared" si="4"/>
        <v>14244</v>
      </c>
    </row>
    <row r="902" spans="1:21" x14ac:dyDescent="0.25">
      <c r="G902" s="182" t="s">
        <v>341</v>
      </c>
      <c r="H902" s="216"/>
      <c r="L902" s="182" t="s">
        <v>76</v>
      </c>
      <c r="M902" s="182" t="s">
        <v>58</v>
      </c>
      <c r="N902" s="182">
        <v>6</v>
      </c>
      <c r="O902" s="182">
        <f>generator</f>
        <v>855</v>
      </c>
      <c r="P902" s="184">
        <f t="shared" si="4"/>
        <v>5130</v>
      </c>
    </row>
    <row r="903" spans="1:21" ht="31.5" x14ac:dyDescent="0.25">
      <c r="G903" s="182" t="s">
        <v>342</v>
      </c>
      <c r="H903" s="216" t="s">
        <v>84</v>
      </c>
      <c r="I903" s="182">
        <v>49.48</v>
      </c>
      <c r="J903" s="182">
        <f>adopted_rate_aggregate_10_20_mm</f>
        <v>3351.6</v>
      </c>
      <c r="K903" s="182">
        <f>(I903*J903)</f>
        <v>165837.16799999998</v>
      </c>
      <c r="L903" s="182" t="s">
        <v>332</v>
      </c>
      <c r="M903" s="182" t="s">
        <v>58</v>
      </c>
      <c r="N903" s="182">
        <v>12</v>
      </c>
      <c r="O903" s="182">
        <f>smooth_wheel_roller</f>
        <v>1089</v>
      </c>
      <c r="P903" s="184">
        <f t="shared" si="4"/>
        <v>13068</v>
      </c>
    </row>
    <row r="904" spans="1:21" x14ac:dyDescent="0.25">
      <c r="G904" s="182" t="s">
        <v>305</v>
      </c>
      <c r="H904" s="216" t="s">
        <v>84</v>
      </c>
      <c r="I904" s="182">
        <v>32.520000000000003</v>
      </c>
      <c r="J904" s="182">
        <f>District_Rate!L12</f>
        <v>3175.2000000000003</v>
      </c>
      <c r="K904" s="182">
        <f>(I904*J904)</f>
        <v>103257.50400000002</v>
      </c>
      <c r="L904" s="182" t="s">
        <v>308</v>
      </c>
      <c r="M904" s="182" t="s">
        <v>58</v>
      </c>
      <c r="N904" s="182">
        <v>6</v>
      </c>
      <c r="O904" s="182">
        <f>pneumatic_roller</f>
        <v>2121</v>
      </c>
      <c r="P904" s="184">
        <f t="shared" si="4"/>
        <v>12726</v>
      </c>
    </row>
    <row r="905" spans="1:21" x14ac:dyDescent="0.25">
      <c r="G905" s="182" t="s">
        <v>306</v>
      </c>
      <c r="H905" s="216" t="s">
        <v>84</v>
      </c>
      <c r="I905" s="182">
        <v>56.55</v>
      </c>
      <c r="J905" s="182">
        <f>adopted_rate_sand</f>
        <v>3175.2000000000003</v>
      </c>
      <c r="K905" s="182">
        <f>(I905*J905)</f>
        <v>179557.56</v>
      </c>
      <c r="L905" s="182" t="s">
        <v>288</v>
      </c>
      <c r="M905" s="182" t="s">
        <v>58</v>
      </c>
      <c r="N905" s="182">
        <v>0</v>
      </c>
      <c r="O905" s="182">
        <f>mechanical_broom</f>
        <v>1393</v>
      </c>
      <c r="P905" s="184">
        <f t="shared" si="4"/>
        <v>0</v>
      </c>
    </row>
    <row r="906" spans="1:21" x14ac:dyDescent="0.25">
      <c r="G906" s="187" t="s">
        <v>331</v>
      </c>
      <c r="H906" s="216" t="s">
        <v>35</v>
      </c>
      <c r="I906" s="182">
        <v>2.83</v>
      </c>
      <c r="J906" s="182">
        <f>adopted_rate_stone_dust</f>
        <v>1234.8</v>
      </c>
      <c r="K906" s="182">
        <f>(I906*J906)</f>
        <v>3494.4839999999999</v>
      </c>
    </row>
    <row r="907" spans="1:21" x14ac:dyDescent="0.25">
      <c r="A907" s="537" t="s">
        <v>30</v>
      </c>
      <c r="B907" s="537"/>
      <c r="C907" s="537"/>
      <c r="D907" s="537"/>
      <c r="E907" s="537"/>
      <c r="F907" s="184">
        <f>SUM(F899:F906)</f>
        <v>20250</v>
      </c>
      <c r="G907" s="537" t="s">
        <v>31</v>
      </c>
      <c r="H907" s="537"/>
      <c r="I907" s="537"/>
      <c r="J907" s="537"/>
      <c r="K907" s="184">
        <f>SUM(K899:K906)</f>
        <v>1849666.716</v>
      </c>
      <c r="L907" s="537" t="s">
        <v>32</v>
      </c>
      <c r="M907" s="537"/>
      <c r="N907" s="537"/>
      <c r="O907" s="537"/>
      <c r="P907" s="184">
        <f>SUM(P899:P906)</f>
        <v>216780</v>
      </c>
      <c r="Q907" s="537" t="s">
        <v>38</v>
      </c>
      <c r="R907" s="537"/>
      <c r="S907" s="537"/>
      <c r="T907" s="537"/>
      <c r="U907" s="223">
        <f>SUM(U899:U906)</f>
        <v>0</v>
      </c>
    </row>
    <row r="908" spans="1:21" x14ac:dyDescent="0.25">
      <c r="A908" s="537" t="s">
        <v>33</v>
      </c>
      <c r="B908" s="537"/>
      <c r="C908" s="537"/>
      <c r="D908" s="537"/>
      <c r="E908" s="537"/>
      <c r="F908" s="184">
        <f>SUM(F907+K907+P907)</f>
        <v>2086696.716</v>
      </c>
      <c r="G908" s="537" t="s">
        <v>39</v>
      </c>
      <c r="H908" s="537"/>
      <c r="I908" s="537"/>
      <c r="J908" s="537"/>
      <c r="K908" s="184">
        <f>SUM(F907+K907+P907+U907)</f>
        <v>2086696.716</v>
      </c>
      <c r="L908" s="537" t="s">
        <v>40</v>
      </c>
      <c r="M908" s="537"/>
      <c r="N908" s="537"/>
      <c r="O908" s="537"/>
      <c r="P908" s="184">
        <f>SUM(K908*0.15)</f>
        <v>313004.5074</v>
      </c>
      <c r="Q908" s="537" t="s">
        <v>41</v>
      </c>
      <c r="R908" s="537"/>
      <c r="S908" s="537"/>
      <c r="T908" s="537"/>
      <c r="U908" s="223">
        <f>SUM(K908+P908)</f>
        <v>2399701.2234</v>
      </c>
    </row>
    <row r="909" spans="1:21" x14ac:dyDescent="0.25">
      <c r="Q909" s="537" t="s">
        <v>42</v>
      </c>
      <c r="R909" s="537"/>
      <c r="S909" s="537"/>
      <c r="T909" s="537"/>
      <c r="U909" s="224">
        <f>ROUND((U908/95.5),2)</f>
        <v>25127.759999999998</v>
      </c>
    </row>
    <row r="910" spans="1:21" x14ac:dyDescent="0.25">
      <c r="A910" s="544"/>
      <c r="B910" s="544"/>
      <c r="C910" s="544"/>
      <c r="D910" s="544"/>
      <c r="E910" s="544"/>
      <c r="F910" s="544"/>
      <c r="G910" s="544"/>
      <c r="H910" s="544"/>
      <c r="I910" s="544"/>
      <c r="J910" s="544"/>
      <c r="K910" s="544"/>
      <c r="L910" s="544"/>
      <c r="M910" s="544"/>
      <c r="N910" s="544"/>
      <c r="O910" s="544"/>
      <c r="P910" s="544"/>
      <c r="Q910" s="544"/>
      <c r="R910" s="544"/>
      <c r="S910" s="544"/>
      <c r="T910" s="544"/>
      <c r="U910" s="544"/>
    </row>
    <row r="911" spans="1:21" x14ac:dyDescent="0.25">
      <c r="A911" s="538" t="s">
        <v>12</v>
      </c>
      <c r="B911" s="538"/>
      <c r="C911" s="540" t="s">
        <v>343</v>
      </c>
      <c r="D911" s="540"/>
      <c r="E911" s="540"/>
      <c r="F911" s="540"/>
      <c r="G911" s="540"/>
      <c r="H911" s="540"/>
      <c r="I911" s="540"/>
      <c r="J911" s="540"/>
      <c r="K911" s="540"/>
      <c r="L911" s="540"/>
      <c r="M911" s="540"/>
      <c r="N911" s="540"/>
      <c r="O911" s="540"/>
      <c r="P911" s="540"/>
      <c r="Q911" s="540"/>
      <c r="R911" s="540"/>
      <c r="S911" s="540"/>
      <c r="T911" s="540"/>
      <c r="U911" s="541" t="s">
        <v>339</v>
      </c>
    </row>
    <row r="912" spans="1:21" x14ac:dyDescent="0.25">
      <c r="A912" s="538"/>
      <c r="B912" s="538"/>
      <c r="C912" s="540"/>
      <c r="D912" s="540"/>
      <c r="E912" s="540"/>
      <c r="F912" s="540"/>
      <c r="G912" s="540"/>
      <c r="H912" s="540"/>
      <c r="I912" s="540"/>
      <c r="J912" s="540"/>
      <c r="K912" s="540"/>
      <c r="L912" s="540"/>
      <c r="M912" s="540"/>
      <c r="N912" s="540"/>
      <c r="O912" s="540"/>
      <c r="P912" s="540"/>
      <c r="Q912" s="540"/>
      <c r="R912" s="540"/>
      <c r="S912" s="540"/>
      <c r="T912" s="540"/>
      <c r="U912" s="541"/>
    </row>
    <row r="913" spans="1:21" x14ac:dyDescent="0.25">
      <c r="A913" s="539" t="s">
        <v>337</v>
      </c>
      <c r="B913" s="539"/>
      <c r="C913" s="540"/>
      <c r="D913" s="540"/>
      <c r="E913" s="540"/>
      <c r="F913" s="540"/>
      <c r="G913" s="540"/>
      <c r="H913" s="540"/>
      <c r="I913" s="540"/>
      <c r="J913" s="540"/>
      <c r="K913" s="540"/>
      <c r="L913" s="540"/>
      <c r="M913" s="540"/>
      <c r="N913" s="540"/>
      <c r="O913" s="540"/>
      <c r="P913" s="540"/>
      <c r="Q913" s="540"/>
      <c r="R913" s="540"/>
      <c r="S913" s="540"/>
      <c r="T913" s="540"/>
      <c r="U913" s="541"/>
    </row>
    <row r="914" spans="1:21" x14ac:dyDescent="0.25">
      <c r="A914" s="542" t="s">
        <v>16</v>
      </c>
      <c r="B914" s="543" t="s">
        <v>18</v>
      </c>
      <c r="C914" s="543"/>
      <c r="D914" s="543"/>
      <c r="E914" s="543"/>
      <c r="F914" s="543"/>
      <c r="G914" s="543" t="s">
        <v>24</v>
      </c>
      <c r="H914" s="543"/>
      <c r="I914" s="543"/>
      <c r="J914" s="543"/>
      <c r="K914" s="543"/>
      <c r="L914" s="543" t="s">
        <v>25</v>
      </c>
      <c r="M914" s="543"/>
      <c r="N914" s="543"/>
      <c r="O914" s="543"/>
      <c r="P914" s="543"/>
      <c r="Q914" s="543" t="s">
        <v>26</v>
      </c>
      <c r="R914" s="543"/>
      <c r="S914" s="543"/>
      <c r="T914" s="543"/>
      <c r="U914" s="543"/>
    </row>
    <row r="915" spans="1:21" x14ac:dyDescent="0.25">
      <c r="A915" s="542"/>
      <c r="B915" s="182" t="s">
        <v>19</v>
      </c>
      <c r="C915" s="182" t="s">
        <v>20</v>
      </c>
      <c r="D915" s="182" t="s">
        <v>21</v>
      </c>
      <c r="E915" s="182" t="s">
        <v>22</v>
      </c>
      <c r="F915" s="182" t="s">
        <v>23</v>
      </c>
      <c r="G915" s="182" t="s">
        <v>19</v>
      </c>
      <c r="H915" s="216" t="s">
        <v>20</v>
      </c>
      <c r="I915" s="182" t="s">
        <v>21</v>
      </c>
      <c r="J915" s="182" t="s">
        <v>22</v>
      </c>
      <c r="K915" s="182" t="s">
        <v>23</v>
      </c>
      <c r="L915" s="182" t="s">
        <v>19</v>
      </c>
      <c r="M915" s="182" t="s">
        <v>20</v>
      </c>
      <c r="N915" s="182" t="s">
        <v>21</v>
      </c>
      <c r="O915" s="182" t="s">
        <v>22</v>
      </c>
      <c r="P915" s="182" t="s">
        <v>23</v>
      </c>
      <c r="Q915" s="182" t="s">
        <v>19</v>
      </c>
      <c r="R915" s="182" t="s">
        <v>20</v>
      </c>
      <c r="S915" s="182" t="s">
        <v>21</v>
      </c>
      <c r="T915" s="182" t="s">
        <v>22</v>
      </c>
      <c r="U915" s="211" t="s">
        <v>23</v>
      </c>
    </row>
    <row r="916" spans="1:21" x14ac:dyDescent="0.25">
      <c r="A916" s="183" t="s">
        <v>344</v>
      </c>
      <c r="B916" s="182" t="s">
        <v>29</v>
      </c>
      <c r="C916" s="182" t="s">
        <v>28</v>
      </c>
      <c r="D916" s="182">
        <v>15</v>
      </c>
      <c r="E916" s="182">
        <f>unskilled</f>
        <v>935</v>
      </c>
      <c r="F916" s="184">
        <f>(D916*E916)</f>
        <v>14025</v>
      </c>
      <c r="G916" s="182" t="s">
        <v>297</v>
      </c>
      <c r="H916" s="216" t="s">
        <v>35</v>
      </c>
      <c r="I916" s="182">
        <v>12.94</v>
      </c>
      <c r="J916" s="182">
        <f>adopted_rate_bitumen</f>
        <v>108000</v>
      </c>
      <c r="K916" s="182">
        <f>(I916*J916)</f>
        <v>1397520</v>
      </c>
      <c r="L916" s="182" t="s">
        <v>307</v>
      </c>
      <c r="M916" s="182" t="s">
        <v>58</v>
      </c>
      <c r="N916" s="182">
        <v>6</v>
      </c>
      <c r="O916" s="182">
        <f>hot_mix_plant</f>
        <v>28602</v>
      </c>
      <c r="P916" s="184">
        <f t="shared" ref="P916:P921" si="5">(N916*O916)</f>
        <v>171612</v>
      </c>
    </row>
    <row r="917" spans="1:21" x14ac:dyDescent="0.25">
      <c r="B917" s="182" t="s">
        <v>47</v>
      </c>
      <c r="C917" s="182" t="s">
        <v>28</v>
      </c>
      <c r="D917" s="182">
        <v>5</v>
      </c>
      <c r="E917" s="182">
        <f>skilled</f>
        <v>1245</v>
      </c>
      <c r="F917" s="184">
        <f>(D917*E917)</f>
        <v>6225</v>
      </c>
      <c r="G917" s="182" t="s">
        <v>327</v>
      </c>
      <c r="H917" s="216"/>
      <c r="L917" s="182" t="s">
        <v>258</v>
      </c>
      <c r="M917" s="182" t="s">
        <v>58</v>
      </c>
      <c r="N917" s="182">
        <v>6</v>
      </c>
      <c r="O917" s="182">
        <f>paver_finisher</f>
        <v>2374</v>
      </c>
      <c r="P917" s="184">
        <f t="shared" si="5"/>
        <v>14244</v>
      </c>
    </row>
    <row r="918" spans="1:21" x14ac:dyDescent="0.25">
      <c r="G918" s="182" t="s">
        <v>345</v>
      </c>
      <c r="H918" s="216"/>
      <c r="L918" s="182" t="s">
        <v>76</v>
      </c>
      <c r="M918" s="182" t="s">
        <v>58</v>
      </c>
      <c r="N918" s="182">
        <v>6</v>
      </c>
      <c r="O918" s="182">
        <f>generator</f>
        <v>855</v>
      </c>
      <c r="P918" s="184">
        <f t="shared" si="5"/>
        <v>5130</v>
      </c>
    </row>
    <row r="919" spans="1:21" ht="31.5" x14ac:dyDescent="0.25">
      <c r="G919" s="182" t="s">
        <v>346</v>
      </c>
      <c r="H919" s="216" t="s">
        <v>84</v>
      </c>
      <c r="I919" s="182">
        <v>42.41</v>
      </c>
      <c r="J919" s="182">
        <f>adopted_rate_aggregate_10_20_mm</f>
        <v>3351.6</v>
      </c>
      <c r="K919" s="182">
        <f>(I919*J919)</f>
        <v>142141.35599999997</v>
      </c>
      <c r="L919" s="182" t="s">
        <v>332</v>
      </c>
      <c r="M919" s="182" t="s">
        <v>58</v>
      </c>
      <c r="N919" s="182">
        <v>12</v>
      </c>
      <c r="O919" s="182">
        <f>smooth_wheel_roller</f>
        <v>1089</v>
      </c>
      <c r="P919" s="184">
        <f t="shared" si="5"/>
        <v>13068</v>
      </c>
    </row>
    <row r="920" spans="1:21" x14ac:dyDescent="0.25">
      <c r="G920" s="182" t="s">
        <v>305</v>
      </c>
      <c r="H920" s="216" t="s">
        <v>84</v>
      </c>
      <c r="I920" s="182">
        <v>35.340000000000003</v>
      </c>
      <c r="J920" s="182">
        <f>District_Rate!L12</f>
        <v>3175.2000000000003</v>
      </c>
      <c r="K920" s="182">
        <f>(I920*J920)</f>
        <v>112211.56800000001</v>
      </c>
      <c r="L920" s="182" t="s">
        <v>308</v>
      </c>
      <c r="M920" s="182" t="s">
        <v>58</v>
      </c>
      <c r="N920" s="182">
        <v>6</v>
      </c>
      <c r="O920" s="182">
        <f>pneumatic_roller</f>
        <v>2121</v>
      </c>
      <c r="P920" s="184">
        <f t="shared" si="5"/>
        <v>12726</v>
      </c>
    </row>
    <row r="921" spans="1:21" x14ac:dyDescent="0.25">
      <c r="G921" s="182" t="s">
        <v>306</v>
      </c>
      <c r="H921" s="216" t="s">
        <v>84</v>
      </c>
      <c r="I921" s="182">
        <v>60.79</v>
      </c>
      <c r="J921" s="182">
        <f>adopted_rate_sand</f>
        <v>3175.2000000000003</v>
      </c>
      <c r="K921" s="182">
        <f>(I921*J921)</f>
        <v>193020.40800000002</v>
      </c>
      <c r="L921" s="182" t="s">
        <v>288</v>
      </c>
      <c r="M921" s="182" t="s">
        <v>58</v>
      </c>
      <c r="N921" s="182">
        <v>0</v>
      </c>
      <c r="O921" s="182">
        <f>mechanical_broom</f>
        <v>1393</v>
      </c>
      <c r="P921" s="184">
        <f t="shared" si="5"/>
        <v>0</v>
      </c>
    </row>
    <row r="922" spans="1:21" x14ac:dyDescent="0.25">
      <c r="G922" s="187" t="s">
        <v>331</v>
      </c>
      <c r="H922" s="216" t="s">
        <v>35</v>
      </c>
      <c r="I922" s="182">
        <v>2.83</v>
      </c>
      <c r="J922" s="182">
        <f>adopted_rate_stone_dust</f>
        <v>1234.8</v>
      </c>
      <c r="K922" s="182">
        <f>(I922*J922)</f>
        <v>3494.4839999999999</v>
      </c>
    </row>
    <row r="923" spans="1:21" x14ac:dyDescent="0.25">
      <c r="A923" s="537" t="s">
        <v>30</v>
      </c>
      <c r="B923" s="537"/>
      <c r="C923" s="537"/>
      <c r="D923" s="537"/>
      <c r="E923" s="537"/>
      <c r="F923" s="184">
        <f>SUM(F915:F922)</f>
        <v>20250</v>
      </c>
      <c r="G923" s="537" t="s">
        <v>31</v>
      </c>
      <c r="H923" s="537"/>
      <c r="I923" s="537"/>
      <c r="J923" s="537"/>
      <c r="K923" s="184">
        <f>SUM(K915:K922)</f>
        <v>1848387.8159999999</v>
      </c>
      <c r="L923" s="537" t="s">
        <v>32</v>
      </c>
      <c r="M923" s="537"/>
      <c r="N923" s="537"/>
      <c r="O923" s="537"/>
      <c r="P923" s="184">
        <f>SUM(P915:P922)</f>
        <v>216780</v>
      </c>
      <c r="Q923" s="537" t="s">
        <v>38</v>
      </c>
      <c r="R923" s="537"/>
      <c r="S923" s="537"/>
      <c r="T923" s="537"/>
      <c r="U923" s="223">
        <f>SUM(U915:U922)</f>
        <v>0</v>
      </c>
    </row>
    <row r="924" spans="1:21" x14ac:dyDescent="0.25">
      <c r="A924" s="537" t="s">
        <v>33</v>
      </c>
      <c r="B924" s="537"/>
      <c r="C924" s="537"/>
      <c r="D924" s="537"/>
      <c r="E924" s="537"/>
      <c r="F924" s="184">
        <f>SUM(F923+K923+P923)</f>
        <v>2085417.8159999999</v>
      </c>
      <c r="G924" s="537" t="s">
        <v>39</v>
      </c>
      <c r="H924" s="537"/>
      <c r="I924" s="537"/>
      <c r="J924" s="537"/>
      <c r="K924" s="184">
        <f>SUM(F923+K923+P923+U923)</f>
        <v>2085417.8159999999</v>
      </c>
      <c r="L924" s="537" t="s">
        <v>40</v>
      </c>
      <c r="M924" s="537"/>
      <c r="N924" s="537"/>
      <c r="O924" s="537"/>
      <c r="P924" s="184">
        <f>SUM(K924*0.15)</f>
        <v>312812.67239999998</v>
      </c>
      <c r="Q924" s="537" t="s">
        <v>41</v>
      </c>
      <c r="R924" s="537"/>
      <c r="S924" s="537"/>
      <c r="T924" s="537"/>
      <c r="U924" s="223">
        <f>SUM(K924+P924)</f>
        <v>2398230.4883999997</v>
      </c>
    </row>
    <row r="925" spans="1:21" x14ac:dyDescent="0.25">
      <c r="Q925" s="537" t="s">
        <v>42</v>
      </c>
      <c r="R925" s="537"/>
      <c r="S925" s="537"/>
      <c r="T925" s="537"/>
      <c r="U925" s="224">
        <f>ROUND((U924/95.5),2)</f>
        <v>25112.36</v>
      </c>
    </row>
    <row r="926" spans="1:21" x14ac:dyDescent="0.25">
      <c r="A926" s="544"/>
      <c r="B926" s="544"/>
      <c r="C926" s="544"/>
      <c r="D926" s="544"/>
      <c r="E926" s="544"/>
      <c r="F926" s="544"/>
      <c r="G926" s="544"/>
      <c r="H926" s="544"/>
      <c r="I926" s="544"/>
      <c r="J926" s="544"/>
      <c r="K926" s="544"/>
      <c r="L926" s="544"/>
      <c r="M926" s="544"/>
      <c r="N926" s="544"/>
      <c r="O926" s="544"/>
      <c r="P926" s="544"/>
      <c r="Q926" s="544"/>
      <c r="R926" s="544"/>
      <c r="S926" s="544"/>
      <c r="T926" s="544"/>
      <c r="U926" s="544"/>
    </row>
    <row r="927" spans="1:21" x14ac:dyDescent="0.25">
      <c r="A927" s="538" t="s">
        <v>12</v>
      </c>
      <c r="B927" s="538"/>
      <c r="C927" s="540" t="s">
        <v>348</v>
      </c>
      <c r="D927" s="540"/>
      <c r="E927" s="540"/>
      <c r="F927" s="540"/>
      <c r="G927" s="540"/>
      <c r="H927" s="540"/>
      <c r="I927" s="540"/>
      <c r="J927" s="540"/>
      <c r="K927" s="540"/>
      <c r="L927" s="540"/>
      <c r="M927" s="540"/>
      <c r="N927" s="540"/>
      <c r="O927" s="540"/>
      <c r="P927" s="540"/>
      <c r="Q927" s="540"/>
      <c r="R927" s="540"/>
      <c r="S927" s="540"/>
      <c r="T927" s="540"/>
      <c r="U927" s="541" t="s">
        <v>349</v>
      </c>
    </row>
    <row r="928" spans="1:21" x14ac:dyDescent="0.25">
      <c r="A928" s="538"/>
      <c r="B928" s="538"/>
      <c r="C928" s="540"/>
      <c r="D928" s="540"/>
      <c r="E928" s="540"/>
      <c r="F928" s="540"/>
      <c r="G928" s="540"/>
      <c r="H928" s="540"/>
      <c r="I928" s="540"/>
      <c r="J928" s="540"/>
      <c r="K928" s="540"/>
      <c r="L928" s="540"/>
      <c r="M928" s="540"/>
      <c r="N928" s="540"/>
      <c r="O928" s="540"/>
      <c r="P928" s="540"/>
      <c r="Q928" s="540"/>
      <c r="R928" s="540"/>
      <c r="S928" s="540"/>
      <c r="T928" s="540"/>
      <c r="U928" s="541"/>
    </row>
    <row r="929" spans="1:21" x14ac:dyDescent="0.25">
      <c r="A929" s="539" t="s">
        <v>347</v>
      </c>
      <c r="B929" s="539"/>
      <c r="C929" s="540"/>
      <c r="D929" s="540"/>
      <c r="E929" s="540"/>
      <c r="F929" s="540"/>
      <c r="G929" s="540"/>
      <c r="H929" s="540"/>
      <c r="I929" s="540"/>
      <c r="J929" s="540"/>
      <c r="K929" s="540"/>
      <c r="L929" s="540"/>
      <c r="M929" s="540"/>
      <c r="N929" s="540"/>
      <c r="O929" s="540"/>
      <c r="P929" s="540"/>
      <c r="Q929" s="540"/>
      <c r="R929" s="540"/>
      <c r="S929" s="540"/>
      <c r="T929" s="540"/>
      <c r="U929" s="541"/>
    </row>
    <row r="930" spans="1:21" x14ac:dyDescent="0.25">
      <c r="A930" s="542" t="s">
        <v>16</v>
      </c>
      <c r="B930" s="543" t="s">
        <v>18</v>
      </c>
      <c r="C930" s="543"/>
      <c r="D930" s="543"/>
      <c r="E930" s="543"/>
      <c r="F930" s="543"/>
      <c r="G930" s="543" t="s">
        <v>24</v>
      </c>
      <c r="H930" s="543"/>
      <c r="I930" s="543"/>
      <c r="J930" s="543"/>
      <c r="K930" s="543"/>
      <c r="L930" s="543" t="s">
        <v>25</v>
      </c>
      <c r="M930" s="543"/>
      <c r="N930" s="543"/>
      <c r="O930" s="543"/>
      <c r="P930" s="543"/>
      <c r="Q930" s="543" t="s">
        <v>26</v>
      </c>
      <c r="R930" s="543"/>
      <c r="S930" s="543"/>
      <c r="T930" s="543"/>
      <c r="U930" s="543"/>
    </row>
    <row r="931" spans="1:21" x14ac:dyDescent="0.25">
      <c r="A931" s="542"/>
      <c r="B931" s="182" t="s">
        <v>19</v>
      </c>
      <c r="C931" s="182" t="s">
        <v>20</v>
      </c>
      <c r="D931" s="182" t="s">
        <v>21</v>
      </c>
      <c r="E931" s="182" t="s">
        <v>22</v>
      </c>
      <c r="F931" s="182" t="s">
        <v>23</v>
      </c>
      <c r="G931" s="182" t="s">
        <v>19</v>
      </c>
      <c r="H931" s="216" t="s">
        <v>20</v>
      </c>
      <c r="I931" s="182" t="s">
        <v>21</v>
      </c>
      <c r="J931" s="182" t="s">
        <v>22</v>
      </c>
      <c r="K931" s="182" t="s">
        <v>23</v>
      </c>
      <c r="L931" s="182" t="s">
        <v>19</v>
      </c>
      <c r="M931" s="182" t="s">
        <v>20</v>
      </c>
      <c r="N931" s="182" t="s">
        <v>21</v>
      </c>
      <c r="O931" s="182" t="s">
        <v>22</v>
      </c>
      <c r="P931" s="182" t="s">
        <v>23</v>
      </c>
      <c r="Q931" s="182" t="s">
        <v>19</v>
      </c>
      <c r="R931" s="182" t="s">
        <v>20</v>
      </c>
      <c r="S931" s="182" t="s">
        <v>21</v>
      </c>
      <c r="T931" s="182" t="s">
        <v>22</v>
      </c>
      <c r="U931" s="211" t="s">
        <v>23</v>
      </c>
    </row>
    <row r="932" spans="1:21" x14ac:dyDescent="0.25">
      <c r="A932" s="183" t="s">
        <v>350</v>
      </c>
      <c r="B932" s="182" t="s">
        <v>29</v>
      </c>
      <c r="C932" s="182" t="s">
        <v>28</v>
      </c>
      <c r="D932" s="182">
        <v>12</v>
      </c>
      <c r="E932" s="182">
        <f>unskilled</f>
        <v>935</v>
      </c>
      <c r="F932" s="184">
        <f>(D932*E932)</f>
        <v>11220</v>
      </c>
      <c r="G932" s="182" t="s">
        <v>351</v>
      </c>
      <c r="H932" s="216" t="s">
        <v>84</v>
      </c>
      <c r="I932" s="182">
        <v>102</v>
      </c>
      <c r="J932" s="182">
        <f>adopted_rate_aggregate_10_20_mm</f>
        <v>3351.6</v>
      </c>
      <c r="K932" s="182">
        <f>(I932*J932)</f>
        <v>341863.2</v>
      </c>
      <c r="L932" s="182" t="s">
        <v>318</v>
      </c>
      <c r="M932" s="182" t="s">
        <v>58</v>
      </c>
      <c r="N932" s="182">
        <v>6</v>
      </c>
      <c r="O932" s="182">
        <f>chip_spreader</f>
        <v>1488</v>
      </c>
      <c r="P932" s="184">
        <f>(N932*O932)</f>
        <v>8928</v>
      </c>
    </row>
    <row r="933" spans="1:21" x14ac:dyDescent="0.25">
      <c r="B933" s="182" t="s">
        <v>47</v>
      </c>
      <c r="C933" s="182" t="s">
        <v>28</v>
      </c>
      <c r="D933" s="182">
        <v>3</v>
      </c>
      <c r="E933" s="182">
        <f>skilled</f>
        <v>1245</v>
      </c>
      <c r="F933" s="184">
        <f>(D933*E933)</f>
        <v>3735</v>
      </c>
      <c r="L933" s="182" t="s">
        <v>308</v>
      </c>
      <c r="M933" s="182" t="s">
        <v>58</v>
      </c>
      <c r="N933" s="182">
        <v>12</v>
      </c>
      <c r="O933" s="182">
        <f>pneumatic_roller</f>
        <v>2121</v>
      </c>
      <c r="P933" s="184">
        <f>(N933*O933)</f>
        <v>25452</v>
      </c>
    </row>
    <row r="934" spans="1:21" x14ac:dyDescent="0.25">
      <c r="A934" s="537" t="s">
        <v>30</v>
      </c>
      <c r="B934" s="537"/>
      <c r="C934" s="537"/>
      <c r="D934" s="537"/>
      <c r="E934" s="537"/>
      <c r="F934" s="184">
        <f>SUM(F931:F933)</f>
        <v>14955</v>
      </c>
      <c r="G934" s="537" t="s">
        <v>31</v>
      </c>
      <c r="H934" s="537"/>
      <c r="I934" s="537"/>
      <c r="J934" s="537"/>
      <c r="K934" s="184">
        <f>SUM(K931:K933)</f>
        <v>341863.2</v>
      </c>
      <c r="L934" s="537" t="s">
        <v>32</v>
      </c>
      <c r="M934" s="537"/>
      <c r="N934" s="537"/>
      <c r="O934" s="537"/>
      <c r="P934" s="184">
        <f>SUM(P931:P933)</f>
        <v>34380</v>
      </c>
      <c r="Q934" s="537" t="s">
        <v>38</v>
      </c>
      <c r="R934" s="537"/>
      <c r="S934" s="537"/>
      <c r="T934" s="537"/>
      <c r="U934" s="223">
        <f>SUM(U931:U933)</f>
        <v>0</v>
      </c>
    </row>
    <row r="935" spans="1:21" x14ac:dyDescent="0.25">
      <c r="A935" s="537" t="s">
        <v>33</v>
      </c>
      <c r="B935" s="537"/>
      <c r="C935" s="537"/>
      <c r="D935" s="537"/>
      <c r="E935" s="537"/>
      <c r="F935" s="184">
        <f>SUM(F934+K934+P934)</f>
        <v>391198.2</v>
      </c>
      <c r="G935" s="537" t="s">
        <v>39</v>
      </c>
      <c r="H935" s="537"/>
      <c r="I935" s="537"/>
      <c r="J935" s="537"/>
      <c r="K935" s="184">
        <f>SUM(F934+K934+P934+U934)</f>
        <v>391198.2</v>
      </c>
      <c r="L935" s="537" t="s">
        <v>40</v>
      </c>
      <c r="M935" s="537"/>
      <c r="N935" s="537"/>
      <c r="O935" s="537"/>
      <c r="P935" s="184">
        <f>SUM(K935*0.15)</f>
        <v>58679.73</v>
      </c>
      <c r="Q935" s="537" t="s">
        <v>41</v>
      </c>
      <c r="R935" s="537"/>
      <c r="S935" s="537"/>
      <c r="T935" s="537"/>
      <c r="U935" s="223">
        <f>SUM(K935+P935)</f>
        <v>449877.93</v>
      </c>
    </row>
    <row r="936" spans="1:21" x14ac:dyDescent="0.25">
      <c r="Q936" s="537" t="s">
        <v>42</v>
      </c>
      <c r="R936" s="537"/>
      <c r="S936" s="537"/>
      <c r="T936" s="537"/>
      <c r="U936" s="224">
        <f>ROUND((U935/6000),2)</f>
        <v>74.98</v>
      </c>
    </row>
    <row r="937" spans="1:21" x14ac:dyDescent="0.25">
      <c r="A937" s="544"/>
      <c r="B937" s="544"/>
      <c r="C937" s="544"/>
      <c r="D937" s="544"/>
      <c r="E937" s="544"/>
      <c r="F937" s="544"/>
      <c r="G937" s="544"/>
      <c r="H937" s="544"/>
      <c r="I937" s="544"/>
      <c r="J937" s="544"/>
      <c r="K937" s="544"/>
      <c r="L937" s="544"/>
      <c r="M937" s="544"/>
      <c r="N937" s="544"/>
      <c r="O937" s="544"/>
      <c r="P937" s="544"/>
      <c r="Q937" s="544"/>
      <c r="R937" s="544"/>
      <c r="S937" s="544"/>
      <c r="T937" s="544"/>
      <c r="U937" s="544"/>
    </row>
    <row r="938" spans="1:21" x14ac:dyDescent="0.25">
      <c r="A938" s="538" t="s">
        <v>12</v>
      </c>
      <c r="B938" s="538"/>
      <c r="C938" s="540" t="s">
        <v>352</v>
      </c>
      <c r="D938" s="540"/>
      <c r="E938" s="540"/>
      <c r="F938" s="540"/>
      <c r="G938" s="540"/>
      <c r="H938" s="540"/>
      <c r="I938" s="540"/>
      <c r="J938" s="540"/>
      <c r="K938" s="540"/>
      <c r="L938" s="540"/>
      <c r="M938" s="540"/>
      <c r="N938" s="540"/>
      <c r="O938" s="540"/>
      <c r="P938" s="540"/>
      <c r="Q938" s="540"/>
      <c r="R938" s="540"/>
      <c r="S938" s="540"/>
      <c r="T938" s="540"/>
      <c r="U938" s="541" t="s">
        <v>353</v>
      </c>
    </row>
    <row r="939" spans="1:21" x14ac:dyDescent="0.25">
      <c r="A939" s="538"/>
      <c r="B939" s="538"/>
      <c r="C939" s="540"/>
      <c r="D939" s="540"/>
      <c r="E939" s="540"/>
      <c r="F939" s="540"/>
      <c r="G939" s="540"/>
      <c r="H939" s="540"/>
      <c r="I939" s="540"/>
      <c r="J939" s="540"/>
      <c r="K939" s="540"/>
      <c r="L939" s="540"/>
      <c r="M939" s="540"/>
      <c r="N939" s="540"/>
      <c r="O939" s="540"/>
      <c r="P939" s="540"/>
      <c r="Q939" s="540"/>
      <c r="R939" s="540"/>
      <c r="S939" s="540"/>
      <c r="T939" s="540"/>
      <c r="U939" s="541"/>
    </row>
    <row r="940" spans="1:21" x14ac:dyDescent="0.25">
      <c r="A940" s="539" t="s">
        <v>347</v>
      </c>
      <c r="B940" s="539"/>
      <c r="C940" s="540"/>
      <c r="D940" s="540"/>
      <c r="E940" s="540"/>
      <c r="F940" s="540"/>
      <c r="G940" s="540"/>
      <c r="H940" s="540"/>
      <c r="I940" s="540"/>
      <c r="J940" s="540"/>
      <c r="K940" s="540"/>
      <c r="L940" s="540"/>
      <c r="M940" s="540"/>
      <c r="N940" s="540"/>
      <c r="O940" s="540"/>
      <c r="P940" s="540"/>
      <c r="Q940" s="540"/>
      <c r="R940" s="540"/>
      <c r="S940" s="540"/>
      <c r="T940" s="540"/>
      <c r="U940" s="541"/>
    </row>
    <row r="941" spans="1:21" x14ac:dyDescent="0.25">
      <c r="A941" s="542" t="s">
        <v>16</v>
      </c>
      <c r="B941" s="543" t="s">
        <v>18</v>
      </c>
      <c r="C941" s="543"/>
      <c r="D941" s="543"/>
      <c r="E941" s="543"/>
      <c r="F941" s="543"/>
      <c r="G941" s="543" t="s">
        <v>24</v>
      </c>
      <c r="H941" s="543"/>
      <c r="I941" s="543"/>
      <c r="J941" s="543"/>
      <c r="K941" s="543"/>
      <c r="L941" s="543" t="s">
        <v>25</v>
      </c>
      <c r="M941" s="543"/>
      <c r="N941" s="543"/>
      <c r="O941" s="543"/>
      <c r="P941" s="543"/>
      <c r="Q941" s="543" t="s">
        <v>26</v>
      </c>
      <c r="R941" s="543"/>
      <c r="S941" s="543"/>
      <c r="T941" s="543"/>
      <c r="U941" s="543"/>
    </row>
    <row r="942" spans="1:21" x14ac:dyDescent="0.25">
      <c r="A942" s="542"/>
      <c r="B942" s="182" t="s">
        <v>19</v>
      </c>
      <c r="C942" s="182" t="s">
        <v>20</v>
      </c>
      <c r="D942" s="182" t="s">
        <v>21</v>
      </c>
      <c r="E942" s="182" t="s">
        <v>22</v>
      </c>
      <c r="F942" s="182" t="s">
        <v>23</v>
      </c>
      <c r="G942" s="182" t="s">
        <v>19</v>
      </c>
      <c r="H942" s="216" t="s">
        <v>20</v>
      </c>
      <c r="I942" s="182" t="s">
        <v>21</v>
      </c>
      <c r="J942" s="182" t="s">
        <v>22</v>
      </c>
      <c r="K942" s="182" t="s">
        <v>23</v>
      </c>
      <c r="L942" s="182" t="s">
        <v>19</v>
      </c>
      <c r="M942" s="182" t="s">
        <v>20</v>
      </c>
      <c r="N942" s="182" t="s">
        <v>21</v>
      </c>
      <c r="O942" s="182" t="s">
        <v>22</v>
      </c>
      <c r="P942" s="182" t="s">
        <v>23</v>
      </c>
      <c r="Q942" s="182" t="s">
        <v>19</v>
      </c>
      <c r="R942" s="182" t="s">
        <v>20</v>
      </c>
      <c r="S942" s="182" t="s">
        <v>21</v>
      </c>
      <c r="T942" s="182" t="s">
        <v>22</v>
      </c>
      <c r="U942" s="211" t="s">
        <v>23</v>
      </c>
    </row>
    <row r="943" spans="1:21" ht="31.5" x14ac:dyDescent="0.25">
      <c r="A943" s="183" t="s">
        <v>354</v>
      </c>
      <c r="B943" s="182" t="s">
        <v>29</v>
      </c>
      <c r="C943" s="182" t="s">
        <v>28</v>
      </c>
      <c r="D943" s="182">
        <v>12</v>
      </c>
      <c r="E943" s="182">
        <f>unskilled</f>
        <v>935</v>
      </c>
      <c r="F943" s="184">
        <f>(D943*E943)</f>
        <v>11220</v>
      </c>
      <c r="G943" s="182" t="s">
        <v>355</v>
      </c>
      <c r="H943" s="216" t="s">
        <v>84</v>
      </c>
      <c r="I943" s="182">
        <v>87</v>
      </c>
      <c r="J943" s="182">
        <f>adopted_rate_aggregate_10_mm</f>
        <v>3175.2000000000003</v>
      </c>
      <c r="K943" s="182">
        <f>(I943*J943)</f>
        <v>276242.40000000002</v>
      </c>
      <c r="L943" s="182" t="s">
        <v>318</v>
      </c>
      <c r="M943" s="182" t="s">
        <v>58</v>
      </c>
      <c r="N943" s="182">
        <v>6</v>
      </c>
      <c r="O943" s="182">
        <f>chip_spreader</f>
        <v>1488</v>
      </c>
      <c r="P943" s="184">
        <f>(N943*O943)</f>
        <v>8928</v>
      </c>
    </row>
    <row r="944" spans="1:21" x14ac:dyDescent="0.25">
      <c r="B944" s="182" t="s">
        <v>47</v>
      </c>
      <c r="C944" s="182" t="s">
        <v>28</v>
      </c>
      <c r="D944" s="182">
        <v>3</v>
      </c>
      <c r="E944" s="182">
        <f>skilled</f>
        <v>1245</v>
      </c>
      <c r="F944" s="184">
        <f>(D944*E944)</f>
        <v>3735</v>
      </c>
      <c r="L944" s="182" t="s">
        <v>308</v>
      </c>
      <c r="M944" s="182" t="s">
        <v>58</v>
      </c>
      <c r="N944" s="182">
        <v>12</v>
      </c>
      <c r="O944" s="182">
        <f>pneumatic_roller</f>
        <v>2121</v>
      </c>
      <c r="P944" s="184">
        <f>(N944*O944)</f>
        <v>25452</v>
      </c>
    </row>
    <row r="945" spans="1:21" x14ac:dyDescent="0.25">
      <c r="A945" s="537" t="s">
        <v>30</v>
      </c>
      <c r="B945" s="537"/>
      <c r="C945" s="537"/>
      <c r="D945" s="537"/>
      <c r="E945" s="537"/>
      <c r="F945" s="184">
        <f>SUM(F942:F944)</f>
        <v>14955</v>
      </c>
      <c r="G945" s="537" t="s">
        <v>31</v>
      </c>
      <c r="H945" s="537"/>
      <c r="I945" s="537"/>
      <c r="J945" s="537"/>
      <c r="K945" s="184">
        <f>SUM(K942:K944)</f>
        <v>276242.40000000002</v>
      </c>
      <c r="L945" s="537" t="s">
        <v>32</v>
      </c>
      <c r="M945" s="537"/>
      <c r="N945" s="537"/>
      <c r="O945" s="537"/>
      <c r="P945" s="184">
        <f>SUM(P942:P944)</f>
        <v>34380</v>
      </c>
      <c r="Q945" s="537" t="s">
        <v>38</v>
      </c>
      <c r="R945" s="537"/>
      <c r="S945" s="537"/>
      <c r="T945" s="537"/>
      <c r="U945" s="223">
        <f>SUM(U942:U944)</f>
        <v>0</v>
      </c>
    </row>
    <row r="946" spans="1:21" x14ac:dyDescent="0.25">
      <c r="A946" s="537" t="s">
        <v>33</v>
      </c>
      <c r="B946" s="537"/>
      <c r="C946" s="537"/>
      <c r="D946" s="537"/>
      <c r="E946" s="537"/>
      <c r="F946" s="184">
        <f>SUM(F945+K945+P945)</f>
        <v>325577.40000000002</v>
      </c>
      <c r="G946" s="537" t="s">
        <v>39</v>
      </c>
      <c r="H946" s="537"/>
      <c r="I946" s="537"/>
      <c r="J946" s="537"/>
      <c r="K946" s="184">
        <f>SUM(F945+K945+P945+U945)</f>
        <v>325577.40000000002</v>
      </c>
      <c r="L946" s="537" t="s">
        <v>40</v>
      </c>
      <c r="M946" s="537"/>
      <c r="N946" s="537"/>
      <c r="O946" s="537"/>
      <c r="P946" s="184">
        <f>SUM(K946*0.15)</f>
        <v>48836.61</v>
      </c>
      <c r="Q946" s="537" t="s">
        <v>41</v>
      </c>
      <c r="R946" s="537"/>
      <c r="S946" s="537"/>
      <c r="T946" s="537"/>
      <c r="U946" s="223">
        <f>SUM(K946+P946)</f>
        <v>374414.01</v>
      </c>
    </row>
    <row r="947" spans="1:21" x14ac:dyDescent="0.25">
      <c r="Q947" s="537" t="s">
        <v>42</v>
      </c>
      <c r="R947" s="537"/>
      <c r="S947" s="537"/>
      <c r="T947" s="537"/>
      <c r="U947" s="224">
        <f>ROUND((U946/7500),2)</f>
        <v>49.92</v>
      </c>
    </row>
    <row r="948" spans="1:21" x14ac:dyDescent="0.25">
      <c r="A948" s="544"/>
      <c r="B948" s="544"/>
      <c r="C948" s="544"/>
      <c r="D948" s="544"/>
      <c r="E948" s="544"/>
      <c r="F948" s="544"/>
      <c r="G948" s="544"/>
      <c r="H948" s="544"/>
      <c r="I948" s="544"/>
      <c r="J948" s="544"/>
      <c r="K948" s="544"/>
      <c r="L948" s="544"/>
      <c r="M948" s="544"/>
      <c r="N948" s="544"/>
      <c r="O948" s="544"/>
      <c r="P948" s="544"/>
      <c r="Q948" s="544"/>
      <c r="R948" s="544"/>
      <c r="S948" s="544"/>
      <c r="T948" s="544"/>
      <c r="U948" s="544"/>
    </row>
    <row r="949" spans="1:21" x14ac:dyDescent="0.25">
      <c r="A949" s="538" t="s">
        <v>12</v>
      </c>
      <c r="B949" s="538"/>
      <c r="C949" s="540" t="s">
        <v>356</v>
      </c>
      <c r="D949" s="540"/>
      <c r="E949" s="540"/>
      <c r="F949" s="540"/>
      <c r="G949" s="540"/>
      <c r="H949" s="540"/>
      <c r="I949" s="540"/>
      <c r="J949" s="540"/>
      <c r="K949" s="540"/>
      <c r="L949" s="540"/>
      <c r="M949" s="540"/>
      <c r="N949" s="540"/>
      <c r="O949" s="540"/>
      <c r="P949" s="540"/>
      <c r="Q949" s="540"/>
      <c r="R949" s="540"/>
      <c r="S949" s="540"/>
      <c r="T949" s="540"/>
      <c r="U949" s="541" t="s">
        <v>357</v>
      </c>
    </row>
    <row r="950" spans="1:21" x14ac:dyDescent="0.25">
      <c r="A950" s="538"/>
      <c r="B950" s="538"/>
      <c r="C950" s="540"/>
      <c r="D950" s="540"/>
      <c r="E950" s="540"/>
      <c r="F950" s="540"/>
      <c r="G950" s="540"/>
      <c r="H950" s="540"/>
      <c r="I950" s="540"/>
      <c r="J950" s="540"/>
      <c r="K950" s="540"/>
      <c r="L950" s="540"/>
      <c r="M950" s="540"/>
      <c r="N950" s="540"/>
      <c r="O950" s="540"/>
      <c r="P950" s="540"/>
      <c r="Q950" s="540"/>
      <c r="R950" s="540"/>
      <c r="S950" s="540"/>
      <c r="T950" s="540"/>
      <c r="U950" s="541"/>
    </row>
    <row r="951" spans="1:21" x14ac:dyDescent="0.25">
      <c r="A951" s="539" t="s">
        <v>347</v>
      </c>
      <c r="B951" s="539"/>
      <c r="C951" s="540"/>
      <c r="D951" s="540"/>
      <c r="E951" s="540"/>
      <c r="F951" s="540"/>
      <c r="G951" s="540"/>
      <c r="H951" s="540"/>
      <c r="I951" s="540"/>
      <c r="J951" s="540"/>
      <c r="K951" s="540"/>
      <c r="L951" s="540"/>
      <c r="M951" s="540"/>
      <c r="N951" s="540"/>
      <c r="O951" s="540"/>
      <c r="P951" s="540"/>
      <c r="Q951" s="540"/>
      <c r="R951" s="540"/>
      <c r="S951" s="540"/>
      <c r="T951" s="540"/>
      <c r="U951" s="541"/>
    </row>
    <row r="952" spans="1:21" x14ac:dyDescent="0.25">
      <c r="A952" s="542" t="s">
        <v>16</v>
      </c>
      <c r="B952" s="543" t="s">
        <v>18</v>
      </c>
      <c r="C952" s="543"/>
      <c r="D952" s="543"/>
      <c r="E952" s="543"/>
      <c r="F952" s="543"/>
      <c r="G952" s="543" t="s">
        <v>24</v>
      </c>
      <c r="H952" s="543"/>
      <c r="I952" s="543"/>
      <c r="J952" s="543"/>
      <c r="K952" s="543"/>
      <c r="L952" s="543" t="s">
        <v>25</v>
      </c>
      <c r="M952" s="543"/>
      <c r="N952" s="543"/>
      <c r="O952" s="543"/>
      <c r="P952" s="543"/>
      <c r="Q952" s="543" t="s">
        <v>26</v>
      </c>
      <c r="R952" s="543"/>
      <c r="S952" s="543"/>
      <c r="T952" s="543"/>
      <c r="U952" s="543"/>
    </row>
    <row r="953" spans="1:21" x14ac:dyDescent="0.25">
      <c r="A953" s="542"/>
      <c r="B953" s="182" t="s">
        <v>19</v>
      </c>
      <c r="C953" s="182" t="s">
        <v>20</v>
      </c>
      <c r="D953" s="182" t="s">
        <v>21</v>
      </c>
      <c r="E953" s="182" t="s">
        <v>22</v>
      </c>
      <c r="F953" s="182" t="s">
        <v>23</v>
      </c>
      <c r="G953" s="182" t="s">
        <v>19</v>
      </c>
      <c r="H953" s="216" t="s">
        <v>20</v>
      </c>
      <c r="I953" s="182" t="s">
        <v>21</v>
      </c>
      <c r="J953" s="182" t="s">
        <v>22</v>
      </c>
      <c r="K953" s="182" t="s">
        <v>23</v>
      </c>
      <c r="L953" s="182" t="s">
        <v>19</v>
      </c>
      <c r="M953" s="182" t="s">
        <v>20</v>
      </c>
      <c r="N953" s="182" t="s">
        <v>21</v>
      </c>
      <c r="O953" s="182" t="s">
        <v>22</v>
      </c>
      <c r="P953" s="182" t="s">
        <v>23</v>
      </c>
      <c r="Q953" s="182" t="s">
        <v>19</v>
      </c>
      <c r="R953" s="182" t="s">
        <v>20</v>
      </c>
      <c r="S953" s="182" t="s">
        <v>21</v>
      </c>
      <c r="T953" s="182" t="s">
        <v>22</v>
      </c>
      <c r="U953" s="211" t="s">
        <v>23</v>
      </c>
    </row>
    <row r="954" spans="1:21" ht="31.5" x14ac:dyDescent="0.25">
      <c r="A954" s="183" t="s">
        <v>358</v>
      </c>
      <c r="B954" s="182" t="s">
        <v>29</v>
      </c>
      <c r="C954" s="182" t="s">
        <v>28</v>
      </c>
      <c r="D954" s="182">
        <v>12</v>
      </c>
      <c r="E954" s="182">
        <f>unskilled</f>
        <v>935</v>
      </c>
      <c r="F954" s="184">
        <f>(D954*E954)</f>
        <v>11220</v>
      </c>
      <c r="G954" s="182" t="s">
        <v>359</v>
      </c>
      <c r="H954" s="216" t="s">
        <v>84</v>
      </c>
      <c r="I954" s="182">
        <v>80.3</v>
      </c>
      <c r="J954" s="182">
        <f>adopted_rate_aggregate_10_mm</f>
        <v>3175.2000000000003</v>
      </c>
      <c r="K954" s="182">
        <f>(I954*J954)</f>
        <v>254968.56000000003</v>
      </c>
      <c r="L954" s="182" t="s">
        <v>318</v>
      </c>
      <c r="M954" s="182" t="s">
        <v>58</v>
      </c>
      <c r="N954" s="182">
        <v>6</v>
      </c>
      <c r="O954" s="182">
        <f>chip_spreader</f>
        <v>1488</v>
      </c>
      <c r="P954" s="184">
        <f>(N954*O954)</f>
        <v>8928</v>
      </c>
    </row>
    <row r="955" spans="1:21" x14ac:dyDescent="0.25">
      <c r="B955" s="182" t="s">
        <v>47</v>
      </c>
      <c r="C955" s="182" t="s">
        <v>28</v>
      </c>
      <c r="D955" s="182">
        <v>3</v>
      </c>
      <c r="E955" s="182">
        <f>skilled</f>
        <v>1245</v>
      </c>
      <c r="F955" s="184">
        <f>(D955*E955)</f>
        <v>3735</v>
      </c>
      <c r="L955" s="182" t="s">
        <v>308</v>
      </c>
      <c r="M955" s="182" t="s">
        <v>58</v>
      </c>
      <c r="N955" s="182">
        <v>12</v>
      </c>
      <c r="O955" s="182">
        <f>pneumatic_roller</f>
        <v>2121</v>
      </c>
      <c r="P955" s="184">
        <f>(N955*O955)</f>
        <v>25452</v>
      </c>
    </row>
    <row r="956" spans="1:21" x14ac:dyDescent="0.25">
      <c r="A956" s="537" t="s">
        <v>30</v>
      </c>
      <c r="B956" s="537"/>
      <c r="C956" s="537"/>
      <c r="D956" s="537"/>
      <c r="E956" s="537"/>
      <c r="F956" s="184">
        <f>SUM(F953:F955)</f>
        <v>14955</v>
      </c>
      <c r="G956" s="537" t="s">
        <v>31</v>
      </c>
      <c r="H956" s="537"/>
      <c r="I956" s="537"/>
      <c r="J956" s="537"/>
      <c r="K956" s="184">
        <f>SUM(K953:K955)</f>
        <v>254968.56000000003</v>
      </c>
      <c r="L956" s="537" t="s">
        <v>32</v>
      </c>
      <c r="M956" s="537"/>
      <c r="N956" s="537"/>
      <c r="O956" s="537"/>
      <c r="P956" s="184">
        <f>SUM(P953:P955)</f>
        <v>34380</v>
      </c>
      <c r="Q956" s="537" t="s">
        <v>38</v>
      </c>
      <c r="R956" s="537"/>
      <c r="S956" s="537"/>
      <c r="T956" s="537"/>
      <c r="U956" s="223">
        <f>SUM(U953:U955)</f>
        <v>0</v>
      </c>
    </row>
    <row r="957" spans="1:21" x14ac:dyDescent="0.25">
      <c r="A957" s="537" t="s">
        <v>33</v>
      </c>
      <c r="B957" s="537"/>
      <c r="C957" s="537"/>
      <c r="D957" s="537"/>
      <c r="E957" s="537"/>
      <c r="F957" s="184">
        <f>SUM(F956+K956+P956)</f>
        <v>304303.56000000006</v>
      </c>
      <c r="G957" s="537" t="s">
        <v>39</v>
      </c>
      <c r="H957" s="537"/>
      <c r="I957" s="537"/>
      <c r="J957" s="537"/>
      <c r="K957" s="184">
        <f>SUM(F956+K956+P956+U956)</f>
        <v>304303.56000000006</v>
      </c>
      <c r="L957" s="537" t="s">
        <v>40</v>
      </c>
      <c r="M957" s="537"/>
      <c r="N957" s="537"/>
      <c r="O957" s="537"/>
      <c r="P957" s="184">
        <f>SUM(K957*0.15)</f>
        <v>45645.534000000007</v>
      </c>
      <c r="Q957" s="537" t="s">
        <v>41</v>
      </c>
      <c r="R957" s="537"/>
      <c r="S957" s="537"/>
      <c r="T957" s="537"/>
      <c r="U957" s="223">
        <f>SUM(K957+P957)</f>
        <v>349949.09400000004</v>
      </c>
    </row>
    <row r="958" spans="1:21" x14ac:dyDescent="0.25">
      <c r="Q958" s="537" t="s">
        <v>42</v>
      </c>
      <c r="R958" s="537"/>
      <c r="S958" s="537"/>
      <c r="T958" s="537"/>
      <c r="U958" s="224">
        <f>ROUND((U957/9000),2)</f>
        <v>38.880000000000003</v>
      </c>
    </row>
    <row r="959" spans="1:21" x14ac:dyDescent="0.25">
      <c r="A959" s="544"/>
      <c r="B959" s="544"/>
      <c r="C959" s="544"/>
      <c r="D959" s="544"/>
      <c r="E959" s="544"/>
      <c r="F959" s="544"/>
      <c r="G959" s="544"/>
      <c r="H959" s="544"/>
      <c r="I959" s="544"/>
      <c r="J959" s="544"/>
      <c r="K959" s="544"/>
      <c r="L959" s="544"/>
      <c r="M959" s="544"/>
      <c r="N959" s="544"/>
      <c r="O959" s="544"/>
      <c r="P959" s="544"/>
      <c r="Q959" s="544"/>
      <c r="R959" s="544"/>
      <c r="S959" s="544"/>
      <c r="T959" s="544"/>
      <c r="U959" s="544"/>
    </row>
    <row r="960" spans="1:21" x14ac:dyDescent="0.25">
      <c r="A960" s="538" t="s">
        <v>12</v>
      </c>
      <c r="B960" s="538"/>
      <c r="C960" s="540" t="s">
        <v>360</v>
      </c>
      <c r="D960" s="540"/>
      <c r="E960" s="540"/>
      <c r="F960" s="540"/>
      <c r="G960" s="540"/>
      <c r="H960" s="540"/>
      <c r="I960" s="540"/>
      <c r="J960" s="540"/>
      <c r="K960" s="540"/>
      <c r="L960" s="540"/>
      <c r="M960" s="540"/>
      <c r="N960" s="540"/>
      <c r="O960" s="540"/>
      <c r="P960" s="540"/>
      <c r="Q960" s="540"/>
      <c r="R960" s="540"/>
      <c r="S960" s="540"/>
      <c r="T960" s="540"/>
      <c r="U960" s="541" t="s">
        <v>357</v>
      </c>
    </row>
    <row r="961" spans="1:21" x14ac:dyDescent="0.25">
      <c r="A961" s="538"/>
      <c r="B961" s="538"/>
      <c r="C961" s="540"/>
      <c r="D961" s="540"/>
      <c r="E961" s="540"/>
      <c r="F961" s="540"/>
      <c r="G961" s="540"/>
      <c r="H961" s="540"/>
      <c r="I961" s="540"/>
      <c r="J961" s="540"/>
      <c r="K961" s="540"/>
      <c r="L961" s="540"/>
      <c r="M961" s="540"/>
      <c r="N961" s="540"/>
      <c r="O961" s="540"/>
      <c r="P961" s="540"/>
      <c r="Q961" s="540"/>
      <c r="R961" s="540"/>
      <c r="S961" s="540"/>
      <c r="T961" s="540"/>
      <c r="U961" s="541"/>
    </row>
    <row r="962" spans="1:21" x14ac:dyDescent="0.25">
      <c r="A962" s="539" t="s">
        <v>347</v>
      </c>
      <c r="B962" s="539"/>
      <c r="C962" s="540"/>
      <c r="D962" s="540"/>
      <c r="E962" s="540"/>
      <c r="F962" s="540"/>
      <c r="G962" s="540"/>
      <c r="H962" s="540"/>
      <c r="I962" s="540"/>
      <c r="J962" s="540"/>
      <c r="K962" s="540"/>
      <c r="L962" s="540"/>
      <c r="M962" s="540"/>
      <c r="N962" s="540"/>
      <c r="O962" s="540"/>
      <c r="P962" s="540"/>
      <c r="Q962" s="540"/>
      <c r="R962" s="540"/>
      <c r="S962" s="540"/>
      <c r="T962" s="540"/>
      <c r="U962" s="541"/>
    </row>
    <row r="963" spans="1:21" x14ac:dyDescent="0.25">
      <c r="A963" s="542" t="s">
        <v>16</v>
      </c>
      <c r="B963" s="543" t="s">
        <v>18</v>
      </c>
      <c r="C963" s="543"/>
      <c r="D963" s="543"/>
      <c r="E963" s="543"/>
      <c r="F963" s="543"/>
      <c r="G963" s="543" t="s">
        <v>24</v>
      </c>
      <c r="H963" s="543"/>
      <c r="I963" s="543"/>
      <c r="J963" s="543"/>
      <c r="K963" s="543"/>
      <c r="L963" s="543" t="s">
        <v>25</v>
      </c>
      <c r="M963" s="543"/>
      <c r="N963" s="543"/>
      <c r="O963" s="543"/>
      <c r="P963" s="543"/>
      <c r="Q963" s="543" t="s">
        <v>26</v>
      </c>
      <c r="R963" s="543"/>
      <c r="S963" s="543"/>
      <c r="T963" s="543"/>
      <c r="U963" s="543"/>
    </row>
    <row r="964" spans="1:21" x14ac:dyDescent="0.25">
      <c r="A964" s="542"/>
      <c r="B964" s="182" t="s">
        <v>19</v>
      </c>
      <c r="C964" s="182" t="s">
        <v>20</v>
      </c>
      <c r="D964" s="182" t="s">
        <v>21</v>
      </c>
      <c r="E964" s="182" t="s">
        <v>22</v>
      </c>
      <c r="F964" s="182" t="s">
        <v>23</v>
      </c>
      <c r="G964" s="182" t="s">
        <v>19</v>
      </c>
      <c r="H964" s="216" t="s">
        <v>20</v>
      </c>
      <c r="I964" s="182" t="s">
        <v>21</v>
      </c>
      <c r="J964" s="182" t="s">
        <v>22</v>
      </c>
      <c r="K964" s="182" t="s">
        <v>23</v>
      </c>
      <c r="L964" s="182" t="s">
        <v>19</v>
      </c>
      <c r="M964" s="182" t="s">
        <v>20</v>
      </c>
      <c r="N964" s="182" t="s">
        <v>21</v>
      </c>
      <c r="O964" s="182" t="s">
        <v>22</v>
      </c>
      <c r="P964" s="182" t="s">
        <v>23</v>
      </c>
      <c r="Q964" s="182" t="s">
        <v>19</v>
      </c>
      <c r="R964" s="182" t="s">
        <v>20</v>
      </c>
      <c r="S964" s="182" t="s">
        <v>21</v>
      </c>
      <c r="T964" s="182" t="s">
        <v>22</v>
      </c>
      <c r="U964" s="211" t="s">
        <v>23</v>
      </c>
    </row>
    <row r="965" spans="1:21" ht="31.5" x14ac:dyDescent="0.25">
      <c r="A965" s="183" t="s">
        <v>361</v>
      </c>
      <c r="B965" s="182" t="s">
        <v>29</v>
      </c>
      <c r="C965" s="182" t="s">
        <v>28</v>
      </c>
      <c r="D965" s="182">
        <v>12</v>
      </c>
      <c r="E965" s="182">
        <f>unskilled</f>
        <v>935</v>
      </c>
      <c r="F965" s="184">
        <f>(D965*E965)</f>
        <v>11220</v>
      </c>
      <c r="G965" s="182" t="s">
        <v>362</v>
      </c>
      <c r="H965" s="216" t="s">
        <v>84</v>
      </c>
      <c r="I965" s="182">
        <v>48.2</v>
      </c>
      <c r="J965" s="182">
        <f>District_Rate!L12</f>
        <v>3175.2000000000003</v>
      </c>
      <c r="K965" s="182">
        <f>(I965*J965)</f>
        <v>153044.64000000001</v>
      </c>
      <c r="L965" s="182" t="s">
        <v>318</v>
      </c>
      <c r="M965" s="182" t="s">
        <v>58</v>
      </c>
      <c r="N965" s="182">
        <v>6</v>
      </c>
      <c r="O965" s="182">
        <f>chip_spreader</f>
        <v>1488</v>
      </c>
      <c r="P965" s="184">
        <f>(N965*O965)</f>
        <v>8928</v>
      </c>
    </row>
    <row r="966" spans="1:21" x14ac:dyDescent="0.25">
      <c r="B966" s="182" t="s">
        <v>47</v>
      </c>
      <c r="C966" s="182" t="s">
        <v>28</v>
      </c>
      <c r="D966" s="182">
        <v>3</v>
      </c>
      <c r="E966" s="182">
        <f>skilled</f>
        <v>1245</v>
      </c>
      <c r="F966" s="184">
        <f>(D966*E966)</f>
        <v>3735</v>
      </c>
      <c r="L966" s="182" t="s">
        <v>308</v>
      </c>
      <c r="M966" s="182" t="s">
        <v>58</v>
      </c>
      <c r="N966" s="182">
        <v>12</v>
      </c>
      <c r="O966" s="182">
        <f>pneumatic_roller</f>
        <v>2121</v>
      </c>
      <c r="P966" s="184">
        <f>(N966*O966)</f>
        <v>25452</v>
      </c>
    </row>
    <row r="967" spans="1:21" x14ac:dyDescent="0.25">
      <c r="A967" s="537" t="s">
        <v>30</v>
      </c>
      <c r="B967" s="537"/>
      <c r="C967" s="537"/>
      <c r="D967" s="537"/>
      <c r="E967" s="537"/>
      <c r="F967" s="184">
        <f>SUM(F964:F966)</f>
        <v>14955</v>
      </c>
      <c r="G967" s="537" t="s">
        <v>31</v>
      </c>
      <c r="H967" s="537"/>
      <c r="I967" s="537"/>
      <c r="J967" s="537"/>
      <c r="K967" s="184">
        <f>SUM(K964:K966)</f>
        <v>153044.64000000001</v>
      </c>
      <c r="L967" s="537" t="s">
        <v>32</v>
      </c>
      <c r="M967" s="537"/>
      <c r="N967" s="537"/>
      <c r="O967" s="537"/>
      <c r="P967" s="184">
        <f>SUM(P964:P966)</f>
        <v>34380</v>
      </c>
      <c r="Q967" s="537" t="s">
        <v>38</v>
      </c>
      <c r="R967" s="537"/>
      <c r="S967" s="537"/>
      <c r="T967" s="537"/>
      <c r="U967" s="223">
        <f>SUM(U964:U966)</f>
        <v>0</v>
      </c>
    </row>
    <row r="968" spans="1:21" x14ac:dyDescent="0.25">
      <c r="A968" s="537" t="s">
        <v>33</v>
      </c>
      <c r="B968" s="537"/>
      <c r="C968" s="537"/>
      <c r="D968" s="537"/>
      <c r="E968" s="537"/>
      <c r="F968" s="184">
        <f>SUM(F967+K967+P967)</f>
        <v>202379.64</v>
      </c>
      <c r="G968" s="537" t="s">
        <v>39</v>
      </c>
      <c r="H968" s="537"/>
      <c r="I968" s="537"/>
      <c r="J968" s="537"/>
      <c r="K968" s="184">
        <f>SUM(F967+K967+P967+U967)</f>
        <v>202379.64</v>
      </c>
      <c r="L968" s="537" t="s">
        <v>40</v>
      </c>
      <c r="M968" s="537"/>
      <c r="N968" s="537"/>
      <c r="O968" s="537"/>
      <c r="P968" s="184">
        <f>SUM(K968*0.15)</f>
        <v>30356.946</v>
      </c>
      <c r="Q968" s="537" t="s">
        <v>41</v>
      </c>
      <c r="R968" s="537"/>
      <c r="S968" s="537"/>
      <c r="T968" s="537"/>
      <c r="U968" s="223">
        <f>SUM(K968+P968)</f>
        <v>232736.58600000001</v>
      </c>
    </row>
    <row r="969" spans="1:21" x14ac:dyDescent="0.25">
      <c r="Q969" s="537" t="s">
        <v>42</v>
      </c>
      <c r="R969" s="537"/>
      <c r="S969" s="537"/>
      <c r="T969" s="537"/>
      <c r="U969" s="224">
        <f>ROUND((U968/9000),2)</f>
        <v>25.86</v>
      </c>
    </row>
    <row r="970" spans="1:21" x14ac:dyDescent="0.25">
      <c r="A970" s="544"/>
      <c r="B970" s="544"/>
      <c r="C970" s="544"/>
      <c r="D970" s="544"/>
      <c r="E970" s="544"/>
      <c r="F970" s="544"/>
      <c r="G970" s="544"/>
      <c r="H970" s="544"/>
      <c r="I970" s="544"/>
      <c r="J970" s="544"/>
      <c r="K970" s="544"/>
      <c r="L970" s="544"/>
      <c r="M970" s="544"/>
      <c r="N970" s="544"/>
      <c r="O970" s="544"/>
      <c r="P970" s="544"/>
      <c r="Q970" s="544"/>
      <c r="R970" s="544"/>
      <c r="S970" s="544"/>
      <c r="T970" s="544"/>
      <c r="U970" s="544"/>
    </row>
    <row r="971" spans="1:21" x14ac:dyDescent="0.25">
      <c r="A971" s="538" t="s">
        <v>12</v>
      </c>
      <c r="B971" s="538"/>
      <c r="C971" s="540" t="s">
        <v>364</v>
      </c>
      <c r="D971" s="540"/>
      <c r="E971" s="540"/>
      <c r="F971" s="540"/>
      <c r="G971" s="540"/>
      <c r="H971" s="540"/>
      <c r="I971" s="540"/>
      <c r="J971" s="540"/>
      <c r="K971" s="540"/>
      <c r="L971" s="540"/>
      <c r="M971" s="540"/>
      <c r="N971" s="540"/>
      <c r="O971" s="540"/>
      <c r="P971" s="540"/>
      <c r="Q971" s="540"/>
      <c r="R971" s="540"/>
      <c r="S971" s="540"/>
      <c r="T971" s="540"/>
      <c r="U971" s="541" t="s">
        <v>365</v>
      </c>
    </row>
    <row r="972" spans="1:21" x14ac:dyDescent="0.25">
      <c r="A972" s="538"/>
      <c r="B972" s="538"/>
      <c r="C972" s="540"/>
      <c r="D972" s="540"/>
      <c r="E972" s="540"/>
      <c r="F972" s="540"/>
      <c r="G972" s="540"/>
      <c r="H972" s="540"/>
      <c r="I972" s="540"/>
      <c r="J972" s="540"/>
      <c r="K972" s="540"/>
      <c r="L972" s="540"/>
      <c r="M972" s="540"/>
      <c r="N972" s="540"/>
      <c r="O972" s="540"/>
      <c r="P972" s="540"/>
      <c r="Q972" s="540"/>
      <c r="R972" s="540"/>
      <c r="S972" s="540"/>
      <c r="T972" s="540"/>
      <c r="U972" s="541"/>
    </row>
    <row r="973" spans="1:21" x14ac:dyDescent="0.25">
      <c r="A973" s="539" t="s">
        <v>363</v>
      </c>
      <c r="B973" s="539"/>
      <c r="C973" s="540"/>
      <c r="D973" s="540"/>
      <c r="E973" s="540"/>
      <c r="F973" s="540"/>
      <c r="G973" s="540"/>
      <c r="H973" s="540"/>
      <c r="I973" s="540"/>
      <c r="J973" s="540"/>
      <c r="K973" s="540"/>
      <c r="L973" s="540"/>
      <c r="M973" s="540"/>
      <c r="N973" s="540"/>
      <c r="O973" s="540"/>
      <c r="P973" s="540"/>
      <c r="Q973" s="540"/>
      <c r="R973" s="540"/>
      <c r="S973" s="540"/>
      <c r="T973" s="540"/>
      <c r="U973" s="541"/>
    </row>
    <row r="974" spans="1:21" x14ac:dyDescent="0.25">
      <c r="A974" s="542" t="s">
        <v>16</v>
      </c>
      <c r="B974" s="543" t="s">
        <v>18</v>
      </c>
      <c r="C974" s="543"/>
      <c r="D974" s="543"/>
      <c r="E974" s="543"/>
      <c r="F974" s="543"/>
      <c r="G974" s="543" t="s">
        <v>24</v>
      </c>
      <c r="H974" s="543"/>
      <c r="I974" s="543"/>
      <c r="J974" s="543"/>
      <c r="K974" s="543"/>
      <c r="L974" s="543" t="s">
        <v>25</v>
      </c>
      <c r="M974" s="543"/>
      <c r="N974" s="543"/>
      <c r="O974" s="543"/>
      <c r="P974" s="543"/>
      <c r="Q974" s="543" t="s">
        <v>26</v>
      </c>
      <c r="R974" s="543"/>
      <c r="S974" s="543"/>
      <c r="T974" s="543"/>
      <c r="U974" s="543"/>
    </row>
    <row r="975" spans="1:21" x14ac:dyDescent="0.25">
      <c r="A975" s="542"/>
      <c r="B975" s="182" t="s">
        <v>19</v>
      </c>
      <c r="C975" s="182" t="s">
        <v>20</v>
      </c>
      <c r="D975" s="182" t="s">
        <v>21</v>
      </c>
      <c r="E975" s="182" t="s">
        <v>22</v>
      </c>
      <c r="F975" s="182" t="s">
        <v>23</v>
      </c>
      <c r="G975" s="182" t="s">
        <v>19</v>
      </c>
      <c r="H975" s="216" t="s">
        <v>20</v>
      </c>
      <c r="I975" s="182" t="s">
        <v>21</v>
      </c>
      <c r="J975" s="182" t="s">
        <v>22</v>
      </c>
      <c r="K975" s="182" t="s">
        <v>23</v>
      </c>
      <c r="L975" s="182" t="s">
        <v>19</v>
      </c>
      <c r="M975" s="182" t="s">
        <v>20</v>
      </c>
      <c r="N975" s="182" t="s">
        <v>21</v>
      </c>
      <c r="O975" s="182" t="s">
        <v>22</v>
      </c>
      <c r="P975" s="182" t="s">
        <v>23</v>
      </c>
      <c r="Q975" s="182" t="s">
        <v>19</v>
      </c>
      <c r="R975" s="182" t="s">
        <v>20</v>
      </c>
      <c r="S975" s="182" t="s">
        <v>21</v>
      </c>
      <c r="T975" s="182" t="s">
        <v>22</v>
      </c>
      <c r="U975" s="211" t="s">
        <v>23</v>
      </c>
    </row>
    <row r="976" spans="1:21" x14ac:dyDescent="0.25">
      <c r="A976" s="183" t="s">
        <v>366</v>
      </c>
      <c r="B976" s="182" t="s">
        <v>47</v>
      </c>
      <c r="C976" s="182" t="s">
        <v>28</v>
      </c>
      <c r="D976" s="182">
        <v>1</v>
      </c>
      <c r="E976" s="182">
        <f>skilled</f>
        <v>1245</v>
      </c>
      <c r="F976" s="184">
        <f>(D976*E976)</f>
        <v>1245</v>
      </c>
      <c r="G976" s="182" t="s">
        <v>297</v>
      </c>
      <c r="H976" s="216" t="s">
        <v>35</v>
      </c>
      <c r="I976" s="182">
        <v>5.34</v>
      </c>
      <c r="J976" s="182">
        <f>adopted_rate_bitumen</f>
        <v>108000</v>
      </c>
      <c r="K976" s="182">
        <f>(I976*J976)</f>
        <v>576720</v>
      </c>
      <c r="L976" s="182" t="s">
        <v>368</v>
      </c>
      <c r="M976" s="182" t="s">
        <v>58</v>
      </c>
      <c r="N976" s="182">
        <v>3</v>
      </c>
      <c r="O976" s="182">
        <f>hot_mix_plant</f>
        <v>28602</v>
      </c>
      <c r="P976" s="184">
        <f>(N976*O976)</f>
        <v>85806</v>
      </c>
    </row>
    <row r="977" spans="1:21" x14ac:dyDescent="0.25">
      <c r="B977" s="182" t="s">
        <v>29</v>
      </c>
      <c r="C977" s="182" t="s">
        <v>28</v>
      </c>
      <c r="D977" s="182">
        <v>6</v>
      </c>
      <c r="E977" s="182">
        <f>unskilled</f>
        <v>935</v>
      </c>
      <c r="F977" s="184">
        <f>(D977*E977)</f>
        <v>5610</v>
      </c>
      <c r="G977" s="182" t="s">
        <v>367</v>
      </c>
      <c r="H977" s="216" t="s">
        <v>84</v>
      </c>
      <c r="I977" s="182">
        <v>47.16</v>
      </c>
      <c r="J977" s="182">
        <f>District_Rate!L12</f>
        <v>3175.2000000000003</v>
      </c>
      <c r="K977" s="182">
        <f>(I977*J977)</f>
        <v>149742.432</v>
      </c>
      <c r="L977" s="182" t="s">
        <v>76</v>
      </c>
      <c r="M977" s="182" t="s">
        <v>58</v>
      </c>
      <c r="N977" s="182">
        <v>3</v>
      </c>
      <c r="O977" s="182">
        <f>generator</f>
        <v>855</v>
      </c>
      <c r="P977" s="184">
        <f>(N977*O977)</f>
        <v>2565</v>
      </c>
    </row>
    <row r="978" spans="1:21" x14ac:dyDescent="0.25">
      <c r="L978" s="182" t="s">
        <v>258</v>
      </c>
      <c r="M978" s="182" t="s">
        <v>58</v>
      </c>
      <c r="N978" s="182">
        <v>6</v>
      </c>
      <c r="O978" s="182">
        <f>paver_finisher</f>
        <v>2374</v>
      </c>
      <c r="P978" s="184">
        <f>(N978*O978)</f>
        <v>14244</v>
      </c>
    </row>
    <row r="979" spans="1:21" x14ac:dyDescent="0.25">
      <c r="L979" s="182" t="s">
        <v>369</v>
      </c>
      <c r="M979" s="182" t="s">
        <v>58</v>
      </c>
      <c r="N979" s="182">
        <v>6</v>
      </c>
      <c r="O979" s="182">
        <f>smooth_wheel_roller</f>
        <v>1089</v>
      </c>
      <c r="P979" s="184">
        <f>(N979*O979)</f>
        <v>6534</v>
      </c>
    </row>
    <row r="980" spans="1:21" x14ac:dyDescent="0.25">
      <c r="A980" s="537" t="s">
        <v>30</v>
      </c>
      <c r="B980" s="537"/>
      <c r="C980" s="537"/>
      <c r="D980" s="537"/>
      <c r="E980" s="537"/>
      <c r="F980" s="184">
        <f>SUM(F975:F979)</f>
        <v>6855</v>
      </c>
      <c r="G980" s="537" t="s">
        <v>31</v>
      </c>
      <c r="H980" s="537"/>
      <c r="I980" s="537"/>
      <c r="J980" s="537"/>
      <c r="K980" s="184">
        <f>SUM(K975:K979)</f>
        <v>726462.43200000003</v>
      </c>
      <c r="L980" s="537" t="s">
        <v>32</v>
      </c>
      <c r="M980" s="537"/>
      <c r="N980" s="537"/>
      <c r="O980" s="537"/>
      <c r="P980" s="184">
        <f>SUM(P975:P979)</f>
        <v>109149</v>
      </c>
      <c r="Q980" s="537" t="s">
        <v>38</v>
      </c>
      <c r="R980" s="537"/>
      <c r="S980" s="537"/>
      <c r="T980" s="537"/>
      <c r="U980" s="223">
        <f>SUM(U975:U979)</f>
        <v>0</v>
      </c>
    </row>
    <row r="981" spans="1:21" x14ac:dyDescent="0.25">
      <c r="A981" s="537" t="s">
        <v>33</v>
      </c>
      <c r="B981" s="537"/>
      <c r="C981" s="537"/>
      <c r="D981" s="537"/>
      <c r="E981" s="537"/>
      <c r="F981" s="184">
        <f>SUM(F980+K980+P980)</f>
        <v>842466.43200000003</v>
      </c>
      <c r="G981" s="537" t="s">
        <v>39</v>
      </c>
      <c r="H981" s="537"/>
      <c r="I981" s="537"/>
      <c r="J981" s="537"/>
      <c r="K981" s="184">
        <f>SUM(F980+K980+P980+U980)</f>
        <v>842466.43200000003</v>
      </c>
      <c r="L981" s="537" t="s">
        <v>40</v>
      </c>
      <c r="M981" s="537"/>
      <c r="N981" s="537"/>
      <c r="O981" s="537"/>
      <c r="P981" s="184">
        <f>SUM(K981*0.15)</f>
        <v>126369.9648</v>
      </c>
      <c r="Q981" s="537" t="s">
        <v>41</v>
      </c>
      <c r="R981" s="537"/>
      <c r="S981" s="537"/>
      <c r="T981" s="537"/>
      <c r="U981" s="223">
        <f>SUM(K981+P981)</f>
        <v>968836.39679999999</v>
      </c>
    </row>
    <row r="982" spans="1:21" x14ac:dyDescent="0.25">
      <c r="Q982" s="537" t="s">
        <v>42</v>
      </c>
      <c r="R982" s="537"/>
      <c r="S982" s="537"/>
      <c r="T982" s="537"/>
      <c r="U982" s="224">
        <f>ROUND((U981/7858),2)</f>
        <v>123.29</v>
      </c>
    </row>
    <row r="983" spans="1:21" x14ac:dyDescent="0.25">
      <c r="A983" s="544"/>
      <c r="B983" s="544"/>
      <c r="C983" s="544"/>
      <c r="D983" s="544"/>
      <c r="E983" s="544"/>
      <c r="F983" s="544"/>
      <c r="G983" s="544"/>
      <c r="H983" s="544"/>
      <c r="I983" s="544"/>
      <c r="J983" s="544"/>
      <c r="K983" s="544"/>
      <c r="L983" s="544"/>
      <c r="M983" s="544"/>
      <c r="N983" s="544"/>
      <c r="O983" s="544"/>
      <c r="P983" s="544"/>
      <c r="Q983" s="544"/>
      <c r="R983" s="544"/>
      <c r="S983" s="544"/>
      <c r="T983" s="544"/>
      <c r="U983" s="544"/>
    </row>
    <row r="984" spans="1:21" x14ac:dyDescent="0.25">
      <c r="A984" s="538" t="s">
        <v>12</v>
      </c>
      <c r="B984" s="538"/>
      <c r="C984" s="540" t="s">
        <v>370</v>
      </c>
      <c r="D984" s="540"/>
      <c r="E984" s="540"/>
      <c r="F984" s="540"/>
      <c r="G984" s="540"/>
      <c r="H984" s="540"/>
      <c r="I984" s="540"/>
      <c r="J984" s="540"/>
      <c r="K984" s="540"/>
      <c r="L984" s="540"/>
      <c r="M984" s="540"/>
      <c r="N984" s="540"/>
      <c r="O984" s="540"/>
      <c r="P984" s="540"/>
      <c r="Q984" s="540"/>
      <c r="R984" s="540"/>
      <c r="S984" s="540"/>
      <c r="T984" s="540"/>
      <c r="U984" s="541" t="s">
        <v>371</v>
      </c>
    </row>
    <row r="985" spans="1:21" x14ac:dyDescent="0.25">
      <c r="A985" s="538"/>
      <c r="B985" s="538"/>
      <c r="C985" s="540"/>
      <c r="D985" s="540"/>
      <c r="E985" s="540"/>
      <c r="F985" s="540"/>
      <c r="G985" s="540"/>
      <c r="H985" s="540"/>
      <c r="I985" s="540"/>
      <c r="J985" s="540"/>
      <c r="K985" s="540"/>
      <c r="L985" s="540"/>
      <c r="M985" s="540"/>
      <c r="N985" s="540"/>
      <c r="O985" s="540"/>
      <c r="P985" s="540"/>
      <c r="Q985" s="540"/>
      <c r="R985" s="540"/>
      <c r="S985" s="540"/>
      <c r="T985" s="540"/>
      <c r="U985" s="541"/>
    </row>
    <row r="986" spans="1:21" x14ac:dyDescent="0.25">
      <c r="A986" s="539" t="s">
        <v>363</v>
      </c>
      <c r="B986" s="539"/>
      <c r="C986" s="540"/>
      <c r="D986" s="540"/>
      <c r="E986" s="540"/>
      <c r="F986" s="540"/>
      <c r="G986" s="540"/>
      <c r="H986" s="540"/>
      <c r="I986" s="540"/>
      <c r="J986" s="540"/>
      <c r="K986" s="540"/>
      <c r="L986" s="540"/>
      <c r="M986" s="540"/>
      <c r="N986" s="540"/>
      <c r="O986" s="540"/>
      <c r="P986" s="540"/>
      <c r="Q986" s="540"/>
      <c r="R986" s="540"/>
      <c r="S986" s="540"/>
      <c r="T986" s="540"/>
      <c r="U986" s="541"/>
    </row>
    <row r="987" spans="1:21" x14ac:dyDescent="0.25">
      <c r="A987" s="542" t="s">
        <v>16</v>
      </c>
      <c r="B987" s="543" t="s">
        <v>18</v>
      </c>
      <c r="C987" s="543"/>
      <c r="D987" s="543"/>
      <c r="E987" s="543"/>
      <c r="F987" s="543"/>
      <c r="G987" s="543" t="s">
        <v>24</v>
      </c>
      <c r="H987" s="543"/>
      <c r="I987" s="543"/>
      <c r="J987" s="543"/>
      <c r="K987" s="543"/>
      <c r="L987" s="543" t="s">
        <v>25</v>
      </c>
      <c r="M987" s="543"/>
      <c r="N987" s="543"/>
      <c r="O987" s="543"/>
      <c r="P987" s="543"/>
      <c r="Q987" s="543" t="s">
        <v>26</v>
      </c>
      <c r="R987" s="543"/>
      <c r="S987" s="543"/>
      <c r="T987" s="543"/>
      <c r="U987" s="543"/>
    </row>
    <row r="988" spans="1:21" x14ac:dyDescent="0.25">
      <c r="A988" s="542"/>
      <c r="B988" s="182" t="s">
        <v>19</v>
      </c>
      <c r="C988" s="182" t="s">
        <v>20</v>
      </c>
      <c r="D988" s="182" t="s">
        <v>21</v>
      </c>
      <c r="E988" s="182" t="s">
        <v>22</v>
      </c>
      <c r="F988" s="182" t="s">
        <v>23</v>
      </c>
      <c r="G988" s="182" t="s">
        <v>19</v>
      </c>
      <c r="H988" s="216" t="s">
        <v>20</v>
      </c>
      <c r="I988" s="182" t="s">
        <v>21</v>
      </c>
      <c r="J988" s="182" t="s">
        <v>22</v>
      </c>
      <c r="K988" s="182" t="s">
        <v>23</v>
      </c>
      <c r="L988" s="182" t="s">
        <v>19</v>
      </c>
      <c r="M988" s="182" t="s">
        <v>20</v>
      </c>
      <c r="N988" s="182" t="s">
        <v>21</v>
      </c>
      <c r="O988" s="182" t="s">
        <v>22</v>
      </c>
      <c r="P988" s="182" t="s">
        <v>23</v>
      </c>
      <c r="Q988" s="182" t="s">
        <v>19</v>
      </c>
      <c r="R988" s="182" t="s">
        <v>20</v>
      </c>
      <c r="S988" s="182" t="s">
        <v>21</v>
      </c>
      <c r="T988" s="182" t="s">
        <v>22</v>
      </c>
      <c r="U988" s="211" t="s">
        <v>23</v>
      </c>
    </row>
    <row r="989" spans="1:21" x14ac:dyDescent="0.25">
      <c r="A989" s="183" t="s">
        <v>372</v>
      </c>
      <c r="B989" s="182" t="s">
        <v>47</v>
      </c>
      <c r="C989" s="182" t="s">
        <v>28</v>
      </c>
      <c r="D989" s="182">
        <v>1</v>
      </c>
      <c r="E989" s="182">
        <f>skilled</f>
        <v>1245</v>
      </c>
      <c r="F989" s="184">
        <f>(D989*E989)</f>
        <v>1245</v>
      </c>
      <c r="G989" s="182" t="s">
        <v>373</v>
      </c>
      <c r="H989" s="216" t="s">
        <v>35</v>
      </c>
      <c r="I989" s="182">
        <v>19.36</v>
      </c>
      <c r="J989" s="182">
        <f>adopted_rate_emulsion</f>
        <v>94000</v>
      </c>
      <c r="K989" s="182">
        <f>(I989*J989)</f>
        <v>1819840</v>
      </c>
      <c r="L989" s="182" t="s">
        <v>288</v>
      </c>
      <c r="M989" s="182" t="s">
        <v>58</v>
      </c>
      <c r="N989" s="182">
        <v>6</v>
      </c>
      <c r="O989" s="182">
        <f>mechanical_broom</f>
        <v>1393</v>
      </c>
      <c r="P989" s="184">
        <f>(N989*O989)</f>
        <v>8358</v>
      </c>
    </row>
    <row r="990" spans="1:21" x14ac:dyDescent="0.25">
      <c r="B990" s="182" t="s">
        <v>29</v>
      </c>
      <c r="C990" s="182" t="s">
        <v>28</v>
      </c>
      <c r="D990" s="182">
        <v>8</v>
      </c>
      <c r="E990" s="182">
        <f>unskilled</f>
        <v>935</v>
      </c>
      <c r="F990" s="184">
        <f>(D990*E990)</f>
        <v>7480</v>
      </c>
      <c r="G990" s="182" t="s">
        <v>374</v>
      </c>
      <c r="H990" s="216" t="s">
        <v>84</v>
      </c>
      <c r="I990" s="182">
        <v>102.08</v>
      </c>
      <c r="J990" s="182">
        <f>adopted_rate_sand</f>
        <v>3175.2000000000003</v>
      </c>
      <c r="K990" s="182">
        <f>(I990*J990)</f>
        <v>324124.41600000003</v>
      </c>
      <c r="L990" s="182" t="s">
        <v>63</v>
      </c>
      <c r="M990" s="182" t="s">
        <v>58</v>
      </c>
      <c r="N990" s="182">
        <v>6</v>
      </c>
      <c r="O990" s="182">
        <f>air_compressor</f>
        <v>1190</v>
      </c>
      <c r="P990" s="184">
        <f>(N990*O990)</f>
        <v>7140</v>
      </c>
    </row>
    <row r="991" spans="1:21" ht="31.5" x14ac:dyDescent="0.25">
      <c r="G991" s="182" t="s">
        <v>375</v>
      </c>
      <c r="H991" s="216" t="s">
        <v>35</v>
      </c>
      <c r="I991" s="182">
        <v>3.52</v>
      </c>
      <c r="J991" s="182">
        <f>adopted_rate_stone_dust</f>
        <v>1234.8</v>
      </c>
      <c r="K991" s="182">
        <f>(I991*J991)</f>
        <v>4346.4960000000001</v>
      </c>
      <c r="L991" s="182" t="s">
        <v>376</v>
      </c>
      <c r="M991" s="182" t="s">
        <v>58</v>
      </c>
      <c r="N991" s="182">
        <v>6</v>
      </c>
      <c r="O991" s="182">
        <f>mobile_slurry_seal_equipment</f>
        <v>1397</v>
      </c>
      <c r="P991" s="184">
        <f>(N991*O991)</f>
        <v>8382</v>
      </c>
    </row>
    <row r="992" spans="1:21" x14ac:dyDescent="0.25">
      <c r="G992" s="182" t="s">
        <v>171</v>
      </c>
      <c r="H992" s="216" t="s">
        <v>172</v>
      </c>
      <c r="I992" s="182">
        <v>12</v>
      </c>
      <c r="J992" s="182">
        <f>adopted_rate_water</f>
        <v>310</v>
      </c>
      <c r="K992" s="182">
        <f>(I992*J992)</f>
        <v>3720</v>
      </c>
      <c r="L992" s="182" t="s">
        <v>308</v>
      </c>
      <c r="M992" s="182" t="s">
        <v>58</v>
      </c>
      <c r="N992" s="182">
        <v>6</v>
      </c>
      <c r="O992" s="182">
        <f>pneumatic_roller</f>
        <v>2121</v>
      </c>
      <c r="P992" s="184">
        <f>(N992*O992)</f>
        <v>12726</v>
      </c>
    </row>
    <row r="993" spans="1:21" x14ac:dyDescent="0.25">
      <c r="A993" s="537" t="s">
        <v>30</v>
      </c>
      <c r="B993" s="537"/>
      <c r="C993" s="537"/>
      <c r="D993" s="537"/>
      <c r="E993" s="537"/>
      <c r="F993" s="184">
        <f>SUM(F988:F992)</f>
        <v>8725</v>
      </c>
      <c r="G993" s="537" t="s">
        <v>31</v>
      </c>
      <c r="H993" s="537"/>
      <c r="I993" s="537"/>
      <c r="J993" s="537"/>
      <c r="K993" s="184">
        <f>SUM(K988:K992)</f>
        <v>2152030.912</v>
      </c>
      <c r="L993" s="537" t="s">
        <v>32</v>
      </c>
      <c r="M993" s="537"/>
      <c r="N993" s="537"/>
      <c r="O993" s="537"/>
      <c r="P993" s="184">
        <f>SUM(P988:P992)</f>
        <v>36606</v>
      </c>
      <c r="Q993" s="537" t="s">
        <v>38</v>
      </c>
      <c r="R993" s="537"/>
      <c r="S993" s="537"/>
      <c r="T993" s="537"/>
      <c r="U993" s="223">
        <f>SUM(U988:U992)</f>
        <v>0</v>
      </c>
    </row>
    <row r="994" spans="1:21" x14ac:dyDescent="0.25">
      <c r="A994" s="537" t="s">
        <v>33</v>
      </c>
      <c r="B994" s="537"/>
      <c r="C994" s="537"/>
      <c r="D994" s="537"/>
      <c r="E994" s="537"/>
      <c r="F994" s="184">
        <f>SUM(F993+K993+P993)</f>
        <v>2197361.912</v>
      </c>
      <c r="G994" s="537" t="s">
        <v>39</v>
      </c>
      <c r="H994" s="537"/>
      <c r="I994" s="537"/>
      <c r="J994" s="537"/>
      <c r="K994" s="184">
        <f>SUM(F993+K993+P993+U993)</f>
        <v>2197361.912</v>
      </c>
      <c r="L994" s="537" t="s">
        <v>40</v>
      </c>
      <c r="M994" s="537"/>
      <c r="N994" s="537"/>
      <c r="O994" s="537"/>
      <c r="P994" s="184">
        <f>SUM(K994*0.15)</f>
        <v>329604.2868</v>
      </c>
      <c r="Q994" s="537" t="s">
        <v>41</v>
      </c>
      <c r="R994" s="537"/>
      <c r="S994" s="537"/>
      <c r="T994" s="537"/>
      <c r="U994" s="223">
        <f>SUM(K994+P994)</f>
        <v>2526966.1987999999</v>
      </c>
    </row>
    <row r="995" spans="1:21" x14ac:dyDescent="0.25">
      <c r="Q995" s="537" t="s">
        <v>42</v>
      </c>
      <c r="R995" s="537"/>
      <c r="S995" s="537"/>
      <c r="T995" s="537"/>
      <c r="U995" s="224">
        <f>ROUND((U994/16000),2)</f>
        <v>157.94</v>
      </c>
    </row>
    <row r="996" spans="1:21" x14ac:dyDescent="0.25">
      <c r="A996" s="544"/>
      <c r="B996" s="544"/>
      <c r="C996" s="544"/>
      <c r="D996" s="544"/>
      <c r="E996" s="544"/>
      <c r="F996" s="544"/>
      <c r="G996" s="544"/>
      <c r="H996" s="544"/>
      <c r="I996" s="544"/>
      <c r="J996" s="544"/>
      <c r="K996" s="544"/>
      <c r="L996" s="544"/>
      <c r="M996" s="544"/>
      <c r="N996" s="544"/>
      <c r="O996" s="544"/>
      <c r="P996" s="544"/>
      <c r="Q996" s="544"/>
      <c r="R996" s="544"/>
      <c r="S996" s="544"/>
      <c r="T996" s="544"/>
      <c r="U996" s="544"/>
    </row>
    <row r="997" spans="1:21" x14ac:dyDescent="0.25">
      <c r="A997" s="538" t="s">
        <v>12</v>
      </c>
      <c r="B997" s="538"/>
      <c r="C997" s="540" t="s">
        <v>377</v>
      </c>
      <c r="D997" s="540"/>
      <c r="E997" s="540"/>
      <c r="F997" s="540"/>
      <c r="G997" s="540"/>
      <c r="H997" s="540"/>
      <c r="I997" s="540"/>
      <c r="J997" s="540"/>
      <c r="K997" s="540"/>
      <c r="L997" s="540"/>
      <c r="M997" s="540"/>
      <c r="N997" s="540"/>
      <c r="O997" s="540"/>
      <c r="P997" s="540"/>
      <c r="Q997" s="540"/>
      <c r="R997" s="540"/>
      <c r="S997" s="540"/>
      <c r="T997" s="540"/>
      <c r="U997" s="541" t="s">
        <v>378</v>
      </c>
    </row>
    <row r="998" spans="1:21" x14ac:dyDescent="0.25">
      <c r="A998" s="538"/>
      <c r="B998" s="538"/>
      <c r="C998" s="540"/>
      <c r="D998" s="540"/>
      <c r="E998" s="540"/>
      <c r="F998" s="540"/>
      <c r="G998" s="540"/>
      <c r="H998" s="540"/>
      <c r="I998" s="540"/>
      <c r="J998" s="540"/>
      <c r="K998" s="540"/>
      <c r="L998" s="540"/>
      <c r="M998" s="540"/>
      <c r="N998" s="540"/>
      <c r="O998" s="540"/>
      <c r="P998" s="540"/>
      <c r="Q998" s="540"/>
      <c r="R998" s="540"/>
      <c r="S998" s="540"/>
      <c r="T998" s="540"/>
      <c r="U998" s="541"/>
    </row>
    <row r="999" spans="1:21" x14ac:dyDescent="0.25">
      <c r="A999" s="539" t="s">
        <v>363</v>
      </c>
      <c r="B999" s="539"/>
      <c r="C999" s="540"/>
      <c r="D999" s="540"/>
      <c r="E999" s="540"/>
      <c r="F999" s="540"/>
      <c r="G999" s="540"/>
      <c r="H999" s="540"/>
      <c r="I999" s="540"/>
      <c r="J999" s="540"/>
      <c r="K999" s="540"/>
      <c r="L999" s="540"/>
      <c r="M999" s="540"/>
      <c r="N999" s="540"/>
      <c r="O999" s="540"/>
      <c r="P999" s="540"/>
      <c r="Q999" s="540"/>
      <c r="R999" s="540"/>
      <c r="S999" s="540"/>
      <c r="T999" s="540"/>
      <c r="U999" s="541"/>
    </row>
    <row r="1000" spans="1:21" x14ac:dyDescent="0.25">
      <c r="A1000" s="542" t="s">
        <v>16</v>
      </c>
      <c r="B1000" s="543" t="s">
        <v>18</v>
      </c>
      <c r="C1000" s="543"/>
      <c r="D1000" s="543"/>
      <c r="E1000" s="543"/>
      <c r="F1000" s="543"/>
      <c r="G1000" s="543" t="s">
        <v>24</v>
      </c>
      <c r="H1000" s="543"/>
      <c r="I1000" s="543"/>
      <c r="J1000" s="543"/>
      <c r="K1000" s="543"/>
      <c r="L1000" s="543" t="s">
        <v>25</v>
      </c>
      <c r="M1000" s="543"/>
      <c r="N1000" s="543"/>
      <c r="O1000" s="543"/>
      <c r="P1000" s="543"/>
      <c r="Q1000" s="543" t="s">
        <v>26</v>
      </c>
      <c r="R1000" s="543"/>
      <c r="S1000" s="543"/>
      <c r="T1000" s="543"/>
      <c r="U1000" s="543"/>
    </row>
    <row r="1001" spans="1:21" x14ac:dyDescent="0.25">
      <c r="A1001" s="542"/>
      <c r="B1001" s="182" t="s">
        <v>19</v>
      </c>
      <c r="C1001" s="182" t="s">
        <v>20</v>
      </c>
      <c r="D1001" s="182" t="s">
        <v>21</v>
      </c>
      <c r="E1001" s="182" t="s">
        <v>22</v>
      </c>
      <c r="F1001" s="182" t="s">
        <v>23</v>
      </c>
      <c r="G1001" s="182" t="s">
        <v>19</v>
      </c>
      <c r="H1001" s="216" t="s">
        <v>20</v>
      </c>
      <c r="I1001" s="182" t="s">
        <v>21</v>
      </c>
      <c r="J1001" s="182" t="s">
        <v>22</v>
      </c>
      <c r="K1001" s="182" t="s">
        <v>23</v>
      </c>
      <c r="L1001" s="182" t="s">
        <v>19</v>
      </c>
      <c r="M1001" s="182" t="s">
        <v>20</v>
      </c>
      <c r="N1001" s="182" t="s">
        <v>21</v>
      </c>
      <c r="O1001" s="182" t="s">
        <v>22</v>
      </c>
      <c r="P1001" s="182" t="s">
        <v>23</v>
      </c>
      <c r="Q1001" s="182" t="s">
        <v>19</v>
      </c>
      <c r="R1001" s="182" t="s">
        <v>20</v>
      </c>
      <c r="S1001" s="182" t="s">
        <v>21</v>
      </c>
      <c r="T1001" s="182" t="s">
        <v>22</v>
      </c>
      <c r="U1001" s="211" t="s">
        <v>23</v>
      </c>
    </row>
    <row r="1002" spans="1:21" x14ac:dyDescent="0.25">
      <c r="A1002" s="183" t="s">
        <v>379</v>
      </c>
      <c r="B1002" s="182" t="s">
        <v>47</v>
      </c>
      <c r="C1002" s="182" t="s">
        <v>28</v>
      </c>
      <c r="D1002" s="182">
        <v>1</v>
      </c>
      <c r="E1002" s="182">
        <f>skilled</f>
        <v>1245</v>
      </c>
      <c r="F1002" s="184">
        <f>(D1002*E1002)</f>
        <v>1245</v>
      </c>
      <c r="G1002" s="182" t="s">
        <v>373</v>
      </c>
      <c r="H1002" s="216" t="s">
        <v>35</v>
      </c>
      <c r="I1002" s="182">
        <v>17.16</v>
      </c>
      <c r="J1002" s="182">
        <f>adopted_rate_emulsion</f>
        <v>94000</v>
      </c>
      <c r="K1002" s="182">
        <f>(I1002*J1002)</f>
        <v>1613040</v>
      </c>
      <c r="L1002" s="182" t="s">
        <v>288</v>
      </c>
      <c r="M1002" s="182" t="s">
        <v>58</v>
      </c>
      <c r="N1002" s="182">
        <v>6</v>
      </c>
      <c r="O1002" s="182">
        <f>mechanical_broom</f>
        <v>1393</v>
      </c>
      <c r="P1002" s="184">
        <f>(N1002*O1002)</f>
        <v>8358</v>
      </c>
    </row>
    <row r="1003" spans="1:21" x14ac:dyDescent="0.25">
      <c r="B1003" s="182" t="s">
        <v>29</v>
      </c>
      <c r="C1003" s="182" t="s">
        <v>28</v>
      </c>
      <c r="D1003" s="182">
        <v>7</v>
      </c>
      <c r="E1003" s="182">
        <f>unskilled</f>
        <v>935</v>
      </c>
      <c r="F1003" s="184">
        <f>(D1003*E1003)</f>
        <v>6545</v>
      </c>
      <c r="G1003" s="182" t="s">
        <v>380</v>
      </c>
      <c r="H1003" s="216" t="s">
        <v>84</v>
      </c>
      <c r="I1003" s="182">
        <v>74.8</v>
      </c>
      <c r="J1003" s="182">
        <f>adopted_rate_sand</f>
        <v>3175.2000000000003</v>
      </c>
      <c r="K1003" s="182">
        <f>(I1003*J1003)</f>
        <v>237504.96000000002</v>
      </c>
      <c r="L1003" s="182" t="s">
        <v>63</v>
      </c>
      <c r="M1003" s="182" t="s">
        <v>58</v>
      </c>
      <c r="N1003" s="182">
        <v>6</v>
      </c>
      <c r="O1003" s="182">
        <f>air_compressor</f>
        <v>1190</v>
      </c>
      <c r="P1003" s="184">
        <f>(N1003*O1003)</f>
        <v>7140</v>
      </c>
    </row>
    <row r="1004" spans="1:21" ht="31.5" x14ac:dyDescent="0.25">
      <c r="G1004" s="182" t="s">
        <v>375</v>
      </c>
      <c r="H1004" s="216" t="s">
        <v>35</v>
      </c>
      <c r="I1004" s="182">
        <v>2.64</v>
      </c>
      <c r="J1004" s="182">
        <f>adopted_rate_stone_dust</f>
        <v>1234.8</v>
      </c>
      <c r="K1004" s="182">
        <f>(I1004*J1004)</f>
        <v>3259.8719999999998</v>
      </c>
      <c r="L1004" s="182" t="s">
        <v>376</v>
      </c>
      <c r="M1004" s="182" t="s">
        <v>58</v>
      </c>
      <c r="N1004" s="182">
        <v>6</v>
      </c>
      <c r="O1004" s="182">
        <f>mobile_slurry_seal_equipment</f>
        <v>1397</v>
      </c>
      <c r="P1004" s="184">
        <f>(N1004*O1004)</f>
        <v>8382</v>
      </c>
    </row>
    <row r="1005" spans="1:21" x14ac:dyDescent="0.25">
      <c r="G1005" s="182" t="s">
        <v>171</v>
      </c>
      <c r="H1005" s="216" t="s">
        <v>172</v>
      </c>
      <c r="I1005" s="182">
        <v>12</v>
      </c>
      <c r="J1005" s="182">
        <f>adopted_rate_water</f>
        <v>310</v>
      </c>
      <c r="K1005" s="182">
        <f>(I1005*J1005)</f>
        <v>3720</v>
      </c>
    </row>
    <row r="1006" spans="1:21" x14ac:dyDescent="0.25">
      <c r="A1006" s="537" t="s">
        <v>30</v>
      </c>
      <c r="B1006" s="537"/>
      <c r="C1006" s="537"/>
      <c r="D1006" s="537"/>
      <c r="E1006" s="537"/>
      <c r="F1006" s="184">
        <f>SUM(F1001:F1005)</f>
        <v>7790</v>
      </c>
      <c r="G1006" s="537" t="s">
        <v>31</v>
      </c>
      <c r="H1006" s="537"/>
      <c r="I1006" s="537"/>
      <c r="J1006" s="537"/>
      <c r="K1006" s="184">
        <f>SUM(K1001:K1005)</f>
        <v>1857524.8319999999</v>
      </c>
      <c r="L1006" s="537" t="s">
        <v>32</v>
      </c>
      <c r="M1006" s="537"/>
      <c r="N1006" s="537"/>
      <c r="O1006" s="537"/>
      <c r="P1006" s="184">
        <f>SUM(P1001:P1005)</f>
        <v>23880</v>
      </c>
      <c r="Q1006" s="537" t="s">
        <v>38</v>
      </c>
      <c r="R1006" s="537"/>
      <c r="S1006" s="537"/>
      <c r="T1006" s="537"/>
      <c r="U1006" s="223">
        <f>SUM(U1001:U1005)</f>
        <v>0</v>
      </c>
    </row>
    <row r="1007" spans="1:21" x14ac:dyDescent="0.25">
      <c r="A1007" s="537" t="s">
        <v>33</v>
      </c>
      <c r="B1007" s="537"/>
      <c r="C1007" s="537"/>
      <c r="D1007" s="537"/>
      <c r="E1007" s="537"/>
      <c r="F1007" s="184">
        <f>SUM(F1006+K1006+P1006)</f>
        <v>1889194.8319999999</v>
      </c>
      <c r="G1007" s="537" t="s">
        <v>39</v>
      </c>
      <c r="H1007" s="537"/>
      <c r="I1007" s="537"/>
      <c r="J1007" s="537"/>
      <c r="K1007" s="184">
        <f>SUM(F1006+K1006+P1006+U1006)</f>
        <v>1889194.8319999999</v>
      </c>
      <c r="L1007" s="537" t="s">
        <v>40</v>
      </c>
      <c r="M1007" s="537"/>
      <c r="N1007" s="537"/>
      <c r="O1007" s="537"/>
      <c r="P1007" s="184">
        <f>SUM(K1007*0.15)</f>
        <v>283379.22479999997</v>
      </c>
      <c r="Q1007" s="537" t="s">
        <v>41</v>
      </c>
      <c r="R1007" s="537"/>
      <c r="S1007" s="537"/>
      <c r="T1007" s="537"/>
      <c r="U1007" s="223">
        <f>SUM(K1007+P1007)</f>
        <v>2172574.0567999999</v>
      </c>
    </row>
    <row r="1008" spans="1:21" x14ac:dyDescent="0.25">
      <c r="Q1008" s="537" t="s">
        <v>42</v>
      </c>
      <c r="R1008" s="537"/>
      <c r="S1008" s="537"/>
      <c r="T1008" s="537"/>
      <c r="U1008" s="224">
        <f>ROUND((U1007/20000),2)</f>
        <v>108.63</v>
      </c>
    </row>
    <row r="1009" spans="1:21" x14ac:dyDescent="0.25">
      <c r="A1009" s="544"/>
      <c r="B1009" s="544"/>
      <c r="C1009" s="544"/>
      <c r="D1009" s="544"/>
      <c r="E1009" s="544"/>
      <c r="F1009" s="544"/>
      <c r="G1009" s="544"/>
      <c r="H1009" s="544"/>
      <c r="I1009" s="544"/>
      <c r="J1009" s="544"/>
      <c r="K1009" s="544"/>
      <c r="L1009" s="544"/>
      <c r="M1009" s="544"/>
      <c r="N1009" s="544"/>
      <c r="O1009" s="544"/>
      <c r="P1009" s="544"/>
      <c r="Q1009" s="544"/>
      <c r="R1009" s="544"/>
      <c r="S1009" s="544"/>
      <c r="T1009" s="544"/>
      <c r="U1009" s="544"/>
    </row>
    <row r="1010" spans="1:21" x14ac:dyDescent="0.25">
      <c r="A1010" s="538" t="s">
        <v>12</v>
      </c>
      <c r="B1010" s="538"/>
      <c r="C1010" s="540" t="s">
        <v>381</v>
      </c>
      <c r="D1010" s="540"/>
      <c r="E1010" s="540"/>
      <c r="F1010" s="540"/>
      <c r="G1010" s="540"/>
      <c r="H1010" s="540"/>
      <c r="I1010" s="540"/>
      <c r="J1010" s="540"/>
      <c r="K1010" s="540"/>
      <c r="L1010" s="540"/>
      <c r="M1010" s="540"/>
      <c r="N1010" s="540"/>
      <c r="O1010" s="540"/>
      <c r="P1010" s="540"/>
      <c r="Q1010" s="540"/>
      <c r="R1010" s="540"/>
      <c r="S1010" s="540"/>
      <c r="T1010" s="540"/>
      <c r="U1010" s="541" t="s">
        <v>382</v>
      </c>
    </row>
    <row r="1011" spans="1:21" x14ac:dyDescent="0.25">
      <c r="A1011" s="538"/>
      <c r="B1011" s="538"/>
      <c r="C1011" s="540"/>
      <c r="D1011" s="540"/>
      <c r="E1011" s="540"/>
      <c r="F1011" s="540"/>
      <c r="G1011" s="540"/>
      <c r="H1011" s="540"/>
      <c r="I1011" s="540"/>
      <c r="J1011" s="540"/>
      <c r="K1011" s="540"/>
      <c r="L1011" s="540"/>
      <c r="M1011" s="540"/>
      <c r="N1011" s="540"/>
      <c r="O1011" s="540"/>
      <c r="P1011" s="540"/>
      <c r="Q1011" s="540"/>
      <c r="R1011" s="540"/>
      <c r="S1011" s="540"/>
      <c r="T1011" s="540"/>
      <c r="U1011" s="541"/>
    </row>
    <row r="1012" spans="1:21" x14ac:dyDescent="0.25">
      <c r="A1012" s="539" t="s">
        <v>363</v>
      </c>
      <c r="B1012" s="539"/>
      <c r="C1012" s="540"/>
      <c r="D1012" s="540"/>
      <c r="E1012" s="540"/>
      <c r="F1012" s="540"/>
      <c r="G1012" s="540"/>
      <c r="H1012" s="540"/>
      <c r="I1012" s="540"/>
      <c r="J1012" s="540"/>
      <c r="K1012" s="540"/>
      <c r="L1012" s="540"/>
      <c r="M1012" s="540"/>
      <c r="N1012" s="540"/>
      <c r="O1012" s="540"/>
      <c r="P1012" s="540"/>
      <c r="Q1012" s="540"/>
      <c r="R1012" s="540"/>
      <c r="S1012" s="540"/>
      <c r="T1012" s="540"/>
      <c r="U1012" s="541"/>
    </row>
    <row r="1013" spans="1:21" x14ac:dyDescent="0.25">
      <c r="A1013" s="542" t="s">
        <v>16</v>
      </c>
      <c r="B1013" s="543" t="s">
        <v>18</v>
      </c>
      <c r="C1013" s="543"/>
      <c r="D1013" s="543"/>
      <c r="E1013" s="543"/>
      <c r="F1013" s="543"/>
      <c r="G1013" s="543" t="s">
        <v>24</v>
      </c>
      <c r="H1013" s="543"/>
      <c r="I1013" s="543"/>
      <c r="J1013" s="543"/>
      <c r="K1013" s="543"/>
      <c r="L1013" s="543" t="s">
        <v>25</v>
      </c>
      <c r="M1013" s="543"/>
      <c r="N1013" s="543"/>
      <c r="O1013" s="543"/>
      <c r="P1013" s="543"/>
      <c r="Q1013" s="543" t="s">
        <v>26</v>
      </c>
      <c r="R1013" s="543"/>
      <c r="S1013" s="543"/>
      <c r="T1013" s="543"/>
      <c r="U1013" s="543"/>
    </row>
    <row r="1014" spans="1:21" x14ac:dyDescent="0.25">
      <c r="A1014" s="542"/>
      <c r="B1014" s="182" t="s">
        <v>19</v>
      </c>
      <c r="C1014" s="182" t="s">
        <v>20</v>
      </c>
      <c r="D1014" s="182" t="s">
        <v>21</v>
      </c>
      <c r="E1014" s="182" t="s">
        <v>22</v>
      </c>
      <c r="F1014" s="182" t="s">
        <v>23</v>
      </c>
      <c r="G1014" s="182" t="s">
        <v>19</v>
      </c>
      <c r="H1014" s="216" t="s">
        <v>20</v>
      </c>
      <c r="I1014" s="182" t="s">
        <v>21</v>
      </c>
      <c r="J1014" s="182" t="s">
        <v>22</v>
      </c>
      <c r="K1014" s="182" t="s">
        <v>23</v>
      </c>
      <c r="L1014" s="182" t="s">
        <v>19</v>
      </c>
      <c r="M1014" s="182" t="s">
        <v>20</v>
      </c>
      <c r="N1014" s="182" t="s">
        <v>21</v>
      </c>
      <c r="O1014" s="182" t="s">
        <v>22</v>
      </c>
      <c r="P1014" s="182" t="s">
        <v>23</v>
      </c>
      <c r="Q1014" s="182" t="s">
        <v>19</v>
      </c>
      <c r="R1014" s="182" t="s">
        <v>20</v>
      </c>
      <c r="S1014" s="182" t="s">
        <v>21</v>
      </c>
      <c r="T1014" s="182" t="s">
        <v>22</v>
      </c>
      <c r="U1014" s="211" t="s">
        <v>23</v>
      </c>
    </row>
    <row r="1015" spans="1:21" x14ac:dyDescent="0.25">
      <c r="A1015" s="183" t="s">
        <v>383</v>
      </c>
      <c r="B1015" s="182" t="s">
        <v>47</v>
      </c>
      <c r="C1015" s="182" t="s">
        <v>28</v>
      </c>
      <c r="D1015" s="182">
        <v>1</v>
      </c>
      <c r="E1015" s="182">
        <f>skilled</f>
        <v>1245</v>
      </c>
      <c r="F1015" s="184">
        <f>(D1015*E1015)</f>
        <v>1245</v>
      </c>
      <c r="G1015" s="182" t="s">
        <v>373</v>
      </c>
      <c r="H1015" s="216" t="s">
        <v>35</v>
      </c>
      <c r="I1015" s="182">
        <v>12.67</v>
      </c>
      <c r="J1015" s="182">
        <f>adopted_rate_emulsion</f>
        <v>94000</v>
      </c>
      <c r="K1015" s="182">
        <f>(I1015*J1015)</f>
        <v>1190980</v>
      </c>
      <c r="L1015" s="182" t="s">
        <v>288</v>
      </c>
      <c r="M1015" s="182" t="s">
        <v>58</v>
      </c>
      <c r="N1015" s="182">
        <v>6</v>
      </c>
      <c r="O1015" s="182">
        <f>mechanical_broom</f>
        <v>1393</v>
      </c>
      <c r="P1015" s="184">
        <f>(N1015*O1015)</f>
        <v>8358</v>
      </c>
    </row>
    <row r="1016" spans="1:21" x14ac:dyDescent="0.25">
      <c r="B1016" s="182" t="s">
        <v>29</v>
      </c>
      <c r="C1016" s="182" t="s">
        <v>28</v>
      </c>
      <c r="D1016" s="182">
        <v>7</v>
      </c>
      <c r="E1016" s="182">
        <f>unskilled</f>
        <v>935</v>
      </c>
      <c r="F1016" s="184">
        <f>(D1016*E1016)</f>
        <v>6545</v>
      </c>
      <c r="G1016" s="182" t="s">
        <v>384</v>
      </c>
      <c r="H1016" s="216" t="s">
        <v>84</v>
      </c>
      <c r="I1016" s="182">
        <v>43.3</v>
      </c>
      <c r="J1016" s="182">
        <f>adopted_rate_sand</f>
        <v>3175.2000000000003</v>
      </c>
      <c r="K1016" s="182">
        <f>(I1016*J1016)</f>
        <v>137486.16</v>
      </c>
      <c r="L1016" s="182" t="s">
        <v>63</v>
      </c>
      <c r="M1016" s="182" t="s">
        <v>58</v>
      </c>
      <c r="N1016" s="182">
        <v>6</v>
      </c>
      <c r="O1016" s="182">
        <f>air_compressor</f>
        <v>1190</v>
      </c>
      <c r="P1016" s="184">
        <f>(N1016*O1016)</f>
        <v>7140</v>
      </c>
    </row>
    <row r="1017" spans="1:21" ht="31.5" x14ac:dyDescent="0.25">
      <c r="G1017" s="182" t="s">
        <v>375</v>
      </c>
      <c r="H1017" s="216" t="s">
        <v>35</v>
      </c>
      <c r="I1017" s="182">
        <v>1.58</v>
      </c>
      <c r="J1017" s="182">
        <f>adopted_rate_stone_dust</f>
        <v>1234.8</v>
      </c>
      <c r="K1017" s="182">
        <f>(I1017*J1017)</f>
        <v>1950.9839999999999</v>
      </c>
      <c r="L1017" s="182" t="s">
        <v>376</v>
      </c>
      <c r="M1017" s="182" t="s">
        <v>58</v>
      </c>
      <c r="N1017" s="182">
        <v>6</v>
      </c>
      <c r="O1017" s="182">
        <f>mobile_slurry_seal_equipment</f>
        <v>1397</v>
      </c>
      <c r="P1017" s="184">
        <f>(N1017*O1017)</f>
        <v>8382</v>
      </c>
    </row>
    <row r="1018" spans="1:21" x14ac:dyDescent="0.25">
      <c r="G1018" s="182" t="s">
        <v>171</v>
      </c>
      <c r="H1018" s="216" t="s">
        <v>172</v>
      </c>
      <c r="I1018" s="182">
        <v>12</v>
      </c>
      <c r="J1018" s="182">
        <f>adopted_rate_water</f>
        <v>310</v>
      </c>
      <c r="K1018" s="182">
        <f>(I1018*J1018)</f>
        <v>3720</v>
      </c>
    </row>
    <row r="1019" spans="1:21" x14ac:dyDescent="0.25">
      <c r="A1019" s="537" t="s">
        <v>30</v>
      </c>
      <c r="B1019" s="537"/>
      <c r="C1019" s="537"/>
      <c r="D1019" s="537"/>
      <c r="E1019" s="537"/>
      <c r="F1019" s="184">
        <f>SUM(F1014:F1018)</f>
        <v>7790</v>
      </c>
      <c r="G1019" s="537" t="s">
        <v>31</v>
      </c>
      <c r="H1019" s="537"/>
      <c r="I1019" s="537"/>
      <c r="J1019" s="537"/>
      <c r="K1019" s="184">
        <f>SUM(K1014:K1018)</f>
        <v>1334137.1439999999</v>
      </c>
      <c r="L1019" s="537" t="s">
        <v>32</v>
      </c>
      <c r="M1019" s="537"/>
      <c r="N1019" s="537"/>
      <c r="O1019" s="537"/>
      <c r="P1019" s="184">
        <f>SUM(P1014:P1018)</f>
        <v>23880</v>
      </c>
      <c r="Q1019" s="537" t="s">
        <v>38</v>
      </c>
      <c r="R1019" s="537"/>
      <c r="S1019" s="537"/>
      <c r="T1019" s="537"/>
      <c r="U1019" s="223">
        <f>SUM(U1014:U1018)</f>
        <v>0</v>
      </c>
    </row>
    <row r="1020" spans="1:21" x14ac:dyDescent="0.25">
      <c r="A1020" s="537" t="s">
        <v>33</v>
      </c>
      <c r="B1020" s="537"/>
      <c r="C1020" s="537"/>
      <c r="D1020" s="537"/>
      <c r="E1020" s="537"/>
      <c r="F1020" s="184">
        <f>SUM(F1019+K1019+P1019)</f>
        <v>1365807.1439999999</v>
      </c>
      <c r="G1020" s="537" t="s">
        <v>39</v>
      </c>
      <c r="H1020" s="537"/>
      <c r="I1020" s="537"/>
      <c r="J1020" s="537"/>
      <c r="K1020" s="184">
        <f>SUM(F1019+K1019+P1019+U1019)</f>
        <v>1365807.1439999999</v>
      </c>
      <c r="L1020" s="537" t="s">
        <v>40</v>
      </c>
      <c r="M1020" s="537"/>
      <c r="N1020" s="537"/>
      <c r="O1020" s="537"/>
      <c r="P1020" s="184">
        <f>SUM(K1020*0.15)</f>
        <v>204871.07159999997</v>
      </c>
      <c r="Q1020" s="537" t="s">
        <v>41</v>
      </c>
      <c r="R1020" s="537"/>
      <c r="S1020" s="537"/>
      <c r="T1020" s="537"/>
      <c r="U1020" s="223">
        <f>SUM(K1020+P1020)</f>
        <v>1570678.2155999998</v>
      </c>
    </row>
    <row r="1021" spans="1:21" x14ac:dyDescent="0.25">
      <c r="Q1021" s="537" t="s">
        <v>42</v>
      </c>
      <c r="R1021" s="537"/>
      <c r="S1021" s="537"/>
      <c r="T1021" s="537"/>
      <c r="U1021" s="224">
        <f>ROUND((U1020/24000),2)</f>
        <v>65.44</v>
      </c>
    </row>
    <row r="1022" spans="1:21" x14ac:dyDescent="0.25">
      <c r="A1022" s="544"/>
      <c r="B1022" s="544"/>
      <c r="C1022" s="544"/>
      <c r="D1022" s="544"/>
      <c r="E1022" s="544"/>
      <c r="F1022" s="544"/>
      <c r="G1022" s="544"/>
      <c r="H1022" s="544"/>
      <c r="I1022" s="544"/>
      <c r="J1022" s="544"/>
      <c r="K1022" s="544"/>
      <c r="L1022" s="544"/>
      <c r="M1022" s="544"/>
      <c r="N1022" s="544"/>
      <c r="O1022" s="544"/>
      <c r="P1022" s="544"/>
      <c r="Q1022" s="544"/>
      <c r="R1022" s="544"/>
      <c r="S1022" s="544"/>
      <c r="T1022" s="544"/>
      <c r="U1022" s="544"/>
    </row>
    <row r="1023" spans="1:21" hidden="1" x14ac:dyDescent="0.25">
      <c r="A1023" s="538" t="s">
        <v>12</v>
      </c>
      <c r="B1023" s="538"/>
      <c r="C1023" s="540" t="s">
        <v>385</v>
      </c>
      <c r="D1023" s="540"/>
      <c r="E1023" s="540"/>
      <c r="F1023" s="540"/>
      <c r="G1023" s="540"/>
      <c r="H1023" s="540"/>
      <c r="I1023" s="540"/>
      <c r="J1023" s="540"/>
      <c r="K1023" s="540"/>
      <c r="L1023" s="540"/>
      <c r="M1023" s="540"/>
      <c r="N1023" s="540"/>
      <c r="O1023" s="540"/>
      <c r="P1023" s="540"/>
      <c r="Q1023" s="540"/>
      <c r="R1023" s="540"/>
      <c r="S1023" s="540"/>
      <c r="T1023" s="540"/>
      <c r="U1023" s="541" t="s">
        <v>386</v>
      </c>
    </row>
    <row r="1024" spans="1:21" x14ac:dyDescent="0.25">
      <c r="A1024" s="538"/>
      <c r="B1024" s="538"/>
      <c r="C1024" s="540"/>
      <c r="D1024" s="540"/>
      <c r="E1024" s="540"/>
      <c r="F1024" s="540"/>
      <c r="G1024" s="540"/>
      <c r="H1024" s="540"/>
      <c r="I1024" s="540"/>
      <c r="J1024" s="540"/>
      <c r="K1024" s="540"/>
      <c r="L1024" s="540"/>
      <c r="M1024" s="540"/>
      <c r="N1024" s="540"/>
      <c r="O1024" s="540"/>
      <c r="P1024" s="540"/>
      <c r="Q1024" s="540"/>
      <c r="R1024" s="540"/>
      <c r="S1024" s="540"/>
      <c r="T1024" s="540"/>
      <c r="U1024" s="541"/>
    </row>
    <row r="1025" spans="1:21" x14ac:dyDescent="0.25">
      <c r="A1025" s="539" t="s">
        <v>363</v>
      </c>
      <c r="B1025" s="539"/>
      <c r="C1025" s="540"/>
      <c r="D1025" s="540"/>
      <c r="E1025" s="540"/>
      <c r="F1025" s="540"/>
      <c r="G1025" s="540"/>
      <c r="H1025" s="540"/>
      <c r="I1025" s="540"/>
      <c r="J1025" s="540"/>
      <c r="K1025" s="540"/>
      <c r="L1025" s="540"/>
      <c r="M1025" s="540"/>
      <c r="N1025" s="540"/>
      <c r="O1025" s="540"/>
      <c r="P1025" s="540"/>
      <c r="Q1025" s="540"/>
      <c r="R1025" s="540"/>
      <c r="S1025" s="540"/>
      <c r="T1025" s="540"/>
      <c r="U1025" s="541"/>
    </row>
    <row r="1026" spans="1:21" x14ac:dyDescent="0.25">
      <c r="A1026" s="542" t="s">
        <v>16</v>
      </c>
      <c r="B1026" s="543" t="s">
        <v>18</v>
      </c>
      <c r="C1026" s="543"/>
      <c r="D1026" s="543"/>
      <c r="E1026" s="543"/>
      <c r="F1026" s="543"/>
      <c r="G1026" s="543" t="s">
        <v>24</v>
      </c>
      <c r="H1026" s="543"/>
      <c r="I1026" s="543"/>
      <c r="J1026" s="543"/>
      <c r="K1026" s="543"/>
      <c r="L1026" s="543" t="s">
        <v>25</v>
      </c>
      <c r="M1026" s="543"/>
      <c r="N1026" s="543"/>
      <c r="O1026" s="543"/>
      <c r="P1026" s="543"/>
      <c r="Q1026" s="543" t="s">
        <v>26</v>
      </c>
      <c r="R1026" s="543"/>
      <c r="S1026" s="543"/>
      <c r="T1026" s="543"/>
      <c r="U1026" s="543"/>
    </row>
    <row r="1027" spans="1:21" x14ac:dyDescent="0.25">
      <c r="A1027" s="542"/>
      <c r="B1027" s="182" t="s">
        <v>19</v>
      </c>
      <c r="C1027" s="182" t="s">
        <v>20</v>
      </c>
      <c r="D1027" s="182" t="s">
        <v>21</v>
      </c>
      <c r="E1027" s="182" t="s">
        <v>22</v>
      </c>
      <c r="F1027" s="182" t="s">
        <v>23</v>
      </c>
      <c r="G1027" s="182" t="s">
        <v>19</v>
      </c>
      <c r="H1027" s="216" t="s">
        <v>20</v>
      </c>
      <c r="I1027" s="182" t="s">
        <v>21</v>
      </c>
      <c r="J1027" s="182" t="s">
        <v>22</v>
      </c>
      <c r="K1027" s="182" t="s">
        <v>23</v>
      </c>
      <c r="L1027" s="182" t="s">
        <v>19</v>
      </c>
      <c r="M1027" s="182" t="s">
        <v>20</v>
      </c>
      <c r="N1027" s="182" t="s">
        <v>21</v>
      </c>
      <c r="O1027" s="182" t="s">
        <v>22</v>
      </c>
      <c r="P1027" s="182" t="s">
        <v>23</v>
      </c>
      <c r="Q1027" s="182" t="s">
        <v>19</v>
      </c>
      <c r="R1027" s="182" t="s">
        <v>20</v>
      </c>
      <c r="S1027" s="182" t="s">
        <v>21</v>
      </c>
      <c r="T1027" s="182" t="s">
        <v>22</v>
      </c>
      <c r="U1027" s="211" t="s">
        <v>23</v>
      </c>
    </row>
    <row r="1028" spans="1:21" x14ac:dyDescent="0.25">
      <c r="A1028" s="183" t="s">
        <v>387</v>
      </c>
      <c r="B1028" s="182" t="s">
        <v>47</v>
      </c>
      <c r="C1028" s="182" t="s">
        <v>28</v>
      </c>
      <c r="D1028" s="182">
        <v>1</v>
      </c>
      <c r="E1028" s="182">
        <f>skilled</f>
        <v>1245</v>
      </c>
      <c r="F1028" s="184">
        <f>(D1028*E1028)</f>
        <v>1245</v>
      </c>
      <c r="G1028" s="182" t="s">
        <v>293</v>
      </c>
      <c r="H1028" s="216" t="s">
        <v>35</v>
      </c>
      <c r="I1028" s="182">
        <v>7.88</v>
      </c>
      <c r="J1028" s="182">
        <f>adopted_rate_emulsion</f>
        <v>94000</v>
      </c>
      <c r="K1028" s="182">
        <f>(I1028*J1028)</f>
        <v>740720</v>
      </c>
      <c r="L1028" s="182" t="s">
        <v>288</v>
      </c>
      <c r="M1028" s="182" t="s">
        <v>58</v>
      </c>
      <c r="N1028" s="182">
        <v>6</v>
      </c>
      <c r="O1028" s="182">
        <f>mechanical_broom</f>
        <v>1393</v>
      </c>
      <c r="P1028" s="184">
        <f>(N1028*O1028)</f>
        <v>8358</v>
      </c>
    </row>
    <row r="1029" spans="1:21" x14ac:dyDescent="0.25">
      <c r="B1029" s="182" t="s">
        <v>29</v>
      </c>
      <c r="C1029" s="182" t="s">
        <v>28</v>
      </c>
      <c r="D1029" s="182">
        <v>4</v>
      </c>
      <c r="E1029" s="182">
        <f>unskilled</f>
        <v>935</v>
      </c>
      <c r="F1029" s="184">
        <f>(D1029*E1029)</f>
        <v>3740</v>
      </c>
      <c r="L1029" s="182" t="s">
        <v>63</v>
      </c>
      <c r="M1029" s="182" t="s">
        <v>58</v>
      </c>
      <c r="N1029" s="182">
        <v>6</v>
      </c>
      <c r="O1029" s="182">
        <f>air_compressor</f>
        <v>1190</v>
      </c>
      <c r="P1029" s="184">
        <f>(N1029*O1029)</f>
        <v>7140</v>
      </c>
    </row>
    <row r="1030" spans="1:21" ht="31.5" x14ac:dyDescent="0.25">
      <c r="L1030" s="182" t="s">
        <v>294</v>
      </c>
      <c r="M1030" s="182" t="s">
        <v>58</v>
      </c>
      <c r="N1030" s="182">
        <v>6</v>
      </c>
      <c r="O1030" s="182">
        <f>emulsion_distributor</f>
        <v>751</v>
      </c>
      <c r="P1030" s="184">
        <f>(N1030*O1030)</f>
        <v>4506</v>
      </c>
    </row>
    <row r="1031" spans="1:21" x14ac:dyDescent="0.25">
      <c r="A1031" s="537" t="s">
        <v>30</v>
      </c>
      <c r="B1031" s="537"/>
      <c r="C1031" s="537"/>
      <c r="D1031" s="537"/>
      <c r="E1031" s="537"/>
      <c r="F1031" s="184">
        <f>SUM(F1027:F1030)</f>
        <v>4985</v>
      </c>
      <c r="G1031" s="537" t="s">
        <v>31</v>
      </c>
      <c r="H1031" s="537"/>
      <c r="I1031" s="537"/>
      <c r="J1031" s="537"/>
      <c r="K1031" s="184">
        <f>SUM(K1027:K1030)</f>
        <v>740720</v>
      </c>
      <c r="L1031" s="537" t="s">
        <v>32</v>
      </c>
      <c r="M1031" s="537"/>
      <c r="N1031" s="537"/>
      <c r="O1031" s="537"/>
      <c r="P1031" s="184">
        <f>SUM(P1027:P1030)</f>
        <v>20004</v>
      </c>
      <c r="Q1031" s="537" t="s">
        <v>38</v>
      </c>
      <c r="R1031" s="537"/>
      <c r="S1031" s="537"/>
      <c r="T1031" s="537"/>
      <c r="U1031" s="223">
        <f>SUM(U1027:U1030)</f>
        <v>0</v>
      </c>
    </row>
    <row r="1032" spans="1:21" x14ac:dyDescent="0.25">
      <c r="A1032" s="537" t="s">
        <v>33</v>
      </c>
      <c r="B1032" s="537"/>
      <c r="C1032" s="537"/>
      <c r="D1032" s="537"/>
      <c r="E1032" s="537"/>
      <c r="F1032" s="184">
        <f>SUM(F1031+K1031+P1031)</f>
        <v>765709</v>
      </c>
      <c r="G1032" s="537" t="s">
        <v>39</v>
      </c>
      <c r="H1032" s="537"/>
      <c r="I1032" s="537"/>
      <c r="J1032" s="537"/>
      <c r="K1032" s="184">
        <f>SUM(F1031+K1031+P1031+U1031)</f>
        <v>765709</v>
      </c>
      <c r="L1032" s="537" t="s">
        <v>40</v>
      </c>
      <c r="M1032" s="537"/>
      <c r="N1032" s="537"/>
      <c r="O1032" s="537"/>
      <c r="P1032" s="184">
        <f>SUM(K1032*0.15)</f>
        <v>114856.34999999999</v>
      </c>
      <c r="Q1032" s="537" t="s">
        <v>41</v>
      </c>
      <c r="R1032" s="537"/>
      <c r="S1032" s="537"/>
      <c r="T1032" s="537"/>
      <c r="U1032" s="223">
        <f>SUM(K1032+P1032)</f>
        <v>880565.35</v>
      </c>
    </row>
    <row r="1033" spans="1:21" x14ac:dyDescent="0.25">
      <c r="Q1033" s="537" t="s">
        <v>42</v>
      </c>
      <c r="R1033" s="537"/>
      <c r="S1033" s="537"/>
      <c r="T1033" s="537"/>
      <c r="U1033" s="224">
        <f>ROUND((U1032/10500),2)</f>
        <v>83.86</v>
      </c>
    </row>
    <row r="1034" spans="1:21" x14ac:dyDescent="0.25">
      <c r="A1034" s="544"/>
      <c r="B1034" s="544"/>
      <c r="C1034" s="544"/>
      <c r="D1034" s="544"/>
      <c r="E1034" s="544"/>
      <c r="F1034" s="544"/>
      <c r="G1034" s="544"/>
      <c r="H1034" s="544"/>
      <c r="I1034" s="544"/>
      <c r="J1034" s="544"/>
      <c r="K1034" s="544"/>
      <c r="L1034" s="544"/>
      <c r="M1034" s="544"/>
      <c r="N1034" s="544"/>
      <c r="O1034" s="544"/>
      <c r="P1034" s="544"/>
      <c r="Q1034" s="544"/>
      <c r="R1034" s="544"/>
      <c r="S1034" s="544"/>
      <c r="T1034" s="544"/>
      <c r="U1034" s="544"/>
    </row>
    <row r="1035" spans="1:21" x14ac:dyDescent="0.25">
      <c r="A1035" s="538" t="s">
        <v>12</v>
      </c>
      <c r="B1035" s="538"/>
      <c r="C1035" s="540" t="s">
        <v>389</v>
      </c>
      <c r="D1035" s="540"/>
      <c r="E1035" s="540"/>
      <c r="F1035" s="540"/>
      <c r="G1035" s="540"/>
      <c r="H1035" s="540"/>
      <c r="I1035" s="540"/>
      <c r="J1035" s="540"/>
      <c r="K1035" s="540"/>
      <c r="L1035" s="540"/>
      <c r="M1035" s="540"/>
      <c r="N1035" s="540"/>
      <c r="O1035" s="540"/>
      <c r="P1035" s="540"/>
      <c r="Q1035" s="540"/>
      <c r="R1035" s="540"/>
      <c r="S1035" s="540"/>
      <c r="T1035" s="540"/>
      <c r="U1035" s="541" t="s">
        <v>390</v>
      </c>
    </row>
    <row r="1036" spans="1:21" x14ac:dyDescent="0.25">
      <c r="A1036" s="538"/>
      <c r="B1036" s="538"/>
      <c r="C1036" s="540"/>
      <c r="D1036" s="540"/>
      <c r="E1036" s="540"/>
      <c r="F1036" s="540"/>
      <c r="G1036" s="540"/>
      <c r="H1036" s="540"/>
      <c r="I1036" s="540"/>
      <c r="J1036" s="540"/>
      <c r="K1036" s="540"/>
      <c r="L1036" s="540"/>
      <c r="M1036" s="540"/>
      <c r="N1036" s="540"/>
      <c r="O1036" s="540"/>
      <c r="P1036" s="540"/>
      <c r="Q1036" s="540"/>
      <c r="R1036" s="540"/>
      <c r="S1036" s="540"/>
      <c r="T1036" s="540"/>
      <c r="U1036" s="541"/>
    </row>
    <row r="1037" spans="1:21" hidden="1" x14ac:dyDescent="0.25">
      <c r="A1037" s="539" t="s">
        <v>388</v>
      </c>
      <c r="B1037" s="539"/>
      <c r="C1037" s="540"/>
      <c r="D1037" s="540"/>
      <c r="E1037" s="540"/>
      <c r="F1037" s="540"/>
      <c r="G1037" s="540"/>
      <c r="H1037" s="540"/>
      <c r="I1037" s="540"/>
      <c r="J1037" s="540"/>
      <c r="K1037" s="540"/>
      <c r="L1037" s="540"/>
      <c r="M1037" s="540"/>
      <c r="N1037" s="540"/>
      <c r="O1037" s="540"/>
      <c r="P1037" s="540"/>
      <c r="Q1037" s="540"/>
      <c r="R1037" s="540"/>
      <c r="S1037" s="540"/>
      <c r="T1037" s="540"/>
      <c r="U1037" s="541"/>
    </row>
    <row r="1038" spans="1:21" x14ac:dyDescent="0.25">
      <c r="A1038" s="542" t="s">
        <v>16</v>
      </c>
      <c r="B1038" s="543" t="s">
        <v>18</v>
      </c>
      <c r="C1038" s="543"/>
      <c r="D1038" s="543"/>
      <c r="E1038" s="543"/>
      <c r="F1038" s="543"/>
      <c r="G1038" s="543" t="s">
        <v>24</v>
      </c>
      <c r="H1038" s="543"/>
      <c r="I1038" s="543"/>
      <c r="J1038" s="543"/>
      <c r="K1038" s="543"/>
      <c r="L1038" s="543" t="s">
        <v>25</v>
      </c>
      <c r="M1038" s="543"/>
      <c r="N1038" s="543"/>
      <c r="O1038" s="543"/>
      <c r="P1038" s="543"/>
      <c r="Q1038" s="543" t="s">
        <v>26</v>
      </c>
      <c r="R1038" s="543"/>
      <c r="S1038" s="543"/>
      <c r="T1038" s="543"/>
      <c r="U1038" s="543"/>
    </row>
    <row r="1039" spans="1:21" x14ac:dyDescent="0.25">
      <c r="A1039" s="542"/>
      <c r="B1039" s="182" t="s">
        <v>19</v>
      </c>
      <c r="C1039" s="182" t="s">
        <v>20</v>
      </c>
      <c r="D1039" s="182" t="s">
        <v>21</v>
      </c>
      <c r="E1039" s="182" t="s">
        <v>22</v>
      </c>
      <c r="F1039" s="182" t="s">
        <v>23</v>
      </c>
      <c r="G1039" s="182" t="s">
        <v>19</v>
      </c>
      <c r="H1039" s="216" t="s">
        <v>20</v>
      </c>
      <c r="I1039" s="182" t="s">
        <v>21</v>
      </c>
      <c r="J1039" s="182" t="s">
        <v>22</v>
      </c>
      <c r="K1039" s="182" t="s">
        <v>23</v>
      </c>
      <c r="L1039" s="182" t="s">
        <v>19</v>
      </c>
      <c r="M1039" s="182" t="s">
        <v>20</v>
      </c>
      <c r="N1039" s="182" t="s">
        <v>21</v>
      </c>
      <c r="O1039" s="182" t="s">
        <v>22</v>
      </c>
      <c r="P1039" s="182" t="s">
        <v>23</v>
      </c>
      <c r="Q1039" s="182" t="s">
        <v>19</v>
      </c>
      <c r="R1039" s="182" t="s">
        <v>20</v>
      </c>
      <c r="S1039" s="182" t="s">
        <v>21</v>
      </c>
      <c r="T1039" s="182" t="s">
        <v>22</v>
      </c>
      <c r="U1039" s="211" t="s">
        <v>23</v>
      </c>
    </row>
    <row r="1040" spans="1:21" x14ac:dyDescent="0.25">
      <c r="A1040" s="183" t="s">
        <v>391</v>
      </c>
      <c r="B1040" s="182" t="s">
        <v>29</v>
      </c>
      <c r="C1040" s="182" t="s">
        <v>28</v>
      </c>
      <c r="D1040" s="182">
        <v>16</v>
      </c>
      <c r="E1040" s="182">
        <f>unskilled</f>
        <v>935</v>
      </c>
      <c r="F1040" s="184">
        <f>(D1040*E1040)</f>
        <v>14960</v>
      </c>
      <c r="G1040" s="182" t="s">
        <v>293</v>
      </c>
      <c r="H1040" s="216" t="s">
        <v>35</v>
      </c>
      <c r="I1040" s="182">
        <v>36</v>
      </c>
      <c r="J1040" s="182">
        <f>adopted_rate_emulsion</f>
        <v>94000</v>
      </c>
      <c r="K1040" s="182">
        <f>(I1040*J1040)</f>
        <v>3384000</v>
      </c>
      <c r="L1040" s="182" t="s">
        <v>396</v>
      </c>
      <c r="M1040" s="182" t="s">
        <v>58</v>
      </c>
      <c r="N1040" s="182">
        <v>6</v>
      </c>
      <c r="O1040" s="182">
        <f>drum_mix_plant</f>
        <v>1313</v>
      </c>
      <c r="P1040" s="184">
        <f>(N1040*O1040)</f>
        <v>7878</v>
      </c>
    </row>
    <row r="1041" spans="1:21" x14ac:dyDescent="0.25">
      <c r="B1041" s="182" t="s">
        <v>47</v>
      </c>
      <c r="C1041" s="182" t="s">
        <v>28</v>
      </c>
      <c r="D1041" s="182">
        <v>6</v>
      </c>
      <c r="E1041" s="182">
        <f>skilled</f>
        <v>1245</v>
      </c>
      <c r="F1041" s="184">
        <f>(D1041*E1041)</f>
        <v>7470</v>
      </c>
      <c r="G1041" s="182" t="s">
        <v>392</v>
      </c>
      <c r="H1041" s="216" t="s">
        <v>35</v>
      </c>
      <c r="I1041" s="182">
        <v>9</v>
      </c>
      <c r="J1041" s="182">
        <f>adopted_rate_lime</f>
        <v>19000</v>
      </c>
      <c r="K1041" s="182">
        <f>(I1041*J1041)</f>
        <v>171000</v>
      </c>
      <c r="L1041" s="182" t="s">
        <v>76</v>
      </c>
      <c r="M1041" s="182" t="s">
        <v>58</v>
      </c>
      <c r="N1041" s="182">
        <v>6</v>
      </c>
      <c r="O1041" s="182">
        <f>generator</f>
        <v>855</v>
      </c>
      <c r="P1041" s="184">
        <f>(N1041*O1041)</f>
        <v>5130</v>
      </c>
    </row>
    <row r="1042" spans="1:21" x14ac:dyDescent="0.25">
      <c r="G1042" s="182" t="s">
        <v>393</v>
      </c>
      <c r="H1042" s="216" t="s">
        <v>84</v>
      </c>
      <c r="I1042" s="182">
        <v>75</v>
      </c>
      <c r="J1042" s="182">
        <f>adopted_rate_aggregate_10_20_mm</f>
        <v>3351.6</v>
      </c>
      <c r="K1042" s="182">
        <f>(I1042*J1042)</f>
        <v>251370</v>
      </c>
      <c r="L1042" s="182" t="s">
        <v>258</v>
      </c>
      <c r="M1042" s="182" t="s">
        <v>58</v>
      </c>
      <c r="N1042" s="182">
        <v>6</v>
      </c>
      <c r="O1042" s="182">
        <f>paver_finisher</f>
        <v>2374</v>
      </c>
      <c r="P1042" s="184">
        <f>(N1042*O1042)</f>
        <v>14244</v>
      </c>
    </row>
    <row r="1043" spans="1:21" x14ac:dyDescent="0.25">
      <c r="G1043" s="182" t="s">
        <v>394</v>
      </c>
      <c r="H1043" s="216" t="s">
        <v>84</v>
      </c>
      <c r="I1043" s="182">
        <v>87</v>
      </c>
      <c r="J1043" s="182">
        <f>adopted_rate_aggregate_10_mm</f>
        <v>3175.2000000000003</v>
      </c>
      <c r="K1043" s="182">
        <f>(I1043*J1043)</f>
        <v>276242.40000000002</v>
      </c>
      <c r="L1043" s="182" t="s">
        <v>308</v>
      </c>
      <c r="M1043" s="182" t="s">
        <v>58</v>
      </c>
      <c r="N1043" s="182">
        <v>6</v>
      </c>
      <c r="O1043" s="182">
        <f>pneumatic_roller</f>
        <v>2121</v>
      </c>
      <c r="P1043" s="184">
        <f>(N1043*O1043)</f>
        <v>12726</v>
      </c>
    </row>
    <row r="1044" spans="1:21" ht="31.5" x14ac:dyDescent="0.25">
      <c r="G1044" s="182" t="s">
        <v>395</v>
      </c>
      <c r="H1044" s="216" t="s">
        <v>84</v>
      </c>
      <c r="I1044" s="182">
        <v>108</v>
      </c>
      <c r="J1044" s="182">
        <f>District_Rate!L12</f>
        <v>3175.2000000000003</v>
      </c>
      <c r="K1044" s="182">
        <f>(I1044*J1044)</f>
        <v>342921.60000000003</v>
      </c>
      <c r="L1044" s="182" t="s">
        <v>332</v>
      </c>
      <c r="M1044" s="182" t="s">
        <v>58</v>
      </c>
      <c r="N1044" s="182">
        <v>6</v>
      </c>
      <c r="O1044" s="182">
        <f>smooth_wheel_roller</f>
        <v>1089</v>
      </c>
      <c r="P1044" s="184">
        <f>(N1044*O1044)</f>
        <v>6534</v>
      </c>
    </row>
    <row r="1045" spans="1:21" x14ac:dyDescent="0.25">
      <c r="A1045" s="537" t="s">
        <v>30</v>
      </c>
      <c r="B1045" s="537"/>
      <c r="C1045" s="537"/>
      <c r="D1045" s="537"/>
      <c r="E1045" s="537"/>
      <c r="F1045" s="184">
        <f>SUM(F1039:F1044)</f>
        <v>22430</v>
      </c>
      <c r="G1045" s="537" t="s">
        <v>31</v>
      </c>
      <c r="H1045" s="537"/>
      <c r="I1045" s="537"/>
      <c r="J1045" s="537"/>
      <c r="K1045" s="184">
        <f>SUM(K1039:K1044)</f>
        <v>4425534</v>
      </c>
      <c r="L1045" s="537" t="s">
        <v>32</v>
      </c>
      <c r="M1045" s="537"/>
      <c r="N1045" s="537"/>
      <c r="O1045" s="537"/>
      <c r="P1045" s="184">
        <f>SUM(P1039:P1044)</f>
        <v>46512</v>
      </c>
      <c r="Q1045" s="537" t="s">
        <v>38</v>
      </c>
      <c r="R1045" s="537"/>
      <c r="S1045" s="537"/>
      <c r="T1045" s="537"/>
      <c r="U1045" s="223">
        <f>SUM(U1039:U1044)</f>
        <v>0</v>
      </c>
    </row>
    <row r="1046" spans="1:21" x14ac:dyDescent="0.25">
      <c r="A1046" s="537" t="s">
        <v>33</v>
      </c>
      <c r="B1046" s="537"/>
      <c r="C1046" s="537"/>
      <c r="D1046" s="537"/>
      <c r="E1046" s="537"/>
      <c r="F1046" s="184">
        <f>SUM(F1045+K1045+P1045)</f>
        <v>4494476</v>
      </c>
      <c r="G1046" s="537" t="s">
        <v>39</v>
      </c>
      <c r="H1046" s="537"/>
      <c r="I1046" s="537"/>
      <c r="J1046" s="537"/>
      <c r="K1046" s="184">
        <f>SUM(F1045+K1045+P1045+U1045)</f>
        <v>4494476</v>
      </c>
      <c r="L1046" s="537" t="s">
        <v>40</v>
      </c>
      <c r="M1046" s="537"/>
      <c r="N1046" s="537"/>
      <c r="O1046" s="537"/>
      <c r="P1046" s="184">
        <f>SUM(K1046*0.15)</f>
        <v>674171.4</v>
      </c>
      <c r="Q1046" s="537" t="s">
        <v>41</v>
      </c>
      <c r="R1046" s="537"/>
      <c r="S1046" s="537"/>
      <c r="T1046" s="537"/>
      <c r="U1046" s="223">
        <f>SUM(K1046+P1046)</f>
        <v>5168647.4000000004</v>
      </c>
    </row>
    <row r="1047" spans="1:21" x14ac:dyDescent="0.25">
      <c r="Q1047" s="537" t="s">
        <v>42</v>
      </c>
      <c r="R1047" s="537"/>
      <c r="S1047" s="537"/>
      <c r="T1047" s="537"/>
      <c r="U1047" s="224">
        <f>ROUND((U1046/205),2)</f>
        <v>25212.91</v>
      </c>
    </row>
    <row r="1048" spans="1:21" x14ac:dyDescent="0.25">
      <c r="A1048" s="544"/>
      <c r="B1048" s="544"/>
      <c r="C1048" s="544"/>
      <c r="D1048" s="544"/>
      <c r="E1048" s="544"/>
      <c r="F1048" s="544"/>
      <c r="G1048" s="544"/>
      <c r="H1048" s="544"/>
      <c r="I1048" s="544"/>
      <c r="J1048" s="544"/>
      <c r="K1048" s="544"/>
      <c r="L1048" s="544"/>
      <c r="M1048" s="544"/>
      <c r="N1048" s="544"/>
      <c r="O1048" s="544"/>
      <c r="P1048" s="544"/>
      <c r="Q1048" s="544"/>
      <c r="R1048" s="544"/>
      <c r="S1048" s="544"/>
      <c r="T1048" s="544"/>
      <c r="U1048" s="544"/>
    </row>
    <row r="1049" spans="1:21" x14ac:dyDescent="0.25">
      <c r="A1049" s="538" t="s">
        <v>12</v>
      </c>
      <c r="B1049" s="538"/>
      <c r="C1049" s="540" t="s">
        <v>397</v>
      </c>
      <c r="D1049" s="540"/>
      <c r="E1049" s="540"/>
      <c r="F1049" s="540"/>
      <c r="G1049" s="540"/>
      <c r="H1049" s="540"/>
      <c r="I1049" s="540"/>
      <c r="J1049" s="540"/>
      <c r="K1049" s="540"/>
      <c r="L1049" s="540"/>
      <c r="M1049" s="540"/>
      <c r="N1049" s="540"/>
      <c r="O1049" s="540"/>
      <c r="P1049" s="540"/>
      <c r="Q1049" s="540"/>
      <c r="R1049" s="540"/>
      <c r="S1049" s="540"/>
      <c r="T1049" s="540"/>
      <c r="U1049" s="541" t="s">
        <v>390</v>
      </c>
    </row>
    <row r="1050" spans="1:21" x14ac:dyDescent="0.25">
      <c r="A1050" s="538"/>
      <c r="B1050" s="538"/>
      <c r="C1050" s="540"/>
      <c r="D1050" s="540"/>
      <c r="E1050" s="540"/>
      <c r="F1050" s="540"/>
      <c r="G1050" s="540"/>
      <c r="H1050" s="540"/>
      <c r="I1050" s="540"/>
      <c r="J1050" s="540"/>
      <c r="K1050" s="540"/>
      <c r="L1050" s="540"/>
      <c r="M1050" s="540"/>
      <c r="N1050" s="540"/>
      <c r="O1050" s="540"/>
      <c r="P1050" s="540"/>
      <c r="Q1050" s="540"/>
      <c r="R1050" s="540"/>
      <c r="S1050" s="540"/>
      <c r="T1050" s="540"/>
      <c r="U1050" s="541"/>
    </row>
    <row r="1051" spans="1:21" x14ac:dyDescent="0.25">
      <c r="A1051" s="539" t="s">
        <v>388</v>
      </c>
      <c r="B1051" s="539"/>
      <c r="C1051" s="540"/>
      <c r="D1051" s="540"/>
      <c r="E1051" s="540"/>
      <c r="F1051" s="540"/>
      <c r="G1051" s="540"/>
      <c r="H1051" s="540"/>
      <c r="I1051" s="540"/>
      <c r="J1051" s="540"/>
      <c r="K1051" s="540"/>
      <c r="L1051" s="540"/>
      <c r="M1051" s="540"/>
      <c r="N1051" s="540"/>
      <c r="O1051" s="540"/>
      <c r="P1051" s="540"/>
      <c r="Q1051" s="540"/>
      <c r="R1051" s="540"/>
      <c r="S1051" s="540"/>
      <c r="T1051" s="540"/>
      <c r="U1051" s="541"/>
    </row>
    <row r="1052" spans="1:21" x14ac:dyDescent="0.25">
      <c r="A1052" s="542" t="s">
        <v>16</v>
      </c>
      <c r="B1052" s="543" t="s">
        <v>18</v>
      </c>
      <c r="C1052" s="543"/>
      <c r="D1052" s="543"/>
      <c r="E1052" s="543"/>
      <c r="F1052" s="543"/>
      <c r="G1052" s="543" t="s">
        <v>24</v>
      </c>
      <c r="H1052" s="543"/>
      <c r="I1052" s="543"/>
      <c r="J1052" s="543"/>
      <c r="K1052" s="543"/>
      <c r="L1052" s="543" t="s">
        <v>25</v>
      </c>
      <c r="M1052" s="543"/>
      <c r="N1052" s="543"/>
      <c r="O1052" s="543"/>
      <c r="P1052" s="543"/>
      <c r="Q1052" s="543" t="s">
        <v>26</v>
      </c>
      <c r="R1052" s="543"/>
      <c r="S1052" s="543"/>
      <c r="T1052" s="543"/>
      <c r="U1052" s="543"/>
    </row>
    <row r="1053" spans="1:21" x14ac:dyDescent="0.25">
      <c r="A1053" s="542"/>
      <c r="B1053" s="182" t="s">
        <v>19</v>
      </c>
      <c r="C1053" s="182" t="s">
        <v>20</v>
      </c>
      <c r="D1053" s="182" t="s">
        <v>21</v>
      </c>
      <c r="E1053" s="182" t="s">
        <v>22</v>
      </c>
      <c r="F1053" s="182" t="s">
        <v>23</v>
      </c>
      <c r="G1053" s="182" t="s">
        <v>19</v>
      </c>
      <c r="H1053" s="216" t="s">
        <v>20</v>
      </c>
      <c r="I1053" s="182" t="s">
        <v>21</v>
      </c>
      <c r="J1053" s="182" t="s">
        <v>22</v>
      </c>
      <c r="K1053" s="182" t="s">
        <v>23</v>
      </c>
      <c r="L1053" s="182" t="s">
        <v>19</v>
      </c>
      <c r="M1053" s="182" t="s">
        <v>20</v>
      </c>
      <c r="N1053" s="182" t="s">
        <v>21</v>
      </c>
      <c r="O1053" s="182" t="s">
        <v>22</v>
      </c>
      <c r="P1053" s="182" t="s">
        <v>23</v>
      </c>
      <c r="Q1053" s="182" t="s">
        <v>19</v>
      </c>
      <c r="R1053" s="182" t="s">
        <v>20</v>
      </c>
      <c r="S1053" s="182" t="s">
        <v>21</v>
      </c>
      <c r="T1053" s="182" t="s">
        <v>22</v>
      </c>
      <c r="U1053" s="211" t="s">
        <v>23</v>
      </c>
    </row>
    <row r="1054" spans="1:21" x14ac:dyDescent="0.25">
      <c r="A1054" s="183" t="s">
        <v>398</v>
      </c>
      <c r="B1054" s="182" t="s">
        <v>29</v>
      </c>
      <c r="C1054" s="182" t="s">
        <v>28</v>
      </c>
      <c r="D1054" s="182">
        <v>16</v>
      </c>
      <c r="E1054" s="182">
        <f>unskilled</f>
        <v>935</v>
      </c>
      <c r="F1054" s="184">
        <f>(D1054*E1054)</f>
        <v>14960</v>
      </c>
      <c r="G1054" s="182" t="s">
        <v>293</v>
      </c>
      <c r="H1054" s="216" t="s">
        <v>35</v>
      </c>
      <c r="I1054" s="182">
        <v>36</v>
      </c>
      <c r="J1054" s="182">
        <f>adopted_rate_emulsion</f>
        <v>94000</v>
      </c>
      <c r="K1054" s="182">
        <f>(I1054*J1054)</f>
        <v>3384000</v>
      </c>
      <c r="L1054" s="182" t="s">
        <v>396</v>
      </c>
      <c r="M1054" s="182" t="s">
        <v>58</v>
      </c>
      <c r="N1054" s="182">
        <v>6</v>
      </c>
      <c r="O1054" s="182">
        <f>drum_mix_plant</f>
        <v>1313</v>
      </c>
      <c r="P1054" s="184">
        <f>(N1054*O1054)</f>
        <v>7878</v>
      </c>
    </row>
    <row r="1055" spans="1:21" x14ac:dyDescent="0.25">
      <c r="B1055" s="182" t="s">
        <v>47</v>
      </c>
      <c r="C1055" s="182" t="s">
        <v>28</v>
      </c>
      <c r="D1055" s="182">
        <v>6</v>
      </c>
      <c r="E1055" s="182">
        <f>skilled</f>
        <v>1245</v>
      </c>
      <c r="F1055" s="184">
        <f>(D1055*E1055)</f>
        <v>7470</v>
      </c>
      <c r="G1055" s="182" t="s">
        <v>392</v>
      </c>
      <c r="H1055" s="216" t="s">
        <v>35</v>
      </c>
      <c r="I1055" s="182">
        <v>9</v>
      </c>
      <c r="J1055" s="182">
        <f>adopted_rate_lime</f>
        <v>19000</v>
      </c>
      <c r="K1055" s="182">
        <f>(I1055*J1055)</f>
        <v>171000</v>
      </c>
      <c r="L1055" s="182" t="s">
        <v>76</v>
      </c>
      <c r="M1055" s="182" t="s">
        <v>58</v>
      </c>
      <c r="N1055" s="182">
        <v>6</v>
      </c>
      <c r="O1055" s="182">
        <f>generator</f>
        <v>855</v>
      </c>
      <c r="P1055" s="184">
        <f>(N1055*O1055)</f>
        <v>5130</v>
      </c>
    </row>
    <row r="1056" spans="1:21" x14ac:dyDescent="0.25">
      <c r="G1056" s="182" t="s">
        <v>399</v>
      </c>
      <c r="H1056" s="216" t="s">
        <v>84</v>
      </c>
      <c r="I1056" s="182">
        <v>75</v>
      </c>
      <c r="J1056" s="182">
        <f>adopted_rate_aggregate_20_40_mm</f>
        <v>3175.2000000000003</v>
      </c>
      <c r="K1056" s="182">
        <f>(I1056*J1056)</f>
        <v>238140.00000000003</v>
      </c>
      <c r="L1056" s="182" t="s">
        <v>258</v>
      </c>
      <c r="M1056" s="182" t="s">
        <v>58</v>
      </c>
      <c r="N1056" s="182">
        <v>6</v>
      </c>
      <c r="O1056" s="182">
        <f>paver_finisher</f>
        <v>2374</v>
      </c>
      <c r="P1056" s="184">
        <f>(N1056*O1056)</f>
        <v>14244</v>
      </c>
    </row>
    <row r="1057" spans="1:21" x14ac:dyDescent="0.25">
      <c r="G1057" s="182" t="s">
        <v>400</v>
      </c>
      <c r="H1057" s="216" t="s">
        <v>84</v>
      </c>
      <c r="I1057" s="182">
        <v>90</v>
      </c>
      <c r="J1057" s="182">
        <f>adopted_rate_aggregate_10_20_mm</f>
        <v>3351.6</v>
      </c>
      <c r="K1057" s="182">
        <f>(I1057*J1057)</f>
        <v>301644</v>
      </c>
      <c r="L1057" s="182" t="s">
        <v>308</v>
      </c>
      <c r="M1057" s="182" t="s">
        <v>58</v>
      </c>
      <c r="N1057" s="182">
        <v>6</v>
      </c>
      <c r="O1057" s="182">
        <f>pneumatic_roller</f>
        <v>2121</v>
      </c>
      <c r="P1057" s="184">
        <f>(N1057*O1057)</f>
        <v>12726</v>
      </c>
    </row>
    <row r="1058" spans="1:21" ht="31.5" x14ac:dyDescent="0.25">
      <c r="G1058" s="182" t="s">
        <v>395</v>
      </c>
      <c r="H1058" s="216" t="s">
        <v>84</v>
      </c>
      <c r="I1058" s="182">
        <v>105</v>
      </c>
      <c r="J1058" s="182">
        <f>District_Rate!L12</f>
        <v>3175.2000000000003</v>
      </c>
      <c r="K1058" s="182">
        <f>(I1058*J1058)</f>
        <v>333396</v>
      </c>
      <c r="L1058" s="182" t="s">
        <v>332</v>
      </c>
      <c r="M1058" s="182" t="s">
        <v>58</v>
      </c>
      <c r="N1058" s="182">
        <v>6</v>
      </c>
      <c r="O1058" s="182">
        <f>smooth_wheel_roller</f>
        <v>1089</v>
      </c>
      <c r="P1058" s="184">
        <f>(N1058*O1058)</f>
        <v>6534</v>
      </c>
    </row>
    <row r="1059" spans="1:21" x14ac:dyDescent="0.25">
      <c r="A1059" s="537" t="s">
        <v>30</v>
      </c>
      <c r="B1059" s="537"/>
      <c r="C1059" s="537"/>
      <c r="D1059" s="537"/>
      <c r="E1059" s="537"/>
      <c r="F1059" s="184">
        <f>SUM(F1053:F1058)</f>
        <v>22430</v>
      </c>
      <c r="G1059" s="537" t="s">
        <v>31</v>
      </c>
      <c r="H1059" s="537"/>
      <c r="I1059" s="537"/>
      <c r="J1059" s="537"/>
      <c r="K1059" s="184">
        <f>SUM(K1053:K1058)</f>
        <v>4428180</v>
      </c>
      <c r="L1059" s="537" t="s">
        <v>32</v>
      </c>
      <c r="M1059" s="537"/>
      <c r="N1059" s="537"/>
      <c r="O1059" s="537"/>
      <c r="P1059" s="184">
        <f>SUM(P1053:P1058)</f>
        <v>46512</v>
      </c>
      <c r="Q1059" s="537" t="s">
        <v>38</v>
      </c>
      <c r="R1059" s="537"/>
      <c r="S1059" s="537"/>
      <c r="T1059" s="537"/>
      <c r="U1059" s="223">
        <f>SUM(U1053:U1058)</f>
        <v>0</v>
      </c>
    </row>
    <row r="1060" spans="1:21" x14ac:dyDescent="0.25">
      <c r="A1060" s="537" t="s">
        <v>33</v>
      </c>
      <c r="B1060" s="537"/>
      <c r="C1060" s="537"/>
      <c r="D1060" s="537"/>
      <c r="E1060" s="537"/>
      <c r="F1060" s="184">
        <f>SUM(F1059+K1059+P1059)</f>
        <v>4497122</v>
      </c>
      <c r="G1060" s="537" t="s">
        <v>39</v>
      </c>
      <c r="H1060" s="537"/>
      <c r="I1060" s="537"/>
      <c r="J1060" s="537"/>
      <c r="K1060" s="184">
        <f>SUM(F1059+K1059+P1059+U1059)</f>
        <v>4497122</v>
      </c>
      <c r="L1060" s="537" t="s">
        <v>40</v>
      </c>
      <c r="M1060" s="537"/>
      <c r="N1060" s="537"/>
      <c r="O1060" s="537"/>
      <c r="P1060" s="184">
        <f>SUM(K1060*0.15)</f>
        <v>674568.29999999993</v>
      </c>
      <c r="Q1060" s="537" t="s">
        <v>41</v>
      </c>
      <c r="R1060" s="537"/>
      <c r="S1060" s="537"/>
      <c r="T1060" s="537"/>
      <c r="U1060" s="223">
        <f>SUM(K1060+P1060)</f>
        <v>5171690.3</v>
      </c>
    </row>
    <row r="1061" spans="1:21" x14ac:dyDescent="0.25">
      <c r="Q1061" s="537" t="s">
        <v>42</v>
      </c>
      <c r="R1061" s="537"/>
      <c r="S1061" s="537"/>
      <c r="T1061" s="537"/>
      <c r="U1061" s="224">
        <f>ROUND((U1060/205),2)</f>
        <v>25227.759999999998</v>
      </c>
    </row>
    <row r="1062" spans="1:21" x14ac:dyDescent="0.25">
      <c r="A1062" s="544"/>
      <c r="B1062" s="544"/>
      <c r="C1062" s="544"/>
      <c r="D1062" s="544"/>
      <c r="E1062" s="544"/>
      <c r="F1062" s="544"/>
      <c r="G1062" s="544"/>
      <c r="H1062" s="544"/>
      <c r="I1062" s="544"/>
      <c r="J1062" s="544"/>
      <c r="K1062" s="544"/>
      <c r="L1062" s="544"/>
      <c r="M1062" s="544"/>
      <c r="N1062" s="544"/>
      <c r="O1062" s="544"/>
      <c r="P1062" s="544"/>
      <c r="Q1062" s="544"/>
      <c r="R1062" s="544"/>
      <c r="S1062" s="544"/>
      <c r="T1062" s="544"/>
      <c r="U1062" s="544"/>
    </row>
    <row r="1063" spans="1:21" x14ac:dyDescent="0.25">
      <c r="A1063" s="538" t="s">
        <v>12</v>
      </c>
      <c r="B1063" s="538"/>
      <c r="C1063" s="540" t="s">
        <v>401</v>
      </c>
      <c r="D1063" s="540"/>
      <c r="E1063" s="540"/>
      <c r="F1063" s="540"/>
      <c r="G1063" s="540"/>
      <c r="H1063" s="540"/>
      <c r="I1063" s="540"/>
      <c r="J1063" s="540"/>
      <c r="K1063" s="540"/>
      <c r="L1063" s="540"/>
      <c r="M1063" s="540"/>
      <c r="N1063" s="540"/>
      <c r="O1063" s="540"/>
      <c r="P1063" s="540"/>
      <c r="Q1063" s="540"/>
      <c r="R1063" s="540"/>
      <c r="S1063" s="540"/>
      <c r="T1063" s="540"/>
      <c r="U1063" s="541" t="s">
        <v>390</v>
      </c>
    </row>
    <row r="1064" spans="1:21" x14ac:dyDescent="0.25">
      <c r="A1064" s="538"/>
      <c r="B1064" s="538"/>
      <c r="C1064" s="540"/>
      <c r="D1064" s="540"/>
      <c r="E1064" s="540"/>
      <c r="F1064" s="540"/>
      <c r="G1064" s="540"/>
      <c r="H1064" s="540"/>
      <c r="I1064" s="540"/>
      <c r="J1064" s="540"/>
      <c r="K1064" s="540"/>
      <c r="L1064" s="540"/>
      <c r="M1064" s="540"/>
      <c r="N1064" s="540"/>
      <c r="O1064" s="540"/>
      <c r="P1064" s="540"/>
      <c r="Q1064" s="540"/>
      <c r="R1064" s="540"/>
      <c r="S1064" s="540"/>
      <c r="T1064" s="540"/>
      <c r="U1064" s="541"/>
    </row>
    <row r="1065" spans="1:21" x14ac:dyDescent="0.25">
      <c r="A1065" s="539" t="s">
        <v>388</v>
      </c>
      <c r="B1065" s="539"/>
      <c r="C1065" s="540"/>
      <c r="D1065" s="540"/>
      <c r="E1065" s="540"/>
      <c r="F1065" s="540"/>
      <c r="G1065" s="540"/>
      <c r="H1065" s="540"/>
      <c r="I1065" s="540"/>
      <c r="J1065" s="540"/>
      <c r="K1065" s="540"/>
      <c r="L1065" s="540"/>
      <c r="M1065" s="540"/>
      <c r="N1065" s="540"/>
      <c r="O1065" s="540"/>
      <c r="P1065" s="540"/>
      <c r="Q1065" s="540"/>
      <c r="R1065" s="540"/>
      <c r="S1065" s="540"/>
      <c r="T1065" s="540"/>
      <c r="U1065" s="541"/>
    </row>
    <row r="1066" spans="1:21" x14ac:dyDescent="0.25">
      <c r="A1066" s="542" t="s">
        <v>16</v>
      </c>
      <c r="B1066" s="543" t="s">
        <v>18</v>
      </c>
      <c r="C1066" s="543"/>
      <c r="D1066" s="543"/>
      <c r="E1066" s="543"/>
      <c r="F1066" s="543"/>
      <c r="G1066" s="543" t="s">
        <v>24</v>
      </c>
      <c r="H1066" s="543"/>
      <c r="I1066" s="543"/>
      <c r="J1066" s="543"/>
      <c r="K1066" s="543"/>
      <c r="L1066" s="543" t="s">
        <v>25</v>
      </c>
      <c r="M1066" s="543"/>
      <c r="N1066" s="543"/>
      <c r="O1066" s="543"/>
      <c r="P1066" s="543"/>
      <c r="Q1066" s="543" t="s">
        <v>26</v>
      </c>
      <c r="R1066" s="543"/>
      <c r="S1066" s="543"/>
      <c r="T1066" s="543"/>
      <c r="U1066" s="543"/>
    </row>
    <row r="1067" spans="1:21" x14ac:dyDescent="0.25">
      <c r="A1067" s="542"/>
      <c r="B1067" s="182" t="s">
        <v>19</v>
      </c>
      <c r="C1067" s="182" t="s">
        <v>20</v>
      </c>
      <c r="D1067" s="182" t="s">
        <v>21</v>
      </c>
      <c r="E1067" s="182" t="s">
        <v>22</v>
      </c>
      <c r="F1067" s="182" t="s">
        <v>23</v>
      </c>
      <c r="G1067" s="182" t="s">
        <v>19</v>
      </c>
      <c r="H1067" s="216" t="s">
        <v>20</v>
      </c>
      <c r="I1067" s="182" t="s">
        <v>21</v>
      </c>
      <c r="J1067" s="182" t="s">
        <v>22</v>
      </c>
      <c r="K1067" s="182" t="s">
        <v>23</v>
      </c>
      <c r="L1067" s="182" t="s">
        <v>19</v>
      </c>
      <c r="M1067" s="182" t="s">
        <v>20</v>
      </c>
      <c r="N1067" s="182" t="s">
        <v>21</v>
      </c>
      <c r="O1067" s="182" t="s">
        <v>22</v>
      </c>
      <c r="P1067" s="182" t="s">
        <v>23</v>
      </c>
      <c r="Q1067" s="182" t="s">
        <v>19</v>
      </c>
      <c r="R1067" s="182" t="s">
        <v>20</v>
      </c>
      <c r="S1067" s="182" t="s">
        <v>21</v>
      </c>
      <c r="T1067" s="182" t="s">
        <v>22</v>
      </c>
      <c r="U1067" s="211" t="s">
        <v>23</v>
      </c>
    </row>
    <row r="1068" spans="1:21" x14ac:dyDescent="0.25">
      <c r="A1068" s="183" t="s">
        <v>402</v>
      </c>
      <c r="B1068" s="182" t="s">
        <v>29</v>
      </c>
      <c r="C1068" s="182" t="s">
        <v>28</v>
      </c>
      <c r="D1068" s="182">
        <v>16</v>
      </c>
      <c r="E1068" s="182">
        <f>unskilled</f>
        <v>935</v>
      </c>
      <c r="F1068" s="184">
        <f>(D1068*E1068)</f>
        <v>14960</v>
      </c>
      <c r="G1068" s="182" t="s">
        <v>403</v>
      </c>
      <c r="H1068" s="216" t="s">
        <v>35</v>
      </c>
      <c r="I1068" s="182">
        <v>22.5</v>
      </c>
      <c r="J1068" s="182">
        <f>adopted_rate_cutback_bitumen</f>
        <v>108000</v>
      </c>
      <c r="K1068" s="182">
        <f>(I1068*J1068)</f>
        <v>2430000</v>
      </c>
      <c r="L1068" s="182" t="s">
        <v>396</v>
      </c>
      <c r="M1068" s="182" t="s">
        <v>58</v>
      </c>
      <c r="N1068" s="182">
        <v>6</v>
      </c>
      <c r="O1068" s="182">
        <f>drum_mix_plant</f>
        <v>1313</v>
      </c>
      <c r="P1068" s="184">
        <f>(N1068*O1068)</f>
        <v>7878</v>
      </c>
    </row>
    <row r="1069" spans="1:21" x14ac:dyDescent="0.25">
      <c r="B1069" s="182" t="s">
        <v>47</v>
      </c>
      <c r="C1069" s="182" t="s">
        <v>28</v>
      </c>
      <c r="D1069" s="182">
        <v>6</v>
      </c>
      <c r="E1069" s="182">
        <f>skilled</f>
        <v>1245</v>
      </c>
      <c r="F1069" s="184">
        <f>(D1069*E1069)</f>
        <v>7470</v>
      </c>
      <c r="G1069" s="182" t="s">
        <v>392</v>
      </c>
      <c r="H1069" s="216" t="s">
        <v>35</v>
      </c>
      <c r="I1069" s="182">
        <v>9</v>
      </c>
      <c r="J1069" s="182">
        <f>adopted_rate_lime</f>
        <v>19000</v>
      </c>
      <c r="K1069" s="182">
        <f>(I1069*J1069)</f>
        <v>171000</v>
      </c>
      <c r="L1069" s="182" t="s">
        <v>76</v>
      </c>
      <c r="M1069" s="182" t="s">
        <v>58</v>
      </c>
      <c r="N1069" s="182">
        <v>6</v>
      </c>
      <c r="O1069" s="182">
        <f>generator</f>
        <v>855</v>
      </c>
      <c r="P1069" s="184">
        <f>(N1069*O1069)</f>
        <v>5130</v>
      </c>
    </row>
    <row r="1070" spans="1:21" x14ac:dyDescent="0.25">
      <c r="G1070" s="182" t="s">
        <v>393</v>
      </c>
      <c r="H1070" s="216" t="s">
        <v>84</v>
      </c>
      <c r="I1070" s="182">
        <v>78</v>
      </c>
      <c r="J1070" s="182">
        <f>adopted_rate_aggregate_10_20_mm</f>
        <v>3351.6</v>
      </c>
      <c r="K1070" s="182">
        <f>(I1070*J1070)</f>
        <v>261424.8</v>
      </c>
      <c r="L1070" s="182" t="s">
        <v>258</v>
      </c>
      <c r="M1070" s="182" t="s">
        <v>58</v>
      </c>
      <c r="N1070" s="182">
        <v>6</v>
      </c>
      <c r="O1070" s="182">
        <f>paver_finisher</f>
        <v>2374</v>
      </c>
      <c r="P1070" s="184">
        <f>(N1070*O1070)</f>
        <v>14244</v>
      </c>
    </row>
    <row r="1071" spans="1:21" x14ac:dyDescent="0.25">
      <c r="G1071" s="182" t="s">
        <v>394</v>
      </c>
      <c r="H1071" s="216" t="s">
        <v>84</v>
      </c>
      <c r="I1071" s="182">
        <v>93</v>
      </c>
      <c r="J1071" s="182">
        <f>adopted_rate_aggregate_10_mm</f>
        <v>3175.2000000000003</v>
      </c>
      <c r="K1071" s="182">
        <f>(I1071*J1071)</f>
        <v>295293.60000000003</v>
      </c>
      <c r="L1071" s="182" t="s">
        <v>308</v>
      </c>
      <c r="M1071" s="182" t="s">
        <v>58</v>
      </c>
      <c r="N1071" s="182">
        <v>6</v>
      </c>
      <c r="O1071" s="182">
        <f>pneumatic_roller</f>
        <v>2121</v>
      </c>
      <c r="P1071" s="184">
        <f>(N1071*O1071)</f>
        <v>12726</v>
      </c>
    </row>
    <row r="1072" spans="1:21" ht="31.5" x14ac:dyDescent="0.25">
      <c r="G1072" s="182" t="s">
        <v>395</v>
      </c>
      <c r="H1072" s="216" t="s">
        <v>84</v>
      </c>
      <c r="I1072" s="182">
        <v>108</v>
      </c>
      <c r="J1072" s="182">
        <f>District_Rate!L12</f>
        <v>3175.2000000000003</v>
      </c>
      <c r="K1072" s="182">
        <f>(I1072*J1072)</f>
        <v>342921.60000000003</v>
      </c>
      <c r="L1072" s="182" t="s">
        <v>332</v>
      </c>
      <c r="M1072" s="182" t="s">
        <v>58</v>
      </c>
      <c r="N1072" s="182">
        <v>6</v>
      </c>
      <c r="O1072" s="182">
        <f>smooth_wheel_roller</f>
        <v>1089</v>
      </c>
      <c r="P1072" s="184">
        <f>(N1072*O1072)</f>
        <v>6534</v>
      </c>
    </row>
    <row r="1073" spans="1:21" x14ac:dyDescent="0.25">
      <c r="A1073" s="537" t="s">
        <v>30</v>
      </c>
      <c r="B1073" s="537"/>
      <c r="C1073" s="537"/>
      <c r="D1073" s="537"/>
      <c r="E1073" s="537"/>
      <c r="F1073" s="184">
        <f>SUM(F1067:F1072)</f>
        <v>22430</v>
      </c>
      <c r="G1073" s="537" t="s">
        <v>31</v>
      </c>
      <c r="H1073" s="537"/>
      <c r="I1073" s="537"/>
      <c r="J1073" s="537"/>
      <c r="K1073" s="184">
        <f>SUM(K1067:K1072)</f>
        <v>3500640</v>
      </c>
      <c r="L1073" s="537" t="s">
        <v>32</v>
      </c>
      <c r="M1073" s="537"/>
      <c r="N1073" s="537"/>
      <c r="O1073" s="537"/>
      <c r="P1073" s="184">
        <f>SUM(P1067:P1072)</f>
        <v>46512</v>
      </c>
      <c r="Q1073" s="537" t="s">
        <v>38</v>
      </c>
      <c r="R1073" s="537"/>
      <c r="S1073" s="537"/>
      <c r="T1073" s="537"/>
      <c r="U1073" s="223">
        <f>SUM(U1067:U1072)</f>
        <v>0</v>
      </c>
    </row>
    <row r="1074" spans="1:21" x14ac:dyDescent="0.25">
      <c r="A1074" s="537" t="s">
        <v>33</v>
      </c>
      <c r="B1074" s="537"/>
      <c r="C1074" s="537"/>
      <c r="D1074" s="537"/>
      <c r="E1074" s="537"/>
      <c r="F1074" s="184">
        <f>SUM(F1073+K1073+P1073)</f>
        <v>3569582</v>
      </c>
      <c r="G1074" s="537" t="s">
        <v>39</v>
      </c>
      <c r="H1074" s="537"/>
      <c r="I1074" s="537"/>
      <c r="J1074" s="537"/>
      <c r="K1074" s="184">
        <f>SUM(F1073+K1073+P1073+U1073)</f>
        <v>3569582</v>
      </c>
      <c r="L1074" s="537" t="s">
        <v>40</v>
      </c>
      <c r="M1074" s="537"/>
      <c r="N1074" s="537"/>
      <c r="O1074" s="537"/>
      <c r="P1074" s="184">
        <f>SUM(K1074*0.15)</f>
        <v>535437.29999999993</v>
      </c>
      <c r="Q1074" s="537" t="s">
        <v>41</v>
      </c>
      <c r="R1074" s="537"/>
      <c r="S1074" s="537"/>
      <c r="T1074" s="537"/>
      <c r="U1074" s="223">
        <f>SUM(K1074+P1074)</f>
        <v>4105019.3</v>
      </c>
    </row>
    <row r="1075" spans="1:21" x14ac:dyDescent="0.25">
      <c r="Q1075" s="537" t="s">
        <v>42</v>
      </c>
      <c r="R1075" s="537"/>
      <c r="S1075" s="537"/>
      <c r="T1075" s="537"/>
      <c r="U1075" s="224">
        <f>ROUND((U1074/205),2)</f>
        <v>20024.48</v>
      </c>
    </row>
    <row r="1076" spans="1:21" x14ac:dyDescent="0.25">
      <c r="A1076" s="544"/>
      <c r="B1076" s="544"/>
      <c r="C1076" s="544"/>
      <c r="D1076" s="544"/>
      <c r="E1076" s="544"/>
      <c r="F1076" s="544"/>
      <c r="G1076" s="544"/>
      <c r="H1076" s="544"/>
      <c r="I1076" s="544"/>
      <c r="J1076" s="544"/>
      <c r="K1076" s="544"/>
      <c r="L1076" s="544"/>
      <c r="M1076" s="544"/>
      <c r="N1076" s="544"/>
      <c r="O1076" s="544"/>
      <c r="P1076" s="544"/>
      <c r="Q1076" s="544"/>
      <c r="R1076" s="544"/>
      <c r="S1076" s="544"/>
      <c r="T1076" s="544"/>
      <c r="U1076" s="544"/>
    </row>
    <row r="1077" spans="1:21" x14ac:dyDescent="0.25">
      <c r="A1077" s="538" t="s">
        <v>12</v>
      </c>
      <c r="B1077" s="538"/>
      <c r="C1077" s="540" t="s">
        <v>404</v>
      </c>
      <c r="D1077" s="540"/>
      <c r="E1077" s="540"/>
      <c r="F1077" s="540"/>
      <c r="G1077" s="540"/>
      <c r="H1077" s="540"/>
      <c r="I1077" s="540"/>
      <c r="J1077" s="540"/>
      <c r="K1077" s="540"/>
      <c r="L1077" s="540"/>
      <c r="M1077" s="540"/>
      <c r="N1077" s="540"/>
      <c r="O1077" s="540"/>
      <c r="P1077" s="540"/>
      <c r="Q1077" s="540"/>
      <c r="R1077" s="540"/>
      <c r="S1077" s="540"/>
      <c r="T1077" s="540"/>
      <c r="U1077" s="541" t="s">
        <v>390</v>
      </c>
    </row>
    <row r="1078" spans="1:21" x14ac:dyDescent="0.25">
      <c r="A1078" s="538"/>
      <c r="B1078" s="538"/>
      <c r="C1078" s="540"/>
      <c r="D1078" s="540"/>
      <c r="E1078" s="540"/>
      <c r="F1078" s="540"/>
      <c r="G1078" s="540"/>
      <c r="H1078" s="540"/>
      <c r="I1078" s="540"/>
      <c r="J1078" s="540"/>
      <c r="K1078" s="540"/>
      <c r="L1078" s="540"/>
      <c r="M1078" s="540"/>
      <c r="N1078" s="540"/>
      <c r="O1078" s="540"/>
      <c r="P1078" s="540"/>
      <c r="Q1078" s="540"/>
      <c r="R1078" s="540"/>
      <c r="S1078" s="540"/>
      <c r="T1078" s="540"/>
      <c r="U1078" s="541"/>
    </row>
    <row r="1079" spans="1:21" x14ac:dyDescent="0.25">
      <c r="A1079" s="539" t="s">
        <v>388</v>
      </c>
      <c r="B1079" s="539"/>
      <c r="C1079" s="540"/>
      <c r="D1079" s="540"/>
      <c r="E1079" s="540"/>
      <c r="F1079" s="540"/>
      <c r="G1079" s="540"/>
      <c r="H1079" s="540"/>
      <c r="I1079" s="540"/>
      <c r="J1079" s="540"/>
      <c r="K1079" s="540"/>
      <c r="L1079" s="540"/>
      <c r="M1079" s="540"/>
      <c r="N1079" s="540"/>
      <c r="O1079" s="540"/>
      <c r="P1079" s="540"/>
      <c r="Q1079" s="540"/>
      <c r="R1079" s="540"/>
      <c r="S1079" s="540"/>
      <c r="T1079" s="540"/>
      <c r="U1079" s="541"/>
    </row>
    <row r="1080" spans="1:21" x14ac:dyDescent="0.25">
      <c r="A1080" s="542" t="s">
        <v>16</v>
      </c>
      <c r="B1080" s="543" t="s">
        <v>18</v>
      </c>
      <c r="C1080" s="543"/>
      <c r="D1080" s="543"/>
      <c r="E1080" s="543"/>
      <c r="F1080" s="543"/>
      <c r="G1080" s="543" t="s">
        <v>24</v>
      </c>
      <c r="H1080" s="543"/>
      <c r="I1080" s="543"/>
      <c r="J1080" s="543"/>
      <c r="K1080" s="543"/>
      <c r="L1080" s="543" t="s">
        <v>25</v>
      </c>
      <c r="M1080" s="543"/>
      <c r="N1080" s="543"/>
      <c r="O1080" s="543"/>
      <c r="P1080" s="543"/>
      <c r="Q1080" s="543" t="s">
        <v>26</v>
      </c>
      <c r="R1080" s="543"/>
      <c r="S1080" s="543"/>
      <c r="T1080" s="543"/>
      <c r="U1080" s="543"/>
    </row>
    <row r="1081" spans="1:21" x14ac:dyDescent="0.25">
      <c r="A1081" s="542"/>
      <c r="B1081" s="182" t="s">
        <v>19</v>
      </c>
      <c r="C1081" s="182" t="s">
        <v>20</v>
      </c>
      <c r="D1081" s="182" t="s">
        <v>21</v>
      </c>
      <c r="E1081" s="182" t="s">
        <v>22</v>
      </c>
      <c r="F1081" s="182" t="s">
        <v>23</v>
      </c>
      <c r="G1081" s="182" t="s">
        <v>19</v>
      </c>
      <c r="H1081" s="216" t="s">
        <v>20</v>
      </c>
      <c r="I1081" s="182" t="s">
        <v>21</v>
      </c>
      <c r="J1081" s="182" t="s">
        <v>22</v>
      </c>
      <c r="K1081" s="182" t="s">
        <v>23</v>
      </c>
      <c r="L1081" s="182" t="s">
        <v>19</v>
      </c>
      <c r="M1081" s="182" t="s">
        <v>20</v>
      </c>
      <c r="N1081" s="182" t="s">
        <v>21</v>
      </c>
      <c r="O1081" s="182" t="s">
        <v>22</v>
      </c>
      <c r="P1081" s="182" t="s">
        <v>23</v>
      </c>
      <c r="Q1081" s="182" t="s">
        <v>19</v>
      </c>
      <c r="R1081" s="182" t="s">
        <v>20</v>
      </c>
      <c r="S1081" s="182" t="s">
        <v>21</v>
      </c>
      <c r="T1081" s="182" t="s">
        <v>22</v>
      </c>
      <c r="U1081" s="211" t="s">
        <v>23</v>
      </c>
    </row>
    <row r="1082" spans="1:21" x14ac:dyDescent="0.25">
      <c r="A1082" s="183" t="s">
        <v>405</v>
      </c>
      <c r="B1082" s="182" t="s">
        <v>29</v>
      </c>
      <c r="C1082" s="182" t="s">
        <v>28</v>
      </c>
      <c r="D1082" s="182">
        <v>16</v>
      </c>
      <c r="E1082" s="182">
        <f>unskilled</f>
        <v>935</v>
      </c>
      <c r="F1082" s="184">
        <f>(D1082*E1082)</f>
        <v>14960</v>
      </c>
      <c r="G1082" s="182" t="s">
        <v>403</v>
      </c>
      <c r="H1082" s="216" t="s">
        <v>35</v>
      </c>
      <c r="I1082" s="182">
        <v>22.5</v>
      </c>
      <c r="J1082" s="182">
        <f>adopted_rate_cutback_bitumen</f>
        <v>108000</v>
      </c>
      <c r="K1082" s="182">
        <f>(I1082*J1082)</f>
        <v>2430000</v>
      </c>
      <c r="L1082" s="182" t="s">
        <v>396</v>
      </c>
      <c r="M1082" s="182" t="s">
        <v>58</v>
      </c>
      <c r="N1082" s="182">
        <v>6</v>
      </c>
      <c r="O1082" s="182">
        <f>drum_mix_plant</f>
        <v>1313</v>
      </c>
      <c r="P1082" s="184">
        <f>(N1082*O1082)</f>
        <v>7878</v>
      </c>
    </row>
    <row r="1083" spans="1:21" x14ac:dyDescent="0.25">
      <c r="B1083" s="182" t="s">
        <v>47</v>
      </c>
      <c r="C1083" s="182" t="s">
        <v>28</v>
      </c>
      <c r="D1083" s="182">
        <v>6</v>
      </c>
      <c r="E1083" s="182">
        <f>skilled</f>
        <v>1245</v>
      </c>
      <c r="F1083" s="184">
        <f>(D1083*E1083)</f>
        <v>7470</v>
      </c>
      <c r="G1083" s="182" t="s">
        <v>392</v>
      </c>
      <c r="H1083" s="216" t="s">
        <v>35</v>
      </c>
      <c r="I1083" s="182">
        <v>9</v>
      </c>
      <c r="J1083" s="182">
        <f>adopted_rate_lime</f>
        <v>19000</v>
      </c>
      <c r="K1083" s="182">
        <f>(I1083*J1083)</f>
        <v>171000</v>
      </c>
      <c r="L1083" s="182" t="s">
        <v>76</v>
      </c>
      <c r="M1083" s="182" t="s">
        <v>58</v>
      </c>
      <c r="N1083" s="182">
        <v>6</v>
      </c>
      <c r="O1083" s="182">
        <f>generator</f>
        <v>855</v>
      </c>
      <c r="P1083" s="184">
        <f>(N1083*O1083)</f>
        <v>5130</v>
      </c>
    </row>
    <row r="1084" spans="1:21" x14ac:dyDescent="0.25">
      <c r="G1084" s="182" t="s">
        <v>399</v>
      </c>
      <c r="H1084" s="216" t="s">
        <v>84</v>
      </c>
      <c r="I1084" s="182">
        <v>75</v>
      </c>
      <c r="J1084" s="182">
        <f>adopted_rate_aggregate_20_40_mm</f>
        <v>3175.2000000000003</v>
      </c>
      <c r="K1084" s="182">
        <f>(I1084*J1084)</f>
        <v>238140.00000000003</v>
      </c>
      <c r="L1084" s="182" t="s">
        <v>258</v>
      </c>
      <c r="M1084" s="182" t="s">
        <v>58</v>
      </c>
      <c r="N1084" s="182">
        <v>6</v>
      </c>
      <c r="O1084" s="182">
        <f>paver_finisher</f>
        <v>2374</v>
      </c>
      <c r="P1084" s="184">
        <f>(N1084*O1084)</f>
        <v>14244</v>
      </c>
    </row>
    <row r="1085" spans="1:21" x14ac:dyDescent="0.25">
      <c r="G1085" s="182" t="s">
        <v>400</v>
      </c>
      <c r="H1085" s="216" t="s">
        <v>84</v>
      </c>
      <c r="I1085" s="182">
        <v>90</v>
      </c>
      <c r="J1085" s="182">
        <f>adopted_rate_aggregate_10_20_mm</f>
        <v>3351.6</v>
      </c>
      <c r="K1085" s="182">
        <f>(I1085*J1085)</f>
        <v>301644</v>
      </c>
      <c r="L1085" s="182" t="s">
        <v>308</v>
      </c>
      <c r="M1085" s="182" t="s">
        <v>58</v>
      </c>
      <c r="N1085" s="182">
        <v>6</v>
      </c>
      <c r="O1085" s="182">
        <f>pneumatic_roller</f>
        <v>2121</v>
      </c>
      <c r="P1085" s="184">
        <f>(N1085*O1085)</f>
        <v>12726</v>
      </c>
    </row>
    <row r="1086" spans="1:21" ht="31.5" x14ac:dyDescent="0.25">
      <c r="G1086" s="182" t="s">
        <v>395</v>
      </c>
      <c r="H1086" s="216" t="s">
        <v>84</v>
      </c>
      <c r="I1086" s="182">
        <v>114</v>
      </c>
      <c r="J1086" s="182">
        <f>District_Rate!L12</f>
        <v>3175.2000000000003</v>
      </c>
      <c r="K1086" s="182">
        <f>(I1086*J1086)</f>
        <v>361972.80000000005</v>
      </c>
      <c r="L1086" s="182" t="s">
        <v>332</v>
      </c>
      <c r="M1086" s="182" t="s">
        <v>58</v>
      </c>
      <c r="N1086" s="182">
        <v>6</v>
      </c>
      <c r="O1086" s="182">
        <f>smooth_wheel_roller</f>
        <v>1089</v>
      </c>
      <c r="P1086" s="184">
        <f>(N1086*O1086)</f>
        <v>6534</v>
      </c>
    </row>
    <row r="1087" spans="1:21" x14ac:dyDescent="0.25">
      <c r="A1087" s="537" t="s">
        <v>30</v>
      </c>
      <c r="B1087" s="537"/>
      <c r="C1087" s="537"/>
      <c r="D1087" s="537"/>
      <c r="E1087" s="537"/>
      <c r="F1087" s="184">
        <f>SUM(F1081:F1086)</f>
        <v>22430</v>
      </c>
      <c r="G1087" s="537" t="s">
        <v>31</v>
      </c>
      <c r="H1087" s="537"/>
      <c r="I1087" s="537"/>
      <c r="J1087" s="537"/>
      <c r="K1087" s="184">
        <f>SUM(K1081:K1086)</f>
        <v>3502756.8</v>
      </c>
      <c r="L1087" s="537" t="s">
        <v>32</v>
      </c>
      <c r="M1087" s="537"/>
      <c r="N1087" s="537"/>
      <c r="O1087" s="537"/>
      <c r="P1087" s="184">
        <f>SUM(P1081:P1086)</f>
        <v>46512</v>
      </c>
      <c r="Q1087" s="537" t="s">
        <v>38</v>
      </c>
      <c r="R1087" s="537"/>
      <c r="S1087" s="537"/>
      <c r="T1087" s="537"/>
      <c r="U1087" s="223">
        <f>SUM(U1081:U1086)</f>
        <v>0</v>
      </c>
    </row>
    <row r="1088" spans="1:21" x14ac:dyDescent="0.25">
      <c r="A1088" s="537" t="s">
        <v>33</v>
      </c>
      <c r="B1088" s="537"/>
      <c r="C1088" s="537"/>
      <c r="D1088" s="537"/>
      <c r="E1088" s="537"/>
      <c r="F1088" s="184">
        <f>SUM(F1087+K1087+P1087)</f>
        <v>3571698.8</v>
      </c>
      <c r="G1088" s="537" t="s">
        <v>39</v>
      </c>
      <c r="H1088" s="537"/>
      <c r="I1088" s="537"/>
      <c r="J1088" s="537"/>
      <c r="K1088" s="184">
        <f>SUM(F1087+K1087+P1087+U1087)</f>
        <v>3571698.8</v>
      </c>
      <c r="L1088" s="537" t="s">
        <v>40</v>
      </c>
      <c r="M1088" s="537"/>
      <c r="N1088" s="537"/>
      <c r="O1088" s="537"/>
      <c r="P1088" s="184">
        <f>SUM(K1088*0.15)</f>
        <v>535754.81999999995</v>
      </c>
      <c r="Q1088" s="537" t="s">
        <v>41</v>
      </c>
      <c r="R1088" s="537"/>
      <c r="S1088" s="537"/>
      <c r="T1088" s="537"/>
      <c r="U1088" s="223">
        <f>SUM(K1088+P1088)</f>
        <v>4107453.6199999996</v>
      </c>
    </row>
    <row r="1089" spans="1:21" x14ac:dyDescent="0.25">
      <c r="Q1089" s="537" t="s">
        <v>42</v>
      </c>
      <c r="R1089" s="537"/>
      <c r="S1089" s="537"/>
      <c r="T1089" s="537"/>
      <c r="U1089" s="224">
        <f>ROUND((U1088/205),2)</f>
        <v>20036.36</v>
      </c>
    </row>
    <row r="1090" spans="1:21" x14ac:dyDescent="0.25">
      <c r="A1090" s="544"/>
      <c r="B1090" s="544"/>
      <c r="C1090" s="544"/>
      <c r="D1090" s="544"/>
      <c r="E1090" s="544"/>
      <c r="F1090" s="544"/>
      <c r="G1090" s="544"/>
      <c r="H1090" s="544"/>
      <c r="I1090" s="544"/>
      <c r="J1090" s="544"/>
      <c r="K1090" s="544"/>
      <c r="L1090" s="544"/>
      <c r="M1090" s="544"/>
      <c r="N1090" s="544"/>
      <c r="O1090" s="544"/>
      <c r="P1090" s="544"/>
      <c r="Q1090" s="544"/>
      <c r="R1090" s="544"/>
      <c r="S1090" s="544"/>
      <c r="T1090" s="544"/>
      <c r="U1090" s="544"/>
    </row>
    <row r="1091" spans="1:21" x14ac:dyDescent="0.25">
      <c r="A1091" s="538" t="s">
        <v>12</v>
      </c>
      <c r="B1091" s="538"/>
      <c r="C1091" s="540" t="s">
        <v>407</v>
      </c>
      <c r="D1091" s="540"/>
      <c r="E1091" s="540"/>
      <c r="F1091" s="540"/>
      <c r="G1091" s="540"/>
      <c r="H1091" s="540"/>
      <c r="I1091" s="540"/>
      <c r="J1091" s="540"/>
      <c r="K1091" s="540"/>
      <c r="L1091" s="540"/>
      <c r="M1091" s="540"/>
      <c r="N1091" s="540"/>
      <c r="O1091" s="540"/>
      <c r="P1091" s="540"/>
      <c r="Q1091" s="540"/>
      <c r="R1091" s="540"/>
      <c r="S1091" s="540"/>
      <c r="T1091" s="540"/>
      <c r="U1091" s="541" t="s">
        <v>408</v>
      </c>
    </row>
    <row r="1092" spans="1:21" x14ac:dyDescent="0.25">
      <c r="A1092" s="538"/>
      <c r="B1092" s="538"/>
      <c r="C1092" s="540"/>
      <c r="D1092" s="540"/>
      <c r="E1092" s="540"/>
      <c r="F1092" s="540"/>
      <c r="G1092" s="540"/>
      <c r="H1092" s="540"/>
      <c r="I1092" s="540"/>
      <c r="J1092" s="540"/>
      <c r="K1092" s="540"/>
      <c r="L1092" s="540"/>
      <c r="M1092" s="540"/>
      <c r="N1092" s="540"/>
      <c r="O1092" s="540"/>
      <c r="P1092" s="540"/>
      <c r="Q1092" s="540"/>
      <c r="R1092" s="540"/>
      <c r="S1092" s="540"/>
      <c r="T1092" s="540"/>
      <c r="U1092" s="541"/>
    </row>
    <row r="1093" spans="1:21" x14ac:dyDescent="0.25">
      <c r="A1093" s="539" t="s">
        <v>406</v>
      </c>
      <c r="B1093" s="539"/>
      <c r="C1093" s="540"/>
      <c r="D1093" s="540"/>
      <c r="E1093" s="540"/>
      <c r="F1093" s="540"/>
      <c r="G1093" s="540"/>
      <c r="H1093" s="540"/>
      <c r="I1093" s="540"/>
      <c r="J1093" s="540"/>
      <c r="K1093" s="540"/>
      <c r="L1093" s="540"/>
      <c r="M1093" s="540"/>
      <c r="N1093" s="540"/>
      <c r="O1093" s="540"/>
      <c r="P1093" s="540"/>
      <c r="Q1093" s="540"/>
      <c r="R1093" s="540"/>
      <c r="S1093" s="540"/>
      <c r="T1093" s="540"/>
      <c r="U1093" s="541"/>
    </row>
    <row r="1094" spans="1:21" x14ac:dyDescent="0.25">
      <c r="A1094" s="542" t="s">
        <v>16</v>
      </c>
      <c r="B1094" s="543" t="s">
        <v>18</v>
      </c>
      <c r="C1094" s="543"/>
      <c r="D1094" s="543"/>
      <c r="E1094" s="543"/>
      <c r="F1094" s="543"/>
      <c r="G1094" s="543" t="s">
        <v>24</v>
      </c>
      <c r="H1094" s="543"/>
      <c r="I1094" s="543"/>
      <c r="J1094" s="543"/>
      <c r="K1094" s="543"/>
      <c r="L1094" s="543" t="s">
        <v>25</v>
      </c>
      <c r="M1094" s="543"/>
      <c r="N1094" s="543"/>
      <c r="O1094" s="543"/>
      <c r="P1094" s="543"/>
      <c r="Q1094" s="543" t="s">
        <v>26</v>
      </c>
      <c r="R1094" s="543"/>
      <c r="S1094" s="543"/>
      <c r="T1094" s="543"/>
      <c r="U1094" s="543"/>
    </row>
    <row r="1095" spans="1:21" x14ac:dyDescent="0.25">
      <c r="A1095" s="542"/>
      <c r="B1095" s="182" t="s">
        <v>19</v>
      </c>
      <c r="C1095" s="182" t="s">
        <v>20</v>
      </c>
      <c r="D1095" s="182" t="s">
        <v>21</v>
      </c>
      <c r="E1095" s="182" t="s">
        <v>22</v>
      </c>
      <c r="F1095" s="182" t="s">
        <v>23</v>
      </c>
      <c r="G1095" s="182" t="s">
        <v>19</v>
      </c>
      <c r="H1095" s="216" t="s">
        <v>20</v>
      </c>
      <c r="I1095" s="182" t="s">
        <v>21</v>
      </c>
      <c r="J1095" s="182" t="s">
        <v>22</v>
      </c>
      <c r="K1095" s="182" t="s">
        <v>23</v>
      </c>
      <c r="L1095" s="182" t="s">
        <v>19</v>
      </c>
      <c r="M1095" s="182" t="s">
        <v>20</v>
      </c>
      <c r="N1095" s="182" t="s">
        <v>21</v>
      </c>
      <c r="O1095" s="182" t="s">
        <v>22</v>
      </c>
      <c r="P1095" s="182" t="s">
        <v>23</v>
      </c>
      <c r="Q1095" s="182" t="s">
        <v>19</v>
      </c>
      <c r="R1095" s="182" t="s">
        <v>20</v>
      </c>
      <c r="S1095" s="182" t="s">
        <v>21</v>
      </c>
      <c r="T1095" s="182" t="s">
        <v>22</v>
      </c>
      <c r="U1095" s="211" t="s">
        <v>23</v>
      </c>
    </row>
    <row r="1096" spans="1:21" ht="47.25" x14ac:dyDescent="0.25">
      <c r="A1096" s="183" t="s">
        <v>409</v>
      </c>
      <c r="B1096" s="182" t="s">
        <v>47</v>
      </c>
      <c r="C1096" s="182" t="s">
        <v>28</v>
      </c>
      <c r="D1096" s="182">
        <v>0.01</v>
      </c>
      <c r="E1096" s="182">
        <f>skilled</f>
        <v>1245</v>
      </c>
      <c r="F1096" s="184">
        <f>(D1096*E1096)</f>
        <v>12.450000000000001</v>
      </c>
      <c r="G1096" s="182" t="s">
        <v>410</v>
      </c>
      <c r="H1096" s="216" t="s">
        <v>144</v>
      </c>
      <c r="I1096" s="182">
        <v>210</v>
      </c>
      <c r="J1096" s="182">
        <f>adopted_rate_anti_stripping_agent</f>
        <v>322.5</v>
      </c>
      <c r="K1096" s="182">
        <f>(I1096*J1096)</f>
        <v>67725</v>
      </c>
      <c r="L1096" s="182" t="s">
        <v>411</v>
      </c>
      <c r="M1096" s="182"/>
      <c r="P1096" s="184">
        <f>F1098*3/100</f>
        <v>28.423500000000004</v>
      </c>
    </row>
    <row r="1097" spans="1:21" x14ac:dyDescent="0.25">
      <c r="B1097" s="182" t="s">
        <v>29</v>
      </c>
      <c r="C1097" s="182" t="s">
        <v>28</v>
      </c>
      <c r="D1097" s="182">
        <v>1</v>
      </c>
      <c r="E1097" s="182">
        <f>unskilled</f>
        <v>935</v>
      </c>
      <c r="F1097" s="184">
        <f>(D1097*E1097)</f>
        <v>935</v>
      </c>
    </row>
    <row r="1098" spans="1:21" x14ac:dyDescent="0.25">
      <c r="A1098" s="537" t="s">
        <v>30</v>
      </c>
      <c r="B1098" s="537"/>
      <c r="C1098" s="537"/>
      <c r="D1098" s="537"/>
      <c r="E1098" s="537"/>
      <c r="F1098" s="184">
        <f>SUM(F1095:F1097)</f>
        <v>947.45</v>
      </c>
      <c r="G1098" s="537" t="s">
        <v>31</v>
      </c>
      <c r="H1098" s="537"/>
      <c r="I1098" s="537"/>
      <c r="J1098" s="537"/>
      <c r="K1098" s="184">
        <f>SUM(K1095:K1097)</f>
        <v>67725</v>
      </c>
      <c r="L1098" s="537" t="s">
        <v>32</v>
      </c>
      <c r="M1098" s="537"/>
      <c r="N1098" s="537"/>
      <c r="O1098" s="537"/>
      <c r="P1098" s="184">
        <f>SUM(P1095:P1097)</f>
        <v>28.423500000000004</v>
      </c>
      <c r="Q1098" s="537" t="s">
        <v>38</v>
      </c>
      <c r="R1098" s="537"/>
      <c r="S1098" s="537"/>
      <c r="T1098" s="537"/>
      <c r="U1098" s="223">
        <f>SUM(U1095:U1097)</f>
        <v>0</v>
      </c>
    </row>
    <row r="1099" spans="1:21" x14ac:dyDescent="0.25">
      <c r="A1099" s="537" t="s">
        <v>33</v>
      </c>
      <c r="B1099" s="537"/>
      <c r="C1099" s="537"/>
      <c r="D1099" s="537"/>
      <c r="E1099" s="537"/>
      <c r="F1099" s="184">
        <f>SUM(F1098+K1098+P1098)</f>
        <v>68700.873500000002</v>
      </c>
      <c r="G1099" s="537" t="s">
        <v>39</v>
      </c>
      <c r="H1099" s="537"/>
      <c r="I1099" s="537"/>
      <c r="J1099" s="537"/>
      <c r="K1099" s="184">
        <f>SUM(F1098+K1098+P1098+U1098)</f>
        <v>68700.873500000002</v>
      </c>
      <c r="L1099" s="537" t="s">
        <v>40</v>
      </c>
      <c r="M1099" s="537"/>
      <c r="N1099" s="537"/>
      <c r="O1099" s="537"/>
      <c r="P1099" s="184">
        <f>SUM(K1099*0.15)</f>
        <v>10305.131025000001</v>
      </c>
      <c r="Q1099" s="537" t="s">
        <v>41</v>
      </c>
      <c r="R1099" s="537"/>
      <c r="S1099" s="537"/>
      <c r="T1099" s="537"/>
      <c r="U1099" s="223">
        <f>SUM(K1099+P1099)</f>
        <v>79006.004524999997</v>
      </c>
    </row>
    <row r="1100" spans="1:21" x14ac:dyDescent="0.25">
      <c r="Q1100" s="537" t="s">
        <v>42</v>
      </c>
      <c r="R1100" s="537"/>
      <c r="S1100" s="537"/>
      <c r="T1100" s="537"/>
      <c r="U1100" s="224">
        <f>ROUND((U1099/200),2)</f>
        <v>395.03</v>
      </c>
    </row>
    <row r="1101" spans="1:21" x14ac:dyDescent="0.25">
      <c r="A1101" s="544"/>
      <c r="B1101" s="544"/>
      <c r="C1101" s="544"/>
      <c r="D1101" s="544"/>
      <c r="E1101" s="544"/>
      <c r="F1101" s="544"/>
      <c r="G1101" s="544"/>
      <c r="H1101" s="544"/>
      <c r="I1101" s="544"/>
      <c r="J1101" s="544"/>
      <c r="K1101" s="544"/>
      <c r="L1101" s="544"/>
      <c r="M1101" s="544"/>
      <c r="N1101" s="544"/>
      <c r="O1101" s="544"/>
      <c r="P1101" s="544"/>
      <c r="Q1101" s="544"/>
      <c r="R1101" s="544"/>
      <c r="S1101" s="544"/>
      <c r="T1101" s="544"/>
      <c r="U1101" s="544"/>
    </row>
    <row r="1102" spans="1:21" x14ac:dyDescent="0.25">
      <c r="A1102" s="538" t="s">
        <v>12</v>
      </c>
      <c r="B1102" s="538"/>
      <c r="C1102" s="540" t="s">
        <v>412</v>
      </c>
      <c r="D1102" s="540"/>
      <c r="E1102" s="540"/>
      <c r="F1102" s="540"/>
      <c r="G1102" s="540"/>
      <c r="H1102" s="540"/>
      <c r="I1102" s="540"/>
      <c r="J1102" s="540"/>
      <c r="K1102" s="540"/>
      <c r="L1102" s="540"/>
      <c r="M1102" s="540"/>
      <c r="N1102" s="540"/>
      <c r="O1102" s="540"/>
      <c r="P1102" s="540"/>
      <c r="Q1102" s="540"/>
      <c r="R1102" s="540"/>
      <c r="S1102" s="540"/>
      <c r="T1102" s="540"/>
      <c r="U1102" s="541" t="s">
        <v>413</v>
      </c>
    </row>
    <row r="1103" spans="1:21" x14ac:dyDescent="0.25">
      <c r="A1103" s="538"/>
      <c r="B1103" s="538"/>
      <c r="C1103" s="540"/>
      <c r="D1103" s="540"/>
      <c r="E1103" s="540"/>
      <c r="F1103" s="540"/>
      <c r="G1103" s="540"/>
      <c r="H1103" s="540"/>
      <c r="I1103" s="540"/>
      <c r="J1103" s="540"/>
      <c r="K1103" s="540"/>
      <c r="L1103" s="540"/>
      <c r="M1103" s="540"/>
      <c r="N1103" s="540"/>
      <c r="O1103" s="540"/>
      <c r="P1103" s="540"/>
      <c r="Q1103" s="540"/>
      <c r="R1103" s="540"/>
      <c r="S1103" s="540"/>
      <c r="T1103" s="540"/>
      <c r="U1103" s="541"/>
    </row>
    <row r="1104" spans="1:21" x14ac:dyDescent="0.25">
      <c r="A1104" s="539" t="s">
        <v>406</v>
      </c>
      <c r="B1104" s="539"/>
      <c r="C1104" s="540"/>
      <c r="D1104" s="540"/>
      <c r="E1104" s="540"/>
      <c r="F1104" s="540"/>
      <c r="G1104" s="540"/>
      <c r="H1104" s="540"/>
      <c r="I1104" s="540"/>
      <c r="J1104" s="540"/>
      <c r="K1104" s="540"/>
      <c r="L1104" s="540"/>
      <c r="M1104" s="540"/>
      <c r="N1104" s="540"/>
      <c r="O1104" s="540"/>
      <c r="P1104" s="540"/>
      <c r="Q1104" s="540"/>
      <c r="R1104" s="540"/>
      <c r="S1104" s="540"/>
      <c r="T1104" s="540"/>
      <c r="U1104" s="541"/>
    </row>
    <row r="1105" spans="1:24" x14ac:dyDescent="0.25">
      <c r="A1105" s="542" t="s">
        <v>16</v>
      </c>
      <c r="B1105" s="543" t="s">
        <v>18</v>
      </c>
      <c r="C1105" s="543"/>
      <c r="D1105" s="543"/>
      <c r="E1105" s="543"/>
      <c r="F1105" s="543"/>
      <c r="G1105" s="543" t="s">
        <v>24</v>
      </c>
      <c r="H1105" s="543"/>
      <c r="I1105" s="543"/>
      <c r="J1105" s="543"/>
      <c r="K1105" s="543"/>
      <c r="L1105" s="543" t="s">
        <v>25</v>
      </c>
      <c r="M1105" s="543"/>
      <c r="N1105" s="543"/>
      <c r="O1105" s="543"/>
      <c r="P1105" s="543"/>
      <c r="Q1105" s="543" t="s">
        <v>26</v>
      </c>
      <c r="R1105" s="543"/>
      <c r="S1105" s="543"/>
      <c r="T1105" s="543"/>
      <c r="U1105" s="543"/>
    </row>
    <row r="1106" spans="1:24" x14ac:dyDescent="0.25">
      <c r="A1106" s="542"/>
      <c r="B1106" s="182" t="s">
        <v>19</v>
      </c>
      <c r="C1106" s="182" t="s">
        <v>20</v>
      </c>
      <c r="D1106" s="182" t="s">
        <v>21</v>
      </c>
      <c r="E1106" s="182" t="s">
        <v>22</v>
      </c>
      <c r="F1106" s="182" t="s">
        <v>23</v>
      </c>
      <c r="G1106" s="182" t="s">
        <v>19</v>
      </c>
      <c r="H1106" s="216" t="s">
        <v>20</v>
      </c>
      <c r="I1106" s="182" t="s">
        <v>21</v>
      </c>
      <c r="J1106" s="182" t="s">
        <v>22</v>
      </c>
      <c r="K1106" s="182" t="s">
        <v>23</v>
      </c>
      <c r="L1106" s="182" t="s">
        <v>19</v>
      </c>
      <c r="M1106" s="182" t="s">
        <v>20</v>
      </c>
      <c r="N1106" s="182" t="s">
        <v>21</v>
      </c>
      <c r="O1106" s="182" t="s">
        <v>22</v>
      </c>
      <c r="P1106" s="182" t="s">
        <v>23</v>
      </c>
      <c r="Q1106" s="182" t="s">
        <v>19</v>
      </c>
      <c r="R1106" s="182" t="s">
        <v>20</v>
      </c>
      <c r="S1106" s="182" t="s">
        <v>21</v>
      </c>
      <c r="T1106" s="182" t="s">
        <v>22</v>
      </c>
      <c r="U1106" s="211" t="s">
        <v>23</v>
      </c>
    </row>
    <row r="1107" spans="1:24" ht="31.5" x14ac:dyDescent="0.25">
      <c r="A1107" s="183" t="s">
        <v>414</v>
      </c>
      <c r="B1107" s="182" t="s">
        <v>29</v>
      </c>
      <c r="C1107" s="182" t="s">
        <v>28</v>
      </c>
      <c r="D1107" s="182">
        <v>40</v>
      </c>
      <c r="E1107" s="182">
        <f>unskilled</f>
        <v>935</v>
      </c>
      <c r="F1107" s="184">
        <f>(D1107*E1107)</f>
        <v>37400</v>
      </c>
      <c r="G1107" s="182" t="s">
        <v>415</v>
      </c>
      <c r="H1107" s="216"/>
      <c r="L1107" s="182" t="s">
        <v>288</v>
      </c>
      <c r="M1107" s="182" t="s">
        <v>58</v>
      </c>
      <c r="N1107" s="182">
        <v>1</v>
      </c>
      <c r="O1107" s="182">
        <f>mechanical_broom</f>
        <v>1393</v>
      </c>
      <c r="P1107" s="184">
        <f>(N1107*O1107)</f>
        <v>1393</v>
      </c>
    </row>
    <row r="1108" spans="1:24" ht="31.5" x14ac:dyDescent="0.25">
      <c r="B1108" s="182" t="s">
        <v>47</v>
      </c>
      <c r="C1108" s="182" t="s">
        <v>28</v>
      </c>
      <c r="D1108" s="182">
        <v>4</v>
      </c>
      <c r="E1108" s="182">
        <f>skilled</f>
        <v>1245</v>
      </c>
      <c r="F1108" s="184">
        <f>(D1108*E1108)</f>
        <v>4980</v>
      </c>
      <c r="G1108" s="182" t="s">
        <v>416</v>
      </c>
      <c r="H1108" s="216"/>
      <c r="L1108" s="182" t="s">
        <v>63</v>
      </c>
      <c r="M1108" s="182" t="s">
        <v>58</v>
      </c>
      <c r="N1108" s="182">
        <v>1</v>
      </c>
      <c r="O1108" s="182">
        <f>air_compressor</f>
        <v>1190</v>
      </c>
      <c r="P1108" s="184">
        <f>(N1108*O1108)</f>
        <v>1190</v>
      </c>
    </row>
    <row r="1109" spans="1:24" s="199" customFormat="1" ht="31.5" x14ac:dyDescent="0.25">
      <c r="A1109" s="195"/>
      <c r="B1109" s="195"/>
      <c r="C1109" s="195"/>
      <c r="D1109" s="195"/>
      <c r="E1109" s="195"/>
      <c r="F1109" s="195"/>
      <c r="G1109" s="182" t="s">
        <v>417</v>
      </c>
      <c r="H1109" s="216"/>
      <c r="I1109" s="195"/>
      <c r="J1109" s="195"/>
      <c r="K1109" s="195"/>
      <c r="L1109" s="182" t="s">
        <v>422</v>
      </c>
      <c r="M1109" s="182" t="s">
        <v>58</v>
      </c>
      <c r="N1109" s="182">
        <v>6</v>
      </c>
      <c r="O1109" s="182">
        <f>mastic_cooker</f>
        <v>748</v>
      </c>
      <c r="P1109" s="184">
        <f>(N1109*O1109)</f>
        <v>4488</v>
      </c>
      <c r="Q1109" s="195"/>
      <c r="R1109" s="195"/>
      <c r="S1109" s="195"/>
      <c r="T1109" s="195"/>
      <c r="U1109" s="212"/>
    </row>
    <row r="1110" spans="1:24" s="199" customFormat="1" x14ac:dyDescent="0.25">
      <c r="A1110" s="195"/>
      <c r="B1110" s="195"/>
      <c r="C1110" s="195"/>
      <c r="D1110" s="195"/>
      <c r="E1110" s="195"/>
      <c r="F1110" s="195"/>
      <c r="G1110" s="182" t="s">
        <v>297</v>
      </c>
      <c r="H1110" s="216" t="s">
        <v>35</v>
      </c>
      <c r="I1110" s="182">
        <v>0.86</v>
      </c>
      <c r="J1110" s="182">
        <f>adopted_rate_bitumen</f>
        <v>108000</v>
      </c>
      <c r="K1110" s="182">
        <f t="shared" ref="K1110:K1115" si="6">(I1110*J1110)</f>
        <v>92880</v>
      </c>
      <c r="L1110" s="182" t="s">
        <v>423</v>
      </c>
      <c r="M1110" s="182" t="s">
        <v>58</v>
      </c>
      <c r="N1110" s="182">
        <v>6</v>
      </c>
      <c r="O1110" s="182">
        <f>bitumen_boiler</f>
        <v>701</v>
      </c>
      <c r="P1110" s="184">
        <f>(N1110*O1110)</f>
        <v>4206</v>
      </c>
      <c r="Q1110" s="195"/>
      <c r="R1110" s="195"/>
      <c r="S1110" s="195"/>
      <c r="T1110" s="195"/>
      <c r="U1110" s="212"/>
    </row>
    <row r="1111" spans="1:24" s="199" customFormat="1" x14ac:dyDescent="0.25">
      <c r="A1111" s="195"/>
      <c r="B1111" s="195"/>
      <c r="C1111" s="195"/>
      <c r="D1111" s="195"/>
      <c r="E1111" s="195"/>
      <c r="F1111" s="195"/>
      <c r="G1111" s="182" t="s">
        <v>418</v>
      </c>
      <c r="H1111" s="216" t="s">
        <v>84</v>
      </c>
      <c r="I1111" s="182">
        <v>1.72</v>
      </c>
      <c r="J1111" s="182">
        <f>adopted_rate_stone_dust</f>
        <v>1234.8</v>
      </c>
      <c r="K1111" s="182">
        <f t="shared" si="6"/>
        <v>2123.8559999999998</v>
      </c>
      <c r="L1111" s="182" t="s">
        <v>424</v>
      </c>
      <c r="M1111" s="182" t="s">
        <v>58</v>
      </c>
      <c r="N1111" s="182">
        <v>1</v>
      </c>
      <c r="O1111" s="182">
        <f>tractor</f>
        <v>868</v>
      </c>
      <c r="P1111" s="184">
        <f>(N1111*O1111)</f>
        <v>868</v>
      </c>
      <c r="Q1111" s="195"/>
      <c r="R1111" s="195"/>
      <c r="S1111" s="195"/>
      <c r="T1111" s="195"/>
      <c r="U1111" s="212"/>
    </row>
    <row r="1112" spans="1:24" s="199" customFormat="1" x14ac:dyDescent="0.25">
      <c r="A1112" s="195"/>
      <c r="B1112" s="195"/>
      <c r="C1112" s="195"/>
      <c r="D1112" s="195"/>
      <c r="E1112" s="195"/>
      <c r="F1112" s="195"/>
      <c r="G1112" s="182" t="s">
        <v>419</v>
      </c>
      <c r="H1112" s="216" t="s">
        <v>35</v>
      </c>
      <c r="I1112" s="182">
        <v>1.58</v>
      </c>
      <c r="J1112" s="182">
        <f>adopted_rate_lime</f>
        <v>19000</v>
      </c>
      <c r="K1112" s="182">
        <f t="shared" si="6"/>
        <v>30020</v>
      </c>
      <c r="L1112" s="195"/>
      <c r="M1112" s="195"/>
      <c r="N1112" s="195"/>
      <c r="O1112" s="195"/>
      <c r="P1112" s="195"/>
      <c r="Q1112" s="195"/>
      <c r="R1112" s="195"/>
      <c r="S1112" s="195"/>
      <c r="T1112" s="195"/>
      <c r="U1112" s="212"/>
    </row>
    <row r="1113" spans="1:24" s="199" customFormat="1" x14ac:dyDescent="0.25">
      <c r="A1113" s="195"/>
      <c r="B1113" s="195"/>
      <c r="C1113" s="195"/>
      <c r="D1113" s="195"/>
      <c r="E1113" s="195"/>
      <c r="F1113" s="195"/>
      <c r="G1113" s="182" t="s">
        <v>420</v>
      </c>
      <c r="H1113" s="216" t="s">
        <v>84</v>
      </c>
      <c r="I1113" s="182">
        <v>2.42</v>
      </c>
      <c r="J1113" s="182">
        <f>adopted_rate_aggregate_13.2_mm</f>
        <v>0</v>
      </c>
      <c r="K1113" s="182">
        <f t="shared" si="6"/>
        <v>0</v>
      </c>
      <c r="L1113" s="195"/>
      <c r="M1113" s="195"/>
      <c r="N1113" s="195"/>
      <c r="O1113" s="195"/>
      <c r="P1113" s="195"/>
      <c r="Q1113" s="195"/>
      <c r="R1113" s="195"/>
      <c r="S1113" s="195"/>
      <c r="T1113" s="195"/>
      <c r="U1113" s="212"/>
    </row>
    <row r="1114" spans="1:24" s="199" customFormat="1" ht="31.5" x14ac:dyDescent="0.25">
      <c r="A1114" s="195"/>
      <c r="B1114" s="195"/>
      <c r="C1114" s="195"/>
      <c r="D1114" s="195"/>
      <c r="E1114" s="195"/>
      <c r="F1114" s="195"/>
      <c r="G1114" s="182" t="s">
        <v>421</v>
      </c>
      <c r="H1114" s="216" t="s">
        <v>84</v>
      </c>
      <c r="I1114" s="182">
        <v>0.08</v>
      </c>
      <c r="J1114" s="182">
        <f>adopted_rate_pre_coated_stone_chips_13mm</f>
        <v>0</v>
      </c>
      <c r="K1114" s="182">
        <f t="shared" si="6"/>
        <v>0</v>
      </c>
      <c r="L1114" s="195"/>
      <c r="M1114" s="195"/>
      <c r="N1114" s="195"/>
      <c r="O1114" s="195"/>
      <c r="P1114" s="195"/>
      <c r="Q1114" s="195"/>
      <c r="R1114" s="195"/>
      <c r="S1114" s="195"/>
      <c r="T1114" s="195"/>
      <c r="U1114" s="212"/>
    </row>
    <row r="1115" spans="1:24" s="199" customFormat="1" x14ac:dyDescent="0.25">
      <c r="A1115" s="195"/>
      <c r="B1115" s="195"/>
      <c r="C1115" s="195"/>
      <c r="D1115" s="195"/>
      <c r="E1115" s="195"/>
      <c r="F1115" s="195"/>
      <c r="G1115" s="182" t="s">
        <v>297</v>
      </c>
      <c r="H1115" s="216" t="s">
        <v>35</v>
      </c>
      <c r="I1115" s="182">
        <v>2.2000000000000001E-3</v>
      </c>
      <c r="J1115" s="182">
        <f>adopted_rate_bitumen</f>
        <v>108000</v>
      </c>
      <c r="K1115" s="182">
        <f t="shared" si="6"/>
        <v>237.60000000000002</v>
      </c>
      <c r="L1115" s="195"/>
      <c r="M1115" s="195"/>
      <c r="N1115" s="195"/>
      <c r="O1115" s="195"/>
      <c r="P1115" s="195"/>
      <c r="Q1115" s="195"/>
      <c r="R1115" s="195"/>
      <c r="S1115" s="195"/>
      <c r="T1115" s="195"/>
      <c r="U1115" s="212"/>
    </row>
    <row r="1116" spans="1:24" s="199" customFormat="1" x14ac:dyDescent="0.25">
      <c r="A1116" s="537" t="s">
        <v>30</v>
      </c>
      <c r="B1116" s="537"/>
      <c r="C1116" s="537"/>
      <c r="D1116" s="537"/>
      <c r="E1116" s="537"/>
      <c r="F1116" s="184">
        <f>SUM(F1106:F1115)</f>
        <v>42380</v>
      </c>
      <c r="G1116" s="537" t="s">
        <v>31</v>
      </c>
      <c r="H1116" s="537"/>
      <c r="I1116" s="537"/>
      <c r="J1116" s="537"/>
      <c r="K1116" s="184">
        <f>SUM(K1106:K1115)</f>
        <v>125261.45600000001</v>
      </c>
      <c r="L1116" s="537" t="s">
        <v>32</v>
      </c>
      <c r="M1116" s="537"/>
      <c r="N1116" s="537"/>
      <c r="O1116" s="537"/>
      <c r="P1116" s="184">
        <f>SUM(P1106:P1115)</f>
        <v>12145</v>
      </c>
      <c r="Q1116" s="537" t="s">
        <v>38</v>
      </c>
      <c r="R1116" s="537"/>
      <c r="S1116" s="537"/>
      <c r="T1116" s="537"/>
      <c r="U1116" s="223">
        <f>SUM(U1106:U1115)</f>
        <v>0</v>
      </c>
      <c r="X1116" s="199">
        <f>1600*250/1000</f>
        <v>400</v>
      </c>
    </row>
    <row r="1117" spans="1:24" s="199" customFormat="1" x14ac:dyDescent="0.25">
      <c r="A1117" s="537" t="s">
        <v>33</v>
      </c>
      <c r="B1117" s="537"/>
      <c r="C1117" s="537"/>
      <c r="D1117" s="537"/>
      <c r="E1117" s="537"/>
      <c r="F1117" s="184">
        <f>SUM(F1116+K1116+P1116)</f>
        <v>179786.45600000001</v>
      </c>
      <c r="G1117" s="537" t="s">
        <v>39</v>
      </c>
      <c r="H1117" s="537"/>
      <c r="I1117" s="537"/>
      <c r="J1117" s="537"/>
      <c r="K1117" s="184">
        <f>SUM(F1116+K1116+P1116+U1116)</f>
        <v>179786.45600000001</v>
      </c>
      <c r="L1117" s="537" t="s">
        <v>40</v>
      </c>
      <c r="M1117" s="537"/>
      <c r="N1117" s="537"/>
      <c r="O1117" s="537"/>
      <c r="P1117" s="184">
        <f>SUM(K1117*0.15)</f>
        <v>26967.968400000002</v>
      </c>
      <c r="Q1117" s="537" t="s">
        <v>41</v>
      </c>
      <c r="R1117" s="537"/>
      <c r="S1117" s="537"/>
      <c r="T1117" s="537"/>
      <c r="U1117" s="223">
        <f>SUM(K1117+P1117)</f>
        <v>206754.42440000002</v>
      </c>
    </row>
    <row r="1118" spans="1:24" s="199" customFormat="1" x14ac:dyDescent="0.25">
      <c r="A1118" s="195"/>
      <c r="B1118" s="195"/>
      <c r="C1118" s="195"/>
      <c r="D1118" s="195"/>
      <c r="E1118" s="195"/>
      <c r="F1118" s="195"/>
      <c r="G1118" s="195"/>
      <c r="H1118" s="217"/>
      <c r="I1118" s="195"/>
      <c r="J1118" s="195"/>
      <c r="K1118" s="195"/>
      <c r="L1118" s="195"/>
      <c r="M1118" s="195"/>
      <c r="N1118" s="195"/>
      <c r="O1118" s="195"/>
      <c r="P1118" s="195"/>
      <c r="Q1118" s="537" t="s">
        <v>42</v>
      </c>
      <c r="R1118" s="537"/>
      <c r="S1118" s="537"/>
      <c r="T1118" s="537"/>
      <c r="U1118" s="224">
        <f>ROUND((U1117/140),2)</f>
        <v>1476.82</v>
      </c>
    </row>
    <row r="1119" spans="1:24" s="199" customFormat="1" x14ac:dyDescent="0.25">
      <c r="A1119" s="544"/>
      <c r="B1119" s="544"/>
      <c r="C1119" s="544"/>
      <c r="D1119" s="544"/>
      <c r="E1119" s="544"/>
      <c r="F1119" s="544"/>
      <c r="G1119" s="544"/>
      <c r="H1119" s="544"/>
      <c r="I1119" s="544"/>
      <c r="J1119" s="544"/>
      <c r="K1119" s="544"/>
      <c r="L1119" s="544"/>
      <c r="M1119" s="544"/>
      <c r="N1119" s="544"/>
      <c r="O1119" s="544"/>
      <c r="P1119" s="544"/>
      <c r="Q1119" s="544"/>
      <c r="R1119" s="544"/>
      <c r="S1119" s="544"/>
      <c r="T1119" s="544"/>
      <c r="U1119" s="544"/>
    </row>
    <row r="1120" spans="1:24" s="199" customFormat="1" x14ac:dyDescent="0.25">
      <c r="A1120" s="525" t="s">
        <v>12</v>
      </c>
      <c r="B1120" s="525"/>
      <c r="C1120" s="526" t="s">
        <v>426</v>
      </c>
      <c r="D1120" s="526"/>
      <c r="E1120" s="526"/>
      <c r="F1120" s="526"/>
      <c r="G1120" s="526"/>
      <c r="H1120" s="526"/>
      <c r="I1120" s="526"/>
      <c r="J1120" s="526"/>
      <c r="K1120" s="526"/>
      <c r="L1120" s="526"/>
      <c r="M1120" s="526"/>
      <c r="N1120" s="526"/>
      <c r="O1120" s="526"/>
      <c r="P1120" s="526"/>
      <c r="Q1120" s="526"/>
      <c r="R1120" s="526"/>
      <c r="S1120" s="526"/>
      <c r="T1120" s="526"/>
      <c r="U1120" s="524" t="s">
        <v>427</v>
      </c>
    </row>
    <row r="1121" spans="1:21" x14ac:dyDescent="0.25">
      <c r="A1121" s="525"/>
      <c r="B1121" s="525"/>
      <c r="C1121" s="526"/>
      <c r="D1121" s="526"/>
      <c r="E1121" s="526"/>
      <c r="F1121" s="526"/>
      <c r="G1121" s="526"/>
      <c r="H1121" s="526"/>
      <c r="I1121" s="526"/>
      <c r="J1121" s="526"/>
      <c r="K1121" s="526"/>
      <c r="L1121" s="526"/>
      <c r="M1121" s="526"/>
      <c r="N1121" s="526"/>
      <c r="O1121" s="526"/>
      <c r="P1121" s="526"/>
      <c r="Q1121" s="526"/>
      <c r="R1121" s="526"/>
      <c r="S1121" s="526"/>
      <c r="T1121" s="526"/>
      <c r="U1121" s="524"/>
    </row>
    <row r="1122" spans="1:21" x14ac:dyDescent="0.25">
      <c r="A1122" s="527" t="s">
        <v>425</v>
      </c>
      <c r="B1122" s="527"/>
      <c r="C1122" s="526"/>
      <c r="D1122" s="526"/>
      <c r="E1122" s="526"/>
      <c r="F1122" s="526"/>
      <c r="G1122" s="526"/>
      <c r="H1122" s="526"/>
      <c r="I1122" s="526"/>
      <c r="J1122" s="526"/>
      <c r="K1122" s="526"/>
      <c r="L1122" s="526"/>
      <c r="M1122" s="526"/>
      <c r="N1122" s="526"/>
      <c r="O1122" s="526"/>
      <c r="P1122" s="526"/>
      <c r="Q1122" s="526"/>
      <c r="R1122" s="526"/>
      <c r="S1122" s="526"/>
      <c r="T1122" s="526"/>
      <c r="U1122" s="524"/>
    </row>
    <row r="1123" spans="1:21" x14ac:dyDescent="0.25">
      <c r="A1123" s="528" t="s">
        <v>16</v>
      </c>
      <c r="B1123" s="529" t="s">
        <v>18</v>
      </c>
      <c r="C1123" s="529"/>
      <c r="D1123" s="529"/>
      <c r="E1123" s="529"/>
      <c r="F1123" s="529"/>
      <c r="G1123" s="529" t="s">
        <v>24</v>
      </c>
      <c r="H1123" s="529"/>
      <c r="I1123" s="529"/>
      <c r="J1123" s="529"/>
      <c r="K1123" s="529"/>
      <c r="L1123" s="529" t="s">
        <v>25</v>
      </c>
      <c r="M1123" s="529"/>
      <c r="N1123" s="529"/>
      <c r="O1123" s="529"/>
      <c r="P1123" s="529"/>
      <c r="Q1123" s="529" t="s">
        <v>26</v>
      </c>
      <c r="R1123" s="529"/>
      <c r="S1123" s="529"/>
      <c r="T1123" s="529"/>
      <c r="U1123" s="529"/>
    </row>
    <row r="1124" spans="1:21" x14ac:dyDescent="0.25">
      <c r="A1124" s="528"/>
      <c r="B1124" s="197" t="s">
        <v>19</v>
      </c>
      <c r="C1124" s="197" t="s">
        <v>20</v>
      </c>
      <c r="D1124" s="197" t="s">
        <v>21</v>
      </c>
      <c r="E1124" s="197" t="s">
        <v>22</v>
      </c>
      <c r="F1124" s="197" t="s">
        <v>23</v>
      </c>
      <c r="G1124" s="197" t="s">
        <v>19</v>
      </c>
      <c r="H1124" s="219" t="s">
        <v>20</v>
      </c>
      <c r="I1124" s="197" t="s">
        <v>21</v>
      </c>
      <c r="J1124" s="197" t="s">
        <v>22</v>
      </c>
      <c r="K1124" s="197" t="s">
        <v>23</v>
      </c>
      <c r="L1124" s="197" t="s">
        <v>19</v>
      </c>
      <c r="M1124" s="197" t="s">
        <v>20</v>
      </c>
      <c r="N1124" s="197" t="s">
        <v>21</v>
      </c>
      <c r="O1124" s="197" t="s">
        <v>22</v>
      </c>
      <c r="P1124" s="197" t="s">
        <v>23</v>
      </c>
      <c r="Q1124" s="197" t="s">
        <v>19</v>
      </c>
      <c r="R1124" s="197" t="s">
        <v>20</v>
      </c>
      <c r="S1124" s="197" t="s">
        <v>21</v>
      </c>
      <c r="T1124" s="197" t="s">
        <v>22</v>
      </c>
      <c r="U1124" s="214" t="s">
        <v>23</v>
      </c>
    </row>
    <row r="1125" spans="1:21" ht="47.25" x14ac:dyDescent="0.25">
      <c r="A1125" s="205" t="s">
        <v>428</v>
      </c>
      <c r="B1125" s="197" t="s">
        <v>47</v>
      </c>
      <c r="C1125" s="197" t="s">
        <v>28</v>
      </c>
      <c r="D1125" s="197">
        <v>3</v>
      </c>
      <c r="E1125" s="197">
        <f>skilled</f>
        <v>1245</v>
      </c>
      <c r="F1125" s="201">
        <f>(D1125*E1125)</f>
        <v>3735</v>
      </c>
      <c r="G1125" s="197" t="s">
        <v>429</v>
      </c>
      <c r="H1125" s="219" t="s">
        <v>49</v>
      </c>
      <c r="I1125" s="197">
        <v>1600</v>
      </c>
      <c r="J1125" s="197">
        <f>adopted_rate_concrete_block_kerb</f>
        <v>350</v>
      </c>
      <c r="K1125" s="197">
        <f>(I1125*J1125)</f>
        <v>560000</v>
      </c>
      <c r="L1125" s="197" t="s">
        <v>431</v>
      </c>
      <c r="M1125" s="197" t="s">
        <v>58</v>
      </c>
      <c r="N1125" s="197" t="s">
        <v>432</v>
      </c>
      <c r="O1125" s="197">
        <f>kerb_casting_machine</f>
        <v>1337</v>
      </c>
      <c r="P1125" s="201">
        <f>(N1125*O1125)</f>
        <v>8022</v>
      </c>
      <c r="Q1125" s="199"/>
      <c r="R1125" s="199"/>
      <c r="S1125" s="199"/>
      <c r="T1125" s="199"/>
      <c r="U1125" s="215"/>
    </row>
    <row r="1126" spans="1:21" x14ac:dyDescent="0.25">
      <c r="A1126" s="199"/>
      <c r="B1126" s="197" t="s">
        <v>29</v>
      </c>
      <c r="C1126" s="197" t="s">
        <v>28</v>
      </c>
      <c r="D1126" s="197">
        <v>16</v>
      </c>
      <c r="E1126" s="197">
        <f>unskilled</f>
        <v>935</v>
      </c>
      <c r="F1126" s="201">
        <f>(D1126*E1126)</f>
        <v>14960</v>
      </c>
      <c r="G1126" s="197" t="s">
        <v>430</v>
      </c>
      <c r="H1126" s="219" t="s">
        <v>84</v>
      </c>
      <c r="I1126" s="197">
        <v>1.2</v>
      </c>
      <c r="J1126" s="197">
        <f>adopted_rate_sand</f>
        <v>3175.2000000000003</v>
      </c>
      <c r="K1126" s="197">
        <f>(I1126*J1126)</f>
        <v>3810.2400000000002</v>
      </c>
      <c r="L1126" s="197" t="s">
        <v>276</v>
      </c>
      <c r="M1126" s="197" t="s">
        <v>58</v>
      </c>
      <c r="N1126" s="197" t="s">
        <v>433</v>
      </c>
      <c r="O1126" s="197">
        <f>concrete_mixer</f>
        <v>296</v>
      </c>
      <c r="P1126" s="201">
        <f>(N1126*O1126)</f>
        <v>3552</v>
      </c>
      <c r="Q1126" s="199"/>
      <c r="R1126" s="199"/>
      <c r="S1126" s="199"/>
      <c r="T1126" s="199"/>
      <c r="U1126" s="215"/>
    </row>
    <row r="1127" spans="1:21" x14ac:dyDescent="0.25">
      <c r="A1127" s="199"/>
      <c r="B1127" s="199"/>
      <c r="C1127" s="199"/>
      <c r="D1127" s="199"/>
      <c r="E1127" s="199"/>
      <c r="F1127" s="199"/>
      <c r="G1127" s="197" t="s">
        <v>85</v>
      </c>
      <c r="H1127" s="219" t="s">
        <v>35</v>
      </c>
      <c r="I1127" s="197">
        <v>0.52</v>
      </c>
      <c r="J1127" s="197">
        <f>adopted_rate_cement</f>
        <v>13031</v>
      </c>
      <c r="K1127" s="197">
        <f>(I1127*J1127)</f>
        <v>6776.12</v>
      </c>
      <c r="L1127" s="199"/>
      <c r="M1127" s="199"/>
      <c r="N1127" s="199"/>
      <c r="O1127" s="199"/>
      <c r="P1127" s="199"/>
      <c r="Q1127" s="199"/>
      <c r="R1127" s="199"/>
      <c r="S1127" s="199"/>
      <c r="T1127" s="199"/>
      <c r="U1127" s="215"/>
    </row>
    <row r="1128" spans="1:21" x14ac:dyDescent="0.25">
      <c r="A1128" s="199"/>
      <c r="B1128" s="199"/>
      <c r="C1128" s="199"/>
      <c r="D1128" s="199"/>
      <c r="E1128" s="199"/>
      <c r="F1128" s="199"/>
      <c r="G1128" s="197" t="s">
        <v>171</v>
      </c>
      <c r="H1128" s="219" t="s">
        <v>172</v>
      </c>
      <c r="I1128" s="197">
        <v>0.2</v>
      </c>
      <c r="J1128" s="197">
        <f>adopted_rate_water</f>
        <v>310</v>
      </c>
      <c r="K1128" s="197">
        <f>(I1128*J1128)</f>
        <v>62</v>
      </c>
      <c r="L1128" s="199"/>
      <c r="M1128" s="199"/>
      <c r="N1128" s="199"/>
      <c r="O1128" s="199"/>
      <c r="P1128" s="199"/>
      <c r="Q1128" s="199"/>
      <c r="R1128" s="199"/>
      <c r="S1128" s="199"/>
      <c r="T1128" s="199"/>
      <c r="U1128" s="215"/>
    </row>
    <row r="1129" spans="1:21" x14ac:dyDescent="0.25">
      <c r="A1129" s="524" t="s">
        <v>30</v>
      </c>
      <c r="B1129" s="524"/>
      <c r="C1129" s="524"/>
      <c r="D1129" s="524"/>
      <c r="E1129" s="524"/>
      <c r="F1129" s="201">
        <f>SUM(F1124:F1128)</f>
        <v>18695</v>
      </c>
      <c r="G1129" s="524" t="s">
        <v>31</v>
      </c>
      <c r="H1129" s="524"/>
      <c r="I1129" s="524"/>
      <c r="J1129" s="524"/>
      <c r="K1129" s="201">
        <f>SUM(K1124:K1128)</f>
        <v>570648.36</v>
      </c>
      <c r="L1129" s="524" t="s">
        <v>32</v>
      </c>
      <c r="M1129" s="524"/>
      <c r="N1129" s="524"/>
      <c r="O1129" s="524"/>
      <c r="P1129" s="201">
        <f>SUM(P1124:P1128)</f>
        <v>11574</v>
      </c>
      <c r="Q1129" s="524" t="s">
        <v>38</v>
      </c>
      <c r="R1129" s="524"/>
      <c r="S1129" s="524"/>
      <c r="T1129" s="524"/>
      <c r="U1129" s="225">
        <f>SUM(U1124:U1128)</f>
        <v>0</v>
      </c>
    </row>
    <row r="1130" spans="1:21" x14ac:dyDescent="0.25">
      <c r="A1130" s="524" t="s">
        <v>33</v>
      </c>
      <c r="B1130" s="524"/>
      <c r="C1130" s="524"/>
      <c r="D1130" s="524"/>
      <c r="E1130" s="524"/>
      <c r="F1130" s="201">
        <f>SUM(F1129+K1129+P1129)</f>
        <v>600917.36</v>
      </c>
      <c r="G1130" s="524" t="s">
        <v>39</v>
      </c>
      <c r="H1130" s="524"/>
      <c r="I1130" s="524"/>
      <c r="J1130" s="524"/>
      <c r="K1130" s="201">
        <f>SUM(F1129+K1129+P1129+U1129)</f>
        <v>600917.36</v>
      </c>
      <c r="L1130" s="524" t="s">
        <v>40</v>
      </c>
      <c r="M1130" s="524"/>
      <c r="N1130" s="524"/>
      <c r="O1130" s="524"/>
      <c r="P1130" s="201">
        <f>SUM(K1130*0.15)</f>
        <v>90137.603999999992</v>
      </c>
      <c r="Q1130" s="524" t="s">
        <v>41</v>
      </c>
      <c r="R1130" s="524"/>
      <c r="S1130" s="524"/>
      <c r="T1130" s="524"/>
      <c r="U1130" s="225">
        <f>SUM(K1130+P1130)</f>
        <v>691054.96399999992</v>
      </c>
    </row>
    <row r="1131" spans="1:21" x14ac:dyDescent="0.25">
      <c r="A1131" s="199"/>
      <c r="B1131" s="199"/>
      <c r="C1131" s="199"/>
      <c r="D1131" s="199"/>
      <c r="E1131" s="199"/>
      <c r="F1131" s="199"/>
      <c r="G1131" s="199"/>
      <c r="H1131" s="220"/>
      <c r="I1131" s="199"/>
      <c r="J1131" s="199"/>
      <c r="K1131" s="199"/>
      <c r="L1131" s="199"/>
      <c r="M1131" s="199"/>
      <c r="N1131" s="199"/>
      <c r="O1131" s="199"/>
      <c r="P1131" s="199"/>
      <c r="Q1131" s="524" t="s">
        <v>42</v>
      </c>
      <c r="R1131" s="524"/>
      <c r="S1131" s="524"/>
      <c r="T1131" s="524"/>
      <c r="U1131" s="206">
        <f>ROUND((U1130/400),2)</f>
        <v>1727.64</v>
      </c>
    </row>
    <row r="1132" spans="1:21" x14ac:dyDescent="0.25">
      <c r="A1132" s="544"/>
      <c r="B1132" s="544"/>
      <c r="C1132" s="544"/>
      <c r="D1132" s="544"/>
      <c r="E1132" s="544"/>
      <c r="F1132" s="544"/>
      <c r="G1132" s="544"/>
      <c r="H1132" s="544"/>
      <c r="I1132" s="544"/>
      <c r="J1132" s="544"/>
      <c r="K1132" s="544"/>
      <c r="L1132" s="544"/>
      <c r="M1132" s="544"/>
      <c r="N1132" s="544"/>
      <c r="O1132" s="544"/>
      <c r="P1132" s="544"/>
      <c r="Q1132" s="544"/>
      <c r="R1132" s="544"/>
      <c r="S1132" s="544"/>
      <c r="T1132" s="544"/>
      <c r="U1132" s="544"/>
    </row>
    <row r="1133" spans="1:21" x14ac:dyDescent="0.25">
      <c r="A1133" s="538" t="s">
        <v>12</v>
      </c>
      <c r="B1133" s="538"/>
      <c r="C1133" s="540" t="s">
        <v>2108</v>
      </c>
      <c r="D1133" s="540"/>
      <c r="E1133" s="540"/>
      <c r="F1133" s="540"/>
      <c r="G1133" s="540"/>
      <c r="H1133" s="540"/>
      <c r="I1133" s="540"/>
      <c r="J1133" s="540"/>
      <c r="K1133" s="540"/>
      <c r="L1133" s="540"/>
      <c r="M1133" s="540"/>
      <c r="N1133" s="540"/>
      <c r="O1133" s="540"/>
      <c r="P1133" s="540"/>
      <c r="Q1133" s="540"/>
      <c r="R1133" s="540"/>
      <c r="S1133" s="540"/>
      <c r="T1133" s="540"/>
      <c r="U1133" s="541" t="s">
        <v>435</v>
      </c>
    </row>
    <row r="1134" spans="1:21" x14ac:dyDescent="0.25">
      <c r="A1134" s="538"/>
      <c r="B1134" s="538"/>
      <c r="C1134" s="540"/>
      <c r="D1134" s="540"/>
      <c r="E1134" s="540"/>
      <c r="F1134" s="540"/>
      <c r="G1134" s="540"/>
      <c r="H1134" s="540"/>
      <c r="I1134" s="540"/>
      <c r="J1134" s="540"/>
      <c r="K1134" s="540"/>
      <c r="L1134" s="540"/>
      <c r="M1134" s="540"/>
      <c r="N1134" s="540"/>
      <c r="O1134" s="540"/>
      <c r="P1134" s="540"/>
      <c r="Q1134" s="540"/>
      <c r="R1134" s="540"/>
      <c r="S1134" s="540"/>
      <c r="T1134" s="540"/>
      <c r="U1134" s="541"/>
    </row>
    <row r="1135" spans="1:21" x14ac:dyDescent="0.25">
      <c r="A1135" s="539" t="s">
        <v>425</v>
      </c>
      <c r="B1135" s="539"/>
      <c r="C1135" s="540"/>
      <c r="D1135" s="540"/>
      <c r="E1135" s="540"/>
      <c r="F1135" s="540"/>
      <c r="G1135" s="540"/>
      <c r="H1135" s="540"/>
      <c r="I1135" s="540"/>
      <c r="J1135" s="540"/>
      <c r="K1135" s="540"/>
      <c r="L1135" s="540"/>
      <c r="M1135" s="540"/>
      <c r="N1135" s="540"/>
      <c r="O1135" s="540"/>
      <c r="P1135" s="540"/>
      <c r="Q1135" s="540"/>
      <c r="R1135" s="540"/>
      <c r="S1135" s="540"/>
      <c r="T1135" s="540"/>
      <c r="U1135" s="541"/>
    </row>
    <row r="1136" spans="1:21" x14ac:dyDescent="0.25">
      <c r="A1136" s="542" t="s">
        <v>16</v>
      </c>
      <c r="B1136" s="543" t="s">
        <v>18</v>
      </c>
      <c r="C1136" s="543"/>
      <c r="D1136" s="543"/>
      <c r="E1136" s="543"/>
      <c r="F1136" s="543"/>
      <c r="G1136" s="543" t="s">
        <v>24</v>
      </c>
      <c r="H1136" s="543"/>
      <c r="I1136" s="543"/>
      <c r="J1136" s="543"/>
      <c r="K1136" s="543"/>
      <c r="L1136" s="543" t="s">
        <v>25</v>
      </c>
      <c r="M1136" s="543"/>
      <c r="N1136" s="543"/>
      <c r="O1136" s="543"/>
      <c r="P1136" s="543"/>
      <c r="Q1136" s="543" t="s">
        <v>26</v>
      </c>
      <c r="R1136" s="543"/>
      <c r="S1136" s="543"/>
      <c r="T1136" s="543"/>
      <c r="U1136" s="543"/>
    </row>
    <row r="1137" spans="1:21" x14ac:dyDescent="0.25">
      <c r="A1137" s="542"/>
      <c r="B1137" s="182" t="s">
        <v>19</v>
      </c>
      <c r="C1137" s="182" t="s">
        <v>20</v>
      </c>
      <c r="D1137" s="182" t="s">
        <v>21</v>
      </c>
      <c r="E1137" s="182" t="s">
        <v>22</v>
      </c>
      <c r="F1137" s="182" t="s">
        <v>23</v>
      </c>
      <c r="G1137" s="182" t="s">
        <v>19</v>
      </c>
      <c r="H1137" s="216" t="s">
        <v>20</v>
      </c>
      <c r="I1137" s="182" t="s">
        <v>21</v>
      </c>
      <c r="J1137" s="182" t="s">
        <v>22</v>
      </c>
      <c r="K1137" s="182" t="s">
        <v>23</v>
      </c>
      <c r="L1137" s="182" t="s">
        <v>19</v>
      </c>
      <c r="M1137" s="182" t="s">
        <v>20</v>
      </c>
      <c r="N1137" s="182" t="s">
        <v>21</v>
      </c>
      <c r="O1137" s="182" t="s">
        <v>22</v>
      </c>
      <c r="P1137" s="182" t="s">
        <v>23</v>
      </c>
      <c r="Q1137" s="182" t="s">
        <v>19</v>
      </c>
      <c r="R1137" s="182" t="s">
        <v>20</v>
      </c>
      <c r="S1137" s="182" t="s">
        <v>21</v>
      </c>
      <c r="T1137" s="182" t="s">
        <v>22</v>
      </c>
      <c r="U1137" s="211" t="s">
        <v>23</v>
      </c>
    </row>
    <row r="1138" spans="1:21" ht="31.5" x14ac:dyDescent="0.25">
      <c r="A1138" s="183" t="s">
        <v>436</v>
      </c>
      <c r="B1138" s="182" t="s">
        <v>47</v>
      </c>
      <c r="C1138" s="182" t="s">
        <v>28</v>
      </c>
      <c r="D1138" s="182">
        <v>1.5</v>
      </c>
      <c r="E1138" s="182">
        <f>skilled</f>
        <v>1245</v>
      </c>
      <c r="F1138" s="184">
        <f>(D1138*E1138)</f>
        <v>1867.5</v>
      </c>
      <c r="G1138" s="182" t="s">
        <v>2107</v>
      </c>
      <c r="H1138" s="216" t="s">
        <v>438</v>
      </c>
      <c r="I1138" s="182">
        <v>11</v>
      </c>
      <c r="J1138" s="182">
        <f>adopted_rate_concrete_block_footpath</f>
        <v>570.28</v>
      </c>
      <c r="K1138" s="182">
        <f>(I1138*J1138)</f>
        <v>6273.08</v>
      </c>
    </row>
    <row r="1139" spans="1:21" x14ac:dyDescent="0.25">
      <c r="B1139" s="182" t="s">
        <v>29</v>
      </c>
      <c r="C1139" s="182" t="s">
        <v>28</v>
      </c>
      <c r="D1139" s="182">
        <v>4</v>
      </c>
      <c r="E1139" s="182">
        <f>unskilled</f>
        <v>935</v>
      </c>
      <c r="F1139" s="184">
        <f>(D1139*E1139)</f>
        <v>3740</v>
      </c>
      <c r="G1139" s="182" t="s">
        <v>430</v>
      </c>
      <c r="H1139" s="216" t="s">
        <v>84</v>
      </c>
      <c r="I1139" s="182">
        <v>0.13</v>
      </c>
      <c r="J1139" s="182">
        <f>adopted_rate_sand</f>
        <v>3175.2000000000003</v>
      </c>
      <c r="K1139" s="182">
        <f>(I1139*J1139)</f>
        <v>412.77600000000007</v>
      </c>
    </row>
    <row r="1140" spans="1:21" x14ac:dyDescent="0.25">
      <c r="G1140" s="182" t="s">
        <v>85</v>
      </c>
      <c r="H1140" s="216" t="s">
        <v>35</v>
      </c>
      <c r="I1140" s="182">
        <v>7.0000000000000007E-2</v>
      </c>
      <c r="J1140" s="182">
        <f>adopted_rate_cement</f>
        <v>13031</v>
      </c>
      <c r="K1140" s="182">
        <f>(I1140*J1140)</f>
        <v>912.17000000000007</v>
      </c>
    </row>
    <row r="1141" spans="1:21" x14ac:dyDescent="0.25">
      <c r="G1141" s="182" t="s">
        <v>171</v>
      </c>
      <c r="H1141" s="216" t="s">
        <v>172</v>
      </c>
      <c r="I1141" s="182">
        <v>0.02</v>
      </c>
      <c r="J1141" s="182">
        <f>adopted_rate_water</f>
        <v>310</v>
      </c>
      <c r="K1141" s="182">
        <f>(I1141*J1141)</f>
        <v>6.2</v>
      </c>
    </row>
    <row r="1142" spans="1:21" x14ac:dyDescent="0.25">
      <c r="A1142" s="537" t="s">
        <v>30</v>
      </c>
      <c r="B1142" s="537"/>
      <c r="C1142" s="537"/>
      <c r="D1142" s="537"/>
      <c r="E1142" s="537"/>
      <c r="F1142" s="184">
        <f>SUM(F1137:F1141)</f>
        <v>5607.5</v>
      </c>
      <c r="G1142" s="537" t="s">
        <v>31</v>
      </c>
      <c r="H1142" s="537"/>
      <c r="I1142" s="537"/>
      <c r="J1142" s="537"/>
      <c r="K1142" s="184">
        <f>SUM(K1137:K1141)</f>
        <v>7604.2259999999997</v>
      </c>
      <c r="L1142" s="537" t="s">
        <v>32</v>
      </c>
      <c r="M1142" s="537"/>
      <c r="N1142" s="537"/>
      <c r="O1142" s="537"/>
      <c r="P1142" s="184">
        <f>SUM(P1137:P1141)</f>
        <v>0</v>
      </c>
      <c r="Q1142" s="537" t="s">
        <v>38</v>
      </c>
      <c r="R1142" s="537"/>
      <c r="S1142" s="537"/>
      <c r="T1142" s="537"/>
      <c r="U1142" s="223">
        <f>SUM(U1137:U1141)</f>
        <v>0</v>
      </c>
    </row>
    <row r="1143" spans="1:21" x14ac:dyDescent="0.25">
      <c r="A1143" s="537" t="s">
        <v>33</v>
      </c>
      <c r="B1143" s="537"/>
      <c r="C1143" s="537"/>
      <c r="D1143" s="537"/>
      <c r="E1143" s="537"/>
      <c r="F1143" s="184">
        <f>SUM(F1142+K1142+P1142)</f>
        <v>13211.725999999999</v>
      </c>
      <c r="G1143" s="537" t="s">
        <v>39</v>
      </c>
      <c r="H1143" s="537"/>
      <c r="I1143" s="537"/>
      <c r="J1143" s="537"/>
      <c r="K1143" s="184">
        <f>SUM(F1142+K1142+P1142+U1142)</f>
        <v>13211.725999999999</v>
      </c>
      <c r="L1143" s="537" t="s">
        <v>40</v>
      </c>
      <c r="M1143" s="537"/>
      <c r="N1143" s="537"/>
      <c r="O1143" s="537"/>
      <c r="P1143" s="184">
        <f>SUM(K1143*0.15)</f>
        <v>1981.7588999999998</v>
      </c>
      <c r="Q1143" s="537" t="s">
        <v>41</v>
      </c>
      <c r="R1143" s="537"/>
      <c r="S1143" s="537"/>
      <c r="T1143" s="537"/>
      <c r="U1143" s="223">
        <f>SUM(K1143+P1143)</f>
        <v>15193.484899999999</v>
      </c>
    </row>
    <row r="1144" spans="1:21" x14ac:dyDescent="0.25">
      <c r="Q1144" s="537" t="s">
        <v>42</v>
      </c>
      <c r="R1144" s="537"/>
      <c r="S1144" s="537"/>
      <c r="T1144" s="537"/>
      <c r="U1144" s="224">
        <f>ROUND((U1143/10),2)</f>
        <v>1519.35</v>
      </c>
    </row>
    <row r="1145" spans="1:21" x14ac:dyDescent="0.25">
      <c r="A1145" s="544"/>
      <c r="B1145" s="544"/>
      <c r="C1145" s="544"/>
      <c r="D1145" s="544"/>
      <c r="E1145" s="544"/>
      <c r="F1145" s="544"/>
      <c r="G1145" s="544"/>
      <c r="H1145" s="544"/>
      <c r="I1145" s="544"/>
      <c r="J1145" s="544"/>
      <c r="K1145" s="544"/>
      <c r="L1145" s="544"/>
      <c r="M1145" s="544"/>
      <c r="N1145" s="544"/>
      <c r="O1145" s="544"/>
      <c r="P1145" s="544"/>
      <c r="Q1145" s="544"/>
      <c r="R1145" s="544"/>
      <c r="S1145" s="544"/>
      <c r="T1145" s="544"/>
      <c r="U1145" s="544"/>
    </row>
    <row r="1146" spans="1:21" x14ac:dyDescent="0.25">
      <c r="A1146" s="538" t="s">
        <v>12</v>
      </c>
      <c r="B1146" s="538"/>
      <c r="C1146" s="540" t="s">
        <v>439</v>
      </c>
      <c r="D1146" s="540"/>
      <c r="E1146" s="540"/>
      <c r="F1146" s="540"/>
      <c r="G1146" s="540"/>
      <c r="H1146" s="540"/>
      <c r="I1146" s="540"/>
      <c r="J1146" s="540"/>
      <c r="K1146" s="540"/>
      <c r="L1146" s="540"/>
      <c r="M1146" s="540"/>
      <c r="N1146" s="540"/>
      <c r="O1146" s="540"/>
      <c r="P1146" s="540"/>
      <c r="Q1146" s="540"/>
      <c r="R1146" s="540"/>
      <c r="S1146" s="540"/>
      <c r="T1146" s="540"/>
      <c r="U1146" s="541" t="s">
        <v>435</v>
      </c>
    </row>
    <row r="1147" spans="1:21" x14ac:dyDescent="0.25">
      <c r="A1147" s="538"/>
      <c r="B1147" s="538"/>
      <c r="C1147" s="540"/>
      <c r="D1147" s="540"/>
      <c r="E1147" s="540"/>
      <c r="F1147" s="540"/>
      <c r="G1147" s="540"/>
      <c r="H1147" s="540"/>
      <c r="I1147" s="540"/>
      <c r="J1147" s="540"/>
      <c r="K1147" s="540"/>
      <c r="L1147" s="540"/>
      <c r="M1147" s="540"/>
      <c r="N1147" s="540"/>
      <c r="O1147" s="540"/>
      <c r="P1147" s="540"/>
      <c r="Q1147" s="540"/>
      <c r="R1147" s="540"/>
      <c r="S1147" s="540"/>
      <c r="T1147" s="540"/>
      <c r="U1147" s="541"/>
    </row>
    <row r="1148" spans="1:21" x14ac:dyDescent="0.25">
      <c r="A1148" s="539" t="s">
        <v>425</v>
      </c>
      <c r="B1148" s="539"/>
      <c r="C1148" s="540"/>
      <c r="D1148" s="540"/>
      <c r="E1148" s="540"/>
      <c r="F1148" s="540"/>
      <c r="G1148" s="540"/>
      <c r="H1148" s="540"/>
      <c r="I1148" s="540"/>
      <c r="J1148" s="540"/>
      <c r="K1148" s="540"/>
      <c r="L1148" s="540"/>
      <c r="M1148" s="540"/>
      <c r="N1148" s="540"/>
      <c r="O1148" s="540"/>
      <c r="P1148" s="540"/>
      <c r="Q1148" s="540"/>
      <c r="R1148" s="540"/>
      <c r="S1148" s="540"/>
      <c r="T1148" s="540"/>
      <c r="U1148" s="541"/>
    </row>
    <row r="1149" spans="1:21" x14ac:dyDescent="0.25">
      <c r="A1149" s="542" t="s">
        <v>16</v>
      </c>
      <c r="B1149" s="543" t="s">
        <v>18</v>
      </c>
      <c r="C1149" s="543"/>
      <c r="D1149" s="543"/>
      <c r="E1149" s="543"/>
      <c r="F1149" s="543"/>
      <c r="G1149" s="543" t="s">
        <v>24</v>
      </c>
      <c r="H1149" s="543"/>
      <c r="I1149" s="543"/>
      <c r="J1149" s="543"/>
      <c r="K1149" s="543"/>
      <c r="L1149" s="543" t="s">
        <v>25</v>
      </c>
      <c r="M1149" s="543"/>
      <c r="N1149" s="543"/>
      <c r="O1149" s="543"/>
      <c r="P1149" s="543"/>
      <c r="Q1149" s="543" t="s">
        <v>26</v>
      </c>
      <c r="R1149" s="543"/>
      <c r="S1149" s="543"/>
      <c r="T1149" s="543"/>
      <c r="U1149" s="543"/>
    </row>
    <row r="1150" spans="1:21" x14ac:dyDescent="0.25">
      <c r="A1150" s="542"/>
      <c r="B1150" s="182" t="s">
        <v>19</v>
      </c>
      <c r="C1150" s="182" t="s">
        <v>20</v>
      </c>
      <c r="D1150" s="182" t="s">
        <v>21</v>
      </c>
      <c r="E1150" s="182" t="s">
        <v>22</v>
      </c>
      <c r="F1150" s="182" t="s">
        <v>23</v>
      </c>
      <c r="G1150" s="182" t="s">
        <v>19</v>
      </c>
      <c r="H1150" s="216" t="s">
        <v>20</v>
      </c>
      <c r="I1150" s="182" t="s">
        <v>21</v>
      </c>
      <c r="J1150" s="182" t="s">
        <v>22</v>
      </c>
      <c r="K1150" s="182" t="s">
        <v>23</v>
      </c>
      <c r="L1150" s="182" t="s">
        <v>19</v>
      </c>
      <c r="M1150" s="182" t="s">
        <v>20</v>
      </c>
      <c r="N1150" s="182" t="s">
        <v>21</v>
      </c>
      <c r="O1150" s="182" t="s">
        <v>22</v>
      </c>
      <c r="P1150" s="182" t="s">
        <v>23</v>
      </c>
      <c r="Q1150" s="182" t="s">
        <v>19</v>
      </c>
      <c r="R1150" s="182" t="s">
        <v>20</v>
      </c>
      <c r="S1150" s="182" t="s">
        <v>21</v>
      </c>
      <c r="T1150" s="182" t="s">
        <v>22</v>
      </c>
      <c r="U1150" s="211" t="s">
        <v>23</v>
      </c>
    </row>
    <row r="1151" spans="1:21" x14ac:dyDescent="0.25">
      <c r="A1151" s="183" t="s">
        <v>440</v>
      </c>
      <c r="B1151" s="182" t="s">
        <v>47</v>
      </c>
      <c r="C1151" s="182" t="s">
        <v>28</v>
      </c>
      <c r="D1151" s="182">
        <v>2</v>
      </c>
      <c r="E1151" s="182">
        <f>skilled</f>
        <v>1245</v>
      </c>
      <c r="F1151" s="184">
        <f>(D1151*E1151)</f>
        <v>2490</v>
      </c>
      <c r="G1151" s="182" t="s">
        <v>441</v>
      </c>
      <c r="H1151" s="216" t="s">
        <v>442</v>
      </c>
      <c r="I1151" s="182">
        <v>11</v>
      </c>
      <c r="J1151" s="182">
        <f>adopted_rate_stone_slab_50_mm</f>
        <v>0</v>
      </c>
      <c r="K1151" s="182">
        <f>(I1151*J1151)</f>
        <v>0</v>
      </c>
    </row>
    <row r="1152" spans="1:21" x14ac:dyDescent="0.25">
      <c r="B1152" s="182" t="s">
        <v>29</v>
      </c>
      <c r="C1152" s="182" t="s">
        <v>28</v>
      </c>
      <c r="D1152" s="182">
        <v>3</v>
      </c>
      <c r="E1152" s="182">
        <f>unskilled</f>
        <v>935</v>
      </c>
      <c r="F1152" s="184">
        <f>(D1152*E1152)</f>
        <v>2805</v>
      </c>
      <c r="G1152" s="182" t="s">
        <v>83</v>
      </c>
      <c r="H1152" s="216" t="s">
        <v>84</v>
      </c>
      <c r="I1152" s="182">
        <v>0.13</v>
      </c>
      <c r="J1152" s="182">
        <f>adopted_rate_sand</f>
        <v>3175.2000000000003</v>
      </c>
      <c r="K1152" s="182">
        <f>(I1152*J1152)</f>
        <v>412.77600000000007</v>
      </c>
    </row>
    <row r="1153" spans="1:21" x14ac:dyDescent="0.25">
      <c r="G1153" s="182" t="s">
        <v>85</v>
      </c>
      <c r="H1153" s="216" t="s">
        <v>35</v>
      </c>
      <c r="I1153" s="182">
        <v>7.0000000000000007E-2</v>
      </c>
      <c r="J1153" s="182">
        <f>adopted_rate_cement</f>
        <v>13031</v>
      </c>
      <c r="K1153" s="182">
        <f>(I1153*J1153)</f>
        <v>912.17000000000007</v>
      </c>
    </row>
    <row r="1154" spans="1:21" x14ac:dyDescent="0.25">
      <c r="G1154" s="182" t="s">
        <v>171</v>
      </c>
      <c r="H1154" s="216" t="s">
        <v>172</v>
      </c>
      <c r="I1154" s="182">
        <v>0.02</v>
      </c>
      <c r="J1154" s="182">
        <f>adopted_rate_water</f>
        <v>310</v>
      </c>
      <c r="K1154" s="182">
        <f>(I1154*J1154)</f>
        <v>6.2</v>
      </c>
    </row>
    <row r="1155" spans="1:21" x14ac:dyDescent="0.25">
      <c r="A1155" s="537" t="s">
        <v>30</v>
      </c>
      <c r="B1155" s="537"/>
      <c r="C1155" s="537"/>
      <c r="D1155" s="537"/>
      <c r="E1155" s="537"/>
      <c r="F1155" s="184">
        <f>SUM(F1150:F1154)</f>
        <v>5295</v>
      </c>
      <c r="G1155" s="537" t="s">
        <v>31</v>
      </c>
      <c r="H1155" s="537"/>
      <c r="I1155" s="537"/>
      <c r="J1155" s="537"/>
      <c r="K1155" s="184">
        <f>SUM(K1150:K1154)</f>
        <v>1331.1460000000002</v>
      </c>
      <c r="L1155" s="537" t="s">
        <v>32</v>
      </c>
      <c r="M1155" s="537"/>
      <c r="N1155" s="537"/>
      <c r="O1155" s="537"/>
      <c r="P1155" s="184">
        <f>SUM(P1150:P1154)</f>
        <v>0</v>
      </c>
      <c r="Q1155" s="537" t="s">
        <v>38</v>
      </c>
      <c r="R1155" s="537"/>
      <c r="S1155" s="537"/>
      <c r="T1155" s="537"/>
      <c r="U1155" s="223">
        <f>SUM(U1150:U1154)</f>
        <v>0</v>
      </c>
    </row>
    <row r="1156" spans="1:21" x14ac:dyDescent="0.25">
      <c r="A1156" s="537" t="s">
        <v>33</v>
      </c>
      <c r="B1156" s="537"/>
      <c r="C1156" s="537"/>
      <c r="D1156" s="537"/>
      <c r="E1156" s="537"/>
      <c r="F1156" s="184">
        <f>SUM(F1155+K1155+P1155)</f>
        <v>6626.1460000000006</v>
      </c>
      <c r="G1156" s="537" t="s">
        <v>39</v>
      </c>
      <c r="H1156" s="537"/>
      <c r="I1156" s="537"/>
      <c r="J1156" s="537"/>
      <c r="K1156" s="184">
        <f>SUM(F1155+K1155+P1155+U1155)</f>
        <v>6626.1460000000006</v>
      </c>
      <c r="L1156" s="537" t="s">
        <v>40</v>
      </c>
      <c r="M1156" s="537"/>
      <c r="N1156" s="537"/>
      <c r="O1156" s="537"/>
      <c r="P1156" s="184">
        <f>SUM(K1156*0.15)</f>
        <v>993.92190000000005</v>
      </c>
      <c r="Q1156" s="537" t="s">
        <v>41</v>
      </c>
      <c r="R1156" s="537"/>
      <c r="S1156" s="537"/>
      <c r="T1156" s="537"/>
      <c r="U1156" s="223">
        <f>SUM(K1156+P1156)</f>
        <v>7620.0679000000009</v>
      </c>
    </row>
    <row r="1157" spans="1:21" x14ac:dyDescent="0.25">
      <c r="Q1157" s="537" t="s">
        <v>42</v>
      </c>
      <c r="R1157" s="537"/>
      <c r="S1157" s="537"/>
      <c r="T1157" s="537"/>
      <c r="U1157" s="224">
        <f>ROUND((U1156/10),2)</f>
        <v>762.01</v>
      </c>
    </row>
    <row r="1158" spans="1:21" x14ac:dyDescent="0.25">
      <c r="A1158" s="544"/>
      <c r="B1158" s="544"/>
      <c r="C1158" s="544"/>
      <c r="D1158" s="544"/>
      <c r="E1158" s="544"/>
      <c r="F1158" s="544"/>
      <c r="G1158" s="544"/>
      <c r="H1158" s="544"/>
      <c r="I1158" s="544"/>
      <c r="J1158" s="544"/>
      <c r="K1158" s="544"/>
      <c r="L1158" s="544"/>
      <c r="M1158" s="544"/>
      <c r="N1158" s="544"/>
      <c r="O1158" s="544"/>
      <c r="P1158" s="544"/>
      <c r="Q1158" s="544"/>
      <c r="R1158" s="544"/>
      <c r="S1158" s="544"/>
      <c r="T1158" s="544"/>
      <c r="U1158" s="544"/>
    </row>
    <row r="1159" spans="1:21" x14ac:dyDescent="0.25">
      <c r="A1159" s="538" t="s">
        <v>12</v>
      </c>
      <c r="B1159" s="538"/>
      <c r="C1159" s="540" t="s">
        <v>443</v>
      </c>
      <c r="D1159" s="540"/>
      <c r="E1159" s="540"/>
      <c r="F1159" s="540"/>
      <c r="G1159" s="540"/>
      <c r="H1159" s="540"/>
      <c r="I1159" s="540"/>
      <c r="J1159" s="540"/>
      <c r="K1159" s="540"/>
      <c r="L1159" s="540"/>
      <c r="M1159" s="540"/>
      <c r="N1159" s="540"/>
      <c r="O1159" s="540"/>
      <c r="P1159" s="540"/>
      <c r="Q1159" s="540"/>
      <c r="R1159" s="540"/>
      <c r="S1159" s="540"/>
      <c r="T1159" s="540"/>
      <c r="U1159" s="541" t="s">
        <v>444</v>
      </c>
    </row>
    <row r="1160" spans="1:21" x14ac:dyDescent="0.25">
      <c r="A1160" s="538"/>
      <c r="B1160" s="538"/>
      <c r="C1160" s="540"/>
      <c r="D1160" s="540"/>
      <c r="E1160" s="540"/>
      <c r="F1160" s="540"/>
      <c r="G1160" s="540"/>
      <c r="H1160" s="540"/>
      <c r="I1160" s="540"/>
      <c r="J1160" s="540"/>
      <c r="K1160" s="540"/>
      <c r="L1160" s="540"/>
      <c r="M1160" s="540"/>
      <c r="N1160" s="540"/>
      <c r="O1160" s="540"/>
      <c r="P1160" s="540"/>
      <c r="Q1160" s="540"/>
      <c r="R1160" s="540"/>
      <c r="S1160" s="540"/>
      <c r="T1160" s="540"/>
      <c r="U1160" s="541"/>
    </row>
    <row r="1161" spans="1:21" x14ac:dyDescent="0.25">
      <c r="A1161" s="539" t="s">
        <v>425</v>
      </c>
      <c r="B1161" s="539"/>
      <c r="C1161" s="540"/>
      <c r="D1161" s="540"/>
      <c r="E1161" s="540"/>
      <c r="F1161" s="540"/>
      <c r="G1161" s="540"/>
      <c r="H1161" s="540"/>
      <c r="I1161" s="540"/>
      <c r="J1161" s="540"/>
      <c r="K1161" s="540"/>
      <c r="L1161" s="540"/>
      <c r="M1161" s="540"/>
      <c r="N1161" s="540"/>
      <c r="O1161" s="540"/>
      <c r="P1161" s="540"/>
      <c r="Q1161" s="540"/>
      <c r="R1161" s="540"/>
      <c r="S1161" s="540"/>
      <c r="T1161" s="540"/>
      <c r="U1161" s="541"/>
    </row>
    <row r="1162" spans="1:21" x14ac:dyDescent="0.25">
      <c r="A1162" s="542" t="s">
        <v>16</v>
      </c>
      <c r="B1162" s="543" t="s">
        <v>18</v>
      </c>
      <c r="C1162" s="543"/>
      <c r="D1162" s="543"/>
      <c r="E1162" s="543"/>
      <c r="F1162" s="543"/>
      <c r="G1162" s="543" t="s">
        <v>24</v>
      </c>
      <c r="H1162" s="543"/>
      <c r="I1162" s="543"/>
      <c r="J1162" s="543"/>
      <c r="K1162" s="543"/>
      <c r="L1162" s="543" t="s">
        <v>25</v>
      </c>
      <c r="M1162" s="543"/>
      <c r="N1162" s="543"/>
      <c r="O1162" s="543"/>
      <c r="P1162" s="543"/>
      <c r="Q1162" s="543" t="s">
        <v>26</v>
      </c>
      <c r="R1162" s="543"/>
      <c r="S1162" s="543"/>
      <c r="T1162" s="543"/>
      <c r="U1162" s="543"/>
    </row>
    <row r="1163" spans="1:21" x14ac:dyDescent="0.25">
      <c r="A1163" s="542"/>
      <c r="B1163" s="182" t="s">
        <v>19</v>
      </c>
      <c r="C1163" s="182" t="s">
        <v>20</v>
      </c>
      <c r="D1163" s="182" t="s">
        <v>21</v>
      </c>
      <c r="E1163" s="182" t="s">
        <v>22</v>
      </c>
      <c r="F1163" s="182" t="s">
        <v>23</v>
      </c>
      <c r="G1163" s="182" t="s">
        <v>19</v>
      </c>
      <c r="H1163" s="216" t="s">
        <v>20</v>
      </c>
      <c r="I1163" s="182" t="s">
        <v>21</v>
      </c>
      <c r="J1163" s="182" t="s">
        <v>22</v>
      </c>
      <c r="K1163" s="182" t="s">
        <v>23</v>
      </c>
      <c r="L1163" s="182" t="s">
        <v>19</v>
      </c>
      <c r="M1163" s="182" t="s">
        <v>20</v>
      </c>
      <c r="N1163" s="182" t="s">
        <v>21</v>
      </c>
      <c r="O1163" s="182" t="s">
        <v>22</v>
      </c>
      <c r="P1163" s="182" t="s">
        <v>23</v>
      </c>
      <c r="Q1163" s="182" t="s">
        <v>19</v>
      </c>
      <c r="R1163" s="182" t="s">
        <v>20</v>
      </c>
      <c r="S1163" s="182" t="s">
        <v>21</v>
      </c>
      <c r="T1163" s="182" t="s">
        <v>22</v>
      </c>
      <c r="U1163" s="211" t="s">
        <v>23</v>
      </c>
    </row>
    <row r="1164" spans="1:21" ht="31.5" x14ac:dyDescent="0.25">
      <c r="A1164" s="183" t="s">
        <v>445</v>
      </c>
      <c r="B1164" s="182" t="s">
        <v>47</v>
      </c>
      <c r="C1164" s="182" t="s">
        <v>28</v>
      </c>
      <c r="D1164" s="182">
        <v>6</v>
      </c>
      <c r="E1164" s="182">
        <f>skilled</f>
        <v>1245</v>
      </c>
      <c r="F1164" s="184">
        <f>(D1164*E1164)</f>
        <v>7470</v>
      </c>
      <c r="G1164" s="182" t="s">
        <v>446</v>
      </c>
      <c r="H1164" s="216" t="s">
        <v>84</v>
      </c>
      <c r="I1164" s="182">
        <v>21.8</v>
      </c>
      <c r="J1164" s="182">
        <f>adopted_rate_aggregate_20_mm</f>
        <v>3351.6</v>
      </c>
      <c r="K1164" s="182">
        <f>(I1164*J1164)</f>
        <v>73064.88</v>
      </c>
      <c r="L1164" s="182" t="s">
        <v>431</v>
      </c>
      <c r="M1164" s="182" t="s">
        <v>58</v>
      </c>
      <c r="N1164" s="182" t="s">
        <v>447</v>
      </c>
      <c r="O1164" s="182">
        <f>kerb_casting_machine</f>
        <v>1337</v>
      </c>
      <c r="P1164" s="184">
        <f>(N1164*O1164)</f>
        <v>10696</v>
      </c>
    </row>
    <row r="1165" spans="1:21" x14ac:dyDescent="0.25">
      <c r="B1165" s="182" t="s">
        <v>29</v>
      </c>
      <c r="C1165" s="182" t="s">
        <v>28</v>
      </c>
      <c r="D1165" s="182">
        <v>60</v>
      </c>
      <c r="E1165" s="182">
        <f>unskilled</f>
        <v>935</v>
      </c>
      <c r="F1165" s="184">
        <f>(D1165*E1165)</f>
        <v>56100</v>
      </c>
      <c r="G1165" s="182" t="s">
        <v>430</v>
      </c>
      <c r="H1165" s="216" t="s">
        <v>84</v>
      </c>
      <c r="I1165" s="182">
        <v>10.9</v>
      </c>
      <c r="J1165" s="182">
        <f>adopted_rate_sand</f>
        <v>3175.2000000000003</v>
      </c>
      <c r="K1165" s="182">
        <f>(I1165*J1165)</f>
        <v>34609.680000000008</v>
      </c>
      <c r="L1165" s="182" t="s">
        <v>276</v>
      </c>
      <c r="M1165" s="182" t="s">
        <v>58</v>
      </c>
      <c r="N1165" s="182" t="s">
        <v>447</v>
      </c>
      <c r="O1165" s="182">
        <f>concrete_mixer</f>
        <v>296</v>
      </c>
      <c r="P1165" s="184">
        <f>(N1165*O1165)</f>
        <v>2368</v>
      </c>
    </row>
    <row r="1166" spans="1:21" x14ac:dyDescent="0.25">
      <c r="G1166" s="182" t="s">
        <v>85</v>
      </c>
      <c r="H1166" s="216" t="s">
        <v>35</v>
      </c>
      <c r="I1166" s="182">
        <v>7.53</v>
      </c>
      <c r="J1166" s="182">
        <f>adopted_rate_cement</f>
        <v>13031</v>
      </c>
      <c r="K1166" s="182">
        <f>(I1166*J1166)</f>
        <v>98123.430000000008</v>
      </c>
    </row>
    <row r="1167" spans="1:21" x14ac:dyDescent="0.25">
      <c r="G1167" s="182" t="s">
        <v>171</v>
      </c>
      <c r="H1167" s="216" t="s">
        <v>172</v>
      </c>
      <c r="I1167" s="182">
        <v>30</v>
      </c>
      <c r="J1167" s="182">
        <f>adopted_rate_water</f>
        <v>310</v>
      </c>
      <c r="K1167" s="182">
        <f>(I1167*J1167)</f>
        <v>9300</v>
      </c>
    </row>
    <row r="1168" spans="1:21" x14ac:dyDescent="0.25">
      <c r="A1168" s="537" t="s">
        <v>30</v>
      </c>
      <c r="B1168" s="537"/>
      <c r="C1168" s="537"/>
      <c r="D1168" s="537"/>
      <c r="E1168" s="537"/>
      <c r="F1168" s="184">
        <f>SUM(F1163:F1167)</f>
        <v>63570</v>
      </c>
      <c r="G1168" s="537" t="s">
        <v>31</v>
      </c>
      <c r="H1168" s="537"/>
      <c r="I1168" s="537"/>
      <c r="J1168" s="537"/>
      <c r="K1168" s="184">
        <f>SUM(K1163:K1167)</f>
        <v>215097.99000000002</v>
      </c>
      <c r="L1168" s="537" t="s">
        <v>32</v>
      </c>
      <c r="M1168" s="537"/>
      <c r="N1168" s="537"/>
      <c r="O1168" s="537"/>
      <c r="P1168" s="184">
        <f>SUM(P1163:P1167)</f>
        <v>13064</v>
      </c>
      <c r="Q1168" s="537" t="s">
        <v>38</v>
      </c>
      <c r="R1168" s="537"/>
      <c r="S1168" s="537"/>
      <c r="T1168" s="537"/>
      <c r="U1168" s="223">
        <f>SUM(U1163:U1167)</f>
        <v>0</v>
      </c>
    </row>
    <row r="1169" spans="1:21" x14ac:dyDescent="0.25">
      <c r="A1169" s="537" t="s">
        <v>33</v>
      </c>
      <c r="B1169" s="537"/>
      <c r="C1169" s="537"/>
      <c r="D1169" s="537"/>
      <c r="E1169" s="537"/>
      <c r="F1169" s="184">
        <f>SUM(F1168+K1168+P1168)</f>
        <v>291731.99</v>
      </c>
      <c r="G1169" s="537" t="s">
        <v>39</v>
      </c>
      <c r="H1169" s="537"/>
      <c r="I1169" s="537"/>
      <c r="J1169" s="537"/>
      <c r="K1169" s="184">
        <f>SUM(F1168+K1168+P1168+U1168)</f>
        <v>291731.99</v>
      </c>
      <c r="L1169" s="537" t="s">
        <v>40</v>
      </c>
      <c r="M1169" s="537"/>
      <c r="N1169" s="537"/>
      <c r="O1169" s="537"/>
      <c r="P1169" s="184">
        <f>SUM(K1169*0.15)</f>
        <v>43759.798499999997</v>
      </c>
      <c r="Q1169" s="537" t="s">
        <v>41</v>
      </c>
      <c r="R1169" s="537"/>
      <c r="S1169" s="537"/>
      <c r="T1169" s="537"/>
      <c r="U1169" s="223">
        <f>SUM(K1169+P1169)</f>
        <v>335491.78849999997</v>
      </c>
    </row>
    <row r="1170" spans="1:21" x14ac:dyDescent="0.25">
      <c r="Q1170" s="537" t="s">
        <v>42</v>
      </c>
      <c r="R1170" s="537"/>
      <c r="S1170" s="537"/>
      <c r="T1170" s="537"/>
      <c r="U1170" s="224">
        <f>ROUND((U1169/360),2)</f>
        <v>931.92</v>
      </c>
    </row>
    <row r="1171" spans="1:21" x14ac:dyDescent="0.25">
      <c r="A1171" s="544"/>
      <c r="B1171" s="544"/>
      <c r="C1171" s="544"/>
      <c r="D1171" s="544"/>
      <c r="E1171" s="544"/>
      <c r="F1171" s="544"/>
      <c r="G1171" s="544"/>
      <c r="H1171" s="544"/>
      <c r="I1171" s="544"/>
      <c r="J1171" s="544"/>
      <c r="K1171" s="544"/>
      <c r="L1171" s="544"/>
      <c r="M1171" s="544"/>
      <c r="N1171" s="544"/>
      <c r="O1171" s="544"/>
      <c r="P1171" s="544"/>
      <c r="Q1171" s="544"/>
      <c r="R1171" s="544"/>
      <c r="S1171" s="544"/>
      <c r="T1171" s="544"/>
      <c r="U1171" s="544"/>
    </row>
    <row r="1172" spans="1:21" x14ac:dyDescent="0.25">
      <c r="A1172" s="538" t="s">
        <v>12</v>
      </c>
      <c r="B1172" s="538"/>
      <c r="C1172" s="540" t="s">
        <v>449</v>
      </c>
      <c r="D1172" s="540"/>
      <c r="E1172" s="540"/>
      <c r="F1172" s="540"/>
      <c r="G1172" s="540"/>
      <c r="H1172" s="540"/>
      <c r="I1172" s="540"/>
      <c r="J1172" s="540"/>
      <c r="K1172" s="540"/>
      <c r="L1172" s="540"/>
      <c r="M1172" s="540"/>
      <c r="N1172" s="540"/>
      <c r="O1172" s="540"/>
      <c r="P1172" s="540"/>
      <c r="Q1172" s="540"/>
      <c r="R1172" s="540"/>
      <c r="S1172" s="540"/>
      <c r="T1172" s="540"/>
      <c r="U1172" s="541" t="s">
        <v>435</v>
      </c>
    </row>
    <row r="1173" spans="1:21" x14ac:dyDescent="0.25">
      <c r="A1173" s="538"/>
      <c r="B1173" s="538"/>
      <c r="C1173" s="540"/>
      <c r="D1173" s="540"/>
      <c r="E1173" s="540"/>
      <c r="F1173" s="540"/>
      <c r="G1173" s="540"/>
      <c r="H1173" s="540"/>
      <c r="I1173" s="540"/>
      <c r="J1173" s="540"/>
      <c r="K1173" s="540"/>
      <c r="L1173" s="540"/>
      <c r="M1173" s="540"/>
      <c r="N1173" s="540"/>
      <c r="O1173" s="540"/>
      <c r="P1173" s="540"/>
      <c r="Q1173" s="540"/>
      <c r="R1173" s="540"/>
      <c r="S1173" s="540"/>
      <c r="T1173" s="540"/>
      <c r="U1173" s="541"/>
    </row>
    <row r="1174" spans="1:21" x14ac:dyDescent="0.25">
      <c r="A1174" s="539" t="s">
        <v>448</v>
      </c>
      <c r="B1174" s="539"/>
      <c r="C1174" s="540"/>
      <c r="D1174" s="540"/>
      <c r="E1174" s="540"/>
      <c r="F1174" s="540"/>
      <c r="G1174" s="540"/>
      <c r="H1174" s="540"/>
      <c r="I1174" s="540"/>
      <c r="J1174" s="540"/>
      <c r="K1174" s="540"/>
      <c r="L1174" s="540"/>
      <c r="M1174" s="540"/>
      <c r="N1174" s="540"/>
      <c r="O1174" s="540"/>
      <c r="P1174" s="540"/>
      <c r="Q1174" s="540"/>
      <c r="R1174" s="540"/>
      <c r="S1174" s="540"/>
      <c r="T1174" s="540"/>
      <c r="U1174" s="541"/>
    </row>
    <row r="1175" spans="1:21" x14ac:dyDescent="0.25">
      <c r="A1175" s="542" t="s">
        <v>16</v>
      </c>
      <c r="B1175" s="543" t="s">
        <v>18</v>
      </c>
      <c r="C1175" s="543"/>
      <c r="D1175" s="543"/>
      <c r="E1175" s="543"/>
      <c r="F1175" s="543"/>
      <c r="G1175" s="543" t="s">
        <v>24</v>
      </c>
      <c r="H1175" s="543"/>
      <c r="I1175" s="543"/>
      <c r="J1175" s="543"/>
      <c r="K1175" s="543"/>
      <c r="L1175" s="543" t="s">
        <v>25</v>
      </c>
      <c r="M1175" s="543"/>
      <c r="N1175" s="543"/>
      <c r="O1175" s="543"/>
      <c r="P1175" s="543"/>
      <c r="Q1175" s="543" t="s">
        <v>26</v>
      </c>
      <c r="R1175" s="543"/>
      <c r="S1175" s="543"/>
      <c r="T1175" s="543"/>
      <c r="U1175" s="543"/>
    </row>
    <row r="1176" spans="1:21" x14ac:dyDescent="0.25">
      <c r="A1176" s="542"/>
      <c r="B1176" s="182" t="s">
        <v>19</v>
      </c>
      <c r="C1176" s="182" t="s">
        <v>20</v>
      </c>
      <c r="D1176" s="182" t="s">
        <v>21</v>
      </c>
      <c r="E1176" s="182" t="s">
        <v>22</v>
      </c>
      <c r="F1176" s="182" t="s">
        <v>23</v>
      </c>
      <c r="G1176" s="182" t="s">
        <v>19</v>
      </c>
      <c r="H1176" s="216" t="s">
        <v>20</v>
      </c>
      <c r="I1176" s="182" t="s">
        <v>21</v>
      </c>
      <c r="J1176" s="182" t="s">
        <v>22</v>
      </c>
      <c r="K1176" s="182" t="s">
        <v>23</v>
      </c>
      <c r="L1176" s="182" t="s">
        <v>19</v>
      </c>
      <c r="M1176" s="182" t="s">
        <v>20</v>
      </c>
      <c r="N1176" s="182" t="s">
        <v>21</v>
      </c>
      <c r="O1176" s="182" t="s">
        <v>22</v>
      </c>
      <c r="P1176" s="182" t="s">
        <v>23</v>
      </c>
      <c r="Q1176" s="182" t="s">
        <v>19</v>
      </c>
      <c r="R1176" s="182" t="s">
        <v>20</v>
      </c>
      <c r="S1176" s="182" t="s">
        <v>21</v>
      </c>
      <c r="T1176" s="182" t="s">
        <v>22</v>
      </c>
      <c r="U1176" s="211" t="s">
        <v>23</v>
      </c>
    </row>
    <row r="1177" spans="1:21" x14ac:dyDescent="0.25">
      <c r="A1177" s="183" t="s">
        <v>450</v>
      </c>
      <c r="B1177" s="182" t="s">
        <v>47</v>
      </c>
      <c r="C1177" s="182" t="s">
        <v>28</v>
      </c>
      <c r="D1177" s="182">
        <v>1</v>
      </c>
      <c r="E1177" s="182">
        <f>skilled</f>
        <v>1245</v>
      </c>
      <c r="F1177" s="184">
        <f>(D1177*E1177)</f>
        <v>1245</v>
      </c>
      <c r="G1177" s="182" t="s">
        <v>451</v>
      </c>
      <c r="H1177" s="216" t="s">
        <v>49</v>
      </c>
      <c r="I1177" s="182">
        <v>725</v>
      </c>
      <c r="J1177" s="182">
        <f>adopted_rate_bricks</f>
        <v>15.14</v>
      </c>
      <c r="K1177" s="182">
        <f>(I1177*J1177)</f>
        <v>10976.5</v>
      </c>
    </row>
    <row r="1178" spans="1:21" x14ac:dyDescent="0.25">
      <c r="B1178" s="182" t="s">
        <v>29</v>
      </c>
      <c r="C1178" s="182" t="s">
        <v>28</v>
      </c>
      <c r="D1178" s="182">
        <v>3</v>
      </c>
      <c r="E1178" s="182">
        <f>unskilled</f>
        <v>935</v>
      </c>
      <c r="F1178" s="184">
        <f>(D1178*E1178)</f>
        <v>2805</v>
      </c>
      <c r="G1178" s="182" t="s">
        <v>430</v>
      </c>
      <c r="H1178" s="216" t="s">
        <v>84</v>
      </c>
      <c r="I1178" s="182">
        <v>0.7</v>
      </c>
      <c r="J1178" s="182">
        <f>adopted_rate_sand</f>
        <v>3175.2000000000003</v>
      </c>
      <c r="K1178" s="182">
        <f>(I1178*J1178)</f>
        <v>2222.64</v>
      </c>
    </row>
    <row r="1179" spans="1:21" x14ac:dyDescent="0.25">
      <c r="A1179" s="537" t="s">
        <v>30</v>
      </c>
      <c r="B1179" s="537"/>
      <c r="C1179" s="537"/>
      <c r="D1179" s="537"/>
      <c r="E1179" s="537"/>
      <c r="F1179" s="184">
        <f>SUM(F1176:F1178)</f>
        <v>4050</v>
      </c>
      <c r="G1179" s="537" t="s">
        <v>31</v>
      </c>
      <c r="H1179" s="537"/>
      <c r="I1179" s="537"/>
      <c r="J1179" s="537"/>
      <c r="K1179" s="184">
        <f>SUM(K1176:K1178)</f>
        <v>13199.14</v>
      </c>
      <c r="L1179" s="537" t="s">
        <v>32</v>
      </c>
      <c r="M1179" s="537"/>
      <c r="N1179" s="537"/>
      <c r="O1179" s="537"/>
      <c r="P1179" s="184">
        <f>SUM(P1176:P1178)</f>
        <v>0</v>
      </c>
      <c r="Q1179" s="537" t="s">
        <v>38</v>
      </c>
      <c r="R1179" s="537"/>
      <c r="S1179" s="537"/>
      <c r="T1179" s="537"/>
      <c r="U1179" s="223">
        <f>SUM(U1176:U1178)</f>
        <v>0</v>
      </c>
    </row>
    <row r="1180" spans="1:21" x14ac:dyDescent="0.25">
      <c r="A1180" s="537" t="s">
        <v>33</v>
      </c>
      <c r="B1180" s="537"/>
      <c r="C1180" s="537"/>
      <c r="D1180" s="537"/>
      <c r="E1180" s="537"/>
      <c r="F1180" s="184">
        <f>SUM(F1179+K1179+P1179)</f>
        <v>17249.14</v>
      </c>
      <c r="G1180" s="537" t="s">
        <v>39</v>
      </c>
      <c r="H1180" s="537"/>
      <c r="I1180" s="537"/>
      <c r="J1180" s="537"/>
      <c r="K1180" s="184">
        <f>SUM(F1179+K1179+P1179+U1179)</f>
        <v>17249.14</v>
      </c>
      <c r="L1180" s="537" t="s">
        <v>40</v>
      </c>
      <c r="M1180" s="537"/>
      <c r="N1180" s="537"/>
      <c r="O1180" s="537"/>
      <c r="P1180" s="184">
        <f>SUM(K1180*0.15)</f>
        <v>2587.3709999999996</v>
      </c>
      <c r="Q1180" s="537" t="s">
        <v>41</v>
      </c>
      <c r="R1180" s="537"/>
      <c r="S1180" s="537"/>
      <c r="T1180" s="537"/>
      <c r="U1180" s="223">
        <f>SUM(K1180+P1180)</f>
        <v>19836.510999999999</v>
      </c>
    </row>
    <row r="1181" spans="1:21" x14ac:dyDescent="0.25">
      <c r="Q1181" s="537" t="s">
        <v>42</v>
      </c>
      <c r="R1181" s="537"/>
      <c r="S1181" s="537"/>
      <c r="T1181" s="537"/>
      <c r="U1181" s="224">
        <f>ROUND((U1180/10),2)</f>
        <v>1983.65</v>
      </c>
    </row>
    <row r="1182" spans="1:21" x14ac:dyDescent="0.25">
      <c r="A1182" s="544"/>
      <c r="B1182" s="544"/>
      <c r="C1182" s="544"/>
      <c r="D1182" s="544"/>
      <c r="E1182" s="544"/>
      <c r="F1182" s="544"/>
      <c r="G1182" s="544"/>
      <c r="H1182" s="544"/>
      <c r="I1182" s="544"/>
      <c r="J1182" s="544"/>
      <c r="K1182" s="544"/>
      <c r="L1182" s="544"/>
      <c r="M1182" s="544"/>
      <c r="N1182" s="544"/>
      <c r="O1182" s="544"/>
      <c r="P1182" s="544"/>
      <c r="Q1182" s="544"/>
      <c r="R1182" s="544"/>
      <c r="S1182" s="544"/>
      <c r="T1182" s="544"/>
      <c r="U1182" s="544"/>
    </row>
    <row r="1183" spans="1:21" x14ac:dyDescent="0.25">
      <c r="A1183" s="538" t="s">
        <v>12</v>
      </c>
      <c r="B1183" s="538"/>
      <c r="C1183" s="540" t="s">
        <v>452</v>
      </c>
      <c r="D1183" s="540"/>
      <c r="E1183" s="540"/>
      <c r="F1183" s="540"/>
      <c r="G1183" s="540"/>
      <c r="H1183" s="540"/>
      <c r="I1183" s="540"/>
      <c r="J1183" s="540"/>
      <c r="K1183" s="540"/>
      <c r="L1183" s="540"/>
      <c r="M1183" s="540"/>
      <c r="N1183" s="540"/>
      <c r="O1183" s="540"/>
      <c r="P1183" s="540"/>
      <c r="Q1183" s="540"/>
      <c r="R1183" s="540"/>
      <c r="S1183" s="540"/>
      <c r="T1183" s="540"/>
      <c r="U1183" s="541" t="s">
        <v>453</v>
      </c>
    </row>
    <row r="1184" spans="1:21" x14ac:dyDescent="0.25">
      <c r="A1184" s="538"/>
      <c r="B1184" s="538"/>
      <c r="C1184" s="540"/>
      <c r="D1184" s="540"/>
      <c r="E1184" s="540"/>
      <c r="F1184" s="540"/>
      <c r="G1184" s="540"/>
      <c r="H1184" s="540"/>
      <c r="I1184" s="540"/>
      <c r="J1184" s="540"/>
      <c r="K1184" s="540"/>
      <c r="L1184" s="540"/>
      <c r="M1184" s="540"/>
      <c r="N1184" s="540"/>
      <c r="O1184" s="540"/>
      <c r="P1184" s="540"/>
      <c r="Q1184" s="540"/>
      <c r="R1184" s="540"/>
      <c r="S1184" s="540"/>
      <c r="T1184" s="540"/>
      <c r="U1184" s="541"/>
    </row>
    <row r="1185" spans="1:21" x14ac:dyDescent="0.25">
      <c r="A1185" s="539" t="s">
        <v>448</v>
      </c>
      <c r="B1185" s="539"/>
      <c r="C1185" s="540"/>
      <c r="D1185" s="540"/>
      <c r="E1185" s="540"/>
      <c r="F1185" s="540"/>
      <c r="G1185" s="540"/>
      <c r="H1185" s="540"/>
      <c r="I1185" s="540"/>
      <c r="J1185" s="540"/>
      <c r="K1185" s="540"/>
      <c r="L1185" s="540"/>
      <c r="M1185" s="540"/>
      <c r="N1185" s="540"/>
      <c r="O1185" s="540"/>
      <c r="P1185" s="540"/>
      <c r="Q1185" s="540"/>
      <c r="R1185" s="540"/>
      <c r="S1185" s="540"/>
      <c r="T1185" s="540"/>
      <c r="U1185" s="541"/>
    </row>
    <row r="1186" spans="1:21" x14ac:dyDescent="0.25">
      <c r="A1186" s="542" t="s">
        <v>16</v>
      </c>
      <c r="B1186" s="543" t="s">
        <v>18</v>
      </c>
      <c r="C1186" s="543"/>
      <c r="D1186" s="543"/>
      <c r="E1186" s="543"/>
      <c r="F1186" s="543"/>
      <c r="G1186" s="543" t="s">
        <v>24</v>
      </c>
      <c r="H1186" s="543"/>
      <c r="I1186" s="543"/>
      <c r="J1186" s="543"/>
      <c r="K1186" s="543"/>
      <c r="L1186" s="543" t="s">
        <v>25</v>
      </c>
      <c r="M1186" s="543"/>
      <c r="N1186" s="543"/>
      <c r="O1186" s="543"/>
      <c r="P1186" s="543"/>
      <c r="Q1186" s="543" t="s">
        <v>26</v>
      </c>
      <c r="R1186" s="543"/>
      <c r="S1186" s="543"/>
      <c r="T1186" s="543"/>
      <c r="U1186" s="543"/>
    </row>
    <row r="1187" spans="1:21" x14ac:dyDescent="0.25">
      <c r="A1187" s="542"/>
      <c r="B1187" s="182" t="s">
        <v>19</v>
      </c>
      <c r="C1187" s="182" t="s">
        <v>20</v>
      </c>
      <c r="D1187" s="182" t="s">
        <v>21</v>
      </c>
      <c r="E1187" s="182" t="s">
        <v>22</v>
      </c>
      <c r="F1187" s="182" t="s">
        <v>23</v>
      </c>
      <c r="G1187" s="182" t="s">
        <v>19</v>
      </c>
      <c r="H1187" s="216" t="s">
        <v>20</v>
      </c>
      <c r="I1187" s="182" t="s">
        <v>21</v>
      </c>
      <c r="J1187" s="182" t="s">
        <v>22</v>
      </c>
      <c r="K1187" s="182" t="s">
        <v>23</v>
      </c>
      <c r="L1187" s="182" t="s">
        <v>19</v>
      </c>
      <c r="M1187" s="182" t="s">
        <v>20</v>
      </c>
      <c r="N1187" s="182" t="s">
        <v>21</v>
      </c>
      <c r="O1187" s="182" t="s">
        <v>22</v>
      </c>
      <c r="P1187" s="182" t="s">
        <v>23</v>
      </c>
      <c r="Q1187" s="182" t="s">
        <v>19</v>
      </c>
      <c r="R1187" s="182" t="s">
        <v>20</v>
      </c>
      <c r="S1187" s="182" t="s">
        <v>21</v>
      </c>
      <c r="T1187" s="182" t="s">
        <v>22</v>
      </c>
      <c r="U1187" s="211" t="s">
        <v>23</v>
      </c>
    </row>
    <row r="1188" spans="1:21" x14ac:dyDescent="0.25">
      <c r="A1188" s="183" t="s">
        <v>454</v>
      </c>
      <c r="B1188" s="182" t="s">
        <v>47</v>
      </c>
      <c r="C1188" s="182" t="s">
        <v>28</v>
      </c>
      <c r="D1188" s="182">
        <v>1.5</v>
      </c>
      <c r="E1188" s="182">
        <f>skilled</f>
        <v>1245</v>
      </c>
      <c r="F1188" s="184">
        <f>(D1188*E1188)</f>
        <v>1867.5</v>
      </c>
      <c r="G1188" s="182" t="s">
        <v>451</v>
      </c>
      <c r="H1188" s="216" t="s">
        <v>49</v>
      </c>
      <c r="I1188" s="182">
        <v>750</v>
      </c>
      <c r="J1188" s="182">
        <f>adopted_rate_bricks</f>
        <v>15.14</v>
      </c>
      <c r="K1188" s="182">
        <f>(I1188*J1188)</f>
        <v>11355</v>
      </c>
    </row>
    <row r="1189" spans="1:21" x14ac:dyDescent="0.25">
      <c r="B1189" s="182" t="s">
        <v>29</v>
      </c>
      <c r="C1189" s="182" t="s">
        <v>28</v>
      </c>
      <c r="D1189" s="182">
        <v>4</v>
      </c>
      <c r="E1189" s="182">
        <f>unskilled</f>
        <v>935</v>
      </c>
      <c r="F1189" s="184">
        <f>(D1189*E1189)</f>
        <v>3740</v>
      </c>
      <c r="G1189" s="182" t="s">
        <v>83</v>
      </c>
      <c r="H1189" s="216" t="s">
        <v>84</v>
      </c>
      <c r="I1189" s="182">
        <v>1.4</v>
      </c>
      <c r="J1189" s="182">
        <f>adopted_rate_sand</f>
        <v>3175.2000000000003</v>
      </c>
      <c r="K1189" s="182">
        <f>(I1189*J1189)</f>
        <v>4445.28</v>
      </c>
    </row>
    <row r="1190" spans="1:21" x14ac:dyDescent="0.25">
      <c r="A1190" s="537" t="s">
        <v>30</v>
      </c>
      <c r="B1190" s="537"/>
      <c r="C1190" s="537"/>
      <c r="D1190" s="537"/>
      <c r="E1190" s="537"/>
      <c r="F1190" s="184">
        <f>SUM(F1187:F1189)</f>
        <v>5607.5</v>
      </c>
      <c r="G1190" s="537" t="s">
        <v>31</v>
      </c>
      <c r="H1190" s="537"/>
      <c r="I1190" s="537"/>
      <c r="J1190" s="537"/>
      <c r="K1190" s="184">
        <f>SUM(K1187:K1189)</f>
        <v>15800.279999999999</v>
      </c>
      <c r="L1190" s="537" t="s">
        <v>32</v>
      </c>
      <c r="M1190" s="537"/>
      <c r="N1190" s="537"/>
      <c r="O1190" s="537"/>
      <c r="P1190" s="184">
        <f>SUM(P1187:P1189)</f>
        <v>0</v>
      </c>
      <c r="Q1190" s="537" t="s">
        <v>38</v>
      </c>
      <c r="R1190" s="537"/>
      <c r="S1190" s="537"/>
      <c r="T1190" s="537"/>
      <c r="U1190" s="223">
        <f>SUM(U1187:U1189)</f>
        <v>0</v>
      </c>
    </row>
    <row r="1191" spans="1:21" x14ac:dyDescent="0.25">
      <c r="A1191" s="537" t="s">
        <v>33</v>
      </c>
      <c r="B1191" s="537"/>
      <c r="C1191" s="537"/>
      <c r="D1191" s="537"/>
      <c r="E1191" s="537"/>
      <c r="F1191" s="184">
        <f>SUM(F1190+K1190+P1190)</f>
        <v>21407.78</v>
      </c>
      <c r="G1191" s="537" t="s">
        <v>39</v>
      </c>
      <c r="H1191" s="537"/>
      <c r="I1191" s="537"/>
      <c r="J1191" s="537"/>
      <c r="K1191" s="184">
        <f>SUM(F1190+K1190+P1190+U1190)</f>
        <v>21407.78</v>
      </c>
      <c r="L1191" s="537" t="s">
        <v>40</v>
      </c>
      <c r="M1191" s="537"/>
      <c r="N1191" s="537"/>
      <c r="O1191" s="537"/>
      <c r="P1191" s="184">
        <f>SUM(K1191*0.15)</f>
        <v>3211.1669999999999</v>
      </c>
      <c r="Q1191" s="537" t="s">
        <v>41</v>
      </c>
      <c r="R1191" s="537"/>
      <c r="S1191" s="537"/>
      <c r="T1191" s="537"/>
      <c r="U1191" s="223">
        <f>SUM(K1191+P1191)</f>
        <v>24618.947</v>
      </c>
    </row>
    <row r="1192" spans="1:21" x14ac:dyDescent="0.25">
      <c r="Q1192" s="537" t="s">
        <v>42</v>
      </c>
      <c r="R1192" s="537"/>
      <c r="S1192" s="537"/>
      <c r="T1192" s="537"/>
      <c r="U1192" s="224">
        <f>ROUND((U1191/20),2)</f>
        <v>1230.95</v>
      </c>
    </row>
    <row r="1193" spans="1:21" x14ac:dyDescent="0.25">
      <c r="A1193" s="544"/>
      <c r="B1193" s="544"/>
      <c r="C1193" s="544"/>
      <c r="D1193" s="544"/>
      <c r="E1193" s="544"/>
      <c r="F1193" s="544"/>
      <c r="G1193" s="544"/>
      <c r="H1193" s="544"/>
      <c r="I1193" s="544"/>
      <c r="J1193" s="544"/>
      <c r="K1193" s="544"/>
      <c r="L1193" s="544"/>
      <c r="M1193" s="544"/>
      <c r="N1193" s="544"/>
      <c r="O1193" s="544"/>
      <c r="P1193" s="544"/>
      <c r="Q1193" s="544"/>
      <c r="R1193" s="544"/>
      <c r="S1193" s="544"/>
      <c r="T1193" s="544"/>
      <c r="U1193" s="544"/>
    </row>
    <row r="1194" spans="1:21" x14ac:dyDescent="0.25">
      <c r="A1194" s="538" t="s">
        <v>12</v>
      </c>
      <c r="B1194" s="538"/>
      <c r="C1194" s="540" t="s">
        <v>456</v>
      </c>
      <c r="D1194" s="540"/>
      <c r="E1194" s="540"/>
      <c r="F1194" s="540"/>
      <c r="G1194" s="540"/>
      <c r="H1194" s="540"/>
      <c r="I1194" s="540"/>
      <c r="J1194" s="540"/>
      <c r="K1194" s="540"/>
      <c r="L1194" s="540"/>
      <c r="M1194" s="540"/>
      <c r="N1194" s="540"/>
      <c r="O1194" s="540"/>
      <c r="P1194" s="540"/>
      <c r="Q1194" s="540"/>
      <c r="R1194" s="540"/>
      <c r="S1194" s="540"/>
      <c r="T1194" s="540"/>
      <c r="U1194" s="541" t="s">
        <v>457</v>
      </c>
    </row>
    <row r="1195" spans="1:21" x14ac:dyDescent="0.25">
      <c r="A1195" s="538"/>
      <c r="B1195" s="538"/>
      <c r="C1195" s="540"/>
      <c r="D1195" s="540"/>
      <c r="E1195" s="540"/>
      <c r="F1195" s="540"/>
      <c r="G1195" s="540"/>
      <c r="H1195" s="540"/>
      <c r="I1195" s="540"/>
      <c r="J1195" s="540"/>
      <c r="K1195" s="540"/>
      <c r="L1195" s="540"/>
      <c r="M1195" s="540"/>
      <c r="N1195" s="540"/>
      <c r="O1195" s="540"/>
      <c r="P1195" s="540"/>
      <c r="Q1195" s="540"/>
      <c r="R1195" s="540"/>
      <c r="S1195" s="540"/>
      <c r="T1195" s="540"/>
      <c r="U1195" s="541"/>
    </row>
    <row r="1196" spans="1:21" x14ac:dyDescent="0.25">
      <c r="A1196" s="539" t="s">
        <v>455</v>
      </c>
      <c r="B1196" s="539"/>
      <c r="C1196" s="540"/>
      <c r="D1196" s="540"/>
      <c r="E1196" s="540"/>
      <c r="F1196" s="540"/>
      <c r="G1196" s="540"/>
      <c r="H1196" s="540"/>
      <c r="I1196" s="540"/>
      <c r="J1196" s="540"/>
      <c r="K1196" s="540"/>
      <c r="L1196" s="540"/>
      <c r="M1196" s="540"/>
      <c r="N1196" s="540"/>
      <c r="O1196" s="540"/>
      <c r="P1196" s="540"/>
      <c r="Q1196" s="540"/>
      <c r="R1196" s="540"/>
      <c r="S1196" s="540"/>
      <c r="T1196" s="540"/>
      <c r="U1196" s="541"/>
    </row>
    <row r="1197" spans="1:21" x14ac:dyDescent="0.25">
      <c r="A1197" s="542" t="s">
        <v>16</v>
      </c>
      <c r="B1197" s="543" t="s">
        <v>18</v>
      </c>
      <c r="C1197" s="543"/>
      <c r="D1197" s="543"/>
      <c r="E1197" s="543"/>
      <c r="F1197" s="543"/>
      <c r="G1197" s="543" t="s">
        <v>24</v>
      </c>
      <c r="H1197" s="543"/>
      <c r="I1197" s="543"/>
      <c r="J1197" s="543"/>
      <c r="K1197" s="543"/>
      <c r="L1197" s="543" t="s">
        <v>25</v>
      </c>
      <c r="M1197" s="543"/>
      <c r="N1197" s="543"/>
      <c r="O1197" s="543"/>
      <c r="P1197" s="543"/>
      <c r="Q1197" s="543" t="s">
        <v>26</v>
      </c>
      <c r="R1197" s="543"/>
      <c r="S1197" s="543"/>
      <c r="T1197" s="543"/>
      <c r="U1197" s="543"/>
    </row>
    <row r="1198" spans="1:21" x14ac:dyDescent="0.25">
      <c r="A1198" s="542"/>
      <c r="B1198" s="182" t="s">
        <v>19</v>
      </c>
      <c r="C1198" s="182" t="s">
        <v>20</v>
      </c>
      <c r="D1198" s="182" t="s">
        <v>21</v>
      </c>
      <c r="E1198" s="182" t="s">
        <v>22</v>
      </c>
      <c r="F1198" s="182" t="s">
        <v>23</v>
      </c>
      <c r="G1198" s="182" t="s">
        <v>19</v>
      </c>
      <c r="H1198" s="216" t="s">
        <v>20</v>
      </c>
      <c r="I1198" s="182" t="s">
        <v>21</v>
      </c>
      <c r="J1198" s="182" t="s">
        <v>22</v>
      </c>
      <c r="K1198" s="182" t="s">
        <v>23</v>
      </c>
      <c r="L1198" s="182" t="s">
        <v>19</v>
      </c>
      <c r="M1198" s="182" t="s">
        <v>20</v>
      </c>
      <c r="N1198" s="182" t="s">
        <v>21</v>
      </c>
      <c r="O1198" s="182" t="s">
        <v>22</v>
      </c>
      <c r="P1198" s="182" t="s">
        <v>23</v>
      </c>
      <c r="Q1198" s="182" t="s">
        <v>19</v>
      </c>
      <c r="R1198" s="182" t="s">
        <v>20</v>
      </c>
      <c r="S1198" s="182" t="s">
        <v>21</v>
      </c>
      <c r="T1198" s="182" t="s">
        <v>22</v>
      </c>
      <c r="U1198" s="211" t="s">
        <v>23</v>
      </c>
    </row>
    <row r="1199" spans="1:21" x14ac:dyDescent="0.25">
      <c r="A1199" s="183" t="s">
        <v>458</v>
      </c>
      <c r="B1199" s="182" t="s">
        <v>47</v>
      </c>
      <c r="C1199" s="182" t="s">
        <v>28</v>
      </c>
      <c r="D1199" s="182">
        <v>1</v>
      </c>
      <c r="E1199" s="182">
        <f>skilled</f>
        <v>1245</v>
      </c>
      <c r="F1199" s="184">
        <f>(D1199*E1199)</f>
        <v>1245</v>
      </c>
      <c r="G1199" s="182" t="s">
        <v>459</v>
      </c>
      <c r="H1199" s="216" t="s">
        <v>84</v>
      </c>
      <c r="I1199" s="182">
        <v>0.21</v>
      </c>
      <c r="J1199" s="183">
        <f>(K311/10)</f>
        <v>872.5</v>
      </c>
      <c r="K1199" s="184">
        <f>(I1199*J1199)</f>
        <v>183.22499999999999</v>
      </c>
      <c r="L1199" s="182" t="s">
        <v>65</v>
      </c>
      <c r="M1199" s="182" t="s">
        <v>58</v>
      </c>
      <c r="N1199" s="182">
        <v>3</v>
      </c>
      <c r="O1199" s="182">
        <f>tractor</f>
        <v>868</v>
      </c>
      <c r="P1199" s="184">
        <f>(N1199*O1199)</f>
        <v>2604</v>
      </c>
    </row>
    <row r="1200" spans="1:21" x14ac:dyDescent="0.25">
      <c r="B1200" s="182" t="s">
        <v>29</v>
      </c>
      <c r="C1200" s="182" t="s">
        <v>28</v>
      </c>
      <c r="D1200" s="182">
        <v>2</v>
      </c>
      <c r="E1200" s="182">
        <f>unskilled</f>
        <v>935</v>
      </c>
      <c r="F1200" s="184">
        <f>(D1200*E1200)</f>
        <v>1870</v>
      </c>
      <c r="G1200" s="182" t="s">
        <v>460</v>
      </c>
      <c r="H1200" s="216" t="s">
        <v>84</v>
      </c>
      <c r="I1200" s="182">
        <v>0.11</v>
      </c>
    </row>
    <row r="1201" spans="1:21" x14ac:dyDescent="0.25">
      <c r="G1201" s="182" t="s">
        <v>461</v>
      </c>
      <c r="H1201" s="216" t="s">
        <v>438</v>
      </c>
      <c r="I1201" s="182">
        <v>3.51</v>
      </c>
    </row>
    <row r="1202" spans="1:21" x14ac:dyDescent="0.25">
      <c r="G1202" s="182" t="s">
        <v>462</v>
      </c>
      <c r="H1202" s="216" t="s">
        <v>463</v>
      </c>
      <c r="I1202" s="182">
        <v>12.6</v>
      </c>
      <c r="J1202" s="182">
        <f>adopted_rate_steel_tube_dia_50_mm</f>
        <v>0</v>
      </c>
      <c r="K1202" s="182">
        <f>(I1202*J1202)</f>
        <v>0</v>
      </c>
    </row>
    <row r="1203" spans="1:21" x14ac:dyDescent="0.25">
      <c r="G1203" s="182" t="s">
        <v>464</v>
      </c>
      <c r="H1203" s="216" t="s">
        <v>144</v>
      </c>
      <c r="I1203" s="182">
        <v>4.24</v>
      </c>
      <c r="J1203" s="182">
        <f>adopted_rate_ms_angle</f>
        <v>0</v>
      </c>
      <c r="K1203" s="182">
        <f>(I1203*J1203)</f>
        <v>0</v>
      </c>
    </row>
    <row r="1204" spans="1:21" ht="31.5" x14ac:dyDescent="0.25">
      <c r="G1204" s="182" t="s">
        <v>465</v>
      </c>
      <c r="H1204" s="216"/>
      <c r="K1204" s="184">
        <f>(K1203*2/100)</f>
        <v>0</v>
      </c>
    </row>
    <row r="1205" spans="1:21" x14ac:dyDescent="0.25">
      <c r="G1205" s="182" t="s">
        <v>466</v>
      </c>
      <c r="H1205" s="216" t="s">
        <v>438</v>
      </c>
      <c r="I1205" s="182">
        <v>2.02</v>
      </c>
      <c r="J1205" s="182">
        <f>adopted_rate_ms_sheet_2_mm</f>
        <v>0</v>
      </c>
      <c r="K1205" s="182">
        <f>(I1205*J1205)</f>
        <v>0</v>
      </c>
    </row>
    <row r="1206" spans="1:21" x14ac:dyDescent="0.25">
      <c r="A1206" s="537" t="s">
        <v>30</v>
      </c>
      <c r="B1206" s="537"/>
      <c r="C1206" s="537"/>
      <c r="D1206" s="537"/>
      <c r="E1206" s="537"/>
      <c r="F1206" s="184">
        <f>SUM(F1198:F1205)</f>
        <v>3115</v>
      </c>
      <c r="G1206" s="537" t="s">
        <v>31</v>
      </c>
      <c r="H1206" s="537"/>
      <c r="I1206" s="537"/>
      <c r="J1206" s="537"/>
      <c r="K1206" s="184">
        <f>SUM(K1198:K1205)</f>
        <v>183.22499999999999</v>
      </c>
      <c r="L1206" s="537" t="s">
        <v>32</v>
      </c>
      <c r="M1206" s="537"/>
      <c r="N1206" s="537"/>
      <c r="O1206" s="537"/>
      <c r="P1206" s="184">
        <f>SUM(P1198:P1205)</f>
        <v>2604</v>
      </c>
      <c r="Q1206" s="537" t="s">
        <v>38</v>
      </c>
      <c r="R1206" s="537"/>
      <c r="S1206" s="537"/>
      <c r="T1206" s="537"/>
      <c r="U1206" s="223">
        <f>SUM(U1198:U1205)</f>
        <v>0</v>
      </c>
    </row>
    <row r="1207" spans="1:21" x14ac:dyDescent="0.25">
      <c r="A1207" s="537" t="s">
        <v>33</v>
      </c>
      <c r="B1207" s="537"/>
      <c r="C1207" s="537"/>
      <c r="D1207" s="537"/>
      <c r="E1207" s="537"/>
      <c r="F1207" s="184">
        <f>SUM(F1206+K1206+P1206)</f>
        <v>5902.2250000000004</v>
      </c>
      <c r="G1207" s="537" t="s">
        <v>39</v>
      </c>
      <c r="H1207" s="537"/>
      <c r="I1207" s="537"/>
      <c r="J1207" s="537"/>
      <c r="K1207" s="184">
        <f>SUM(F1206+K1206+P1206+U1206)</f>
        <v>5902.2250000000004</v>
      </c>
      <c r="L1207" s="537" t="s">
        <v>40</v>
      </c>
      <c r="M1207" s="537"/>
      <c r="N1207" s="537"/>
      <c r="O1207" s="537"/>
      <c r="P1207" s="184">
        <f>SUM(K1207*0.15)</f>
        <v>885.33375000000001</v>
      </c>
      <c r="Q1207" s="537" t="s">
        <v>41</v>
      </c>
      <c r="R1207" s="537"/>
      <c r="S1207" s="537"/>
      <c r="T1207" s="537"/>
      <c r="U1207" s="223">
        <f>SUM(K1207+P1207)</f>
        <v>6787.5587500000001</v>
      </c>
    </row>
    <row r="1208" spans="1:21" x14ac:dyDescent="0.25">
      <c r="Q1208" s="537" t="s">
        <v>42</v>
      </c>
      <c r="R1208" s="537"/>
      <c r="S1208" s="537"/>
      <c r="T1208" s="537"/>
      <c r="U1208" s="224">
        <f>ROUND((U1207/4),2)</f>
        <v>1696.89</v>
      </c>
    </row>
    <row r="1209" spans="1:21" x14ac:dyDescent="0.25">
      <c r="A1209" s="544"/>
      <c r="B1209" s="544"/>
      <c r="C1209" s="544"/>
      <c r="D1209" s="544"/>
      <c r="E1209" s="544"/>
      <c r="F1209" s="544"/>
      <c r="G1209" s="544"/>
      <c r="H1209" s="544"/>
      <c r="I1209" s="544"/>
      <c r="J1209" s="544"/>
      <c r="K1209" s="544"/>
      <c r="L1209" s="544"/>
      <c r="M1209" s="544"/>
      <c r="N1209" s="544"/>
      <c r="O1209" s="544"/>
      <c r="P1209" s="544"/>
      <c r="Q1209" s="544"/>
      <c r="R1209" s="544"/>
      <c r="S1209" s="544"/>
      <c r="T1209" s="544"/>
      <c r="U1209" s="544"/>
    </row>
    <row r="1210" spans="1:21" x14ac:dyDescent="0.25">
      <c r="A1210" s="538" t="s">
        <v>12</v>
      </c>
      <c r="B1210" s="538"/>
      <c r="C1210" s="540" t="s">
        <v>467</v>
      </c>
      <c r="D1210" s="540"/>
      <c r="E1210" s="540"/>
      <c r="F1210" s="540"/>
      <c r="G1210" s="540"/>
      <c r="H1210" s="540"/>
      <c r="I1210" s="540"/>
      <c r="J1210" s="540"/>
      <c r="K1210" s="540"/>
      <c r="L1210" s="540"/>
      <c r="M1210" s="540"/>
      <c r="N1210" s="540"/>
      <c r="O1210" s="540"/>
      <c r="P1210" s="540"/>
      <c r="Q1210" s="540"/>
      <c r="R1210" s="540"/>
      <c r="S1210" s="540"/>
      <c r="T1210" s="540"/>
      <c r="U1210" s="541" t="s">
        <v>468</v>
      </c>
    </row>
    <row r="1211" spans="1:21" x14ac:dyDescent="0.25">
      <c r="A1211" s="538"/>
      <c r="B1211" s="538"/>
      <c r="C1211" s="540"/>
      <c r="D1211" s="540"/>
      <c r="E1211" s="540"/>
      <c r="F1211" s="540"/>
      <c r="G1211" s="540"/>
      <c r="H1211" s="540"/>
      <c r="I1211" s="540"/>
      <c r="J1211" s="540"/>
      <c r="K1211" s="540"/>
      <c r="L1211" s="540"/>
      <c r="M1211" s="540"/>
      <c r="N1211" s="540"/>
      <c r="O1211" s="540"/>
      <c r="P1211" s="540"/>
      <c r="Q1211" s="540"/>
      <c r="R1211" s="540"/>
      <c r="S1211" s="540"/>
      <c r="T1211" s="540"/>
      <c r="U1211" s="541"/>
    </row>
    <row r="1212" spans="1:21" x14ac:dyDescent="0.25">
      <c r="A1212" s="539" t="s">
        <v>455</v>
      </c>
      <c r="B1212" s="539"/>
      <c r="C1212" s="540"/>
      <c r="D1212" s="540"/>
      <c r="E1212" s="540"/>
      <c r="F1212" s="540"/>
      <c r="G1212" s="540"/>
      <c r="H1212" s="540"/>
      <c r="I1212" s="540"/>
      <c r="J1212" s="540"/>
      <c r="K1212" s="540"/>
      <c r="L1212" s="540"/>
      <c r="M1212" s="540"/>
      <c r="N1212" s="540"/>
      <c r="O1212" s="540"/>
      <c r="P1212" s="540"/>
      <c r="Q1212" s="540"/>
      <c r="R1212" s="540"/>
      <c r="S1212" s="540"/>
      <c r="T1212" s="540"/>
      <c r="U1212" s="541"/>
    </row>
    <row r="1213" spans="1:21" x14ac:dyDescent="0.25">
      <c r="A1213" s="542" t="s">
        <v>16</v>
      </c>
      <c r="B1213" s="543" t="s">
        <v>18</v>
      </c>
      <c r="C1213" s="543"/>
      <c r="D1213" s="543"/>
      <c r="E1213" s="543"/>
      <c r="F1213" s="543"/>
      <c r="G1213" s="543" t="s">
        <v>24</v>
      </c>
      <c r="H1213" s="543"/>
      <c r="I1213" s="543"/>
      <c r="J1213" s="543"/>
      <c r="K1213" s="543"/>
      <c r="L1213" s="543" t="s">
        <v>25</v>
      </c>
      <c r="M1213" s="543"/>
      <c r="N1213" s="543"/>
      <c r="O1213" s="543"/>
      <c r="P1213" s="543"/>
      <c r="Q1213" s="543" t="s">
        <v>26</v>
      </c>
      <c r="R1213" s="543"/>
      <c r="S1213" s="543"/>
      <c r="T1213" s="543"/>
      <c r="U1213" s="543"/>
    </row>
    <row r="1214" spans="1:21" x14ac:dyDescent="0.25">
      <c r="A1214" s="542"/>
      <c r="B1214" s="182" t="s">
        <v>19</v>
      </c>
      <c r="C1214" s="182" t="s">
        <v>20</v>
      </c>
      <c r="D1214" s="182" t="s">
        <v>21</v>
      </c>
      <c r="E1214" s="182" t="s">
        <v>22</v>
      </c>
      <c r="F1214" s="182" t="s">
        <v>23</v>
      </c>
      <c r="G1214" s="182" t="s">
        <v>19</v>
      </c>
      <c r="H1214" s="216" t="s">
        <v>20</v>
      </c>
      <c r="I1214" s="182" t="s">
        <v>21</v>
      </c>
      <c r="J1214" s="182" t="s">
        <v>22</v>
      </c>
      <c r="K1214" s="182" t="s">
        <v>23</v>
      </c>
      <c r="L1214" s="182" t="s">
        <v>19</v>
      </c>
      <c r="M1214" s="182" t="s">
        <v>20</v>
      </c>
      <c r="N1214" s="182" t="s">
        <v>21</v>
      </c>
      <c r="O1214" s="182" t="s">
        <v>22</v>
      </c>
      <c r="P1214" s="182" t="s">
        <v>23</v>
      </c>
      <c r="Q1214" s="182" t="s">
        <v>19</v>
      </c>
      <c r="R1214" s="182" t="s">
        <v>20</v>
      </c>
      <c r="S1214" s="182" t="s">
        <v>21</v>
      </c>
      <c r="T1214" s="182" t="s">
        <v>22</v>
      </c>
      <c r="U1214" s="211" t="s">
        <v>23</v>
      </c>
    </row>
    <row r="1215" spans="1:21" x14ac:dyDescent="0.25">
      <c r="A1215" s="183" t="s">
        <v>469</v>
      </c>
      <c r="B1215" s="182" t="s">
        <v>47</v>
      </c>
      <c r="C1215" s="182" t="s">
        <v>28</v>
      </c>
      <c r="D1215" s="182">
        <v>1</v>
      </c>
      <c r="E1215" s="182">
        <f>skilled</f>
        <v>1245</v>
      </c>
      <c r="F1215" s="184">
        <f>(D1215*E1215)</f>
        <v>1245</v>
      </c>
      <c r="G1215" s="182" t="s">
        <v>459</v>
      </c>
      <c r="H1215" s="216" t="s">
        <v>84</v>
      </c>
      <c r="I1215" s="182">
        <v>0.54</v>
      </c>
      <c r="J1215" s="183">
        <f>(K311/10)</f>
        <v>872.5</v>
      </c>
      <c r="K1215" s="184">
        <f>(I1215*J1215)</f>
        <v>471.15000000000003</v>
      </c>
      <c r="L1215" s="182" t="s">
        <v>65</v>
      </c>
      <c r="M1215" s="182" t="s">
        <v>58</v>
      </c>
      <c r="N1215" s="182">
        <v>3</v>
      </c>
      <c r="O1215" s="182">
        <f>tractor</f>
        <v>868</v>
      </c>
      <c r="P1215" s="184">
        <f>(N1215*O1215)</f>
        <v>2604</v>
      </c>
    </row>
    <row r="1216" spans="1:21" x14ac:dyDescent="0.25">
      <c r="B1216" s="182" t="s">
        <v>29</v>
      </c>
      <c r="C1216" s="182" t="s">
        <v>28</v>
      </c>
      <c r="D1216" s="182">
        <v>3</v>
      </c>
      <c r="E1216" s="182">
        <f>unskilled</f>
        <v>935</v>
      </c>
      <c r="F1216" s="184">
        <f>(D1216*E1216)</f>
        <v>2805</v>
      </c>
      <c r="G1216" s="182" t="s">
        <v>460</v>
      </c>
      <c r="H1216" s="216" t="s">
        <v>84</v>
      </c>
      <c r="I1216" s="182">
        <v>0.27</v>
      </c>
    </row>
    <row r="1217" spans="1:21" x14ac:dyDescent="0.25">
      <c r="G1217" s="182" t="s">
        <v>461</v>
      </c>
      <c r="H1217" s="216" t="s">
        <v>438</v>
      </c>
      <c r="I1217" s="182">
        <v>8.7799999999999994</v>
      </c>
    </row>
    <row r="1218" spans="1:21" ht="47.25" x14ac:dyDescent="0.25">
      <c r="G1218" s="182" t="s">
        <v>470</v>
      </c>
      <c r="H1218" s="216"/>
    </row>
    <row r="1219" spans="1:21" ht="31.5" x14ac:dyDescent="0.25">
      <c r="G1219" s="182" t="s">
        <v>465</v>
      </c>
      <c r="H1219" s="216"/>
      <c r="K1219" s="182">
        <v>0</v>
      </c>
    </row>
    <row r="1220" spans="1:21" x14ac:dyDescent="0.25">
      <c r="G1220" s="182" t="s">
        <v>466</v>
      </c>
      <c r="H1220" s="216" t="s">
        <v>438</v>
      </c>
      <c r="I1220" s="182">
        <v>4.8</v>
      </c>
      <c r="J1220" s="182">
        <f>adopted_rate_ms_sheet_2_mm</f>
        <v>0</v>
      </c>
      <c r="K1220" s="182">
        <f>(I1220*J1220)</f>
        <v>0</v>
      </c>
    </row>
    <row r="1221" spans="1:21" x14ac:dyDescent="0.25">
      <c r="G1221" s="182" t="s">
        <v>462</v>
      </c>
      <c r="H1221" s="216" t="s">
        <v>463</v>
      </c>
      <c r="I1221" s="182">
        <v>12.6</v>
      </c>
      <c r="J1221" s="182">
        <f>adopted_rate_steel_tube_dia_50_mm</f>
        <v>0</v>
      </c>
      <c r="K1221" s="182">
        <f>(I1221*J1221)</f>
        <v>0</v>
      </c>
    </row>
    <row r="1222" spans="1:21" x14ac:dyDescent="0.25">
      <c r="A1222" s="537" t="s">
        <v>30</v>
      </c>
      <c r="B1222" s="537"/>
      <c r="C1222" s="537"/>
      <c r="D1222" s="537"/>
      <c r="E1222" s="537"/>
      <c r="F1222" s="184">
        <f>SUM(F1214:F1221)</f>
        <v>4050</v>
      </c>
      <c r="G1222" s="537" t="s">
        <v>31</v>
      </c>
      <c r="H1222" s="537"/>
      <c r="I1222" s="537"/>
      <c r="J1222" s="537"/>
      <c r="K1222" s="184">
        <f>SUM(K1214:K1221)</f>
        <v>471.15000000000003</v>
      </c>
      <c r="L1222" s="537" t="s">
        <v>32</v>
      </c>
      <c r="M1222" s="537"/>
      <c r="N1222" s="537"/>
      <c r="O1222" s="537"/>
      <c r="P1222" s="184">
        <f>SUM(P1214:P1221)</f>
        <v>2604</v>
      </c>
      <c r="Q1222" s="537" t="s">
        <v>38</v>
      </c>
      <c r="R1222" s="537"/>
      <c r="S1222" s="537"/>
      <c r="T1222" s="537"/>
      <c r="U1222" s="223">
        <f>SUM(U1214:U1221)</f>
        <v>0</v>
      </c>
    </row>
    <row r="1223" spans="1:21" x14ac:dyDescent="0.25">
      <c r="A1223" s="537" t="s">
        <v>33</v>
      </c>
      <c r="B1223" s="537"/>
      <c r="C1223" s="537"/>
      <c r="D1223" s="537"/>
      <c r="E1223" s="537"/>
      <c r="F1223" s="184">
        <f>SUM(F1222+K1222+P1222)</f>
        <v>7125.15</v>
      </c>
      <c r="G1223" s="537" t="s">
        <v>39</v>
      </c>
      <c r="H1223" s="537"/>
      <c r="I1223" s="537"/>
      <c r="J1223" s="537"/>
      <c r="K1223" s="184">
        <f>SUM(F1222+K1222+P1222+U1222)</f>
        <v>7125.15</v>
      </c>
      <c r="L1223" s="537" t="s">
        <v>40</v>
      </c>
      <c r="M1223" s="537"/>
      <c r="N1223" s="537"/>
      <c r="O1223" s="537"/>
      <c r="P1223" s="184">
        <f>SUM(K1223*0.15)</f>
        <v>1068.7724999999998</v>
      </c>
      <c r="Q1223" s="537" t="s">
        <v>41</v>
      </c>
      <c r="R1223" s="537"/>
      <c r="S1223" s="537"/>
      <c r="T1223" s="537"/>
      <c r="U1223" s="223">
        <f>SUM(K1223+P1223)</f>
        <v>8193.9224999999988</v>
      </c>
    </row>
    <row r="1224" spans="1:21" x14ac:dyDescent="0.25">
      <c r="Q1224" s="537" t="s">
        <v>42</v>
      </c>
      <c r="R1224" s="537"/>
      <c r="S1224" s="537"/>
      <c r="T1224" s="537"/>
      <c r="U1224" s="224">
        <f>ROUND((U1223/10),2)</f>
        <v>819.39</v>
      </c>
    </row>
    <row r="1225" spans="1:21" x14ac:dyDescent="0.25">
      <c r="A1225" s="544"/>
      <c r="B1225" s="544"/>
      <c r="C1225" s="544"/>
      <c r="D1225" s="544"/>
      <c r="E1225" s="544"/>
      <c r="F1225" s="544"/>
      <c r="G1225" s="544"/>
      <c r="H1225" s="544"/>
      <c r="I1225" s="544"/>
      <c r="J1225" s="544"/>
      <c r="K1225" s="544"/>
      <c r="L1225" s="544"/>
      <c r="M1225" s="544"/>
      <c r="N1225" s="544"/>
      <c r="O1225" s="544"/>
      <c r="P1225" s="544"/>
      <c r="Q1225" s="544"/>
      <c r="R1225" s="544"/>
      <c r="S1225" s="544"/>
      <c r="T1225" s="544"/>
      <c r="U1225" s="544"/>
    </row>
    <row r="1226" spans="1:21" x14ac:dyDescent="0.25">
      <c r="A1226" s="538" t="s">
        <v>12</v>
      </c>
      <c r="B1226" s="538"/>
      <c r="C1226" s="540" t="s">
        <v>472</v>
      </c>
      <c r="D1226" s="540"/>
      <c r="E1226" s="540"/>
      <c r="F1226" s="540"/>
      <c r="G1226" s="540"/>
      <c r="H1226" s="540"/>
      <c r="I1226" s="540"/>
      <c r="J1226" s="540"/>
      <c r="K1226" s="540"/>
      <c r="L1226" s="540"/>
      <c r="M1226" s="540"/>
      <c r="N1226" s="540"/>
      <c r="O1226" s="540"/>
      <c r="P1226" s="540"/>
      <c r="Q1226" s="540"/>
      <c r="R1226" s="540"/>
      <c r="S1226" s="540"/>
      <c r="T1226" s="540"/>
      <c r="U1226" s="541" t="s">
        <v>15</v>
      </c>
    </row>
    <row r="1227" spans="1:21" x14ac:dyDescent="0.25">
      <c r="A1227" s="538"/>
      <c r="B1227" s="538"/>
      <c r="C1227" s="540"/>
      <c r="D1227" s="540"/>
      <c r="E1227" s="540"/>
      <c r="F1227" s="540"/>
      <c r="G1227" s="540"/>
      <c r="H1227" s="540"/>
      <c r="I1227" s="540"/>
      <c r="J1227" s="540"/>
      <c r="K1227" s="540"/>
      <c r="L1227" s="540"/>
      <c r="M1227" s="540"/>
      <c r="N1227" s="540"/>
      <c r="O1227" s="540"/>
      <c r="P1227" s="540"/>
      <c r="Q1227" s="540"/>
      <c r="R1227" s="540"/>
      <c r="S1227" s="540"/>
      <c r="T1227" s="540"/>
      <c r="U1227" s="541"/>
    </row>
    <row r="1228" spans="1:21" x14ac:dyDescent="0.25">
      <c r="A1228" s="539" t="s">
        <v>471</v>
      </c>
      <c r="B1228" s="539"/>
      <c r="C1228" s="540"/>
      <c r="D1228" s="540"/>
      <c r="E1228" s="540"/>
      <c r="F1228" s="540"/>
      <c r="G1228" s="540"/>
      <c r="H1228" s="540"/>
      <c r="I1228" s="540"/>
      <c r="J1228" s="540"/>
      <c r="K1228" s="540"/>
      <c r="L1228" s="540"/>
      <c r="M1228" s="540"/>
      <c r="N1228" s="540"/>
      <c r="O1228" s="540"/>
      <c r="P1228" s="540"/>
      <c r="Q1228" s="540"/>
      <c r="R1228" s="540"/>
      <c r="S1228" s="540"/>
      <c r="T1228" s="540"/>
      <c r="U1228" s="541"/>
    </row>
    <row r="1229" spans="1:21" x14ac:dyDescent="0.25">
      <c r="A1229" s="542" t="s">
        <v>16</v>
      </c>
      <c r="B1229" s="543" t="s">
        <v>18</v>
      </c>
      <c r="C1229" s="543"/>
      <c r="D1229" s="543"/>
      <c r="E1229" s="543"/>
      <c r="F1229" s="543"/>
      <c r="G1229" s="543" t="s">
        <v>24</v>
      </c>
      <c r="H1229" s="543"/>
      <c r="I1229" s="543"/>
      <c r="J1229" s="543"/>
      <c r="K1229" s="543"/>
      <c r="L1229" s="543" t="s">
        <v>25</v>
      </c>
      <c r="M1229" s="543"/>
      <c r="N1229" s="543"/>
      <c r="O1229" s="543"/>
      <c r="P1229" s="543"/>
      <c r="Q1229" s="543" t="s">
        <v>26</v>
      </c>
      <c r="R1229" s="543"/>
      <c r="S1229" s="543"/>
      <c r="T1229" s="543"/>
      <c r="U1229" s="543"/>
    </row>
    <row r="1230" spans="1:21" x14ac:dyDescent="0.25">
      <c r="A1230" s="542"/>
      <c r="B1230" s="182" t="s">
        <v>19</v>
      </c>
      <c r="C1230" s="182" t="s">
        <v>20</v>
      </c>
      <c r="D1230" s="182" t="s">
        <v>21</v>
      </c>
      <c r="E1230" s="182" t="s">
        <v>22</v>
      </c>
      <c r="F1230" s="182" t="s">
        <v>23</v>
      </c>
      <c r="G1230" s="182" t="s">
        <v>19</v>
      </c>
      <c r="H1230" s="216" t="s">
        <v>20</v>
      </c>
      <c r="I1230" s="182" t="s">
        <v>21</v>
      </c>
      <c r="J1230" s="182" t="s">
        <v>22</v>
      </c>
      <c r="K1230" s="182" t="s">
        <v>23</v>
      </c>
      <c r="L1230" s="182" t="s">
        <v>19</v>
      </c>
      <c r="M1230" s="182" t="s">
        <v>20</v>
      </c>
      <c r="N1230" s="182" t="s">
        <v>21</v>
      </c>
      <c r="O1230" s="182" t="s">
        <v>22</v>
      </c>
      <c r="P1230" s="182" t="s">
        <v>23</v>
      </c>
      <c r="Q1230" s="182" t="s">
        <v>19</v>
      </c>
      <c r="R1230" s="182" t="s">
        <v>20</v>
      </c>
      <c r="S1230" s="182" t="s">
        <v>21</v>
      </c>
      <c r="T1230" s="182" t="s">
        <v>22</v>
      </c>
      <c r="U1230" s="211" t="s">
        <v>23</v>
      </c>
    </row>
    <row r="1231" spans="1:21" ht="31.5" x14ac:dyDescent="0.25">
      <c r="A1231" s="183" t="s">
        <v>473</v>
      </c>
      <c r="B1231" s="182" t="s">
        <v>27</v>
      </c>
      <c r="C1231" s="182" t="s">
        <v>28</v>
      </c>
      <c r="D1231" s="182">
        <v>1</v>
      </c>
      <c r="E1231" s="182">
        <f>skilled_blacksmith</f>
        <v>1245</v>
      </c>
      <c r="F1231" s="184">
        <f>(D1231*E1231)</f>
        <v>1245</v>
      </c>
      <c r="G1231" s="182" t="s">
        <v>474</v>
      </c>
      <c r="H1231" s="216" t="s">
        <v>35</v>
      </c>
      <c r="I1231" s="182">
        <v>1.05</v>
      </c>
      <c r="J1231" s="182">
        <f>adopted_rate_galvanized_steel</f>
        <v>0</v>
      </c>
      <c r="K1231" s="182">
        <f>(I1231*J1231)</f>
        <v>0</v>
      </c>
      <c r="L1231" s="182" t="s">
        <v>477</v>
      </c>
      <c r="M1231" s="182" t="s">
        <v>58</v>
      </c>
      <c r="N1231" s="182">
        <v>6</v>
      </c>
      <c r="O1231" s="182">
        <f>crane</f>
        <v>2903</v>
      </c>
      <c r="P1231" s="184">
        <f>(N1231*O1231)</f>
        <v>17418</v>
      </c>
    </row>
    <row r="1232" spans="1:21" ht="31.5" x14ac:dyDescent="0.25">
      <c r="B1232" s="182" t="s">
        <v>29</v>
      </c>
      <c r="C1232" s="182" t="s">
        <v>28</v>
      </c>
      <c r="D1232" s="182">
        <v>6</v>
      </c>
      <c r="E1232" s="182">
        <f>unskilled</f>
        <v>935</v>
      </c>
      <c r="F1232" s="184">
        <f>(D1232*E1232)</f>
        <v>5610</v>
      </c>
      <c r="G1232" s="182" t="s">
        <v>475</v>
      </c>
      <c r="H1232" s="216"/>
      <c r="K1232" s="184">
        <f>(SUM(K1231:K1231)*1/100)</f>
        <v>0</v>
      </c>
      <c r="L1232" s="182" t="s">
        <v>478</v>
      </c>
      <c r="M1232" s="182" t="s">
        <v>58</v>
      </c>
      <c r="N1232" s="182">
        <v>6</v>
      </c>
      <c r="O1232" s="182">
        <f>truck</f>
        <v>2410</v>
      </c>
      <c r="P1232" s="184">
        <f>(N1232*O1232)</f>
        <v>14460</v>
      </c>
    </row>
    <row r="1233" spans="1:21" ht="31.5" x14ac:dyDescent="0.25">
      <c r="G1233" s="182" t="s">
        <v>476</v>
      </c>
      <c r="H1233" s="216"/>
      <c r="K1233" s="184">
        <f>(SUM(K1231:K1231)*15/100)</f>
        <v>0</v>
      </c>
    </row>
    <row r="1234" spans="1:21" x14ac:dyDescent="0.25">
      <c r="A1234" s="537" t="s">
        <v>30</v>
      </c>
      <c r="B1234" s="537"/>
      <c r="C1234" s="537"/>
      <c r="D1234" s="537"/>
      <c r="E1234" s="537"/>
      <c r="F1234" s="184">
        <f>SUM(F1230:F1233)</f>
        <v>6855</v>
      </c>
      <c r="G1234" s="537" t="s">
        <v>31</v>
      </c>
      <c r="H1234" s="537"/>
      <c r="I1234" s="537"/>
      <c r="J1234" s="537"/>
      <c r="K1234" s="184">
        <f>SUM(K1230:K1233)</f>
        <v>0</v>
      </c>
      <c r="L1234" s="537" t="s">
        <v>32</v>
      </c>
      <c r="M1234" s="537"/>
      <c r="N1234" s="537"/>
      <c r="O1234" s="537"/>
      <c r="P1234" s="184">
        <f>SUM(P1230:P1233)</f>
        <v>31878</v>
      </c>
      <c r="Q1234" s="537" t="s">
        <v>38</v>
      </c>
      <c r="R1234" s="537"/>
      <c r="S1234" s="537"/>
      <c r="T1234" s="537"/>
      <c r="U1234" s="223">
        <f>SUM(U1230:U1233)</f>
        <v>0</v>
      </c>
    </row>
    <row r="1235" spans="1:21" x14ac:dyDescent="0.25">
      <c r="A1235" s="537" t="s">
        <v>33</v>
      </c>
      <c r="B1235" s="537"/>
      <c r="C1235" s="537"/>
      <c r="D1235" s="537"/>
      <c r="E1235" s="537"/>
      <c r="F1235" s="184">
        <f>SUM(F1234+K1234+P1234)</f>
        <v>38733</v>
      </c>
      <c r="G1235" s="537" t="s">
        <v>39</v>
      </c>
      <c r="H1235" s="537"/>
      <c r="I1235" s="537"/>
      <c r="J1235" s="537"/>
      <c r="K1235" s="184">
        <f>SUM(F1234+K1234+P1234+U1234)</f>
        <v>38733</v>
      </c>
      <c r="L1235" s="537" t="s">
        <v>40</v>
      </c>
      <c r="M1235" s="537"/>
      <c r="N1235" s="537"/>
      <c r="O1235" s="537"/>
      <c r="P1235" s="184">
        <f>SUM(K1235*0.15)</f>
        <v>5809.95</v>
      </c>
      <c r="Q1235" s="537" t="s">
        <v>41</v>
      </c>
      <c r="R1235" s="537"/>
      <c r="S1235" s="537"/>
      <c r="T1235" s="537"/>
      <c r="U1235" s="223">
        <f>SUM(K1235+P1235)</f>
        <v>44542.95</v>
      </c>
    </row>
    <row r="1236" spans="1:21" x14ac:dyDescent="0.25">
      <c r="Q1236" s="537" t="s">
        <v>42</v>
      </c>
      <c r="R1236" s="537"/>
      <c r="S1236" s="537"/>
      <c r="T1236" s="537"/>
      <c r="U1236" s="224">
        <f>ROUND((U1235/1),2)</f>
        <v>44542.95</v>
      </c>
    </row>
    <row r="1237" spans="1:21" x14ac:dyDescent="0.25">
      <c r="A1237" s="544"/>
      <c r="B1237" s="544"/>
      <c r="C1237" s="544"/>
      <c r="D1237" s="544"/>
      <c r="E1237" s="544"/>
      <c r="F1237" s="544"/>
      <c r="G1237" s="544"/>
      <c r="H1237" s="544"/>
      <c r="I1237" s="544"/>
      <c r="J1237" s="544"/>
      <c r="K1237" s="544"/>
      <c r="L1237" s="544"/>
      <c r="M1237" s="544"/>
      <c r="N1237" s="544"/>
      <c r="O1237" s="544"/>
      <c r="P1237" s="544"/>
      <c r="Q1237" s="544"/>
      <c r="R1237" s="544"/>
      <c r="S1237" s="544"/>
      <c r="T1237" s="544"/>
      <c r="U1237" s="544"/>
    </row>
    <row r="1238" spans="1:21" x14ac:dyDescent="0.25">
      <c r="A1238" s="538" t="s">
        <v>12</v>
      </c>
      <c r="B1238" s="538"/>
      <c r="C1238" s="540" t="s">
        <v>479</v>
      </c>
      <c r="D1238" s="540"/>
      <c r="E1238" s="540"/>
      <c r="F1238" s="540"/>
      <c r="G1238" s="540"/>
      <c r="H1238" s="540"/>
      <c r="I1238" s="540"/>
      <c r="J1238" s="540"/>
      <c r="K1238" s="540"/>
      <c r="L1238" s="540"/>
      <c r="M1238" s="540"/>
      <c r="N1238" s="540"/>
      <c r="O1238" s="540"/>
      <c r="P1238" s="540"/>
      <c r="Q1238" s="540"/>
      <c r="R1238" s="540"/>
      <c r="S1238" s="540"/>
      <c r="T1238" s="540"/>
      <c r="U1238" s="541" t="s">
        <v>435</v>
      </c>
    </row>
    <row r="1239" spans="1:21" x14ac:dyDescent="0.25">
      <c r="A1239" s="538"/>
      <c r="B1239" s="538"/>
      <c r="C1239" s="540"/>
      <c r="D1239" s="540"/>
      <c r="E1239" s="540"/>
      <c r="F1239" s="540"/>
      <c r="G1239" s="540"/>
      <c r="H1239" s="540"/>
      <c r="I1239" s="540"/>
      <c r="J1239" s="540"/>
      <c r="K1239" s="540"/>
      <c r="L1239" s="540"/>
      <c r="M1239" s="540"/>
      <c r="N1239" s="540"/>
      <c r="O1239" s="540"/>
      <c r="P1239" s="540"/>
      <c r="Q1239" s="540"/>
      <c r="R1239" s="540"/>
      <c r="S1239" s="540"/>
      <c r="T1239" s="540"/>
      <c r="U1239" s="541"/>
    </row>
    <row r="1240" spans="1:21" x14ac:dyDescent="0.25">
      <c r="A1240" s="539" t="s">
        <v>471</v>
      </c>
      <c r="B1240" s="539"/>
      <c r="C1240" s="540"/>
      <c r="D1240" s="540"/>
      <c r="E1240" s="540"/>
      <c r="F1240" s="540"/>
      <c r="G1240" s="540"/>
      <c r="H1240" s="540"/>
      <c r="I1240" s="540"/>
      <c r="J1240" s="540"/>
      <c r="K1240" s="540"/>
      <c r="L1240" s="540"/>
      <c r="M1240" s="540"/>
      <c r="N1240" s="540"/>
      <c r="O1240" s="540"/>
      <c r="P1240" s="540"/>
      <c r="Q1240" s="540"/>
      <c r="R1240" s="540"/>
      <c r="S1240" s="540"/>
      <c r="T1240" s="540"/>
      <c r="U1240" s="541"/>
    </row>
    <row r="1241" spans="1:21" x14ac:dyDescent="0.25">
      <c r="A1241" s="542" t="s">
        <v>16</v>
      </c>
      <c r="B1241" s="543" t="s">
        <v>18</v>
      </c>
      <c r="C1241" s="543"/>
      <c r="D1241" s="543"/>
      <c r="E1241" s="543"/>
      <c r="F1241" s="543"/>
      <c r="G1241" s="543" t="s">
        <v>24</v>
      </c>
      <c r="H1241" s="543"/>
      <c r="I1241" s="543"/>
      <c r="J1241" s="543"/>
      <c r="K1241" s="543"/>
      <c r="L1241" s="543" t="s">
        <v>25</v>
      </c>
      <c r="M1241" s="543"/>
      <c r="N1241" s="543"/>
      <c r="O1241" s="543"/>
      <c r="P1241" s="543"/>
      <c r="Q1241" s="543" t="s">
        <v>26</v>
      </c>
      <c r="R1241" s="543"/>
      <c r="S1241" s="543"/>
      <c r="T1241" s="543"/>
      <c r="U1241" s="543"/>
    </row>
    <row r="1242" spans="1:21" x14ac:dyDescent="0.25">
      <c r="A1242" s="542"/>
      <c r="B1242" s="182" t="s">
        <v>19</v>
      </c>
      <c r="C1242" s="182" t="s">
        <v>20</v>
      </c>
      <c r="D1242" s="182" t="s">
        <v>21</v>
      </c>
      <c r="E1242" s="182" t="s">
        <v>22</v>
      </c>
      <c r="F1242" s="182" t="s">
        <v>23</v>
      </c>
      <c r="G1242" s="182" t="s">
        <v>19</v>
      </c>
      <c r="H1242" s="216" t="s">
        <v>20</v>
      </c>
      <c r="I1242" s="182" t="s">
        <v>21</v>
      </c>
      <c r="J1242" s="182" t="s">
        <v>22</v>
      </c>
      <c r="K1242" s="182" t="s">
        <v>23</v>
      </c>
      <c r="L1242" s="182" t="s">
        <v>19</v>
      </c>
      <c r="M1242" s="182" t="s">
        <v>20</v>
      </c>
      <c r="N1242" s="182" t="s">
        <v>21</v>
      </c>
      <c r="O1242" s="182" t="s">
        <v>22</v>
      </c>
      <c r="P1242" s="182" t="s">
        <v>23</v>
      </c>
      <c r="Q1242" s="182" t="s">
        <v>19</v>
      </c>
      <c r="R1242" s="182" t="s">
        <v>20</v>
      </c>
      <c r="S1242" s="182" t="s">
        <v>21</v>
      </c>
      <c r="T1242" s="182" t="s">
        <v>22</v>
      </c>
      <c r="U1242" s="211" t="s">
        <v>23</v>
      </c>
    </row>
    <row r="1243" spans="1:21" ht="31.5" x14ac:dyDescent="0.25">
      <c r="A1243" s="183" t="s">
        <v>480</v>
      </c>
      <c r="B1243" s="182" t="s">
        <v>27</v>
      </c>
      <c r="C1243" s="182" t="s">
        <v>28</v>
      </c>
      <c r="D1243" s="182">
        <v>2</v>
      </c>
      <c r="E1243" s="182">
        <f>skilled_blacksmith</f>
        <v>1245</v>
      </c>
      <c r="F1243" s="184">
        <f>(D1243*E1243)</f>
        <v>2490</v>
      </c>
      <c r="G1243" s="182" t="s">
        <v>481</v>
      </c>
      <c r="H1243" s="216" t="s">
        <v>438</v>
      </c>
      <c r="I1243" s="182">
        <v>11</v>
      </c>
      <c r="J1243" s="182">
        <f>adopted_rate_aluminum_alloy_plate_2_mm</f>
        <v>0</v>
      </c>
      <c r="K1243" s="182">
        <f>(I1243*J1243)</f>
        <v>0</v>
      </c>
    </row>
    <row r="1244" spans="1:21" x14ac:dyDescent="0.25">
      <c r="B1244" s="182" t="s">
        <v>29</v>
      </c>
      <c r="C1244" s="182" t="s">
        <v>28</v>
      </c>
      <c r="D1244" s="182">
        <v>3</v>
      </c>
      <c r="E1244" s="182">
        <f>unskilled</f>
        <v>935</v>
      </c>
      <c r="F1244" s="184">
        <f>(D1244*E1244)</f>
        <v>2805</v>
      </c>
      <c r="G1244" s="182" t="s">
        <v>482</v>
      </c>
      <c r="H1244" s="216"/>
    </row>
    <row r="1245" spans="1:21" ht="31.5" x14ac:dyDescent="0.25">
      <c r="G1245" s="182" t="s">
        <v>483</v>
      </c>
      <c r="H1245" s="216"/>
      <c r="K1245" s="184">
        <f>(F1246*1/100)</f>
        <v>52.95</v>
      </c>
    </row>
    <row r="1246" spans="1:21" x14ac:dyDescent="0.25">
      <c r="A1246" s="537" t="s">
        <v>30</v>
      </c>
      <c r="B1246" s="537"/>
      <c r="C1246" s="537"/>
      <c r="D1246" s="537"/>
      <c r="E1246" s="537"/>
      <c r="F1246" s="184">
        <f>SUM(F1242:F1245)</f>
        <v>5295</v>
      </c>
      <c r="G1246" s="537" t="s">
        <v>31</v>
      </c>
      <c r="H1246" s="537"/>
      <c r="I1246" s="537"/>
      <c r="J1246" s="537"/>
      <c r="K1246" s="184">
        <f>SUM(K1242:K1245)</f>
        <v>52.95</v>
      </c>
      <c r="L1246" s="537" t="s">
        <v>32</v>
      </c>
      <c r="M1246" s="537"/>
      <c r="N1246" s="537"/>
      <c r="O1246" s="537"/>
      <c r="P1246" s="184">
        <f>SUM(P1242:P1245)</f>
        <v>0</v>
      </c>
      <c r="Q1246" s="537" t="s">
        <v>38</v>
      </c>
      <c r="R1246" s="537"/>
      <c r="S1246" s="537"/>
      <c r="T1246" s="537"/>
      <c r="U1246" s="223">
        <f>SUM(U1242:U1245)</f>
        <v>0</v>
      </c>
    </row>
    <row r="1247" spans="1:21" x14ac:dyDescent="0.25">
      <c r="A1247" s="537" t="s">
        <v>33</v>
      </c>
      <c r="B1247" s="537"/>
      <c r="C1247" s="537"/>
      <c r="D1247" s="537"/>
      <c r="E1247" s="537"/>
      <c r="F1247" s="184">
        <f>SUM(F1246+K1246+P1246)</f>
        <v>5347.95</v>
      </c>
      <c r="G1247" s="537" t="s">
        <v>39</v>
      </c>
      <c r="H1247" s="537"/>
      <c r="I1247" s="537"/>
      <c r="J1247" s="537"/>
      <c r="K1247" s="184">
        <f>SUM(F1246+K1246+P1246+U1246)</f>
        <v>5347.95</v>
      </c>
      <c r="L1247" s="537" t="s">
        <v>40</v>
      </c>
      <c r="M1247" s="537"/>
      <c r="N1247" s="537"/>
      <c r="O1247" s="537"/>
      <c r="P1247" s="184">
        <f>SUM(K1247*0.15)</f>
        <v>802.1925</v>
      </c>
      <c r="Q1247" s="537" t="s">
        <v>41</v>
      </c>
      <c r="R1247" s="537"/>
      <c r="S1247" s="537"/>
      <c r="T1247" s="537"/>
      <c r="U1247" s="223">
        <f>SUM(K1247+P1247)</f>
        <v>6150.1424999999999</v>
      </c>
    </row>
    <row r="1248" spans="1:21" x14ac:dyDescent="0.25">
      <c r="Q1248" s="537" t="s">
        <v>42</v>
      </c>
      <c r="R1248" s="537"/>
      <c r="S1248" s="537"/>
      <c r="T1248" s="537"/>
      <c r="U1248" s="224">
        <f>ROUND((U1247/10),2)</f>
        <v>615.01</v>
      </c>
    </row>
    <row r="1249" spans="1:21" x14ac:dyDescent="0.25">
      <c r="A1249" s="544"/>
      <c r="B1249" s="544"/>
      <c r="C1249" s="544"/>
      <c r="D1249" s="544"/>
      <c r="E1249" s="544"/>
      <c r="F1249" s="544"/>
      <c r="G1249" s="544"/>
      <c r="H1249" s="544"/>
      <c r="I1249" s="544"/>
      <c r="J1249" s="544"/>
      <c r="K1249" s="544"/>
      <c r="L1249" s="544"/>
      <c r="M1249" s="544"/>
      <c r="N1249" s="544"/>
      <c r="O1249" s="544"/>
      <c r="P1249" s="544"/>
      <c r="Q1249" s="544"/>
      <c r="R1249" s="544"/>
      <c r="S1249" s="544"/>
      <c r="T1249" s="544"/>
      <c r="U1249" s="544"/>
    </row>
    <row r="1250" spans="1:21" x14ac:dyDescent="0.25">
      <c r="A1250" s="538" t="s">
        <v>12</v>
      </c>
      <c r="B1250" s="538"/>
      <c r="C1250" s="540" t="s">
        <v>484</v>
      </c>
      <c r="D1250" s="540"/>
      <c r="E1250" s="540"/>
      <c r="F1250" s="540"/>
      <c r="G1250" s="540"/>
      <c r="H1250" s="540"/>
      <c r="I1250" s="540"/>
      <c r="J1250" s="540"/>
      <c r="K1250" s="540"/>
      <c r="L1250" s="540"/>
      <c r="M1250" s="540"/>
      <c r="N1250" s="540"/>
      <c r="O1250" s="540"/>
      <c r="P1250" s="540"/>
      <c r="Q1250" s="540"/>
      <c r="R1250" s="540"/>
      <c r="S1250" s="540"/>
      <c r="T1250" s="540"/>
      <c r="U1250" s="541" t="s">
        <v>435</v>
      </c>
    </row>
    <row r="1251" spans="1:21" x14ac:dyDescent="0.25">
      <c r="A1251" s="538"/>
      <c r="B1251" s="538"/>
      <c r="C1251" s="540"/>
      <c r="D1251" s="540"/>
      <c r="E1251" s="540"/>
      <c r="F1251" s="540"/>
      <c r="G1251" s="540"/>
      <c r="H1251" s="540"/>
      <c r="I1251" s="540"/>
      <c r="J1251" s="540"/>
      <c r="K1251" s="540"/>
      <c r="L1251" s="540"/>
      <c r="M1251" s="540"/>
      <c r="N1251" s="540"/>
      <c r="O1251" s="540"/>
      <c r="P1251" s="540"/>
      <c r="Q1251" s="540"/>
      <c r="R1251" s="540"/>
      <c r="S1251" s="540"/>
      <c r="T1251" s="540"/>
      <c r="U1251" s="541"/>
    </row>
    <row r="1252" spans="1:21" x14ac:dyDescent="0.25">
      <c r="A1252" s="539" t="s">
        <v>455</v>
      </c>
      <c r="B1252" s="539"/>
      <c r="C1252" s="540"/>
      <c r="D1252" s="540"/>
      <c r="E1252" s="540"/>
      <c r="F1252" s="540"/>
      <c r="G1252" s="540"/>
      <c r="H1252" s="540"/>
      <c r="I1252" s="540"/>
      <c r="J1252" s="540"/>
      <c r="K1252" s="540"/>
      <c r="L1252" s="540"/>
      <c r="M1252" s="540"/>
      <c r="N1252" s="540"/>
      <c r="O1252" s="540"/>
      <c r="P1252" s="540"/>
      <c r="Q1252" s="540"/>
      <c r="R1252" s="540"/>
      <c r="S1252" s="540"/>
      <c r="T1252" s="540"/>
      <c r="U1252" s="541"/>
    </row>
    <row r="1253" spans="1:21" x14ac:dyDescent="0.25">
      <c r="A1253" s="542" t="s">
        <v>16</v>
      </c>
      <c r="B1253" s="543" t="s">
        <v>18</v>
      </c>
      <c r="C1253" s="543"/>
      <c r="D1253" s="543"/>
      <c r="E1253" s="543"/>
      <c r="F1253" s="543"/>
      <c r="G1253" s="543" t="s">
        <v>24</v>
      </c>
      <c r="H1253" s="543"/>
      <c r="I1253" s="543"/>
      <c r="J1253" s="543"/>
      <c r="K1253" s="543"/>
      <c r="L1253" s="543" t="s">
        <v>25</v>
      </c>
      <c r="M1253" s="543"/>
      <c r="N1253" s="543"/>
      <c r="O1253" s="543"/>
      <c r="P1253" s="543"/>
      <c r="Q1253" s="543" t="s">
        <v>26</v>
      </c>
      <c r="R1253" s="543"/>
      <c r="S1253" s="543"/>
      <c r="T1253" s="543"/>
      <c r="U1253" s="543"/>
    </row>
    <row r="1254" spans="1:21" x14ac:dyDescent="0.25">
      <c r="A1254" s="542"/>
      <c r="B1254" s="182" t="s">
        <v>19</v>
      </c>
      <c r="C1254" s="182" t="s">
        <v>20</v>
      </c>
      <c r="D1254" s="182" t="s">
        <v>21</v>
      </c>
      <c r="E1254" s="182" t="s">
        <v>22</v>
      </c>
      <c r="F1254" s="182" t="s">
        <v>23</v>
      </c>
      <c r="G1254" s="182" t="s">
        <v>19</v>
      </c>
      <c r="H1254" s="216" t="s">
        <v>20</v>
      </c>
      <c r="I1254" s="182" t="s">
        <v>21</v>
      </c>
      <c r="J1254" s="182" t="s">
        <v>22</v>
      </c>
      <c r="K1254" s="182" t="s">
        <v>23</v>
      </c>
      <c r="L1254" s="182" t="s">
        <v>19</v>
      </c>
      <c r="M1254" s="182" t="s">
        <v>20</v>
      </c>
      <c r="N1254" s="182" t="s">
        <v>21</v>
      </c>
      <c r="O1254" s="182" t="s">
        <v>22</v>
      </c>
      <c r="P1254" s="182" t="s">
        <v>23</v>
      </c>
      <c r="Q1254" s="182" t="s">
        <v>19</v>
      </c>
      <c r="R1254" s="182" t="s">
        <v>20</v>
      </c>
      <c r="S1254" s="182" t="s">
        <v>21</v>
      </c>
      <c r="T1254" s="182" t="s">
        <v>22</v>
      </c>
      <c r="U1254" s="211" t="s">
        <v>23</v>
      </c>
    </row>
    <row r="1255" spans="1:21" ht="31.5" x14ac:dyDescent="0.25">
      <c r="A1255" s="183" t="s">
        <v>485</v>
      </c>
      <c r="B1255" s="182" t="s">
        <v>486</v>
      </c>
      <c r="C1255" s="182" t="s">
        <v>28</v>
      </c>
      <c r="D1255" s="182">
        <v>3</v>
      </c>
      <c r="E1255" s="182">
        <f>skilled_painter</f>
        <v>1245</v>
      </c>
      <c r="F1255" s="184">
        <f>(D1255*E1255)</f>
        <v>3735</v>
      </c>
      <c r="G1255" s="182" t="s">
        <v>487</v>
      </c>
      <c r="H1255" s="216" t="s">
        <v>488</v>
      </c>
      <c r="I1255" s="182">
        <v>6</v>
      </c>
      <c r="J1255" s="182">
        <v>509</v>
      </c>
      <c r="K1255" s="182">
        <f>(I1255*J1255)</f>
        <v>3054</v>
      </c>
    </row>
    <row r="1256" spans="1:21" ht="31.5" x14ac:dyDescent="0.25">
      <c r="B1256" s="182" t="s">
        <v>29</v>
      </c>
      <c r="C1256" s="182" t="s">
        <v>28</v>
      </c>
      <c r="D1256" s="182">
        <v>2</v>
      </c>
      <c r="E1256" s="182">
        <f>unskilled</f>
        <v>935</v>
      </c>
      <c r="F1256" s="184">
        <f>(D1256*E1256)</f>
        <v>1870</v>
      </c>
      <c r="G1256" s="182" t="s">
        <v>489</v>
      </c>
      <c r="H1256" s="216"/>
      <c r="K1256" s="184">
        <f>(F1258*1/100)</f>
        <v>56.05</v>
      </c>
    </row>
    <row r="1257" spans="1:21" ht="63" x14ac:dyDescent="0.25">
      <c r="G1257" s="182" t="s">
        <v>490</v>
      </c>
      <c r="H1257" s="216"/>
      <c r="K1257" s="184">
        <f>((F1258+(SUM(K1255:K1255)))*5/100)</f>
        <v>432.95</v>
      </c>
    </row>
    <row r="1258" spans="1:21" x14ac:dyDescent="0.25">
      <c r="A1258" s="537" t="s">
        <v>30</v>
      </c>
      <c r="B1258" s="537"/>
      <c r="C1258" s="537"/>
      <c r="D1258" s="537"/>
      <c r="E1258" s="537"/>
      <c r="F1258" s="184">
        <f>SUM(F1254:F1257)</f>
        <v>5605</v>
      </c>
      <c r="G1258" s="537" t="s">
        <v>31</v>
      </c>
      <c r="H1258" s="537"/>
      <c r="I1258" s="537"/>
      <c r="J1258" s="537"/>
      <c r="K1258" s="184">
        <f>SUM(K1254:K1257)</f>
        <v>3543</v>
      </c>
      <c r="L1258" s="537" t="s">
        <v>32</v>
      </c>
      <c r="M1258" s="537"/>
      <c r="N1258" s="537"/>
      <c r="O1258" s="537"/>
      <c r="P1258" s="184">
        <f>SUM(P1254:P1257)</f>
        <v>0</v>
      </c>
      <c r="Q1258" s="537" t="s">
        <v>38</v>
      </c>
      <c r="R1258" s="537"/>
      <c r="S1258" s="537"/>
      <c r="T1258" s="537"/>
      <c r="U1258" s="223">
        <f>SUM(U1254:U1257)</f>
        <v>0</v>
      </c>
    </row>
    <row r="1259" spans="1:21" x14ac:dyDescent="0.25">
      <c r="A1259" s="537" t="s">
        <v>33</v>
      </c>
      <c r="B1259" s="537"/>
      <c r="C1259" s="537"/>
      <c r="D1259" s="537"/>
      <c r="E1259" s="537"/>
      <c r="F1259" s="184">
        <f>SUM(F1258+K1258+P1258)</f>
        <v>9148</v>
      </c>
      <c r="G1259" s="537" t="s">
        <v>39</v>
      </c>
      <c r="H1259" s="537"/>
      <c r="I1259" s="537"/>
      <c r="J1259" s="537"/>
      <c r="K1259" s="184">
        <f>SUM(F1258+K1258+P1258+U1258)</f>
        <v>9148</v>
      </c>
      <c r="L1259" s="537" t="s">
        <v>40</v>
      </c>
      <c r="M1259" s="537"/>
      <c r="N1259" s="537"/>
      <c r="O1259" s="537"/>
      <c r="P1259" s="184">
        <f>SUM(K1259*0.15)</f>
        <v>1372.2</v>
      </c>
      <c r="Q1259" s="537" t="s">
        <v>41</v>
      </c>
      <c r="R1259" s="537"/>
      <c r="S1259" s="537"/>
      <c r="T1259" s="537"/>
      <c r="U1259" s="223">
        <f>SUM(K1259+P1259)</f>
        <v>10520.2</v>
      </c>
    </row>
    <row r="1260" spans="1:21" x14ac:dyDescent="0.25">
      <c r="Q1260" s="537" t="s">
        <v>42</v>
      </c>
      <c r="R1260" s="537"/>
      <c r="S1260" s="537"/>
      <c r="T1260" s="537"/>
      <c r="U1260" s="224">
        <f>ROUND((U1259/10),2)</f>
        <v>1052.02</v>
      </c>
    </row>
    <row r="1261" spans="1:21" x14ac:dyDescent="0.25">
      <c r="A1261" s="544"/>
      <c r="B1261" s="544"/>
      <c r="C1261" s="544"/>
      <c r="D1261" s="544"/>
      <c r="E1261" s="544"/>
      <c r="F1261" s="544"/>
      <c r="G1261" s="544"/>
      <c r="H1261" s="544"/>
      <c r="I1261" s="544"/>
      <c r="J1261" s="544"/>
      <c r="K1261" s="544"/>
      <c r="L1261" s="544"/>
      <c r="M1261" s="544"/>
      <c r="N1261" s="544"/>
      <c r="O1261" s="544"/>
      <c r="P1261" s="544"/>
      <c r="Q1261" s="544"/>
      <c r="R1261" s="544"/>
      <c r="S1261" s="544"/>
      <c r="T1261" s="544"/>
      <c r="U1261" s="544"/>
    </row>
    <row r="1262" spans="1:21" x14ac:dyDescent="0.25">
      <c r="A1262" s="538" t="s">
        <v>12</v>
      </c>
      <c r="B1262" s="538"/>
      <c r="C1262" s="540" t="s">
        <v>491</v>
      </c>
      <c r="D1262" s="540"/>
      <c r="E1262" s="540"/>
      <c r="F1262" s="540"/>
      <c r="G1262" s="540"/>
      <c r="H1262" s="540"/>
      <c r="I1262" s="540"/>
      <c r="J1262" s="540"/>
      <c r="K1262" s="540"/>
      <c r="L1262" s="540"/>
      <c r="M1262" s="540"/>
      <c r="N1262" s="540"/>
      <c r="O1262" s="540"/>
      <c r="P1262" s="540"/>
      <c r="Q1262" s="540"/>
      <c r="R1262" s="540"/>
      <c r="S1262" s="540"/>
      <c r="T1262" s="540"/>
      <c r="U1262" s="541" t="s">
        <v>453</v>
      </c>
    </row>
    <row r="1263" spans="1:21" x14ac:dyDescent="0.25">
      <c r="A1263" s="538"/>
      <c r="B1263" s="538"/>
      <c r="C1263" s="540"/>
      <c r="D1263" s="540"/>
      <c r="E1263" s="540"/>
      <c r="F1263" s="540"/>
      <c r="G1263" s="540"/>
      <c r="H1263" s="540"/>
      <c r="I1263" s="540"/>
      <c r="J1263" s="540"/>
      <c r="K1263" s="540"/>
      <c r="L1263" s="540"/>
      <c r="M1263" s="540"/>
      <c r="N1263" s="540"/>
      <c r="O1263" s="540"/>
      <c r="P1263" s="540"/>
      <c r="Q1263" s="540"/>
      <c r="R1263" s="540"/>
      <c r="S1263" s="540"/>
      <c r="T1263" s="540"/>
      <c r="U1263" s="541"/>
    </row>
    <row r="1264" spans="1:21" x14ac:dyDescent="0.25">
      <c r="A1264" s="539" t="s">
        <v>455</v>
      </c>
      <c r="B1264" s="539"/>
      <c r="C1264" s="540"/>
      <c r="D1264" s="540"/>
      <c r="E1264" s="540"/>
      <c r="F1264" s="540"/>
      <c r="G1264" s="540"/>
      <c r="H1264" s="540"/>
      <c r="I1264" s="540"/>
      <c r="J1264" s="540"/>
      <c r="K1264" s="540"/>
      <c r="L1264" s="540"/>
      <c r="M1264" s="540"/>
      <c r="N1264" s="540"/>
      <c r="O1264" s="540"/>
      <c r="P1264" s="540"/>
      <c r="Q1264" s="540"/>
      <c r="R1264" s="540"/>
      <c r="S1264" s="540"/>
      <c r="T1264" s="540"/>
      <c r="U1264" s="541"/>
    </row>
    <row r="1265" spans="1:21" x14ac:dyDescent="0.25">
      <c r="A1265" s="542" t="s">
        <v>16</v>
      </c>
      <c r="B1265" s="543" t="s">
        <v>18</v>
      </c>
      <c r="C1265" s="543"/>
      <c r="D1265" s="543"/>
      <c r="E1265" s="543"/>
      <c r="F1265" s="543"/>
      <c r="G1265" s="543" t="s">
        <v>24</v>
      </c>
      <c r="H1265" s="543"/>
      <c r="I1265" s="543"/>
      <c r="J1265" s="543"/>
      <c r="K1265" s="543"/>
      <c r="L1265" s="543" t="s">
        <v>25</v>
      </c>
      <c r="M1265" s="543"/>
      <c r="N1265" s="543"/>
      <c r="O1265" s="543"/>
      <c r="P1265" s="543"/>
      <c r="Q1265" s="543" t="s">
        <v>26</v>
      </c>
      <c r="R1265" s="543"/>
      <c r="S1265" s="543"/>
      <c r="T1265" s="543"/>
      <c r="U1265" s="543"/>
    </row>
    <row r="1266" spans="1:21" x14ac:dyDescent="0.25">
      <c r="A1266" s="542"/>
      <c r="B1266" s="182" t="s">
        <v>19</v>
      </c>
      <c r="C1266" s="182" t="s">
        <v>20</v>
      </c>
      <c r="D1266" s="182" t="s">
        <v>21</v>
      </c>
      <c r="E1266" s="182" t="s">
        <v>22</v>
      </c>
      <c r="F1266" s="182" t="s">
        <v>23</v>
      </c>
      <c r="G1266" s="182" t="s">
        <v>19</v>
      </c>
      <c r="H1266" s="216" t="s">
        <v>20</v>
      </c>
      <c r="I1266" s="182" t="s">
        <v>21</v>
      </c>
      <c r="J1266" s="182" t="s">
        <v>22</v>
      </c>
      <c r="K1266" s="182" t="s">
        <v>23</v>
      </c>
      <c r="L1266" s="182" t="s">
        <v>19</v>
      </c>
      <c r="M1266" s="182" t="s">
        <v>20</v>
      </c>
      <c r="N1266" s="182" t="s">
        <v>21</v>
      </c>
      <c r="O1266" s="182" t="s">
        <v>22</v>
      </c>
      <c r="P1266" s="182" t="s">
        <v>23</v>
      </c>
      <c r="Q1266" s="182" t="s">
        <v>19</v>
      </c>
      <c r="R1266" s="182" t="s">
        <v>20</v>
      </c>
      <c r="S1266" s="182" t="s">
        <v>21</v>
      </c>
      <c r="T1266" s="182" t="s">
        <v>22</v>
      </c>
      <c r="U1266" s="211" t="s">
        <v>23</v>
      </c>
    </row>
    <row r="1267" spans="1:21" ht="31.5" x14ac:dyDescent="0.25">
      <c r="A1267" s="183" t="s">
        <v>492</v>
      </c>
      <c r="B1267" s="182" t="s">
        <v>486</v>
      </c>
      <c r="C1267" s="182" t="s">
        <v>28</v>
      </c>
      <c r="D1267" s="182">
        <v>1</v>
      </c>
      <c r="E1267" s="182">
        <f>skilled_painter</f>
        <v>1245</v>
      </c>
      <c r="F1267" s="184">
        <f>(D1267*E1267)</f>
        <v>1245</v>
      </c>
      <c r="G1267" s="182" t="s">
        <v>487</v>
      </c>
      <c r="H1267" s="216" t="s">
        <v>488</v>
      </c>
      <c r="I1267" s="182">
        <v>2.5</v>
      </c>
      <c r="J1267" s="182">
        <v>450</v>
      </c>
      <c r="K1267" s="182">
        <f>(I1267*J1267)</f>
        <v>1125</v>
      </c>
    </row>
    <row r="1268" spans="1:21" ht="31.5" x14ac:dyDescent="0.25">
      <c r="B1268" s="182" t="s">
        <v>29</v>
      </c>
      <c r="C1268" s="182" t="s">
        <v>28</v>
      </c>
      <c r="D1268" s="182">
        <v>1</v>
      </c>
      <c r="E1268" s="182">
        <f>unskilled</f>
        <v>935</v>
      </c>
      <c r="F1268" s="184">
        <f>(D1268*E1268)</f>
        <v>935</v>
      </c>
      <c r="G1268" s="182" t="s">
        <v>493</v>
      </c>
      <c r="H1268" s="216"/>
      <c r="K1268" s="184">
        <f>(SUM(K1267:K1267)*1/100)</f>
        <v>11.25</v>
      </c>
    </row>
    <row r="1269" spans="1:21" ht="63" x14ac:dyDescent="0.25">
      <c r="G1269" s="182" t="s">
        <v>490</v>
      </c>
      <c r="H1269" s="216"/>
      <c r="K1269" s="184">
        <f>((F1270+(SUM(K1267:K1267)))*5/100)</f>
        <v>165.25</v>
      </c>
    </row>
    <row r="1270" spans="1:21" x14ac:dyDescent="0.25">
      <c r="A1270" s="537" t="s">
        <v>30</v>
      </c>
      <c r="B1270" s="537"/>
      <c r="C1270" s="537"/>
      <c r="D1270" s="537"/>
      <c r="E1270" s="537"/>
      <c r="F1270" s="184">
        <f>SUM(F1266:F1269)</f>
        <v>2180</v>
      </c>
      <c r="G1270" s="537" t="s">
        <v>31</v>
      </c>
      <c r="H1270" s="537"/>
      <c r="I1270" s="537"/>
      <c r="J1270" s="537"/>
      <c r="K1270" s="184">
        <f>SUM(K1266:K1269)</f>
        <v>1301.5</v>
      </c>
      <c r="L1270" s="537" t="s">
        <v>32</v>
      </c>
      <c r="M1270" s="537"/>
      <c r="N1270" s="537"/>
      <c r="O1270" s="537"/>
      <c r="P1270" s="184">
        <f>SUM(P1266:P1269)</f>
        <v>0</v>
      </c>
      <c r="Q1270" s="537" t="s">
        <v>38</v>
      </c>
      <c r="R1270" s="537"/>
      <c r="S1270" s="537"/>
      <c r="T1270" s="537"/>
      <c r="U1270" s="223">
        <f>SUM(U1266:U1269)</f>
        <v>0</v>
      </c>
    </row>
    <row r="1271" spans="1:21" x14ac:dyDescent="0.25">
      <c r="A1271" s="537" t="s">
        <v>33</v>
      </c>
      <c r="B1271" s="537"/>
      <c r="C1271" s="537"/>
      <c r="D1271" s="537"/>
      <c r="E1271" s="537"/>
      <c r="F1271" s="184">
        <f>SUM(F1270+K1270+P1270)</f>
        <v>3481.5</v>
      </c>
      <c r="G1271" s="537" t="s">
        <v>39</v>
      </c>
      <c r="H1271" s="537"/>
      <c r="I1271" s="537"/>
      <c r="J1271" s="537"/>
      <c r="K1271" s="184">
        <f>SUM(F1270+K1270+P1270+U1270)</f>
        <v>3481.5</v>
      </c>
      <c r="L1271" s="537" t="s">
        <v>40</v>
      </c>
      <c r="M1271" s="537"/>
      <c r="N1271" s="537"/>
      <c r="O1271" s="537"/>
      <c r="P1271" s="184">
        <f>SUM(K1271*0.15)</f>
        <v>522.22500000000002</v>
      </c>
      <c r="Q1271" s="537" t="s">
        <v>41</v>
      </c>
      <c r="R1271" s="537"/>
      <c r="S1271" s="537"/>
      <c r="T1271" s="537"/>
      <c r="U1271" s="223">
        <f>SUM(K1271+P1271)</f>
        <v>4003.7249999999999</v>
      </c>
    </row>
    <row r="1272" spans="1:21" x14ac:dyDescent="0.25">
      <c r="Q1272" s="537" t="s">
        <v>42</v>
      </c>
      <c r="R1272" s="537"/>
      <c r="S1272" s="537"/>
      <c r="T1272" s="537"/>
      <c r="U1272" s="224">
        <f>ROUND((U1271/20),2)</f>
        <v>200.19</v>
      </c>
    </row>
    <row r="1273" spans="1:21" x14ac:dyDescent="0.25">
      <c r="A1273" s="544"/>
      <c r="B1273" s="544"/>
      <c r="C1273" s="544"/>
      <c r="D1273" s="544"/>
      <c r="E1273" s="544"/>
      <c r="F1273" s="544"/>
      <c r="G1273" s="544"/>
      <c r="H1273" s="544"/>
      <c r="I1273" s="544"/>
      <c r="J1273" s="544"/>
      <c r="K1273" s="544"/>
      <c r="L1273" s="544"/>
      <c r="M1273" s="544"/>
      <c r="N1273" s="544"/>
      <c r="O1273" s="544"/>
      <c r="P1273" s="544"/>
      <c r="Q1273" s="544"/>
      <c r="R1273" s="544"/>
      <c r="S1273" s="544"/>
      <c r="T1273" s="544"/>
      <c r="U1273" s="544"/>
    </row>
    <row r="1274" spans="1:21" x14ac:dyDescent="0.25">
      <c r="A1274" s="538" t="s">
        <v>12</v>
      </c>
      <c r="B1274" s="538"/>
      <c r="C1274" s="540" t="s">
        <v>495</v>
      </c>
      <c r="D1274" s="540"/>
      <c r="E1274" s="540"/>
      <c r="F1274" s="540"/>
      <c r="G1274" s="540"/>
      <c r="H1274" s="540"/>
      <c r="I1274" s="540"/>
      <c r="J1274" s="540"/>
      <c r="K1274" s="540"/>
      <c r="L1274" s="540"/>
      <c r="M1274" s="540"/>
      <c r="N1274" s="540"/>
      <c r="O1274" s="540"/>
      <c r="P1274" s="540"/>
      <c r="Q1274" s="540"/>
      <c r="R1274" s="540"/>
      <c r="S1274" s="540"/>
      <c r="T1274" s="540"/>
      <c r="U1274" s="541" t="s">
        <v>496</v>
      </c>
    </row>
    <row r="1275" spans="1:21" x14ac:dyDescent="0.25">
      <c r="A1275" s="538"/>
      <c r="B1275" s="538"/>
      <c r="C1275" s="540"/>
      <c r="D1275" s="540"/>
      <c r="E1275" s="540"/>
      <c r="F1275" s="540"/>
      <c r="G1275" s="540"/>
      <c r="H1275" s="540"/>
      <c r="I1275" s="540"/>
      <c r="J1275" s="540"/>
      <c r="K1275" s="540"/>
      <c r="L1275" s="540"/>
      <c r="M1275" s="540"/>
      <c r="N1275" s="540"/>
      <c r="O1275" s="540"/>
      <c r="P1275" s="540"/>
      <c r="Q1275" s="540"/>
      <c r="R1275" s="540"/>
      <c r="S1275" s="540"/>
      <c r="T1275" s="540"/>
      <c r="U1275" s="541"/>
    </row>
    <row r="1276" spans="1:21" x14ac:dyDescent="0.25">
      <c r="A1276" s="539" t="s">
        <v>494</v>
      </c>
      <c r="B1276" s="539"/>
      <c r="C1276" s="540"/>
      <c r="D1276" s="540"/>
      <c r="E1276" s="540"/>
      <c r="F1276" s="540"/>
      <c r="G1276" s="540"/>
      <c r="H1276" s="540"/>
      <c r="I1276" s="540"/>
      <c r="J1276" s="540"/>
      <c r="K1276" s="540"/>
      <c r="L1276" s="540"/>
      <c r="M1276" s="540"/>
      <c r="N1276" s="540"/>
      <c r="O1276" s="540"/>
      <c r="P1276" s="540"/>
      <c r="Q1276" s="540"/>
      <c r="R1276" s="540"/>
      <c r="S1276" s="540"/>
      <c r="T1276" s="540"/>
      <c r="U1276" s="541"/>
    </row>
    <row r="1277" spans="1:21" x14ac:dyDescent="0.25">
      <c r="A1277" s="542" t="s">
        <v>16</v>
      </c>
      <c r="B1277" s="543" t="s">
        <v>18</v>
      </c>
      <c r="C1277" s="543"/>
      <c r="D1277" s="543"/>
      <c r="E1277" s="543"/>
      <c r="F1277" s="543"/>
      <c r="G1277" s="543" t="s">
        <v>24</v>
      </c>
      <c r="H1277" s="543"/>
      <c r="I1277" s="543"/>
      <c r="J1277" s="543"/>
      <c r="K1277" s="543"/>
      <c r="L1277" s="543" t="s">
        <v>25</v>
      </c>
      <c r="M1277" s="543"/>
      <c r="N1277" s="543"/>
      <c r="O1277" s="543"/>
      <c r="P1277" s="543"/>
      <c r="Q1277" s="543" t="s">
        <v>26</v>
      </c>
      <c r="R1277" s="543"/>
      <c r="S1277" s="543"/>
      <c r="T1277" s="543"/>
      <c r="U1277" s="543"/>
    </row>
    <row r="1278" spans="1:21" x14ac:dyDescent="0.25">
      <c r="A1278" s="542"/>
      <c r="B1278" s="182" t="s">
        <v>19</v>
      </c>
      <c r="C1278" s="182" t="s">
        <v>20</v>
      </c>
      <c r="D1278" s="182" t="s">
        <v>21</v>
      </c>
      <c r="E1278" s="182" t="s">
        <v>22</v>
      </c>
      <c r="F1278" s="182" t="s">
        <v>23</v>
      </c>
      <c r="G1278" s="182" t="s">
        <v>19</v>
      </c>
      <c r="H1278" s="216" t="s">
        <v>20</v>
      </c>
      <c r="I1278" s="182" t="s">
        <v>21</v>
      </c>
      <c r="J1278" s="182" t="s">
        <v>22</v>
      </c>
      <c r="K1278" s="182" t="s">
        <v>23</v>
      </c>
      <c r="L1278" s="182" t="s">
        <v>19</v>
      </c>
      <c r="M1278" s="182" t="s">
        <v>20</v>
      </c>
      <c r="N1278" s="182" t="s">
        <v>21</v>
      </c>
      <c r="O1278" s="182" t="s">
        <v>22</v>
      </c>
      <c r="P1278" s="182" t="s">
        <v>23</v>
      </c>
      <c r="Q1278" s="182" t="s">
        <v>19</v>
      </c>
      <c r="R1278" s="182" t="s">
        <v>20</v>
      </c>
      <c r="S1278" s="182" t="s">
        <v>21</v>
      </c>
      <c r="T1278" s="182" t="s">
        <v>22</v>
      </c>
      <c r="U1278" s="211" t="s">
        <v>23</v>
      </c>
    </row>
    <row r="1279" spans="1:21" ht="31.5" x14ac:dyDescent="0.25">
      <c r="A1279" s="183" t="s">
        <v>497</v>
      </c>
      <c r="B1279" s="182" t="s">
        <v>486</v>
      </c>
      <c r="C1279" s="182" t="s">
        <v>28</v>
      </c>
      <c r="D1279" s="182">
        <v>1</v>
      </c>
      <c r="E1279" s="182">
        <f>skilled_painter</f>
        <v>1245</v>
      </c>
      <c r="F1279" s="184">
        <f>(D1279*E1279)</f>
        <v>1245</v>
      </c>
      <c r="G1279" s="182" t="s">
        <v>487</v>
      </c>
      <c r="H1279" s="216" t="s">
        <v>488</v>
      </c>
      <c r="I1279" s="182">
        <v>2.25</v>
      </c>
      <c r="J1279" s="182">
        <v>222</v>
      </c>
      <c r="K1279" s="182">
        <f>(I1279*J1279)</f>
        <v>499.5</v>
      </c>
    </row>
    <row r="1280" spans="1:21" ht="31.5" x14ac:dyDescent="0.25">
      <c r="B1280" s="182" t="s">
        <v>29</v>
      </c>
      <c r="C1280" s="182" t="s">
        <v>28</v>
      </c>
      <c r="D1280" s="182">
        <v>1</v>
      </c>
      <c r="E1280" s="182">
        <f>unskilled</f>
        <v>935</v>
      </c>
      <c r="F1280" s="184">
        <f>(D1280*E1280)</f>
        <v>935</v>
      </c>
      <c r="G1280" s="182" t="s">
        <v>493</v>
      </c>
      <c r="H1280" s="216"/>
      <c r="K1280" s="184">
        <f>(SUM(K1279:K1279)*1/100)</f>
        <v>4.9950000000000001</v>
      </c>
    </row>
    <row r="1281" spans="1:21" ht="63" x14ac:dyDescent="0.25">
      <c r="G1281" s="182" t="s">
        <v>490</v>
      </c>
      <c r="H1281" s="216"/>
      <c r="K1281" s="184">
        <f>((F1282+(SUM(K1279:K1279)))*5/100)</f>
        <v>133.97499999999999</v>
      </c>
    </row>
    <row r="1282" spans="1:21" x14ac:dyDescent="0.25">
      <c r="A1282" s="537" t="s">
        <v>30</v>
      </c>
      <c r="B1282" s="537"/>
      <c r="C1282" s="537"/>
      <c r="D1282" s="537"/>
      <c r="E1282" s="537"/>
      <c r="F1282" s="184">
        <f>SUM(F1278:F1281)</f>
        <v>2180</v>
      </c>
      <c r="G1282" s="537" t="s">
        <v>31</v>
      </c>
      <c r="H1282" s="537"/>
      <c r="I1282" s="537"/>
      <c r="J1282" s="537"/>
      <c r="K1282" s="184">
        <f>SUM(K1278:K1281)</f>
        <v>638.47</v>
      </c>
      <c r="L1282" s="537" t="s">
        <v>32</v>
      </c>
      <c r="M1282" s="537"/>
      <c r="N1282" s="537"/>
      <c r="O1282" s="537"/>
      <c r="P1282" s="184">
        <f>SUM(P1278:P1281)</f>
        <v>0</v>
      </c>
      <c r="Q1282" s="537" t="s">
        <v>38</v>
      </c>
      <c r="R1282" s="537"/>
      <c r="S1282" s="537"/>
      <c r="T1282" s="537"/>
      <c r="U1282" s="223">
        <f>SUM(U1278:U1281)</f>
        <v>0</v>
      </c>
    </row>
    <row r="1283" spans="1:21" x14ac:dyDescent="0.25">
      <c r="A1283" s="537" t="s">
        <v>33</v>
      </c>
      <c r="B1283" s="537"/>
      <c r="C1283" s="537"/>
      <c r="D1283" s="537"/>
      <c r="E1283" s="537"/>
      <c r="F1283" s="184">
        <f>SUM(F1282+K1282+P1282)</f>
        <v>2818.4700000000003</v>
      </c>
      <c r="G1283" s="537" t="s">
        <v>39</v>
      </c>
      <c r="H1283" s="537"/>
      <c r="I1283" s="537"/>
      <c r="J1283" s="537"/>
      <c r="K1283" s="184">
        <f>SUM(F1282+K1282+P1282+U1282)</f>
        <v>2818.4700000000003</v>
      </c>
      <c r="L1283" s="537" t="s">
        <v>40</v>
      </c>
      <c r="M1283" s="537"/>
      <c r="N1283" s="537"/>
      <c r="O1283" s="537"/>
      <c r="P1283" s="184">
        <f>SUM(K1283*0.15)</f>
        <v>422.77050000000003</v>
      </c>
      <c r="Q1283" s="537" t="s">
        <v>41</v>
      </c>
      <c r="R1283" s="537"/>
      <c r="S1283" s="537"/>
      <c r="T1283" s="537"/>
      <c r="U1283" s="223">
        <f>SUM(K1283+P1283)</f>
        <v>3241.2405000000003</v>
      </c>
    </row>
    <row r="1284" spans="1:21" x14ac:dyDescent="0.25">
      <c r="Q1284" s="537" t="s">
        <v>42</v>
      </c>
      <c r="R1284" s="537"/>
      <c r="S1284" s="537"/>
      <c r="T1284" s="537"/>
      <c r="U1284" s="224">
        <f>ROUND((U1283/15),2)</f>
        <v>216.08</v>
      </c>
    </row>
    <row r="1285" spans="1:21" x14ac:dyDescent="0.25">
      <c r="A1285" s="544"/>
      <c r="B1285" s="544"/>
      <c r="C1285" s="544"/>
      <c r="D1285" s="544"/>
      <c r="E1285" s="544"/>
      <c r="F1285" s="544"/>
      <c r="G1285" s="544"/>
      <c r="H1285" s="544"/>
      <c r="I1285" s="544"/>
      <c r="J1285" s="544"/>
      <c r="K1285" s="544"/>
      <c r="L1285" s="544"/>
      <c r="M1285" s="544"/>
      <c r="N1285" s="544"/>
      <c r="O1285" s="544"/>
      <c r="P1285" s="544"/>
      <c r="Q1285" s="544"/>
      <c r="R1285" s="544"/>
      <c r="S1285" s="544"/>
      <c r="T1285" s="544"/>
      <c r="U1285" s="544"/>
    </row>
    <row r="1286" spans="1:21" x14ac:dyDescent="0.25">
      <c r="A1286" s="538" t="s">
        <v>12</v>
      </c>
      <c r="B1286" s="538"/>
      <c r="C1286" s="540" t="s">
        <v>499</v>
      </c>
      <c r="D1286" s="540"/>
      <c r="E1286" s="540"/>
      <c r="F1286" s="540"/>
      <c r="G1286" s="540"/>
      <c r="H1286" s="540"/>
      <c r="I1286" s="540"/>
      <c r="J1286" s="540"/>
      <c r="K1286" s="540"/>
      <c r="L1286" s="540"/>
      <c r="M1286" s="540"/>
      <c r="N1286" s="540"/>
      <c r="O1286" s="540"/>
      <c r="P1286" s="540"/>
      <c r="Q1286" s="540"/>
      <c r="R1286" s="540"/>
      <c r="S1286" s="540"/>
      <c r="T1286" s="540"/>
      <c r="U1286" s="541" t="s">
        <v>435</v>
      </c>
    </row>
    <row r="1287" spans="1:21" x14ac:dyDescent="0.25">
      <c r="A1287" s="538"/>
      <c r="B1287" s="538"/>
      <c r="C1287" s="540"/>
      <c r="D1287" s="540"/>
      <c r="E1287" s="540"/>
      <c r="F1287" s="540"/>
      <c r="G1287" s="540"/>
      <c r="H1287" s="540"/>
      <c r="I1287" s="540"/>
      <c r="J1287" s="540"/>
      <c r="K1287" s="540"/>
      <c r="L1287" s="540"/>
      <c r="M1287" s="540"/>
      <c r="N1287" s="540"/>
      <c r="O1287" s="540"/>
      <c r="P1287" s="540"/>
      <c r="Q1287" s="540"/>
      <c r="R1287" s="540"/>
      <c r="S1287" s="540"/>
      <c r="T1287" s="540"/>
      <c r="U1287" s="541"/>
    </row>
    <row r="1288" spans="1:21" x14ac:dyDescent="0.25">
      <c r="A1288" s="539" t="s">
        <v>498</v>
      </c>
      <c r="B1288" s="539"/>
      <c r="C1288" s="540"/>
      <c r="D1288" s="540"/>
      <c r="E1288" s="540"/>
      <c r="F1288" s="540"/>
      <c r="G1288" s="540"/>
      <c r="H1288" s="540"/>
      <c r="I1288" s="540"/>
      <c r="J1288" s="540"/>
      <c r="K1288" s="540"/>
      <c r="L1288" s="540"/>
      <c r="M1288" s="540"/>
      <c r="N1288" s="540"/>
      <c r="O1288" s="540"/>
      <c r="P1288" s="540"/>
      <c r="Q1288" s="540"/>
      <c r="R1288" s="540"/>
      <c r="S1288" s="540"/>
      <c r="T1288" s="540"/>
      <c r="U1288" s="541"/>
    </row>
    <row r="1289" spans="1:21" x14ac:dyDescent="0.25">
      <c r="A1289" s="542" t="s">
        <v>16</v>
      </c>
      <c r="B1289" s="543" t="s">
        <v>18</v>
      </c>
      <c r="C1289" s="543"/>
      <c r="D1289" s="543"/>
      <c r="E1289" s="543"/>
      <c r="F1289" s="543"/>
      <c r="G1289" s="543" t="s">
        <v>24</v>
      </c>
      <c r="H1289" s="543"/>
      <c r="I1289" s="543"/>
      <c r="J1289" s="543"/>
      <c r="K1289" s="543"/>
      <c r="L1289" s="543" t="s">
        <v>25</v>
      </c>
      <c r="M1289" s="543"/>
      <c r="N1289" s="543"/>
      <c r="O1289" s="543"/>
      <c r="P1289" s="543"/>
      <c r="Q1289" s="543" t="s">
        <v>26</v>
      </c>
      <c r="R1289" s="543"/>
      <c r="S1289" s="543"/>
      <c r="T1289" s="543"/>
      <c r="U1289" s="543"/>
    </row>
    <row r="1290" spans="1:21" x14ac:dyDescent="0.25">
      <c r="A1290" s="542"/>
      <c r="B1290" s="182" t="s">
        <v>19</v>
      </c>
      <c r="C1290" s="182" t="s">
        <v>20</v>
      </c>
      <c r="D1290" s="182" t="s">
        <v>21</v>
      </c>
      <c r="E1290" s="182" t="s">
        <v>22</v>
      </c>
      <c r="F1290" s="182" t="s">
        <v>23</v>
      </c>
      <c r="G1290" s="182" t="s">
        <v>19</v>
      </c>
      <c r="H1290" s="216" t="s">
        <v>20</v>
      </c>
      <c r="I1290" s="182" t="s">
        <v>21</v>
      </c>
      <c r="J1290" s="182" t="s">
        <v>22</v>
      </c>
      <c r="K1290" s="182" t="s">
        <v>23</v>
      </c>
      <c r="L1290" s="182" t="s">
        <v>19</v>
      </c>
      <c r="M1290" s="182" t="s">
        <v>20</v>
      </c>
      <c r="N1290" s="182" t="s">
        <v>21</v>
      </c>
      <c r="O1290" s="182" t="s">
        <v>22</v>
      </c>
      <c r="P1290" s="182" t="s">
        <v>23</v>
      </c>
      <c r="Q1290" s="182" t="s">
        <v>19</v>
      </c>
      <c r="R1290" s="182" t="s">
        <v>20</v>
      </c>
      <c r="S1290" s="182" t="s">
        <v>21</v>
      </c>
      <c r="T1290" s="182" t="s">
        <v>22</v>
      </c>
      <c r="U1290" s="211" t="s">
        <v>23</v>
      </c>
    </row>
    <row r="1291" spans="1:21" ht="31.5" x14ac:dyDescent="0.25">
      <c r="A1291" s="183" t="s">
        <v>500</v>
      </c>
      <c r="B1291" s="182" t="s">
        <v>486</v>
      </c>
      <c r="C1291" s="182" t="s">
        <v>28</v>
      </c>
      <c r="D1291" s="182">
        <v>1</v>
      </c>
      <c r="E1291" s="182">
        <f>skilled_painter</f>
        <v>1245</v>
      </c>
      <c r="F1291" s="184">
        <f>(D1291*E1291)</f>
        <v>1245</v>
      </c>
      <c r="G1291" s="182" t="s">
        <v>501</v>
      </c>
      <c r="H1291" s="216" t="s">
        <v>488</v>
      </c>
      <c r="I1291" s="182">
        <v>1.48</v>
      </c>
      <c r="J1291" s="182">
        <f>adopted_rate_paint</f>
        <v>219</v>
      </c>
      <c r="K1291" s="182">
        <f>(I1291*J1291)</f>
        <v>324.12</v>
      </c>
    </row>
    <row r="1292" spans="1:21" x14ac:dyDescent="0.25">
      <c r="B1292" s="182" t="s">
        <v>29</v>
      </c>
      <c r="C1292" s="182" t="s">
        <v>28</v>
      </c>
      <c r="D1292" s="182">
        <v>2</v>
      </c>
      <c r="E1292" s="182">
        <f>unskilled</f>
        <v>935</v>
      </c>
      <c r="F1292" s="184">
        <f>(D1292*E1292)</f>
        <v>1870</v>
      </c>
    </row>
    <row r="1293" spans="1:21" x14ac:dyDescent="0.25">
      <c r="A1293" s="537" t="s">
        <v>30</v>
      </c>
      <c r="B1293" s="537"/>
      <c r="C1293" s="537"/>
      <c r="D1293" s="537"/>
      <c r="E1293" s="537"/>
      <c r="F1293" s="184">
        <f>SUM(F1290:F1292)</f>
        <v>3115</v>
      </c>
      <c r="G1293" s="537" t="s">
        <v>31</v>
      </c>
      <c r="H1293" s="537"/>
      <c r="I1293" s="537"/>
      <c r="J1293" s="537"/>
      <c r="K1293" s="184">
        <f>SUM(K1290:K1292)</f>
        <v>324.12</v>
      </c>
      <c r="L1293" s="537" t="s">
        <v>32</v>
      </c>
      <c r="M1293" s="537"/>
      <c r="N1293" s="537"/>
      <c r="O1293" s="537"/>
      <c r="P1293" s="184">
        <f>SUM(P1290:P1292)</f>
        <v>0</v>
      </c>
      <c r="Q1293" s="537" t="s">
        <v>38</v>
      </c>
      <c r="R1293" s="537"/>
      <c r="S1293" s="537"/>
      <c r="T1293" s="537"/>
      <c r="U1293" s="223">
        <f>SUM(U1290:U1292)</f>
        <v>0</v>
      </c>
    </row>
    <row r="1294" spans="1:21" x14ac:dyDescent="0.25">
      <c r="A1294" s="537" t="s">
        <v>33</v>
      </c>
      <c r="B1294" s="537"/>
      <c r="C1294" s="537"/>
      <c r="D1294" s="537"/>
      <c r="E1294" s="537"/>
      <c r="F1294" s="184">
        <f>SUM(F1293+K1293+P1293)</f>
        <v>3439.12</v>
      </c>
      <c r="G1294" s="537" t="s">
        <v>39</v>
      </c>
      <c r="H1294" s="537"/>
      <c r="I1294" s="537"/>
      <c r="J1294" s="537"/>
      <c r="K1294" s="184">
        <f>SUM(F1293+K1293+P1293+U1293)</f>
        <v>3439.12</v>
      </c>
      <c r="L1294" s="537" t="s">
        <v>40</v>
      </c>
      <c r="M1294" s="537"/>
      <c r="N1294" s="537"/>
      <c r="O1294" s="537"/>
      <c r="P1294" s="184">
        <f>SUM(K1294*0.15)</f>
        <v>515.86799999999994</v>
      </c>
      <c r="Q1294" s="537" t="s">
        <v>41</v>
      </c>
      <c r="R1294" s="537"/>
      <c r="S1294" s="537"/>
      <c r="T1294" s="537"/>
      <c r="U1294" s="223">
        <f>SUM(K1294+P1294)</f>
        <v>3954.9879999999998</v>
      </c>
    </row>
    <row r="1295" spans="1:21" x14ac:dyDescent="0.25">
      <c r="Q1295" s="537" t="s">
        <v>42</v>
      </c>
      <c r="R1295" s="537"/>
      <c r="S1295" s="537"/>
      <c r="T1295" s="537"/>
      <c r="U1295" s="224">
        <f>ROUND((U1294/10),2)</f>
        <v>395.5</v>
      </c>
    </row>
    <row r="1296" spans="1:21" x14ac:dyDescent="0.25">
      <c r="A1296" s="544"/>
      <c r="B1296" s="544"/>
      <c r="C1296" s="544"/>
      <c r="D1296" s="544"/>
      <c r="E1296" s="544"/>
      <c r="F1296" s="544"/>
      <c r="G1296" s="544"/>
      <c r="H1296" s="544"/>
      <c r="I1296" s="544"/>
      <c r="J1296" s="544"/>
      <c r="K1296" s="544"/>
      <c r="L1296" s="544"/>
      <c r="M1296" s="544"/>
      <c r="N1296" s="544"/>
      <c r="O1296" s="544"/>
      <c r="P1296" s="544"/>
      <c r="Q1296" s="544"/>
      <c r="R1296" s="544"/>
      <c r="S1296" s="544"/>
      <c r="T1296" s="544"/>
      <c r="U1296" s="544"/>
    </row>
    <row r="1297" spans="1:21" x14ac:dyDescent="0.25">
      <c r="A1297" s="538" t="s">
        <v>12</v>
      </c>
      <c r="B1297" s="538"/>
      <c r="C1297" s="540" t="s">
        <v>502</v>
      </c>
      <c r="D1297" s="540"/>
      <c r="E1297" s="540"/>
      <c r="F1297" s="540"/>
      <c r="G1297" s="540"/>
      <c r="H1297" s="540"/>
      <c r="I1297" s="540"/>
      <c r="J1297" s="540"/>
      <c r="K1297" s="540"/>
      <c r="L1297" s="540"/>
      <c r="M1297" s="540"/>
      <c r="N1297" s="540"/>
      <c r="O1297" s="540"/>
      <c r="P1297" s="540"/>
      <c r="Q1297" s="540"/>
      <c r="R1297" s="540"/>
      <c r="S1297" s="540"/>
      <c r="T1297" s="540"/>
      <c r="U1297" s="541" t="s">
        <v>435</v>
      </c>
    </row>
    <row r="1298" spans="1:21" x14ac:dyDescent="0.25">
      <c r="A1298" s="538"/>
      <c r="B1298" s="538"/>
      <c r="C1298" s="540"/>
      <c r="D1298" s="540"/>
      <c r="E1298" s="540"/>
      <c r="F1298" s="540"/>
      <c r="G1298" s="540"/>
      <c r="H1298" s="540"/>
      <c r="I1298" s="540"/>
      <c r="J1298" s="540"/>
      <c r="K1298" s="540"/>
      <c r="L1298" s="540"/>
      <c r="M1298" s="540"/>
      <c r="N1298" s="540"/>
      <c r="O1298" s="540"/>
      <c r="P1298" s="540"/>
      <c r="Q1298" s="540"/>
      <c r="R1298" s="540"/>
      <c r="S1298" s="540"/>
      <c r="T1298" s="540"/>
      <c r="U1298" s="541"/>
    </row>
    <row r="1299" spans="1:21" x14ac:dyDescent="0.25">
      <c r="A1299" s="539" t="s">
        <v>498</v>
      </c>
      <c r="B1299" s="539"/>
      <c r="C1299" s="540"/>
      <c r="D1299" s="540"/>
      <c r="E1299" s="540"/>
      <c r="F1299" s="540"/>
      <c r="G1299" s="540"/>
      <c r="H1299" s="540"/>
      <c r="I1299" s="540"/>
      <c r="J1299" s="540"/>
      <c r="K1299" s="540"/>
      <c r="L1299" s="540"/>
      <c r="M1299" s="540"/>
      <c r="N1299" s="540"/>
      <c r="O1299" s="540"/>
      <c r="P1299" s="540"/>
      <c r="Q1299" s="540"/>
      <c r="R1299" s="540"/>
      <c r="S1299" s="540"/>
      <c r="T1299" s="540"/>
      <c r="U1299" s="541"/>
    </row>
    <row r="1300" spans="1:21" x14ac:dyDescent="0.25">
      <c r="A1300" s="542" t="s">
        <v>16</v>
      </c>
      <c r="B1300" s="543" t="s">
        <v>18</v>
      </c>
      <c r="C1300" s="543"/>
      <c r="D1300" s="543"/>
      <c r="E1300" s="543"/>
      <c r="F1300" s="543"/>
      <c r="G1300" s="543" t="s">
        <v>24</v>
      </c>
      <c r="H1300" s="543"/>
      <c r="I1300" s="543"/>
      <c r="J1300" s="543"/>
      <c r="K1300" s="543"/>
      <c r="L1300" s="543" t="s">
        <v>25</v>
      </c>
      <c r="M1300" s="543"/>
      <c r="N1300" s="543"/>
      <c r="O1300" s="543"/>
      <c r="P1300" s="543"/>
      <c r="Q1300" s="543" t="s">
        <v>26</v>
      </c>
      <c r="R1300" s="543"/>
      <c r="S1300" s="543"/>
      <c r="T1300" s="543"/>
      <c r="U1300" s="543"/>
    </row>
    <row r="1301" spans="1:21" x14ac:dyDescent="0.25">
      <c r="A1301" s="542"/>
      <c r="B1301" s="182" t="s">
        <v>19</v>
      </c>
      <c r="C1301" s="182" t="s">
        <v>20</v>
      </c>
      <c r="D1301" s="182" t="s">
        <v>21</v>
      </c>
      <c r="E1301" s="182" t="s">
        <v>22</v>
      </c>
      <c r="F1301" s="182" t="s">
        <v>23</v>
      </c>
      <c r="G1301" s="182" t="s">
        <v>19</v>
      </c>
      <c r="H1301" s="216" t="s">
        <v>20</v>
      </c>
      <c r="I1301" s="182" t="s">
        <v>21</v>
      </c>
      <c r="J1301" s="182" t="s">
        <v>22</v>
      </c>
      <c r="K1301" s="182" t="s">
        <v>23</v>
      </c>
      <c r="L1301" s="182" t="s">
        <v>19</v>
      </c>
      <c r="M1301" s="182" t="s">
        <v>20</v>
      </c>
      <c r="N1301" s="182" t="s">
        <v>21</v>
      </c>
      <c r="O1301" s="182" t="s">
        <v>22</v>
      </c>
      <c r="P1301" s="182" t="s">
        <v>23</v>
      </c>
      <c r="Q1301" s="182" t="s">
        <v>19</v>
      </c>
      <c r="R1301" s="182" t="s">
        <v>20</v>
      </c>
      <c r="S1301" s="182" t="s">
        <v>21</v>
      </c>
      <c r="T1301" s="182" t="s">
        <v>22</v>
      </c>
      <c r="U1301" s="211" t="s">
        <v>23</v>
      </c>
    </row>
    <row r="1302" spans="1:21" ht="31.5" x14ac:dyDescent="0.25">
      <c r="A1302" s="183" t="s">
        <v>503</v>
      </c>
      <c r="B1302" s="182" t="s">
        <v>486</v>
      </c>
      <c r="C1302" s="182" t="s">
        <v>28</v>
      </c>
      <c r="D1302" s="182">
        <v>1</v>
      </c>
      <c r="E1302" s="182">
        <f>skilled_painter</f>
        <v>1245</v>
      </c>
      <c r="F1302" s="184">
        <f>(D1302*E1302)</f>
        <v>1245</v>
      </c>
      <c r="G1302" s="182" t="s">
        <v>501</v>
      </c>
      <c r="H1302" s="216" t="s">
        <v>488</v>
      </c>
      <c r="I1302" s="182">
        <v>1.48</v>
      </c>
      <c r="J1302" s="182">
        <f>adopted_rate_paint</f>
        <v>219</v>
      </c>
      <c r="K1302" s="182">
        <f>(I1302*J1302)</f>
        <v>324.12</v>
      </c>
    </row>
    <row r="1303" spans="1:21" x14ac:dyDescent="0.25">
      <c r="B1303" s="182" t="s">
        <v>29</v>
      </c>
      <c r="C1303" s="182" t="s">
        <v>28</v>
      </c>
      <c r="D1303" s="182">
        <v>2</v>
      </c>
      <c r="E1303" s="182">
        <f>unskilled</f>
        <v>935</v>
      </c>
      <c r="F1303" s="184">
        <f>(D1303*E1303)</f>
        <v>1870</v>
      </c>
    </row>
    <row r="1304" spans="1:21" x14ac:dyDescent="0.25">
      <c r="A1304" s="537" t="s">
        <v>30</v>
      </c>
      <c r="B1304" s="537"/>
      <c r="C1304" s="537"/>
      <c r="D1304" s="537"/>
      <c r="E1304" s="537"/>
      <c r="F1304" s="184">
        <f>SUM(F1301:F1303)</f>
        <v>3115</v>
      </c>
      <c r="G1304" s="537" t="s">
        <v>31</v>
      </c>
      <c r="H1304" s="537"/>
      <c r="I1304" s="537"/>
      <c r="J1304" s="537"/>
      <c r="K1304" s="184">
        <f>SUM(K1301:K1303)</f>
        <v>324.12</v>
      </c>
      <c r="L1304" s="537" t="s">
        <v>32</v>
      </c>
      <c r="M1304" s="537"/>
      <c r="N1304" s="537"/>
      <c r="O1304" s="537"/>
      <c r="P1304" s="184">
        <f>SUM(P1301:P1303)</f>
        <v>0</v>
      </c>
      <c r="Q1304" s="537" t="s">
        <v>38</v>
      </c>
      <c r="R1304" s="537"/>
      <c r="S1304" s="537"/>
      <c r="T1304" s="537"/>
      <c r="U1304" s="223">
        <f>SUM(U1301:U1303)</f>
        <v>0</v>
      </c>
    </row>
    <row r="1305" spans="1:21" x14ac:dyDescent="0.25">
      <c r="A1305" s="537" t="s">
        <v>33</v>
      </c>
      <c r="B1305" s="537"/>
      <c r="C1305" s="537"/>
      <c r="D1305" s="537"/>
      <c r="E1305" s="537"/>
      <c r="F1305" s="184">
        <f>SUM(F1304+K1304+P1304)</f>
        <v>3439.12</v>
      </c>
      <c r="G1305" s="537" t="s">
        <v>39</v>
      </c>
      <c r="H1305" s="537"/>
      <c r="I1305" s="537"/>
      <c r="J1305" s="537"/>
      <c r="K1305" s="184">
        <f>SUM(F1304+K1304+P1304+U1304)</f>
        <v>3439.12</v>
      </c>
      <c r="L1305" s="537" t="s">
        <v>40</v>
      </c>
      <c r="M1305" s="537"/>
      <c r="N1305" s="537"/>
      <c r="O1305" s="537"/>
      <c r="P1305" s="184">
        <f>SUM(K1305*0.15)</f>
        <v>515.86799999999994</v>
      </c>
      <c r="Q1305" s="537" t="s">
        <v>41</v>
      </c>
      <c r="R1305" s="537"/>
      <c r="S1305" s="537"/>
      <c r="T1305" s="537"/>
      <c r="U1305" s="223">
        <f>SUM(K1305+P1305)</f>
        <v>3954.9879999999998</v>
      </c>
    </row>
    <row r="1306" spans="1:21" x14ac:dyDescent="0.25">
      <c r="Q1306" s="537" t="s">
        <v>42</v>
      </c>
      <c r="R1306" s="537"/>
      <c r="S1306" s="537"/>
      <c r="T1306" s="537"/>
      <c r="U1306" s="224">
        <f>ROUND((U1305/10),2)</f>
        <v>395.5</v>
      </c>
    </row>
    <row r="1307" spans="1:21" x14ac:dyDescent="0.25">
      <c r="A1307" s="544"/>
      <c r="B1307" s="544"/>
      <c r="C1307" s="544"/>
      <c r="D1307" s="544"/>
      <c r="E1307" s="544"/>
      <c r="F1307" s="544"/>
      <c r="G1307" s="544"/>
      <c r="H1307" s="544"/>
      <c r="I1307" s="544"/>
      <c r="J1307" s="544"/>
      <c r="K1307" s="544"/>
      <c r="L1307" s="544"/>
      <c r="M1307" s="544"/>
      <c r="N1307" s="544"/>
      <c r="O1307" s="544"/>
      <c r="P1307" s="544"/>
      <c r="Q1307" s="544"/>
      <c r="R1307" s="544"/>
      <c r="S1307" s="544"/>
      <c r="T1307" s="544"/>
      <c r="U1307" s="544"/>
    </row>
    <row r="1308" spans="1:21" x14ac:dyDescent="0.25">
      <c r="A1308" s="538" t="s">
        <v>12</v>
      </c>
      <c r="B1308" s="538"/>
      <c r="C1308" s="540" t="s">
        <v>504</v>
      </c>
      <c r="D1308" s="540"/>
      <c r="E1308" s="540"/>
      <c r="F1308" s="540"/>
      <c r="G1308" s="540"/>
      <c r="H1308" s="540"/>
      <c r="I1308" s="540"/>
      <c r="J1308" s="540"/>
      <c r="K1308" s="540"/>
      <c r="L1308" s="540"/>
      <c r="M1308" s="540"/>
      <c r="N1308" s="540"/>
      <c r="O1308" s="540"/>
      <c r="P1308" s="540"/>
      <c r="Q1308" s="540"/>
      <c r="R1308" s="540"/>
      <c r="S1308" s="540"/>
      <c r="T1308" s="540"/>
      <c r="U1308" s="541" t="s">
        <v>435</v>
      </c>
    </row>
    <row r="1309" spans="1:21" x14ac:dyDescent="0.25">
      <c r="A1309" s="538"/>
      <c r="B1309" s="538"/>
      <c r="C1309" s="540"/>
      <c r="D1309" s="540"/>
      <c r="E1309" s="540"/>
      <c r="F1309" s="540"/>
      <c r="G1309" s="540"/>
      <c r="H1309" s="540"/>
      <c r="I1309" s="540"/>
      <c r="J1309" s="540"/>
      <c r="K1309" s="540"/>
      <c r="L1309" s="540"/>
      <c r="M1309" s="540"/>
      <c r="N1309" s="540"/>
      <c r="O1309" s="540"/>
      <c r="P1309" s="540"/>
      <c r="Q1309" s="540"/>
      <c r="R1309" s="540"/>
      <c r="S1309" s="540"/>
      <c r="T1309" s="540"/>
      <c r="U1309" s="541"/>
    </row>
    <row r="1310" spans="1:21" x14ac:dyDescent="0.25">
      <c r="A1310" s="539" t="s">
        <v>498</v>
      </c>
      <c r="B1310" s="539"/>
      <c r="C1310" s="540"/>
      <c r="D1310" s="540"/>
      <c r="E1310" s="540"/>
      <c r="F1310" s="540"/>
      <c r="G1310" s="540"/>
      <c r="H1310" s="540"/>
      <c r="I1310" s="540"/>
      <c r="J1310" s="540"/>
      <c r="K1310" s="540"/>
      <c r="L1310" s="540"/>
      <c r="M1310" s="540"/>
      <c r="N1310" s="540"/>
      <c r="O1310" s="540"/>
      <c r="P1310" s="540"/>
      <c r="Q1310" s="540"/>
      <c r="R1310" s="540"/>
      <c r="S1310" s="540"/>
      <c r="T1310" s="540"/>
      <c r="U1310" s="541"/>
    </row>
    <row r="1311" spans="1:21" x14ac:dyDescent="0.25">
      <c r="A1311" s="542" t="s">
        <v>16</v>
      </c>
      <c r="B1311" s="543" t="s">
        <v>18</v>
      </c>
      <c r="C1311" s="543"/>
      <c r="D1311" s="543"/>
      <c r="E1311" s="543"/>
      <c r="F1311" s="543"/>
      <c r="G1311" s="543" t="s">
        <v>24</v>
      </c>
      <c r="H1311" s="543"/>
      <c r="I1311" s="543"/>
      <c r="J1311" s="543"/>
      <c r="K1311" s="543"/>
      <c r="L1311" s="543" t="s">
        <v>25</v>
      </c>
      <c r="M1311" s="543"/>
      <c r="N1311" s="543"/>
      <c r="O1311" s="543"/>
      <c r="P1311" s="543"/>
      <c r="Q1311" s="543" t="s">
        <v>26</v>
      </c>
      <c r="R1311" s="543"/>
      <c r="S1311" s="543"/>
      <c r="T1311" s="543"/>
      <c r="U1311" s="543"/>
    </row>
    <row r="1312" spans="1:21" x14ac:dyDescent="0.25">
      <c r="A1312" s="542"/>
      <c r="B1312" s="182" t="s">
        <v>19</v>
      </c>
      <c r="C1312" s="182" t="s">
        <v>20</v>
      </c>
      <c r="D1312" s="182" t="s">
        <v>21</v>
      </c>
      <c r="E1312" s="182" t="s">
        <v>22</v>
      </c>
      <c r="F1312" s="182" t="s">
        <v>23</v>
      </c>
      <c r="G1312" s="182" t="s">
        <v>19</v>
      </c>
      <c r="H1312" s="216" t="s">
        <v>20</v>
      </c>
      <c r="I1312" s="182" t="s">
        <v>21</v>
      </c>
      <c r="J1312" s="182" t="s">
        <v>22</v>
      </c>
      <c r="K1312" s="182" t="s">
        <v>23</v>
      </c>
      <c r="L1312" s="182" t="s">
        <v>19</v>
      </c>
      <c r="M1312" s="182" t="s">
        <v>20</v>
      </c>
      <c r="N1312" s="182" t="s">
        <v>21</v>
      </c>
      <c r="O1312" s="182" t="s">
        <v>22</v>
      </c>
      <c r="P1312" s="182" t="s">
        <v>23</v>
      </c>
      <c r="Q1312" s="182" t="s">
        <v>19</v>
      </c>
      <c r="R1312" s="182" t="s">
        <v>20</v>
      </c>
      <c r="S1312" s="182" t="s">
        <v>21</v>
      </c>
      <c r="T1312" s="182" t="s">
        <v>22</v>
      </c>
      <c r="U1312" s="211" t="s">
        <v>23</v>
      </c>
    </row>
    <row r="1313" spans="1:21" ht="31.5" x14ac:dyDescent="0.25">
      <c r="A1313" s="183" t="s">
        <v>505</v>
      </c>
      <c r="B1313" s="182" t="s">
        <v>486</v>
      </c>
      <c r="C1313" s="182" t="s">
        <v>28</v>
      </c>
      <c r="D1313" s="182">
        <v>1</v>
      </c>
      <c r="E1313" s="182">
        <f>skilled_painter</f>
        <v>1245</v>
      </c>
      <c r="F1313" s="184">
        <f>(D1313*E1313)</f>
        <v>1245</v>
      </c>
      <c r="G1313" s="182" t="s">
        <v>501</v>
      </c>
      <c r="H1313" s="216" t="s">
        <v>488</v>
      </c>
      <c r="I1313" s="182">
        <v>0.9</v>
      </c>
      <c r="J1313" s="182">
        <f>adopted_rate_paint</f>
        <v>219</v>
      </c>
      <c r="K1313" s="182">
        <f>(I1313*J1313)</f>
        <v>197.1</v>
      </c>
    </row>
    <row r="1314" spans="1:21" x14ac:dyDescent="0.25">
      <c r="B1314" s="182" t="s">
        <v>29</v>
      </c>
      <c r="C1314" s="182" t="s">
        <v>28</v>
      </c>
      <c r="D1314" s="182">
        <v>2</v>
      </c>
      <c r="E1314" s="182">
        <f>unskilled</f>
        <v>935</v>
      </c>
      <c r="F1314" s="184">
        <f>(D1314*E1314)</f>
        <v>1870</v>
      </c>
    </row>
    <row r="1315" spans="1:21" x14ac:dyDescent="0.25">
      <c r="A1315" s="537" t="s">
        <v>30</v>
      </c>
      <c r="B1315" s="537"/>
      <c r="C1315" s="537"/>
      <c r="D1315" s="537"/>
      <c r="E1315" s="537"/>
      <c r="F1315" s="184">
        <f>SUM(F1312:F1314)</f>
        <v>3115</v>
      </c>
      <c r="G1315" s="537" t="s">
        <v>31</v>
      </c>
      <c r="H1315" s="537"/>
      <c r="I1315" s="537"/>
      <c r="J1315" s="537"/>
      <c r="K1315" s="184">
        <f>SUM(K1312:K1314)</f>
        <v>197.1</v>
      </c>
      <c r="L1315" s="537" t="s">
        <v>32</v>
      </c>
      <c r="M1315" s="537"/>
      <c r="N1315" s="537"/>
      <c r="O1315" s="537"/>
      <c r="P1315" s="184">
        <f>SUM(P1312:P1314)</f>
        <v>0</v>
      </c>
      <c r="Q1315" s="537" t="s">
        <v>38</v>
      </c>
      <c r="R1315" s="537"/>
      <c r="S1315" s="537"/>
      <c r="T1315" s="537"/>
      <c r="U1315" s="223">
        <f>SUM(U1312:U1314)</f>
        <v>0</v>
      </c>
    </row>
    <row r="1316" spans="1:21" x14ac:dyDescent="0.25">
      <c r="A1316" s="537" t="s">
        <v>33</v>
      </c>
      <c r="B1316" s="537"/>
      <c r="C1316" s="537"/>
      <c r="D1316" s="537"/>
      <c r="E1316" s="537"/>
      <c r="F1316" s="184">
        <f>SUM(F1315+K1315+P1315)</f>
        <v>3312.1</v>
      </c>
      <c r="G1316" s="537" t="s">
        <v>39</v>
      </c>
      <c r="H1316" s="537"/>
      <c r="I1316" s="537"/>
      <c r="J1316" s="537"/>
      <c r="K1316" s="184">
        <f>SUM(F1315+K1315+P1315+U1315)</f>
        <v>3312.1</v>
      </c>
      <c r="L1316" s="537" t="s">
        <v>40</v>
      </c>
      <c r="M1316" s="537"/>
      <c r="N1316" s="537"/>
      <c r="O1316" s="537"/>
      <c r="P1316" s="184">
        <f>SUM(K1316*0.15)</f>
        <v>496.81499999999994</v>
      </c>
      <c r="Q1316" s="537" t="s">
        <v>41</v>
      </c>
      <c r="R1316" s="537"/>
      <c r="S1316" s="537"/>
      <c r="T1316" s="537"/>
      <c r="U1316" s="223">
        <f>SUM(K1316+P1316)</f>
        <v>3808.915</v>
      </c>
    </row>
    <row r="1317" spans="1:21" x14ac:dyDescent="0.25">
      <c r="Q1317" s="537" t="s">
        <v>42</v>
      </c>
      <c r="R1317" s="537"/>
      <c r="S1317" s="537"/>
      <c r="T1317" s="537"/>
      <c r="U1317" s="224">
        <f>ROUND((U1316/10),2)</f>
        <v>380.89</v>
      </c>
    </row>
    <row r="1318" spans="1:21" x14ac:dyDescent="0.25">
      <c r="A1318" s="544"/>
      <c r="B1318" s="544"/>
      <c r="C1318" s="544"/>
      <c r="D1318" s="544"/>
      <c r="E1318" s="544"/>
      <c r="F1318" s="544"/>
      <c r="G1318" s="544"/>
      <c r="H1318" s="544"/>
      <c r="I1318" s="544"/>
      <c r="J1318" s="544"/>
      <c r="K1318" s="544"/>
      <c r="L1318" s="544"/>
      <c r="M1318" s="544"/>
      <c r="N1318" s="544"/>
      <c r="O1318" s="544"/>
      <c r="P1318" s="544"/>
      <c r="Q1318" s="544"/>
      <c r="R1318" s="544"/>
      <c r="S1318" s="544"/>
      <c r="T1318" s="544"/>
      <c r="U1318" s="544"/>
    </row>
    <row r="1319" spans="1:21" x14ac:dyDescent="0.25">
      <c r="A1319" s="538" t="s">
        <v>12</v>
      </c>
      <c r="B1319" s="538"/>
      <c r="C1319" s="540" t="s">
        <v>506</v>
      </c>
      <c r="D1319" s="540"/>
      <c r="E1319" s="540"/>
      <c r="F1319" s="540"/>
      <c r="G1319" s="540"/>
      <c r="H1319" s="540"/>
      <c r="I1319" s="540"/>
      <c r="J1319" s="540"/>
      <c r="K1319" s="540"/>
      <c r="L1319" s="540"/>
      <c r="M1319" s="540"/>
      <c r="N1319" s="540"/>
      <c r="O1319" s="540"/>
      <c r="P1319" s="540"/>
      <c r="Q1319" s="540"/>
      <c r="R1319" s="540"/>
      <c r="S1319" s="540"/>
      <c r="T1319" s="540"/>
      <c r="U1319" s="541" t="s">
        <v>435</v>
      </c>
    </row>
    <row r="1320" spans="1:21" x14ac:dyDescent="0.25">
      <c r="A1320" s="538"/>
      <c r="B1320" s="538"/>
      <c r="C1320" s="540"/>
      <c r="D1320" s="540"/>
      <c r="E1320" s="540"/>
      <c r="F1320" s="540"/>
      <c r="G1320" s="540"/>
      <c r="H1320" s="540"/>
      <c r="I1320" s="540"/>
      <c r="J1320" s="540"/>
      <c r="K1320" s="540"/>
      <c r="L1320" s="540"/>
      <c r="M1320" s="540"/>
      <c r="N1320" s="540"/>
      <c r="O1320" s="540"/>
      <c r="P1320" s="540"/>
      <c r="Q1320" s="540"/>
      <c r="R1320" s="540"/>
      <c r="S1320" s="540"/>
      <c r="T1320" s="540"/>
      <c r="U1320" s="541"/>
    </row>
    <row r="1321" spans="1:21" x14ac:dyDescent="0.25">
      <c r="A1321" s="539" t="s">
        <v>498</v>
      </c>
      <c r="B1321" s="539"/>
      <c r="C1321" s="540"/>
      <c r="D1321" s="540"/>
      <c r="E1321" s="540"/>
      <c r="F1321" s="540"/>
      <c r="G1321" s="540"/>
      <c r="H1321" s="540"/>
      <c r="I1321" s="540"/>
      <c r="J1321" s="540"/>
      <c r="K1321" s="540"/>
      <c r="L1321" s="540"/>
      <c r="M1321" s="540"/>
      <c r="N1321" s="540"/>
      <c r="O1321" s="540"/>
      <c r="P1321" s="540"/>
      <c r="Q1321" s="540"/>
      <c r="R1321" s="540"/>
      <c r="S1321" s="540"/>
      <c r="T1321" s="540"/>
      <c r="U1321" s="541"/>
    </row>
    <row r="1322" spans="1:21" x14ac:dyDescent="0.25">
      <c r="A1322" s="542" t="s">
        <v>16</v>
      </c>
      <c r="B1322" s="543" t="s">
        <v>18</v>
      </c>
      <c r="C1322" s="543"/>
      <c r="D1322" s="543"/>
      <c r="E1322" s="543"/>
      <c r="F1322" s="543"/>
      <c r="G1322" s="543" t="s">
        <v>24</v>
      </c>
      <c r="H1322" s="543"/>
      <c r="I1322" s="543"/>
      <c r="J1322" s="543"/>
      <c r="K1322" s="543"/>
      <c r="L1322" s="543" t="s">
        <v>25</v>
      </c>
      <c r="M1322" s="543"/>
      <c r="N1322" s="543"/>
      <c r="O1322" s="543"/>
      <c r="P1322" s="543"/>
      <c r="Q1322" s="543" t="s">
        <v>26</v>
      </c>
      <c r="R1322" s="543"/>
      <c r="S1322" s="543"/>
      <c r="T1322" s="543"/>
      <c r="U1322" s="543"/>
    </row>
    <row r="1323" spans="1:21" x14ac:dyDescent="0.25">
      <c r="A1323" s="542"/>
      <c r="B1323" s="182" t="s">
        <v>19</v>
      </c>
      <c r="C1323" s="182" t="s">
        <v>20</v>
      </c>
      <c r="D1323" s="182" t="s">
        <v>21</v>
      </c>
      <c r="E1323" s="182" t="s">
        <v>22</v>
      </c>
      <c r="F1323" s="182" t="s">
        <v>23</v>
      </c>
      <c r="G1323" s="182" t="s">
        <v>19</v>
      </c>
      <c r="H1323" s="216" t="s">
        <v>20</v>
      </c>
      <c r="I1323" s="182" t="s">
        <v>21</v>
      </c>
      <c r="J1323" s="182" t="s">
        <v>22</v>
      </c>
      <c r="K1323" s="182" t="s">
        <v>23</v>
      </c>
      <c r="L1323" s="182" t="s">
        <v>19</v>
      </c>
      <c r="M1323" s="182" t="s">
        <v>20</v>
      </c>
      <c r="N1323" s="182" t="s">
        <v>21</v>
      </c>
      <c r="O1323" s="182" t="s">
        <v>22</v>
      </c>
      <c r="P1323" s="182" t="s">
        <v>23</v>
      </c>
      <c r="Q1323" s="182" t="s">
        <v>19</v>
      </c>
      <c r="R1323" s="182" t="s">
        <v>20</v>
      </c>
      <c r="S1323" s="182" t="s">
        <v>21</v>
      </c>
      <c r="T1323" s="182" t="s">
        <v>22</v>
      </c>
      <c r="U1323" s="211" t="s">
        <v>23</v>
      </c>
    </row>
    <row r="1324" spans="1:21" ht="31.5" x14ac:dyDescent="0.25">
      <c r="A1324" s="183" t="s">
        <v>507</v>
      </c>
      <c r="B1324" s="182" t="s">
        <v>486</v>
      </c>
      <c r="C1324" s="182" t="s">
        <v>28</v>
      </c>
      <c r="D1324" s="182">
        <v>1</v>
      </c>
      <c r="E1324" s="182">
        <f>skilled_painter</f>
        <v>1245</v>
      </c>
      <c r="F1324" s="184">
        <f>(D1324*E1324)</f>
        <v>1245</v>
      </c>
      <c r="G1324" s="182" t="s">
        <v>501</v>
      </c>
      <c r="H1324" s="216" t="s">
        <v>488</v>
      </c>
      <c r="I1324" s="182">
        <v>0.9</v>
      </c>
      <c r="J1324" s="182">
        <f>adopted_rate_paint</f>
        <v>219</v>
      </c>
      <c r="K1324" s="182">
        <f>(I1324*J1324)</f>
        <v>197.1</v>
      </c>
    </row>
    <row r="1325" spans="1:21" x14ac:dyDescent="0.25">
      <c r="B1325" s="182" t="s">
        <v>29</v>
      </c>
      <c r="C1325" s="182" t="s">
        <v>28</v>
      </c>
      <c r="D1325" s="182">
        <v>2</v>
      </c>
      <c r="E1325" s="182">
        <f>unskilled</f>
        <v>935</v>
      </c>
      <c r="F1325" s="184">
        <f>(D1325*E1325)</f>
        <v>1870</v>
      </c>
    </row>
    <row r="1326" spans="1:21" x14ac:dyDescent="0.25">
      <c r="A1326" s="537" t="s">
        <v>30</v>
      </c>
      <c r="B1326" s="537"/>
      <c r="C1326" s="537"/>
      <c r="D1326" s="537"/>
      <c r="E1326" s="537"/>
      <c r="F1326" s="184">
        <f>SUM(F1323:F1325)</f>
        <v>3115</v>
      </c>
      <c r="G1326" s="537" t="s">
        <v>31</v>
      </c>
      <c r="H1326" s="537"/>
      <c r="I1326" s="537"/>
      <c r="J1326" s="537"/>
      <c r="K1326" s="184">
        <f>SUM(K1323:K1325)</f>
        <v>197.1</v>
      </c>
      <c r="L1326" s="537" t="s">
        <v>32</v>
      </c>
      <c r="M1326" s="537"/>
      <c r="N1326" s="537"/>
      <c r="O1326" s="537"/>
      <c r="P1326" s="184">
        <f>SUM(P1323:P1325)</f>
        <v>0</v>
      </c>
      <c r="Q1326" s="537" t="s">
        <v>38</v>
      </c>
      <c r="R1326" s="537"/>
      <c r="S1326" s="537"/>
      <c r="T1326" s="537"/>
      <c r="U1326" s="223">
        <f>SUM(U1323:U1325)</f>
        <v>0</v>
      </c>
    </row>
    <row r="1327" spans="1:21" x14ac:dyDescent="0.25">
      <c r="A1327" s="537" t="s">
        <v>33</v>
      </c>
      <c r="B1327" s="537"/>
      <c r="C1327" s="537"/>
      <c r="D1327" s="537"/>
      <c r="E1327" s="537"/>
      <c r="F1327" s="184">
        <f>SUM(F1326+K1326+P1326)</f>
        <v>3312.1</v>
      </c>
      <c r="G1327" s="537" t="s">
        <v>39</v>
      </c>
      <c r="H1327" s="537"/>
      <c r="I1327" s="537"/>
      <c r="J1327" s="537"/>
      <c r="K1327" s="184">
        <f>SUM(F1326+K1326+P1326+U1326)</f>
        <v>3312.1</v>
      </c>
      <c r="L1327" s="537" t="s">
        <v>40</v>
      </c>
      <c r="M1327" s="537"/>
      <c r="N1327" s="537"/>
      <c r="O1327" s="537"/>
      <c r="P1327" s="184">
        <f>SUM(K1327*0.15)</f>
        <v>496.81499999999994</v>
      </c>
      <c r="Q1327" s="537" t="s">
        <v>41</v>
      </c>
      <c r="R1327" s="537"/>
      <c r="S1327" s="537"/>
      <c r="T1327" s="537"/>
      <c r="U1327" s="223">
        <f>SUM(K1327+P1327)</f>
        <v>3808.915</v>
      </c>
    </row>
    <row r="1328" spans="1:21" x14ac:dyDescent="0.25">
      <c r="Q1328" s="537" t="s">
        <v>42</v>
      </c>
      <c r="R1328" s="537"/>
      <c r="S1328" s="537"/>
      <c r="T1328" s="537"/>
      <c r="U1328" s="224">
        <f>ROUND((U1327/10),2)</f>
        <v>380.89</v>
      </c>
    </row>
    <row r="1329" spans="1:21" x14ac:dyDescent="0.25">
      <c r="A1329" s="544"/>
      <c r="B1329" s="544"/>
      <c r="C1329" s="544"/>
      <c r="D1329" s="544"/>
      <c r="E1329" s="544"/>
      <c r="F1329" s="544"/>
      <c r="G1329" s="544"/>
      <c r="H1329" s="544"/>
      <c r="I1329" s="544"/>
      <c r="J1329" s="544"/>
      <c r="K1329" s="544"/>
      <c r="L1329" s="544"/>
      <c r="M1329" s="544"/>
      <c r="N1329" s="544"/>
      <c r="O1329" s="544"/>
      <c r="P1329" s="544"/>
      <c r="Q1329" s="544"/>
      <c r="R1329" s="544"/>
      <c r="S1329" s="544"/>
      <c r="T1329" s="544"/>
      <c r="U1329" s="544"/>
    </row>
    <row r="1330" spans="1:21" x14ac:dyDescent="0.25">
      <c r="A1330" s="538" t="s">
        <v>12</v>
      </c>
      <c r="B1330" s="538"/>
      <c r="C1330" s="540" t="s">
        <v>509</v>
      </c>
      <c r="D1330" s="540"/>
      <c r="E1330" s="540"/>
      <c r="F1330" s="540"/>
      <c r="G1330" s="540"/>
      <c r="H1330" s="540"/>
      <c r="I1330" s="540"/>
      <c r="J1330" s="540"/>
      <c r="K1330" s="540"/>
      <c r="L1330" s="540"/>
      <c r="M1330" s="540"/>
      <c r="N1330" s="540"/>
      <c r="O1330" s="540"/>
      <c r="P1330" s="540"/>
      <c r="Q1330" s="540"/>
      <c r="R1330" s="540"/>
      <c r="S1330" s="540"/>
      <c r="T1330" s="540"/>
      <c r="U1330" s="541" t="s">
        <v>510</v>
      </c>
    </row>
    <row r="1331" spans="1:21" x14ac:dyDescent="0.25">
      <c r="A1331" s="538"/>
      <c r="B1331" s="538"/>
      <c r="C1331" s="540"/>
      <c r="D1331" s="540"/>
      <c r="E1331" s="540"/>
      <c r="F1331" s="540"/>
      <c r="G1331" s="540"/>
      <c r="H1331" s="540"/>
      <c r="I1331" s="540"/>
      <c r="J1331" s="540"/>
      <c r="K1331" s="540"/>
      <c r="L1331" s="540"/>
      <c r="M1331" s="540"/>
      <c r="N1331" s="540"/>
      <c r="O1331" s="540"/>
      <c r="P1331" s="540"/>
      <c r="Q1331" s="540"/>
      <c r="R1331" s="540"/>
      <c r="S1331" s="540"/>
      <c r="T1331" s="540"/>
      <c r="U1331" s="541"/>
    </row>
    <row r="1332" spans="1:21" x14ac:dyDescent="0.25">
      <c r="A1332" s="539" t="s">
        <v>508</v>
      </c>
      <c r="B1332" s="539"/>
      <c r="C1332" s="540"/>
      <c r="D1332" s="540"/>
      <c r="E1332" s="540"/>
      <c r="F1332" s="540"/>
      <c r="G1332" s="540"/>
      <c r="H1332" s="540"/>
      <c r="I1332" s="540"/>
      <c r="J1332" s="540"/>
      <c r="K1332" s="540"/>
      <c r="L1332" s="540"/>
      <c r="M1332" s="540"/>
      <c r="N1332" s="540"/>
      <c r="O1332" s="540"/>
      <c r="P1332" s="540"/>
      <c r="Q1332" s="540"/>
      <c r="R1332" s="540"/>
      <c r="S1332" s="540"/>
      <c r="T1332" s="540"/>
      <c r="U1332" s="541"/>
    </row>
    <row r="1333" spans="1:21" x14ac:dyDescent="0.25">
      <c r="A1333" s="542" t="s">
        <v>16</v>
      </c>
      <c r="B1333" s="543" t="s">
        <v>18</v>
      </c>
      <c r="C1333" s="543"/>
      <c r="D1333" s="543"/>
      <c r="E1333" s="543"/>
      <c r="F1333" s="543"/>
      <c r="G1333" s="543" t="s">
        <v>24</v>
      </c>
      <c r="H1333" s="543"/>
      <c r="I1333" s="543"/>
      <c r="J1333" s="543"/>
      <c r="K1333" s="543"/>
      <c r="L1333" s="543" t="s">
        <v>25</v>
      </c>
      <c r="M1333" s="543"/>
      <c r="N1333" s="543"/>
      <c r="O1333" s="543"/>
      <c r="P1333" s="543"/>
      <c r="Q1333" s="543" t="s">
        <v>26</v>
      </c>
      <c r="R1333" s="543"/>
      <c r="S1333" s="543"/>
      <c r="T1333" s="543"/>
      <c r="U1333" s="543"/>
    </row>
    <row r="1334" spans="1:21" x14ac:dyDescent="0.25">
      <c r="A1334" s="542"/>
      <c r="B1334" s="182" t="s">
        <v>19</v>
      </c>
      <c r="C1334" s="182" t="s">
        <v>20</v>
      </c>
      <c r="D1334" s="182" t="s">
        <v>21</v>
      </c>
      <c r="E1334" s="182" t="s">
        <v>22</v>
      </c>
      <c r="F1334" s="182" t="s">
        <v>23</v>
      </c>
      <c r="G1334" s="182" t="s">
        <v>19</v>
      </c>
      <c r="H1334" s="216" t="s">
        <v>20</v>
      </c>
      <c r="I1334" s="182" t="s">
        <v>21</v>
      </c>
      <c r="J1334" s="182" t="s">
        <v>22</v>
      </c>
      <c r="K1334" s="182" t="s">
        <v>23</v>
      </c>
      <c r="L1334" s="182" t="s">
        <v>19</v>
      </c>
      <c r="M1334" s="182" t="s">
        <v>20</v>
      </c>
      <c r="N1334" s="182" t="s">
        <v>21</v>
      </c>
      <c r="O1334" s="182" t="s">
        <v>22</v>
      </c>
      <c r="P1334" s="182" t="s">
        <v>23</v>
      </c>
      <c r="Q1334" s="182" t="s">
        <v>19</v>
      </c>
      <c r="R1334" s="182" t="s">
        <v>20</v>
      </c>
      <c r="S1334" s="182" t="s">
        <v>21</v>
      </c>
      <c r="T1334" s="182" t="s">
        <v>22</v>
      </c>
      <c r="U1334" s="211" t="s">
        <v>23</v>
      </c>
    </row>
    <row r="1335" spans="1:21" ht="31.5" x14ac:dyDescent="0.25">
      <c r="A1335" s="183" t="s">
        <v>511</v>
      </c>
      <c r="B1335" s="182" t="s">
        <v>486</v>
      </c>
      <c r="C1335" s="182" t="s">
        <v>28</v>
      </c>
      <c r="D1335" s="182">
        <v>2</v>
      </c>
      <c r="E1335" s="182">
        <f>skilled_painter</f>
        <v>1245</v>
      </c>
      <c r="F1335" s="184">
        <f>(D1335*E1335)</f>
        <v>2490</v>
      </c>
      <c r="G1335" s="182" t="s">
        <v>512</v>
      </c>
      <c r="H1335" s="216" t="s">
        <v>488</v>
      </c>
      <c r="I1335" s="182">
        <v>930</v>
      </c>
      <c r="J1335" s="182">
        <f>adopted_rate_thermoplastic_paint</f>
        <v>562</v>
      </c>
      <c r="K1335" s="182">
        <f>(I1335*J1335)</f>
        <v>522660</v>
      </c>
      <c r="L1335" s="182" t="s">
        <v>514</v>
      </c>
      <c r="M1335" s="182" t="s">
        <v>58</v>
      </c>
      <c r="N1335" s="182">
        <v>10</v>
      </c>
      <c r="O1335" s="182">
        <f>road_marking_machine</f>
        <v>553</v>
      </c>
      <c r="P1335" s="184">
        <f>(N1335*O1335)</f>
        <v>5530</v>
      </c>
    </row>
    <row r="1336" spans="1:21" x14ac:dyDescent="0.25">
      <c r="B1336" s="182" t="s">
        <v>29</v>
      </c>
      <c r="C1336" s="182" t="s">
        <v>28</v>
      </c>
      <c r="D1336" s="182">
        <v>4</v>
      </c>
      <c r="E1336" s="182">
        <f>unskilled</f>
        <v>935</v>
      </c>
      <c r="F1336" s="184">
        <f>(D1336*E1336)</f>
        <v>3740</v>
      </c>
      <c r="G1336" s="182" t="s">
        <v>513</v>
      </c>
      <c r="H1336" s="216" t="s">
        <v>144</v>
      </c>
      <c r="I1336" s="182">
        <v>100</v>
      </c>
      <c r="J1336" s="182">
        <f>adopted_rate_glass_beads</f>
        <v>157</v>
      </c>
      <c r="K1336" s="182">
        <f>(I1336*J1336)</f>
        <v>15700</v>
      </c>
      <c r="L1336" s="182" t="s">
        <v>65</v>
      </c>
      <c r="M1336" s="182" t="s">
        <v>58</v>
      </c>
      <c r="N1336" s="182">
        <v>10</v>
      </c>
      <c r="O1336" s="182">
        <f>tractor</f>
        <v>868</v>
      </c>
      <c r="P1336" s="184">
        <f>(N1336*O1336)</f>
        <v>8680</v>
      </c>
    </row>
    <row r="1337" spans="1:21" x14ac:dyDescent="0.25">
      <c r="A1337" s="537" t="s">
        <v>30</v>
      </c>
      <c r="B1337" s="537"/>
      <c r="C1337" s="537"/>
      <c r="D1337" s="537"/>
      <c r="E1337" s="537"/>
      <c r="F1337" s="184">
        <f>SUM(F1334:F1336)</f>
        <v>6230</v>
      </c>
      <c r="G1337" s="537" t="s">
        <v>31</v>
      </c>
      <c r="H1337" s="537"/>
      <c r="I1337" s="537"/>
      <c r="J1337" s="537"/>
      <c r="K1337" s="184">
        <f>SUM(K1334:K1336)</f>
        <v>538360</v>
      </c>
      <c r="L1337" s="537" t="s">
        <v>32</v>
      </c>
      <c r="M1337" s="537"/>
      <c r="N1337" s="537"/>
      <c r="O1337" s="537"/>
      <c r="P1337" s="184">
        <f>SUM(P1334:P1336)</f>
        <v>14210</v>
      </c>
      <c r="Q1337" s="537" t="s">
        <v>38</v>
      </c>
      <c r="R1337" s="537"/>
      <c r="S1337" s="537"/>
      <c r="T1337" s="537"/>
      <c r="U1337" s="223">
        <f>SUM(U1334:U1336)</f>
        <v>0</v>
      </c>
    </row>
    <row r="1338" spans="1:21" x14ac:dyDescent="0.25">
      <c r="A1338" s="537" t="s">
        <v>33</v>
      </c>
      <c r="B1338" s="537"/>
      <c r="C1338" s="537"/>
      <c r="D1338" s="537"/>
      <c r="E1338" s="537"/>
      <c r="F1338" s="184">
        <f>SUM(F1337+K1337+P1337)</f>
        <v>558800</v>
      </c>
      <c r="G1338" s="537" t="s">
        <v>39</v>
      </c>
      <c r="H1338" s="537"/>
      <c r="I1338" s="537"/>
      <c r="J1338" s="537"/>
      <c r="K1338" s="184">
        <f>SUM(F1337+K1337+P1337+U1337)</f>
        <v>558800</v>
      </c>
      <c r="L1338" s="537" t="s">
        <v>40</v>
      </c>
      <c r="M1338" s="537"/>
      <c r="N1338" s="537"/>
      <c r="O1338" s="537"/>
      <c r="P1338" s="184">
        <f>SUM(K1338*0.15)</f>
        <v>83820</v>
      </c>
      <c r="Q1338" s="537" t="s">
        <v>41</v>
      </c>
      <c r="R1338" s="537"/>
      <c r="S1338" s="537"/>
      <c r="T1338" s="537"/>
      <c r="U1338" s="223">
        <f>SUM(K1338+P1338)</f>
        <v>642620</v>
      </c>
    </row>
    <row r="1339" spans="1:21" x14ac:dyDescent="0.25">
      <c r="Q1339" s="537" t="s">
        <v>42</v>
      </c>
      <c r="R1339" s="537"/>
      <c r="S1339" s="537"/>
      <c r="T1339" s="537"/>
      <c r="U1339" s="224">
        <f>ROUND((U1338/400),2)</f>
        <v>1606.55</v>
      </c>
    </row>
    <row r="1340" spans="1:21" x14ac:dyDescent="0.25">
      <c r="A1340" s="544"/>
      <c r="B1340" s="544"/>
      <c r="C1340" s="544"/>
      <c r="D1340" s="544"/>
      <c r="E1340" s="544"/>
      <c r="F1340" s="544"/>
      <c r="G1340" s="544"/>
      <c r="H1340" s="544"/>
      <c r="I1340" s="544"/>
      <c r="J1340" s="544"/>
      <c r="K1340" s="544"/>
      <c r="L1340" s="544"/>
      <c r="M1340" s="544"/>
      <c r="N1340" s="544"/>
      <c r="O1340" s="544"/>
      <c r="P1340" s="544"/>
      <c r="Q1340" s="544"/>
      <c r="R1340" s="544"/>
      <c r="S1340" s="544"/>
      <c r="T1340" s="544"/>
      <c r="U1340" s="544"/>
    </row>
    <row r="1341" spans="1:21" x14ac:dyDescent="0.25">
      <c r="A1341" s="538" t="s">
        <v>12</v>
      </c>
      <c r="B1341" s="538"/>
      <c r="C1341" s="540" t="s">
        <v>515</v>
      </c>
      <c r="D1341" s="540"/>
      <c r="E1341" s="540"/>
      <c r="F1341" s="540"/>
      <c r="G1341" s="540"/>
      <c r="H1341" s="540"/>
      <c r="I1341" s="540"/>
      <c r="J1341" s="540"/>
      <c r="K1341" s="540"/>
      <c r="L1341" s="540"/>
      <c r="M1341" s="540"/>
      <c r="N1341" s="540"/>
      <c r="O1341" s="540"/>
      <c r="P1341" s="540"/>
      <c r="Q1341" s="540"/>
      <c r="R1341" s="540"/>
      <c r="S1341" s="540"/>
      <c r="T1341" s="540"/>
      <c r="U1341" s="541" t="s">
        <v>516</v>
      </c>
    </row>
    <row r="1342" spans="1:21" x14ac:dyDescent="0.25">
      <c r="A1342" s="538"/>
      <c r="B1342" s="538"/>
      <c r="C1342" s="540"/>
      <c r="D1342" s="540"/>
      <c r="E1342" s="540"/>
      <c r="F1342" s="540"/>
      <c r="G1342" s="540"/>
      <c r="H1342" s="540"/>
      <c r="I1342" s="540"/>
      <c r="J1342" s="540"/>
      <c r="K1342" s="540"/>
      <c r="L1342" s="540"/>
      <c r="M1342" s="540"/>
      <c r="N1342" s="540"/>
      <c r="O1342" s="540"/>
      <c r="P1342" s="540"/>
      <c r="Q1342" s="540"/>
      <c r="R1342" s="540"/>
      <c r="S1342" s="540"/>
      <c r="T1342" s="540"/>
      <c r="U1342" s="541"/>
    </row>
    <row r="1343" spans="1:21" x14ac:dyDescent="0.25">
      <c r="A1343" s="539" t="s">
        <v>508</v>
      </c>
      <c r="B1343" s="539"/>
      <c r="C1343" s="540"/>
      <c r="D1343" s="540"/>
      <c r="E1343" s="540"/>
      <c r="F1343" s="540"/>
      <c r="G1343" s="540"/>
      <c r="H1343" s="540"/>
      <c r="I1343" s="540"/>
      <c r="J1343" s="540"/>
      <c r="K1343" s="540"/>
      <c r="L1343" s="540"/>
      <c r="M1343" s="540"/>
      <c r="N1343" s="540"/>
      <c r="O1343" s="540"/>
      <c r="P1343" s="540"/>
      <c r="Q1343" s="540"/>
      <c r="R1343" s="540"/>
      <c r="S1343" s="540"/>
      <c r="T1343" s="540"/>
      <c r="U1343" s="541"/>
    </row>
    <row r="1344" spans="1:21" x14ac:dyDescent="0.25">
      <c r="A1344" s="542" t="s">
        <v>16</v>
      </c>
      <c r="B1344" s="543" t="s">
        <v>18</v>
      </c>
      <c r="C1344" s="543"/>
      <c r="D1344" s="543"/>
      <c r="E1344" s="543"/>
      <c r="F1344" s="543"/>
      <c r="G1344" s="543" t="s">
        <v>24</v>
      </c>
      <c r="H1344" s="543"/>
      <c r="I1344" s="543"/>
      <c r="J1344" s="543"/>
      <c r="K1344" s="543"/>
      <c r="L1344" s="543" t="s">
        <v>25</v>
      </c>
      <c r="M1344" s="543"/>
      <c r="N1344" s="543"/>
      <c r="O1344" s="543"/>
      <c r="P1344" s="543"/>
      <c r="Q1344" s="543" t="s">
        <v>26</v>
      </c>
      <c r="R1344" s="543"/>
      <c r="S1344" s="543"/>
      <c r="T1344" s="543"/>
      <c r="U1344" s="543"/>
    </row>
    <row r="1345" spans="1:21" x14ac:dyDescent="0.25">
      <c r="A1345" s="542"/>
      <c r="B1345" s="182" t="s">
        <v>19</v>
      </c>
      <c r="C1345" s="182" t="s">
        <v>20</v>
      </c>
      <c r="D1345" s="182" t="s">
        <v>21</v>
      </c>
      <c r="E1345" s="182" t="s">
        <v>22</v>
      </c>
      <c r="F1345" s="182" t="s">
        <v>23</v>
      </c>
      <c r="G1345" s="182" t="s">
        <v>19</v>
      </c>
      <c r="H1345" s="216" t="s">
        <v>20</v>
      </c>
      <c r="I1345" s="182" t="s">
        <v>21</v>
      </c>
      <c r="J1345" s="182" t="s">
        <v>22</v>
      </c>
      <c r="K1345" s="182" t="s">
        <v>23</v>
      </c>
      <c r="L1345" s="182" t="s">
        <v>19</v>
      </c>
      <c r="M1345" s="182" t="s">
        <v>20</v>
      </c>
      <c r="N1345" s="182" t="s">
        <v>21</v>
      </c>
      <c r="O1345" s="182" t="s">
        <v>22</v>
      </c>
      <c r="P1345" s="182" t="s">
        <v>23</v>
      </c>
      <c r="Q1345" s="182" t="s">
        <v>19</v>
      </c>
      <c r="R1345" s="182" t="s">
        <v>20</v>
      </c>
      <c r="S1345" s="182" t="s">
        <v>21</v>
      </c>
      <c r="T1345" s="182" t="s">
        <v>22</v>
      </c>
      <c r="U1345" s="211" t="s">
        <v>23</v>
      </c>
    </row>
    <row r="1346" spans="1:21" ht="31.5" x14ac:dyDescent="0.25">
      <c r="A1346" s="183" t="s">
        <v>517</v>
      </c>
      <c r="B1346" s="182" t="s">
        <v>486</v>
      </c>
      <c r="C1346" s="182" t="s">
        <v>28</v>
      </c>
      <c r="D1346" s="182">
        <v>2</v>
      </c>
      <c r="E1346" s="182">
        <f>skilled_painter</f>
        <v>1245</v>
      </c>
      <c r="F1346" s="184">
        <f>(D1346*E1346)</f>
        <v>2490</v>
      </c>
      <c r="G1346" s="182" t="s">
        <v>512</v>
      </c>
      <c r="H1346" s="216" t="s">
        <v>488</v>
      </c>
      <c r="I1346" s="182">
        <v>1200</v>
      </c>
      <c r="J1346" s="182">
        <f>adopted_rate_thermoplastic_paint</f>
        <v>562</v>
      </c>
      <c r="K1346" s="182">
        <f>(I1346*J1346)</f>
        <v>674400</v>
      </c>
      <c r="L1346" s="182" t="s">
        <v>514</v>
      </c>
      <c r="M1346" s="182" t="s">
        <v>58</v>
      </c>
      <c r="N1346" s="182">
        <v>10</v>
      </c>
      <c r="O1346" s="182">
        <f>road_marking_machine</f>
        <v>553</v>
      </c>
      <c r="P1346" s="184">
        <f>(N1346*O1346)</f>
        <v>5530</v>
      </c>
    </row>
    <row r="1347" spans="1:21" x14ac:dyDescent="0.25">
      <c r="B1347" s="182" t="s">
        <v>29</v>
      </c>
      <c r="C1347" s="182" t="s">
        <v>28</v>
      </c>
      <c r="D1347" s="182">
        <v>4</v>
      </c>
      <c r="E1347" s="182">
        <f>unskilled</f>
        <v>935</v>
      </c>
      <c r="F1347" s="184">
        <f>(D1347*E1347)</f>
        <v>3740</v>
      </c>
      <c r="G1347" s="182" t="s">
        <v>513</v>
      </c>
      <c r="H1347" s="216" t="s">
        <v>144</v>
      </c>
      <c r="I1347" s="182">
        <v>150</v>
      </c>
      <c r="J1347" s="182">
        <f>adopted_rate_glass_beads</f>
        <v>157</v>
      </c>
      <c r="K1347" s="182">
        <f>(I1347*J1347)</f>
        <v>23550</v>
      </c>
      <c r="L1347" s="182" t="s">
        <v>65</v>
      </c>
      <c r="M1347" s="182" t="s">
        <v>58</v>
      </c>
      <c r="N1347" s="182">
        <v>10</v>
      </c>
      <c r="O1347" s="182">
        <f>tractor</f>
        <v>868</v>
      </c>
      <c r="P1347" s="184">
        <f>(N1347*O1347)</f>
        <v>8680</v>
      </c>
    </row>
    <row r="1348" spans="1:21" x14ac:dyDescent="0.25">
      <c r="A1348" s="537" t="s">
        <v>30</v>
      </c>
      <c r="B1348" s="537"/>
      <c r="C1348" s="537"/>
      <c r="D1348" s="537"/>
      <c r="E1348" s="537"/>
      <c r="F1348" s="184">
        <f>SUM(F1345:F1347)</f>
        <v>6230</v>
      </c>
      <c r="G1348" s="537" t="s">
        <v>31</v>
      </c>
      <c r="H1348" s="537"/>
      <c r="I1348" s="537"/>
      <c r="J1348" s="537"/>
      <c r="K1348" s="184">
        <f>SUM(K1345:K1347)</f>
        <v>697950</v>
      </c>
      <c r="L1348" s="537" t="s">
        <v>32</v>
      </c>
      <c r="M1348" s="537"/>
      <c r="N1348" s="537"/>
      <c r="O1348" s="537"/>
      <c r="P1348" s="184">
        <f>SUM(P1345:P1347)</f>
        <v>14210</v>
      </c>
      <c r="Q1348" s="537" t="s">
        <v>38</v>
      </c>
      <c r="R1348" s="537"/>
      <c r="S1348" s="537"/>
      <c r="T1348" s="537"/>
      <c r="U1348" s="223">
        <f>SUM(U1345:U1347)</f>
        <v>0</v>
      </c>
    </row>
    <row r="1349" spans="1:21" x14ac:dyDescent="0.25">
      <c r="A1349" s="537" t="s">
        <v>33</v>
      </c>
      <c r="B1349" s="537"/>
      <c r="C1349" s="537"/>
      <c r="D1349" s="537"/>
      <c r="E1349" s="537"/>
      <c r="F1349" s="184">
        <f>SUM(F1348+K1348+P1348)</f>
        <v>718390</v>
      </c>
      <c r="G1349" s="537" t="s">
        <v>39</v>
      </c>
      <c r="H1349" s="537"/>
      <c r="I1349" s="537"/>
      <c r="J1349" s="537"/>
      <c r="K1349" s="184">
        <f>SUM(F1348+K1348+P1348+U1348)</f>
        <v>718390</v>
      </c>
      <c r="L1349" s="537" t="s">
        <v>40</v>
      </c>
      <c r="M1349" s="537"/>
      <c r="N1349" s="537"/>
      <c r="O1349" s="537"/>
      <c r="P1349" s="184">
        <f>SUM(K1349*0.15)</f>
        <v>107758.5</v>
      </c>
      <c r="Q1349" s="537" t="s">
        <v>41</v>
      </c>
      <c r="R1349" s="537"/>
      <c r="S1349" s="537"/>
      <c r="T1349" s="537"/>
      <c r="U1349" s="223">
        <f>SUM(K1349+P1349)</f>
        <v>826148.5</v>
      </c>
    </row>
    <row r="1350" spans="1:21" x14ac:dyDescent="0.25">
      <c r="Q1350" s="537" t="s">
        <v>42</v>
      </c>
      <c r="R1350" s="537"/>
      <c r="S1350" s="537"/>
      <c r="T1350" s="537"/>
      <c r="U1350" s="224">
        <f>ROUND((U1349/300),2)</f>
        <v>2753.83</v>
      </c>
    </row>
    <row r="1351" spans="1:21" x14ac:dyDescent="0.25">
      <c r="A1351" s="544"/>
      <c r="B1351" s="544"/>
      <c r="C1351" s="544"/>
      <c r="D1351" s="544"/>
      <c r="E1351" s="544"/>
      <c r="F1351" s="544"/>
      <c r="G1351" s="544"/>
      <c r="H1351" s="544"/>
      <c r="I1351" s="544"/>
      <c r="J1351" s="544"/>
      <c r="K1351" s="544"/>
      <c r="L1351" s="544"/>
      <c r="M1351" s="544"/>
      <c r="N1351" s="544"/>
      <c r="O1351" s="544"/>
      <c r="P1351" s="544"/>
      <c r="Q1351" s="544"/>
      <c r="R1351" s="544"/>
      <c r="S1351" s="544"/>
      <c r="T1351" s="544"/>
      <c r="U1351" s="544"/>
    </row>
    <row r="1352" spans="1:21" x14ac:dyDescent="0.25">
      <c r="A1352" s="538" t="s">
        <v>12</v>
      </c>
      <c r="B1352" s="538"/>
      <c r="C1352" s="540" t="s">
        <v>519</v>
      </c>
      <c r="D1352" s="540"/>
      <c r="E1352" s="540"/>
      <c r="F1352" s="540"/>
      <c r="G1352" s="540"/>
      <c r="H1352" s="540"/>
      <c r="I1352" s="540"/>
      <c r="J1352" s="540"/>
      <c r="K1352" s="540"/>
      <c r="L1352" s="540"/>
      <c r="M1352" s="540"/>
      <c r="N1352" s="540"/>
      <c r="O1352" s="540"/>
      <c r="P1352" s="540"/>
      <c r="Q1352" s="540"/>
      <c r="R1352" s="540"/>
      <c r="S1352" s="540"/>
      <c r="T1352" s="540"/>
      <c r="U1352" s="541" t="s">
        <v>520</v>
      </c>
    </row>
    <row r="1353" spans="1:21" x14ac:dyDescent="0.25">
      <c r="A1353" s="538"/>
      <c r="B1353" s="538"/>
      <c r="C1353" s="540"/>
      <c r="D1353" s="540"/>
      <c r="E1353" s="540"/>
      <c r="F1353" s="540"/>
      <c r="G1353" s="540"/>
      <c r="H1353" s="540"/>
      <c r="I1353" s="540"/>
      <c r="J1353" s="540"/>
      <c r="K1353" s="540"/>
      <c r="L1353" s="540"/>
      <c r="M1353" s="540"/>
      <c r="N1353" s="540"/>
      <c r="O1353" s="540"/>
      <c r="P1353" s="540"/>
      <c r="Q1353" s="540"/>
      <c r="R1353" s="540"/>
      <c r="S1353" s="540"/>
      <c r="T1353" s="540"/>
      <c r="U1353" s="541"/>
    </row>
    <row r="1354" spans="1:21" x14ac:dyDescent="0.25">
      <c r="A1354" s="539" t="s">
        <v>518</v>
      </c>
      <c r="B1354" s="539"/>
      <c r="C1354" s="540"/>
      <c r="D1354" s="540"/>
      <c r="E1354" s="540"/>
      <c r="F1354" s="540"/>
      <c r="G1354" s="540"/>
      <c r="H1354" s="540"/>
      <c r="I1354" s="540"/>
      <c r="J1354" s="540"/>
      <c r="K1354" s="540"/>
      <c r="L1354" s="540"/>
      <c r="M1354" s="540"/>
      <c r="N1354" s="540"/>
      <c r="O1354" s="540"/>
      <c r="P1354" s="540"/>
      <c r="Q1354" s="540"/>
      <c r="R1354" s="540"/>
      <c r="S1354" s="540"/>
      <c r="T1354" s="540"/>
      <c r="U1354" s="541"/>
    </row>
    <row r="1355" spans="1:21" x14ac:dyDescent="0.25">
      <c r="A1355" s="542" t="s">
        <v>16</v>
      </c>
      <c r="B1355" s="543" t="s">
        <v>18</v>
      </c>
      <c r="C1355" s="543"/>
      <c r="D1355" s="543"/>
      <c r="E1355" s="543"/>
      <c r="F1355" s="543"/>
      <c r="G1355" s="543" t="s">
        <v>24</v>
      </c>
      <c r="H1355" s="543"/>
      <c r="I1355" s="543"/>
      <c r="J1355" s="543"/>
      <c r="K1355" s="543"/>
      <c r="L1355" s="543" t="s">
        <v>25</v>
      </c>
      <c r="M1355" s="543"/>
      <c r="N1355" s="543"/>
      <c r="O1355" s="543"/>
      <c r="P1355" s="543"/>
      <c r="Q1355" s="543" t="s">
        <v>26</v>
      </c>
      <c r="R1355" s="543"/>
      <c r="S1355" s="543"/>
      <c r="T1355" s="543"/>
      <c r="U1355" s="543"/>
    </row>
    <row r="1356" spans="1:21" x14ac:dyDescent="0.25">
      <c r="A1356" s="542"/>
      <c r="B1356" s="182" t="s">
        <v>19</v>
      </c>
      <c r="C1356" s="182" t="s">
        <v>20</v>
      </c>
      <c r="D1356" s="182" t="s">
        <v>21</v>
      </c>
      <c r="E1356" s="182" t="s">
        <v>22</v>
      </c>
      <c r="F1356" s="182" t="s">
        <v>23</v>
      </c>
      <c r="G1356" s="182" t="s">
        <v>19</v>
      </c>
      <c r="H1356" s="216" t="s">
        <v>20</v>
      </c>
      <c r="I1356" s="182" t="s">
        <v>21</v>
      </c>
      <c r="J1356" s="182" t="s">
        <v>22</v>
      </c>
      <c r="K1356" s="182" t="s">
        <v>23</v>
      </c>
      <c r="L1356" s="182" t="s">
        <v>19</v>
      </c>
      <c r="M1356" s="182" t="s">
        <v>20</v>
      </c>
      <c r="N1356" s="182" t="s">
        <v>21</v>
      </c>
      <c r="O1356" s="182" t="s">
        <v>22</v>
      </c>
      <c r="P1356" s="182" t="s">
        <v>23</v>
      </c>
      <c r="Q1356" s="182" t="s">
        <v>19</v>
      </c>
      <c r="R1356" s="182" t="s">
        <v>20</v>
      </c>
      <c r="S1356" s="182" t="s">
        <v>21</v>
      </c>
      <c r="T1356" s="182" t="s">
        <v>22</v>
      </c>
      <c r="U1356" s="211" t="s">
        <v>23</v>
      </c>
    </row>
    <row r="1357" spans="1:21" x14ac:dyDescent="0.25">
      <c r="A1357" s="183" t="s">
        <v>521</v>
      </c>
      <c r="B1357" s="182" t="s">
        <v>47</v>
      </c>
      <c r="C1357" s="182" t="s">
        <v>28</v>
      </c>
      <c r="D1357" s="182">
        <v>1</v>
      </c>
      <c r="E1357" s="182">
        <f>skilled</f>
        <v>1245</v>
      </c>
      <c r="F1357" s="184">
        <f>(D1357*E1357)</f>
        <v>1245</v>
      </c>
      <c r="G1357" s="182" t="s">
        <v>522</v>
      </c>
      <c r="H1357" s="216" t="s">
        <v>106</v>
      </c>
      <c r="I1357" s="182">
        <v>50</v>
      </c>
      <c r="J1357" s="182">
        <f>adopted_rate_cats_eye</f>
        <v>1025</v>
      </c>
      <c r="K1357" s="182">
        <f>(I1357*J1357)</f>
        <v>51250</v>
      </c>
    </row>
    <row r="1358" spans="1:21" ht="31.5" x14ac:dyDescent="0.25">
      <c r="B1358" s="182" t="s">
        <v>29</v>
      </c>
      <c r="C1358" s="182" t="s">
        <v>28</v>
      </c>
      <c r="D1358" s="182">
        <v>2</v>
      </c>
      <c r="E1358" s="182">
        <f>unskilled</f>
        <v>935</v>
      </c>
      <c r="F1358" s="184">
        <f>(D1358*E1358)</f>
        <v>1870</v>
      </c>
      <c r="G1358" s="182" t="s">
        <v>523</v>
      </c>
      <c r="H1358" s="216"/>
      <c r="K1358" s="184">
        <f>(SUM(K1357:K1357)*10/100)</f>
        <v>5125</v>
      </c>
    </row>
    <row r="1359" spans="1:21" x14ac:dyDescent="0.25">
      <c r="A1359" s="537" t="s">
        <v>30</v>
      </c>
      <c r="B1359" s="537"/>
      <c r="C1359" s="537"/>
      <c r="D1359" s="537"/>
      <c r="E1359" s="537"/>
      <c r="F1359" s="184">
        <f>SUM(F1356:F1358)</f>
        <v>3115</v>
      </c>
      <c r="G1359" s="537" t="s">
        <v>31</v>
      </c>
      <c r="H1359" s="537"/>
      <c r="I1359" s="537"/>
      <c r="J1359" s="537"/>
      <c r="K1359" s="184">
        <f>SUM(K1356:K1358)</f>
        <v>56375</v>
      </c>
      <c r="L1359" s="537" t="s">
        <v>32</v>
      </c>
      <c r="M1359" s="537"/>
      <c r="N1359" s="537"/>
      <c r="O1359" s="537"/>
      <c r="P1359" s="184">
        <f>SUM(P1356:P1358)</f>
        <v>0</v>
      </c>
      <c r="Q1359" s="537" t="s">
        <v>38</v>
      </c>
      <c r="R1359" s="537"/>
      <c r="S1359" s="537"/>
      <c r="T1359" s="537"/>
      <c r="U1359" s="223">
        <f>SUM(U1356:U1358)</f>
        <v>0</v>
      </c>
    </row>
    <row r="1360" spans="1:21" x14ac:dyDescent="0.25">
      <c r="A1360" s="537" t="s">
        <v>33</v>
      </c>
      <c r="B1360" s="537"/>
      <c r="C1360" s="537"/>
      <c r="D1360" s="537"/>
      <c r="E1360" s="537"/>
      <c r="F1360" s="184">
        <f>SUM(F1359+K1359+P1359)</f>
        <v>59490</v>
      </c>
      <c r="G1360" s="537" t="s">
        <v>39</v>
      </c>
      <c r="H1360" s="537"/>
      <c r="I1360" s="537"/>
      <c r="J1360" s="537"/>
      <c r="K1360" s="184">
        <f>SUM(F1359+K1359+P1359+U1359)</f>
        <v>59490</v>
      </c>
      <c r="L1360" s="537" t="s">
        <v>40</v>
      </c>
      <c r="M1360" s="537"/>
      <c r="N1360" s="537"/>
      <c r="O1360" s="537"/>
      <c r="P1360" s="184">
        <f>SUM(K1360*0.15)</f>
        <v>8923.5</v>
      </c>
      <c r="Q1360" s="537" t="s">
        <v>41</v>
      </c>
      <c r="R1360" s="537"/>
      <c r="S1360" s="537"/>
      <c r="T1360" s="537"/>
      <c r="U1360" s="223">
        <f>SUM(K1360+P1360)</f>
        <v>68413.5</v>
      </c>
    </row>
    <row r="1361" spans="1:21" x14ac:dyDescent="0.25">
      <c r="Q1361" s="537" t="s">
        <v>42</v>
      </c>
      <c r="R1361" s="537"/>
      <c r="S1361" s="537"/>
      <c r="T1361" s="537"/>
      <c r="U1361" s="224">
        <f>ROUND((U1360/50),2)</f>
        <v>1368.27</v>
      </c>
    </row>
    <row r="1362" spans="1:21" x14ac:dyDescent="0.25">
      <c r="A1362" s="544"/>
      <c r="B1362" s="544"/>
      <c r="C1362" s="544"/>
      <c r="D1362" s="544"/>
      <c r="E1362" s="544"/>
      <c r="F1362" s="544"/>
      <c r="G1362" s="544"/>
      <c r="H1362" s="544"/>
      <c r="I1362" s="544"/>
      <c r="J1362" s="544"/>
      <c r="K1362" s="544"/>
      <c r="L1362" s="544"/>
      <c r="M1362" s="544"/>
      <c r="N1362" s="544"/>
      <c r="O1362" s="544"/>
      <c r="P1362" s="544"/>
      <c r="Q1362" s="544"/>
      <c r="R1362" s="544"/>
      <c r="S1362" s="544"/>
      <c r="T1362" s="544"/>
      <c r="U1362" s="544"/>
    </row>
    <row r="1363" spans="1:21" x14ac:dyDescent="0.25">
      <c r="A1363" s="538" t="s">
        <v>12</v>
      </c>
      <c r="B1363" s="538"/>
      <c r="C1363" s="540" t="s">
        <v>525</v>
      </c>
      <c r="D1363" s="540"/>
      <c r="E1363" s="540"/>
      <c r="F1363" s="540"/>
      <c r="G1363" s="540"/>
      <c r="H1363" s="540"/>
      <c r="I1363" s="540"/>
      <c r="J1363" s="540"/>
      <c r="K1363" s="540"/>
      <c r="L1363" s="540"/>
      <c r="M1363" s="540"/>
      <c r="N1363" s="540"/>
      <c r="O1363" s="540"/>
      <c r="P1363" s="540"/>
      <c r="Q1363" s="540"/>
      <c r="R1363" s="540"/>
      <c r="S1363" s="540"/>
      <c r="T1363" s="540"/>
      <c r="U1363" s="541" t="s">
        <v>526</v>
      </c>
    </row>
    <row r="1364" spans="1:21" x14ac:dyDescent="0.25">
      <c r="A1364" s="538"/>
      <c r="B1364" s="538"/>
      <c r="C1364" s="540"/>
      <c r="D1364" s="540"/>
      <c r="E1364" s="540"/>
      <c r="F1364" s="540"/>
      <c r="G1364" s="540"/>
      <c r="H1364" s="540"/>
      <c r="I1364" s="540"/>
      <c r="J1364" s="540"/>
      <c r="K1364" s="540"/>
      <c r="L1364" s="540"/>
      <c r="M1364" s="540"/>
      <c r="N1364" s="540"/>
      <c r="O1364" s="540"/>
      <c r="P1364" s="540"/>
      <c r="Q1364" s="540"/>
      <c r="R1364" s="540"/>
      <c r="S1364" s="540"/>
      <c r="T1364" s="540"/>
      <c r="U1364" s="541"/>
    </row>
    <row r="1365" spans="1:21" x14ac:dyDescent="0.25">
      <c r="A1365" s="539" t="s">
        <v>524</v>
      </c>
      <c r="B1365" s="539"/>
      <c r="C1365" s="540"/>
      <c r="D1365" s="540"/>
      <c r="E1365" s="540"/>
      <c r="F1365" s="540"/>
      <c r="G1365" s="540"/>
      <c r="H1365" s="540"/>
      <c r="I1365" s="540"/>
      <c r="J1365" s="540"/>
      <c r="K1365" s="540"/>
      <c r="L1365" s="540"/>
      <c r="M1365" s="540"/>
      <c r="N1365" s="540"/>
      <c r="O1365" s="540"/>
      <c r="P1365" s="540"/>
      <c r="Q1365" s="540"/>
      <c r="R1365" s="540"/>
      <c r="S1365" s="540"/>
      <c r="T1365" s="540"/>
      <c r="U1365" s="541"/>
    </row>
    <row r="1366" spans="1:21" x14ac:dyDescent="0.25">
      <c r="A1366" s="542" t="s">
        <v>16</v>
      </c>
      <c r="B1366" s="543" t="s">
        <v>18</v>
      </c>
      <c r="C1366" s="543"/>
      <c r="D1366" s="543"/>
      <c r="E1366" s="543"/>
      <c r="F1366" s="543"/>
      <c r="G1366" s="543" t="s">
        <v>24</v>
      </c>
      <c r="H1366" s="543"/>
      <c r="I1366" s="543"/>
      <c r="J1366" s="543"/>
      <c r="K1366" s="543"/>
      <c r="L1366" s="543" t="s">
        <v>25</v>
      </c>
      <c r="M1366" s="543"/>
      <c r="N1366" s="543"/>
      <c r="O1366" s="543"/>
      <c r="P1366" s="543"/>
      <c r="Q1366" s="543" t="s">
        <v>26</v>
      </c>
      <c r="R1366" s="543"/>
      <c r="S1366" s="543"/>
      <c r="T1366" s="543"/>
      <c r="U1366" s="543"/>
    </row>
    <row r="1367" spans="1:21" x14ac:dyDescent="0.25">
      <c r="A1367" s="542"/>
      <c r="B1367" s="182" t="s">
        <v>19</v>
      </c>
      <c r="C1367" s="182" t="s">
        <v>20</v>
      </c>
      <c r="D1367" s="182" t="s">
        <v>21</v>
      </c>
      <c r="E1367" s="182" t="s">
        <v>22</v>
      </c>
      <c r="F1367" s="182" t="s">
        <v>23</v>
      </c>
      <c r="G1367" s="182" t="s">
        <v>19</v>
      </c>
      <c r="H1367" s="216" t="s">
        <v>20</v>
      </c>
      <c r="I1367" s="182" t="s">
        <v>21</v>
      </c>
      <c r="J1367" s="182" t="s">
        <v>22</v>
      </c>
      <c r="K1367" s="182" t="s">
        <v>23</v>
      </c>
      <c r="L1367" s="182" t="s">
        <v>19</v>
      </c>
      <c r="M1367" s="182" t="s">
        <v>20</v>
      </c>
      <c r="N1367" s="182" t="s">
        <v>21</v>
      </c>
      <c r="O1367" s="182" t="s">
        <v>22</v>
      </c>
      <c r="P1367" s="182" t="s">
        <v>23</v>
      </c>
      <c r="Q1367" s="182" t="s">
        <v>19</v>
      </c>
      <c r="R1367" s="182" t="s">
        <v>20</v>
      </c>
      <c r="S1367" s="182" t="s">
        <v>21</v>
      </c>
      <c r="T1367" s="182" t="s">
        <v>22</v>
      </c>
      <c r="U1367" s="211" t="s">
        <v>23</v>
      </c>
    </row>
    <row r="1368" spans="1:21" x14ac:dyDescent="0.25">
      <c r="A1368" s="183" t="s">
        <v>527</v>
      </c>
      <c r="B1368" s="182" t="s">
        <v>47</v>
      </c>
      <c r="C1368" s="182" t="s">
        <v>28</v>
      </c>
      <c r="D1368" s="182">
        <v>1</v>
      </c>
      <c r="E1368" s="182">
        <f>skilled</f>
        <v>1245</v>
      </c>
      <c r="F1368" s="184">
        <f>(D1368*E1368)</f>
        <v>1245</v>
      </c>
      <c r="G1368" s="182" t="s">
        <v>528</v>
      </c>
      <c r="H1368" s="216" t="s">
        <v>84</v>
      </c>
      <c r="I1368" s="182">
        <v>1.2</v>
      </c>
      <c r="L1368" s="182" t="s">
        <v>65</v>
      </c>
      <c r="M1368" s="182" t="s">
        <v>58</v>
      </c>
      <c r="N1368" s="182">
        <v>3</v>
      </c>
      <c r="O1368" s="182">
        <f>tractor</f>
        <v>868</v>
      </c>
      <c r="P1368" s="184">
        <f>(N1368*O1368)</f>
        <v>2604</v>
      </c>
    </row>
    <row r="1369" spans="1:21" x14ac:dyDescent="0.25">
      <c r="B1369" s="182" t="s">
        <v>29</v>
      </c>
      <c r="C1369" s="182" t="s">
        <v>28</v>
      </c>
      <c r="D1369" s="182">
        <v>6</v>
      </c>
      <c r="E1369" s="182">
        <f>unskilled</f>
        <v>935</v>
      </c>
      <c r="F1369" s="184">
        <f>(D1369*E1369)</f>
        <v>5610</v>
      </c>
      <c r="G1369" s="182" t="s">
        <v>529</v>
      </c>
      <c r="H1369" s="216" t="s">
        <v>84</v>
      </c>
      <c r="I1369" s="182">
        <v>1.2</v>
      </c>
    </row>
    <row r="1370" spans="1:21" x14ac:dyDescent="0.25">
      <c r="G1370" s="182" t="s">
        <v>530</v>
      </c>
      <c r="H1370" s="216" t="s">
        <v>35</v>
      </c>
      <c r="I1370" s="182">
        <v>6.3600000000000004E-2</v>
      </c>
      <c r="J1370" s="182">
        <f>adopted_rate_HYSD_bar</f>
        <v>100000</v>
      </c>
      <c r="K1370" s="182">
        <f>(I1370*J1370)</f>
        <v>6360</v>
      </c>
    </row>
    <row r="1371" spans="1:21" x14ac:dyDescent="0.25">
      <c r="G1371" s="182" t="s">
        <v>531</v>
      </c>
      <c r="H1371" s="216" t="s">
        <v>84</v>
      </c>
      <c r="I1371" s="182">
        <v>1.2</v>
      </c>
      <c r="J1371" s="183">
        <f>(K311/10)</f>
        <v>872.5</v>
      </c>
      <c r="K1371" s="184">
        <f>(I1371*J1371)</f>
        <v>1047</v>
      </c>
    </row>
    <row r="1372" spans="1:21" x14ac:dyDescent="0.25">
      <c r="G1372" s="182" t="s">
        <v>532</v>
      </c>
      <c r="H1372" s="216" t="s">
        <v>438</v>
      </c>
      <c r="I1372" s="182">
        <v>10.199999999999999</v>
      </c>
      <c r="J1372" s="183">
        <f>(K1259/10)</f>
        <v>914.8</v>
      </c>
      <c r="K1372" s="184">
        <f>(I1372*J1372)</f>
        <v>9330.9599999999991</v>
      </c>
    </row>
    <row r="1373" spans="1:21" ht="31.5" x14ac:dyDescent="0.25">
      <c r="G1373" s="182" t="s">
        <v>533</v>
      </c>
      <c r="H1373" s="216" t="s">
        <v>534</v>
      </c>
      <c r="I1373" s="182">
        <v>1800</v>
      </c>
    </row>
    <row r="1374" spans="1:21" x14ac:dyDescent="0.25">
      <c r="G1374" s="182" t="s">
        <v>535</v>
      </c>
      <c r="H1374" s="216"/>
    </row>
    <row r="1375" spans="1:21" x14ac:dyDescent="0.25">
      <c r="A1375" s="537" t="s">
        <v>30</v>
      </c>
      <c r="B1375" s="537"/>
      <c r="C1375" s="537"/>
      <c r="D1375" s="537"/>
      <c r="E1375" s="537"/>
      <c r="F1375" s="184">
        <f>SUM(F1367:F1374)</f>
        <v>6855</v>
      </c>
      <c r="G1375" s="537" t="s">
        <v>31</v>
      </c>
      <c r="H1375" s="537"/>
      <c r="I1375" s="537"/>
      <c r="J1375" s="537"/>
      <c r="K1375" s="184">
        <f>SUM(K1367:K1374)</f>
        <v>16737.96</v>
      </c>
      <c r="L1375" s="537" t="s">
        <v>32</v>
      </c>
      <c r="M1375" s="537"/>
      <c r="N1375" s="537"/>
      <c r="O1375" s="537"/>
      <c r="P1375" s="184">
        <f>SUM(P1367:P1374)</f>
        <v>2604</v>
      </c>
      <c r="Q1375" s="537" t="s">
        <v>38</v>
      </c>
      <c r="R1375" s="537"/>
      <c r="S1375" s="537"/>
      <c r="T1375" s="537"/>
      <c r="U1375" s="223">
        <f>SUM(U1367:U1374)</f>
        <v>0</v>
      </c>
    </row>
    <row r="1376" spans="1:21" x14ac:dyDescent="0.25">
      <c r="A1376" s="537" t="s">
        <v>33</v>
      </c>
      <c r="B1376" s="537"/>
      <c r="C1376" s="537"/>
      <c r="D1376" s="537"/>
      <c r="E1376" s="537"/>
      <c r="F1376" s="184">
        <f>SUM(F1375+K1375+P1375)</f>
        <v>26196.959999999999</v>
      </c>
      <c r="G1376" s="537" t="s">
        <v>39</v>
      </c>
      <c r="H1376" s="537"/>
      <c r="I1376" s="537"/>
      <c r="J1376" s="537"/>
      <c r="K1376" s="184">
        <f>SUM(F1375+K1375+P1375+U1375)</f>
        <v>26196.959999999999</v>
      </c>
      <c r="L1376" s="537" t="s">
        <v>40</v>
      </c>
      <c r="M1376" s="537"/>
      <c r="N1376" s="537"/>
      <c r="O1376" s="537"/>
      <c r="P1376" s="184">
        <f>SUM(K1376*0.15)</f>
        <v>3929.5439999999999</v>
      </c>
      <c r="Q1376" s="537" t="s">
        <v>41</v>
      </c>
      <c r="R1376" s="537"/>
      <c r="S1376" s="537"/>
      <c r="T1376" s="537"/>
      <c r="U1376" s="223">
        <f>SUM(K1376+P1376)</f>
        <v>30126.504000000001</v>
      </c>
    </row>
    <row r="1377" spans="1:21" x14ac:dyDescent="0.25">
      <c r="Q1377" s="537" t="s">
        <v>42</v>
      </c>
      <c r="R1377" s="537"/>
      <c r="S1377" s="537"/>
      <c r="T1377" s="537"/>
      <c r="U1377" s="224">
        <f>ROUND((U1376/6),2)</f>
        <v>5021.08</v>
      </c>
    </row>
    <row r="1378" spans="1:21" x14ac:dyDescent="0.25">
      <c r="A1378" s="544"/>
      <c r="B1378" s="544"/>
      <c r="C1378" s="544"/>
      <c r="D1378" s="544"/>
      <c r="E1378" s="544"/>
      <c r="F1378" s="544"/>
      <c r="G1378" s="544"/>
      <c r="H1378" s="544"/>
      <c r="I1378" s="544"/>
      <c r="J1378" s="544"/>
      <c r="K1378" s="544"/>
      <c r="L1378" s="544"/>
      <c r="M1378" s="544"/>
      <c r="N1378" s="544"/>
      <c r="O1378" s="544"/>
      <c r="P1378" s="544"/>
      <c r="Q1378" s="544"/>
      <c r="R1378" s="544"/>
      <c r="S1378" s="544"/>
      <c r="T1378" s="544"/>
      <c r="U1378" s="544"/>
    </row>
    <row r="1379" spans="1:21" x14ac:dyDescent="0.25">
      <c r="A1379" s="538" t="s">
        <v>12</v>
      </c>
      <c r="B1379" s="538"/>
      <c r="C1379" s="540" t="s">
        <v>536</v>
      </c>
      <c r="D1379" s="540"/>
      <c r="E1379" s="540"/>
      <c r="F1379" s="540"/>
      <c r="G1379" s="540"/>
      <c r="H1379" s="540"/>
      <c r="I1379" s="540"/>
      <c r="J1379" s="540"/>
      <c r="K1379" s="540"/>
      <c r="L1379" s="540"/>
      <c r="M1379" s="540"/>
      <c r="N1379" s="540"/>
      <c r="O1379" s="540"/>
      <c r="P1379" s="540"/>
      <c r="Q1379" s="540"/>
      <c r="R1379" s="540"/>
      <c r="S1379" s="540"/>
      <c r="T1379" s="540"/>
      <c r="U1379" s="541" t="s">
        <v>537</v>
      </c>
    </row>
    <row r="1380" spans="1:21" x14ac:dyDescent="0.25">
      <c r="A1380" s="538"/>
      <c r="B1380" s="538"/>
      <c r="C1380" s="540"/>
      <c r="D1380" s="540"/>
      <c r="E1380" s="540"/>
      <c r="F1380" s="540"/>
      <c r="G1380" s="540"/>
      <c r="H1380" s="540"/>
      <c r="I1380" s="540"/>
      <c r="J1380" s="540"/>
      <c r="K1380" s="540"/>
      <c r="L1380" s="540"/>
      <c r="M1380" s="540"/>
      <c r="N1380" s="540"/>
      <c r="O1380" s="540"/>
      <c r="P1380" s="540"/>
      <c r="Q1380" s="540"/>
      <c r="R1380" s="540"/>
      <c r="S1380" s="540"/>
      <c r="T1380" s="540"/>
      <c r="U1380" s="541"/>
    </row>
    <row r="1381" spans="1:21" x14ac:dyDescent="0.25">
      <c r="A1381" s="539" t="s">
        <v>524</v>
      </c>
      <c r="B1381" s="539"/>
      <c r="C1381" s="540"/>
      <c r="D1381" s="540"/>
      <c r="E1381" s="540"/>
      <c r="F1381" s="540"/>
      <c r="G1381" s="540"/>
      <c r="H1381" s="540"/>
      <c r="I1381" s="540"/>
      <c r="J1381" s="540"/>
      <c r="K1381" s="540"/>
      <c r="L1381" s="540"/>
      <c r="M1381" s="540"/>
      <c r="N1381" s="540"/>
      <c r="O1381" s="540"/>
      <c r="P1381" s="540"/>
      <c r="Q1381" s="540"/>
      <c r="R1381" s="540"/>
      <c r="S1381" s="540"/>
      <c r="T1381" s="540"/>
      <c r="U1381" s="541"/>
    </row>
    <row r="1382" spans="1:21" x14ac:dyDescent="0.25">
      <c r="A1382" s="542" t="s">
        <v>16</v>
      </c>
      <c r="B1382" s="543" t="s">
        <v>18</v>
      </c>
      <c r="C1382" s="543"/>
      <c r="D1382" s="543"/>
      <c r="E1382" s="543"/>
      <c r="F1382" s="543"/>
      <c r="G1382" s="543" t="s">
        <v>24</v>
      </c>
      <c r="H1382" s="543"/>
      <c r="I1382" s="543"/>
      <c r="J1382" s="543"/>
      <c r="K1382" s="543"/>
      <c r="L1382" s="543" t="s">
        <v>25</v>
      </c>
      <c r="M1382" s="543"/>
      <c r="N1382" s="543"/>
      <c r="O1382" s="543"/>
      <c r="P1382" s="543"/>
      <c r="Q1382" s="543" t="s">
        <v>26</v>
      </c>
      <c r="R1382" s="543"/>
      <c r="S1382" s="543"/>
      <c r="T1382" s="543"/>
      <c r="U1382" s="543"/>
    </row>
    <row r="1383" spans="1:21" x14ac:dyDescent="0.25">
      <c r="A1383" s="542"/>
      <c r="B1383" s="182" t="s">
        <v>19</v>
      </c>
      <c r="C1383" s="182" t="s">
        <v>20</v>
      </c>
      <c r="D1383" s="182" t="s">
        <v>21</v>
      </c>
      <c r="E1383" s="182" t="s">
        <v>22</v>
      </c>
      <c r="F1383" s="182" t="s">
        <v>23</v>
      </c>
      <c r="G1383" s="182" t="s">
        <v>19</v>
      </c>
      <c r="H1383" s="216" t="s">
        <v>20</v>
      </c>
      <c r="I1383" s="182" t="s">
        <v>21</v>
      </c>
      <c r="J1383" s="182" t="s">
        <v>22</v>
      </c>
      <c r="K1383" s="182" t="s">
        <v>23</v>
      </c>
      <c r="L1383" s="182" t="s">
        <v>19</v>
      </c>
      <c r="M1383" s="182" t="s">
        <v>20</v>
      </c>
      <c r="N1383" s="182" t="s">
        <v>21</v>
      </c>
      <c r="O1383" s="182" t="s">
        <v>22</v>
      </c>
      <c r="P1383" s="182" t="s">
        <v>23</v>
      </c>
      <c r="Q1383" s="182" t="s">
        <v>19</v>
      </c>
      <c r="R1383" s="182" t="s">
        <v>20</v>
      </c>
      <c r="S1383" s="182" t="s">
        <v>21</v>
      </c>
      <c r="T1383" s="182" t="s">
        <v>22</v>
      </c>
      <c r="U1383" s="211" t="s">
        <v>23</v>
      </c>
    </row>
    <row r="1384" spans="1:21" x14ac:dyDescent="0.25">
      <c r="A1384" s="183" t="s">
        <v>538</v>
      </c>
      <c r="B1384" s="182" t="s">
        <v>47</v>
      </c>
      <c r="C1384" s="182" t="s">
        <v>28</v>
      </c>
      <c r="D1384" s="182">
        <v>2</v>
      </c>
      <c r="E1384" s="182">
        <f>skilled</f>
        <v>1245</v>
      </c>
      <c r="F1384" s="184">
        <f>(D1384*E1384)</f>
        <v>2490</v>
      </c>
      <c r="G1384" s="182" t="s">
        <v>528</v>
      </c>
      <c r="H1384" s="216" t="s">
        <v>84</v>
      </c>
      <c r="I1384" s="182">
        <v>1.4</v>
      </c>
      <c r="L1384" s="182" t="s">
        <v>65</v>
      </c>
      <c r="M1384" s="182" t="s">
        <v>58</v>
      </c>
      <c r="N1384" s="182">
        <v>3</v>
      </c>
      <c r="O1384" s="182">
        <f>tractor</f>
        <v>868</v>
      </c>
      <c r="P1384" s="184">
        <f>(N1384*O1384)</f>
        <v>2604</v>
      </c>
    </row>
    <row r="1385" spans="1:21" x14ac:dyDescent="0.25">
      <c r="B1385" s="182" t="s">
        <v>29</v>
      </c>
      <c r="C1385" s="182" t="s">
        <v>28</v>
      </c>
      <c r="D1385" s="182">
        <v>7</v>
      </c>
      <c r="E1385" s="182">
        <f>unskilled</f>
        <v>935</v>
      </c>
      <c r="F1385" s="184">
        <f>(D1385*E1385)</f>
        <v>6545</v>
      </c>
      <c r="G1385" s="182" t="s">
        <v>529</v>
      </c>
      <c r="H1385" s="216" t="s">
        <v>84</v>
      </c>
      <c r="I1385" s="182">
        <v>2.38</v>
      </c>
    </row>
    <row r="1386" spans="1:21" x14ac:dyDescent="0.25">
      <c r="G1386" s="182" t="s">
        <v>530</v>
      </c>
      <c r="H1386" s="216" t="s">
        <v>35</v>
      </c>
      <c r="I1386" s="182">
        <v>8.2879999999999995E-2</v>
      </c>
      <c r="J1386" s="182">
        <f>adopted_rate_HYSD_bar</f>
        <v>100000</v>
      </c>
      <c r="K1386" s="182">
        <f>(I1386*J1386)</f>
        <v>8288</v>
      </c>
    </row>
    <row r="1387" spans="1:21" x14ac:dyDescent="0.25">
      <c r="G1387" s="182" t="s">
        <v>531</v>
      </c>
      <c r="H1387" s="216" t="s">
        <v>84</v>
      </c>
      <c r="I1387" s="182">
        <v>2.38</v>
      </c>
      <c r="J1387" s="183">
        <f>(K311/10)</f>
        <v>872.5</v>
      </c>
      <c r="K1387" s="184">
        <f>(I1387*J1387)</f>
        <v>2076.5499999999997</v>
      </c>
    </row>
    <row r="1388" spans="1:21" x14ac:dyDescent="0.25">
      <c r="G1388" s="182" t="s">
        <v>532</v>
      </c>
      <c r="H1388" s="216" t="s">
        <v>438</v>
      </c>
      <c r="I1388" s="182">
        <v>11.9</v>
      </c>
      <c r="J1388" s="183">
        <f>(K1259/10)</f>
        <v>914.8</v>
      </c>
      <c r="K1388" s="184">
        <f>(I1388*J1388)</f>
        <v>10886.119999999999</v>
      </c>
    </row>
    <row r="1389" spans="1:21" ht="31.5" x14ac:dyDescent="0.25">
      <c r="G1389" s="182" t="s">
        <v>533</v>
      </c>
      <c r="H1389" s="216" t="s">
        <v>539</v>
      </c>
      <c r="I1389" s="182">
        <v>1680</v>
      </c>
    </row>
    <row r="1390" spans="1:21" x14ac:dyDescent="0.25">
      <c r="G1390" s="182" t="s">
        <v>535</v>
      </c>
      <c r="H1390" s="216"/>
    </row>
    <row r="1391" spans="1:21" x14ac:dyDescent="0.25">
      <c r="A1391" s="537" t="s">
        <v>30</v>
      </c>
      <c r="B1391" s="537"/>
      <c r="C1391" s="537"/>
      <c r="D1391" s="537"/>
      <c r="E1391" s="537"/>
      <c r="F1391" s="184">
        <f>SUM(F1383:F1390)</f>
        <v>9035</v>
      </c>
      <c r="G1391" s="537" t="s">
        <v>31</v>
      </c>
      <c r="H1391" s="537"/>
      <c r="I1391" s="537"/>
      <c r="J1391" s="537"/>
      <c r="K1391" s="184">
        <f>SUM(K1383:K1390)</f>
        <v>21250.67</v>
      </c>
      <c r="L1391" s="537" t="s">
        <v>32</v>
      </c>
      <c r="M1391" s="537"/>
      <c r="N1391" s="537"/>
      <c r="O1391" s="537"/>
      <c r="P1391" s="184">
        <f>SUM(P1383:P1390)</f>
        <v>2604</v>
      </c>
      <c r="Q1391" s="537" t="s">
        <v>38</v>
      </c>
      <c r="R1391" s="537"/>
      <c r="S1391" s="537"/>
      <c r="T1391" s="537"/>
      <c r="U1391" s="223">
        <f>SUM(U1383:U1390)</f>
        <v>0</v>
      </c>
    </row>
    <row r="1392" spans="1:21" x14ac:dyDescent="0.25">
      <c r="A1392" s="537" t="s">
        <v>33</v>
      </c>
      <c r="B1392" s="537"/>
      <c r="C1392" s="537"/>
      <c r="D1392" s="537"/>
      <c r="E1392" s="537"/>
      <c r="F1392" s="184">
        <f>SUM(F1391+K1391+P1391)</f>
        <v>32889.67</v>
      </c>
      <c r="G1392" s="537" t="s">
        <v>39</v>
      </c>
      <c r="H1392" s="537"/>
      <c r="I1392" s="537"/>
      <c r="J1392" s="537"/>
      <c r="K1392" s="184">
        <f>SUM(F1391+K1391+P1391+U1391)</f>
        <v>32889.67</v>
      </c>
      <c r="L1392" s="537" t="s">
        <v>40</v>
      </c>
      <c r="M1392" s="537"/>
      <c r="N1392" s="537"/>
      <c r="O1392" s="537"/>
      <c r="P1392" s="184">
        <f>SUM(K1392*0.15)</f>
        <v>4933.4504999999999</v>
      </c>
      <c r="Q1392" s="537" t="s">
        <v>41</v>
      </c>
      <c r="R1392" s="537"/>
      <c r="S1392" s="537"/>
      <c r="T1392" s="537"/>
      <c r="U1392" s="223">
        <f>SUM(K1392+P1392)</f>
        <v>37823.120499999997</v>
      </c>
    </row>
    <row r="1393" spans="1:21" x14ac:dyDescent="0.25">
      <c r="Q1393" s="537" t="s">
        <v>42</v>
      </c>
      <c r="R1393" s="537"/>
      <c r="S1393" s="537"/>
      <c r="T1393" s="537"/>
      <c r="U1393" s="224">
        <f>ROUND((U1392/14),2)</f>
        <v>2701.65</v>
      </c>
    </row>
    <row r="1394" spans="1:21" x14ac:dyDescent="0.25">
      <c r="A1394" s="544"/>
      <c r="B1394" s="544"/>
      <c r="C1394" s="544"/>
      <c r="D1394" s="544"/>
      <c r="E1394" s="544"/>
      <c r="F1394" s="544"/>
      <c r="G1394" s="544"/>
      <c r="H1394" s="544"/>
      <c r="I1394" s="544"/>
      <c r="J1394" s="544"/>
      <c r="K1394" s="544"/>
      <c r="L1394" s="544"/>
      <c r="M1394" s="544"/>
      <c r="N1394" s="544"/>
      <c r="O1394" s="544"/>
      <c r="P1394" s="544"/>
      <c r="Q1394" s="544"/>
      <c r="R1394" s="544"/>
      <c r="S1394" s="544"/>
      <c r="T1394" s="544"/>
      <c r="U1394" s="544"/>
    </row>
    <row r="1395" spans="1:21" x14ac:dyDescent="0.25">
      <c r="A1395" s="538" t="s">
        <v>12</v>
      </c>
      <c r="B1395" s="538"/>
      <c r="C1395" s="540" t="s">
        <v>541</v>
      </c>
      <c r="D1395" s="540"/>
      <c r="E1395" s="540"/>
      <c r="F1395" s="540"/>
      <c r="G1395" s="540"/>
      <c r="H1395" s="540"/>
      <c r="I1395" s="540"/>
      <c r="J1395" s="540"/>
      <c r="K1395" s="540"/>
      <c r="L1395" s="540"/>
      <c r="M1395" s="540"/>
      <c r="N1395" s="540"/>
      <c r="O1395" s="540"/>
      <c r="P1395" s="540"/>
      <c r="Q1395" s="540"/>
      <c r="R1395" s="540"/>
      <c r="S1395" s="540"/>
      <c r="T1395" s="540"/>
      <c r="U1395" s="541" t="s">
        <v>542</v>
      </c>
    </row>
    <row r="1396" spans="1:21" x14ac:dyDescent="0.25">
      <c r="A1396" s="538"/>
      <c r="B1396" s="538"/>
      <c r="C1396" s="540"/>
      <c r="D1396" s="540"/>
      <c r="E1396" s="540"/>
      <c r="F1396" s="540"/>
      <c r="G1396" s="540"/>
      <c r="H1396" s="540"/>
      <c r="I1396" s="540"/>
      <c r="J1396" s="540"/>
      <c r="K1396" s="540"/>
      <c r="L1396" s="540"/>
      <c r="M1396" s="540"/>
      <c r="N1396" s="540"/>
      <c r="O1396" s="540"/>
      <c r="P1396" s="540"/>
      <c r="Q1396" s="540"/>
      <c r="R1396" s="540"/>
      <c r="S1396" s="540"/>
      <c r="T1396" s="540"/>
      <c r="U1396" s="541"/>
    </row>
    <row r="1397" spans="1:21" x14ac:dyDescent="0.25">
      <c r="A1397" s="539" t="s">
        <v>540</v>
      </c>
      <c r="B1397" s="539"/>
      <c r="C1397" s="540"/>
      <c r="D1397" s="540"/>
      <c r="E1397" s="540"/>
      <c r="F1397" s="540"/>
      <c r="G1397" s="540"/>
      <c r="H1397" s="540"/>
      <c r="I1397" s="540"/>
      <c r="J1397" s="540"/>
      <c r="K1397" s="540"/>
      <c r="L1397" s="540"/>
      <c r="M1397" s="540"/>
      <c r="N1397" s="540"/>
      <c r="O1397" s="540"/>
      <c r="P1397" s="540"/>
      <c r="Q1397" s="540"/>
      <c r="R1397" s="540"/>
      <c r="S1397" s="540"/>
      <c r="T1397" s="540"/>
      <c r="U1397" s="541"/>
    </row>
    <row r="1398" spans="1:21" x14ac:dyDescent="0.25">
      <c r="A1398" s="542" t="s">
        <v>16</v>
      </c>
      <c r="B1398" s="543" t="s">
        <v>18</v>
      </c>
      <c r="C1398" s="543"/>
      <c r="D1398" s="543"/>
      <c r="E1398" s="543"/>
      <c r="F1398" s="543"/>
      <c r="G1398" s="543" t="s">
        <v>24</v>
      </c>
      <c r="H1398" s="543"/>
      <c r="I1398" s="543"/>
      <c r="J1398" s="543"/>
      <c r="K1398" s="543"/>
      <c r="L1398" s="543" t="s">
        <v>25</v>
      </c>
      <c r="M1398" s="543"/>
      <c r="N1398" s="543"/>
      <c r="O1398" s="543"/>
      <c r="P1398" s="543"/>
      <c r="Q1398" s="543" t="s">
        <v>26</v>
      </c>
      <c r="R1398" s="543"/>
      <c r="S1398" s="543"/>
      <c r="T1398" s="543"/>
      <c r="U1398" s="543"/>
    </row>
    <row r="1399" spans="1:21" x14ac:dyDescent="0.25">
      <c r="A1399" s="542"/>
      <c r="B1399" s="182" t="s">
        <v>19</v>
      </c>
      <c r="C1399" s="182" t="s">
        <v>20</v>
      </c>
      <c r="D1399" s="182" t="s">
        <v>21</v>
      </c>
      <c r="E1399" s="182" t="s">
        <v>22</v>
      </c>
      <c r="F1399" s="182" t="s">
        <v>23</v>
      </c>
      <c r="G1399" s="182" t="s">
        <v>19</v>
      </c>
      <c r="H1399" s="216" t="s">
        <v>20</v>
      </c>
      <c r="I1399" s="182" t="s">
        <v>21</v>
      </c>
      <c r="J1399" s="182" t="s">
        <v>22</v>
      </c>
      <c r="K1399" s="182" t="s">
        <v>23</v>
      </c>
      <c r="L1399" s="182" t="s">
        <v>19</v>
      </c>
      <c r="M1399" s="182" t="s">
        <v>20</v>
      </c>
      <c r="N1399" s="182" t="s">
        <v>21</v>
      </c>
      <c r="O1399" s="182" t="s">
        <v>22</v>
      </c>
      <c r="P1399" s="182" t="s">
        <v>23</v>
      </c>
      <c r="Q1399" s="182" t="s">
        <v>19</v>
      </c>
      <c r="R1399" s="182" t="s">
        <v>20</v>
      </c>
      <c r="S1399" s="182" t="s">
        <v>21</v>
      </c>
      <c r="T1399" s="182" t="s">
        <v>22</v>
      </c>
      <c r="U1399" s="211" t="s">
        <v>23</v>
      </c>
    </row>
    <row r="1400" spans="1:21" ht="31.5" x14ac:dyDescent="0.25">
      <c r="A1400" s="183" t="s">
        <v>543</v>
      </c>
      <c r="B1400" s="182" t="s">
        <v>544</v>
      </c>
      <c r="C1400" s="182" t="s">
        <v>28</v>
      </c>
      <c r="D1400" s="182">
        <v>1</v>
      </c>
      <c r="E1400" s="182">
        <f>skilled_mason</f>
        <v>1245</v>
      </c>
      <c r="F1400" s="184">
        <f>(D1400*E1400)</f>
        <v>1245</v>
      </c>
      <c r="G1400" s="182" t="s">
        <v>528</v>
      </c>
      <c r="H1400" s="216" t="s">
        <v>84</v>
      </c>
      <c r="I1400" s="182">
        <v>1.01</v>
      </c>
      <c r="J1400" s="195">
        <f>rate_3</f>
        <v>12609.13</v>
      </c>
      <c r="K1400" s="182">
        <f>(I1400*J1400)</f>
        <v>12735.221299999999</v>
      </c>
      <c r="L1400" s="182" t="s">
        <v>65</v>
      </c>
      <c r="M1400" s="182" t="s">
        <v>58</v>
      </c>
      <c r="N1400" s="182">
        <v>3</v>
      </c>
      <c r="O1400" s="182">
        <f>tractor</f>
        <v>868</v>
      </c>
      <c r="P1400" s="184">
        <f>(N1400*O1400)</f>
        <v>2604</v>
      </c>
    </row>
    <row r="1401" spans="1:21" ht="47.25" x14ac:dyDescent="0.25">
      <c r="B1401" s="182" t="s">
        <v>29</v>
      </c>
      <c r="C1401" s="182" t="s">
        <v>28</v>
      </c>
      <c r="D1401" s="182">
        <v>7</v>
      </c>
      <c r="E1401" s="182">
        <f>unskilled</f>
        <v>935</v>
      </c>
      <c r="F1401" s="184">
        <f>(D1401*E1401)</f>
        <v>6545</v>
      </c>
      <c r="G1401" s="182" t="s">
        <v>545</v>
      </c>
      <c r="H1401" s="216" t="s">
        <v>35</v>
      </c>
      <c r="I1401" s="182">
        <v>0.1128</v>
      </c>
      <c r="J1401" s="182">
        <f>adopted_rate_HYSD_bar</f>
        <v>100000</v>
      </c>
      <c r="K1401" s="182">
        <f>(I1401*J1401)</f>
        <v>11280</v>
      </c>
    </row>
    <row r="1402" spans="1:21" x14ac:dyDescent="0.25">
      <c r="G1402" s="182" t="s">
        <v>531</v>
      </c>
      <c r="H1402" s="216" t="s">
        <v>84</v>
      </c>
      <c r="I1402" s="182">
        <v>0.47</v>
      </c>
      <c r="J1402" s="183">
        <f>(K311/10)</f>
        <v>872.5</v>
      </c>
      <c r="K1402" s="184">
        <f>(I1402*J1402)</f>
        <v>410.07499999999999</v>
      </c>
    </row>
    <row r="1403" spans="1:21" x14ac:dyDescent="0.25">
      <c r="G1403" s="182" t="s">
        <v>532</v>
      </c>
      <c r="H1403" s="216" t="s">
        <v>438</v>
      </c>
      <c r="I1403" s="182">
        <v>14.4</v>
      </c>
      <c r="J1403" s="183">
        <f>(K1259/10)</f>
        <v>914.8</v>
      </c>
      <c r="K1403" s="184">
        <f>(I1403*J1403)</f>
        <v>13173.119999999999</v>
      </c>
    </row>
    <row r="1404" spans="1:21" x14ac:dyDescent="0.25">
      <c r="G1404" s="182" t="s">
        <v>546</v>
      </c>
      <c r="H1404" s="216"/>
    </row>
    <row r="1405" spans="1:21" x14ac:dyDescent="0.25">
      <c r="A1405" s="537" t="s">
        <v>30</v>
      </c>
      <c r="B1405" s="537"/>
      <c r="C1405" s="537"/>
      <c r="D1405" s="537"/>
      <c r="E1405" s="537"/>
      <c r="F1405" s="184">
        <f>SUM(F1399:F1404)</f>
        <v>7790</v>
      </c>
      <c r="G1405" s="537" t="s">
        <v>31</v>
      </c>
      <c r="H1405" s="537"/>
      <c r="I1405" s="537"/>
      <c r="J1405" s="537"/>
      <c r="K1405" s="184">
        <f>SUM(K1399:K1404)</f>
        <v>37598.416299999997</v>
      </c>
      <c r="L1405" s="537" t="s">
        <v>32</v>
      </c>
      <c r="M1405" s="537"/>
      <c r="N1405" s="537"/>
      <c r="O1405" s="537"/>
      <c r="P1405" s="184">
        <f>SUM(P1399:P1404)</f>
        <v>2604</v>
      </c>
      <c r="Q1405" s="537" t="s">
        <v>38</v>
      </c>
      <c r="R1405" s="537"/>
      <c r="S1405" s="537"/>
      <c r="T1405" s="537"/>
      <c r="U1405" s="223">
        <f>SUM(U1399:U1404)</f>
        <v>0</v>
      </c>
    </row>
    <row r="1406" spans="1:21" x14ac:dyDescent="0.25">
      <c r="A1406" s="537" t="s">
        <v>33</v>
      </c>
      <c r="B1406" s="537"/>
      <c r="C1406" s="537"/>
      <c r="D1406" s="537"/>
      <c r="E1406" s="537"/>
      <c r="F1406" s="184">
        <f>SUM(F1405+K1405+P1405)</f>
        <v>47992.416299999997</v>
      </c>
      <c r="G1406" s="537" t="s">
        <v>39</v>
      </c>
      <c r="H1406" s="537"/>
      <c r="I1406" s="537"/>
      <c r="J1406" s="537"/>
      <c r="K1406" s="184">
        <f>SUM(F1405+K1405+P1405+U1405)</f>
        <v>47992.416299999997</v>
      </c>
      <c r="L1406" s="537" t="s">
        <v>40</v>
      </c>
      <c r="M1406" s="537"/>
      <c r="N1406" s="537"/>
      <c r="O1406" s="537"/>
      <c r="P1406" s="184">
        <f>SUM(K1406*0.15)</f>
        <v>7198.8624449999998</v>
      </c>
      <c r="Q1406" s="537" t="s">
        <v>41</v>
      </c>
      <c r="R1406" s="537"/>
      <c r="S1406" s="537"/>
      <c r="T1406" s="537"/>
      <c r="U1406" s="223">
        <f>SUM(K1406+P1406)</f>
        <v>55191.278744999996</v>
      </c>
    </row>
    <row r="1407" spans="1:21" x14ac:dyDescent="0.25">
      <c r="Q1407" s="537" t="s">
        <v>42</v>
      </c>
      <c r="R1407" s="537"/>
      <c r="S1407" s="537"/>
      <c r="T1407" s="537"/>
      <c r="U1407" s="224">
        <f>ROUND((U1406/30),2)</f>
        <v>1839.71</v>
      </c>
    </row>
    <row r="1408" spans="1:21" x14ac:dyDescent="0.25">
      <c r="A1408" s="544"/>
      <c r="B1408" s="544"/>
      <c r="C1408" s="544"/>
      <c r="D1408" s="544"/>
      <c r="E1408" s="544"/>
      <c r="F1408" s="544"/>
      <c r="G1408" s="544"/>
      <c r="H1408" s="544"/>
      <c r="I1408" s="544"/>
      <c r="J1408" s="544"/>
      <c r="K1408" s="544"/>
      <c r="L1408" s="544"/>
      <c r="M1408" s="544"/>
      <c r="N1408" s="544"/>
      <c r="O1408" s="544"/>
      <c r="P1408" s="544"/>
      <c r="Q1408" s="544"/>
      <c r="R1408" s="544"/>
      <c r="S1408" s="544"/>
      <c r="T1408" s="544"/>
      <c r="U1408" s="544"/>
    </row>
    <row r="1409" spans="1:21" x14ac:dyDescent="0.25">
      <c r="A1409" s="538" t="s">
        <v>12</v>
      </c>
      <c r="B1409" s="538"/>
      <c r="C1409" s="540" t="s">
        <v>548</v>
      </c>
      <c r="D1409" s="540"/>
      <c r="E1409" s="540"/>
      <c r="F1409" s="540"/>
      <c r="G1409" s="540"/>
      <c r="H1409" s="540"/>
      <c r="I1409" s="540"/>
      <c r="J1409" s="540"/>
      <c r="K1409" s="540"/>
      <c r="L1409" s="540"/>
      <c r="M1409" s="540"/>
      <c r="N1409" s="540"/>
      <c r="O1409" s="540"/>
      <c r="P1409" s="540"/>
      <c r="Q1409" s="540"/>
      <c r="R1409" s="540"/>
      <c r="S1409" s="540"/>
      <c r="T1409" s="540"/>
      <c r="U1409" s="541" t="s">
        <v>549</v>
      </c>
    </row>
    <row r="1410" spans="1:21" x14ac:dyDescent="0.25">
      <c r="A1410" s="538"/>
      <c r="B1410" s="538"/>
      <c r="C1410" s="540"/>
      <c r="D1410" s="540"/>
      <c r="E1410" s="540"/>
      <c r="F1410" s="540"/>
      <c r="G1410" s="540"/>
      <c r="H1410" s="540"/>
      <c r="I1410" s="540"/>
      <c r="J1410" s="540"/>
      <c r="K1410" s="540"/>
      <c r="L1410" s="540"/>
      <c r="M1410" s="540"/>
      <c r="N1410" s="540"/>
      <c r="O1410" s="540"/>
      <c r="P1410" s="540"/>
      <c r="Q1410" s="540"/>
      <c r="R1410" s="540"/>
      <c r="S1410" s="540"/>
      <c r="T1410" s="540"/>
      <c r="U1410" s="541"/>
    </row>
    <row r="1411" spans="1:21" x14ac:dyDescent="0.25">
      <c r="A1411" s="539" t="s">
        <v>547</v>
      </c>
      <c r="B1411" s="539"/>
      <c r="C1411" s="540"/>
      <c r="D1411" s="540"/>
      <c r="E1411" s="540"/>
      <c r="F1411" s="540"/>
      <c r="G1411" s="540"/>
      <c r="H1411" s="540"/>
      <c r="I1411" s="540"/>
      <c r="J1411" s="540"/>
      <c r="K1411" s="540"/>
      <c r="L1411" s="540"/>
      <c r="M1411" s="540"/>
      <c r="N1411" s="540"/>
      <c r="O1411" s="540"/>
      <c r="P1411" s="540"/>
      <c r="Q1411" s="540"/>
      <c r="R1411" s="540"/>
      <c r="S1411" s="540"/>
      <c r="T1411" s="540"/>
      <c r="U1411" s="541"/>
    </row>
    <row r="1412" spans="1:21" x14ac:dyDescent="0.25">
      <c r="A1412" s="542" t="s">
        <v>16</v>
      </c>
      <c r="B1412" s="543" t="s">
        <v>18</v>
      </c>
      <c r="C1412" s="543"/>
      <c r="D1412" s="543"/>
      <c r="E1412" s="543"/>
      <c r="F1412" s="543"/>
      <c r="G1412" s="543" t="s">
        <v>24</v>
      </c>
      <c r="H1412" s="543"/>
      <c r="I1412" s="543"/>
      <c r="J1412" s="543"/>
      <c r="K1412" s="543"/>
      <c r="L1412" s="543" t="s">
        <v>25</v>
      </c>
      <c r="M1412" s="543"/>
      <c r="N1412" s="543"/>
      <c r="O1412" s="543"/>
      <c r="P1412" s="543"/>
      <c r="Q1412" s="543" t="s">
        <v>26</v>
      </c>
      <c r="R1412" s="543"/>
      <c r="S1412" s="543"/>
      <c r="T1412" s="543"/>
      <c r="U1412" s="543"/>
    </row>
    <row r="1413" spans="1:21" x14ac:dyDescent="0.25">
      <c r="A1413" s="542"/>
      <c r="B1413" s="182" t="s">
        <v>19</v>
      </c>
      <c r="C1413" s="182" t="s">
        <v>20</v>
      </c>
      <c r="D1413" s="182" t="s">
        <v>21</v>
      </c>
      <c r="E1413" s="182" t="s">
        <v>22</v>
      </c>
      <c r="F1413" s="182" t="s">
        <v>23</v>
      </c>
      <c r="G1413" s="182" t="s">
        <v>19</v>
      </c>
      <c r="H1413" s="216" t="s">
        <v>20</v>
      </c>
      <c r="I1413" s="182" t="s">
        <v>21</v>
      </c>
      <c r="J1413" s="182" t="s">
        <v>22</v>
      </c>
      <c r="K1413" s="182" t="s">
        <v>23</v>
      </c>
      <c r="L1413" s="182" t="s">
        <v>19</v>
      </c>
      <c r="M1413" s="182" t="s">
        <v>20</v>
      </c>
      <c r="N1413" s="182" t="s">
        <v>21</v>
      </c>
      <c r="O1413" s="182" t="s">
        <v>22</v>
      </c>
      <c r="P1413" s="182" t="s">
        <v>23</v>
      </c>
      <c r="Q1413" s="182" t="s">
        <v>19</v>
      </c>
      <c r="R1413" s="182" t="s">
        <v>20</v>
      </c>
      <c r="S1413" s="182" t="s">
        <v>21</v>
      </c>
      <c r="T1413" s="182" t="s">
        <v>22</v>
      </c>
      <c r="U1413" s="211" t="s">
        <v>23</v>
      </c>
    </row>
    <row r="1414" spans="1:21" x14ac:dyDescent="0.25">
      <c r="A1414" s="183" t="s">
        <v>550</v>
      </c>
      <c r="B1414" s="182" t="s">
        <v>47</v>
      </c>
      <c r="C1414" s="182" t="s">
        <v>28</v>
      </c>
      <c r="D1414" s="182">
        <v>1</v>
      </c>
      <c r="E1414" s="182">
        <f>skilled</f>
        <v>1245</v>
      </c>
      <c r="F1414" s="184">
        <f>(D1414*E1414)</f>
        <v>1245</v>
      </c>
      <c r="G1414" s="182" t="s">
        <v>551</v>
      </c>
      <c r="H1414" s="216" t="s">
        <v>84</v>
      </c>
      <c r="I1414" s="182">
        <v>3</v>
      </c>
    </row>
    <row r="1415" spans="1:21" ht="31.5" x14ac:dyDescent="0.25">
      <c r="B1415" s="182" t="s">
        <v>29</v>
      </c>
      <c r="C1415" s="182" t="s">
        <v>28</v>
      </c>
      <c r="D1415" s="182">
        <v>2</v>
      </c>
      <c r="E1415" s="182">
        <f>unskilled</f>
        <v>935</v>
      </c>
      <c r="F1415" s="184">
        <f>(D1415*E1415)</f>
        <v>1870</v>
      </c>
      <c r="G1415" s="182" t="s">
        <v>552</v>
      </c>
      <c r="H1415" s="216" t="s">
        <v>35</v>
      </c>
      <c r="I1415" s="182">
        <v>0.28000000000000003</v>
      </c>
      <c r="J1415" s="182">
        <f>adopted_rate_HYSD_bar</f>
        <v>100000</v>
      </c>
      <c r="K1415" s="182">
        <f>(I1415*J1415)</f>
        <v>28000.000000000004</v>
      </c>
    </row>
    <row r="1416" spans="1:21" x14ac:dyDescent="0.25">
      <c r="G1416" s="182" t="s">
        <v>553</v>
      </c>
      <c r="H1416" s="216" t="s">
        <v>438</v>
      </c>
      <c r="I1416" s="182">
        <v>0.32</v>
      </c>
      <c r="J1416" s="182">
        <f>adopted_rate_pre_moulded_joint_filler</f>
        <v>0</v>
      </c>
      <c r="K1416" s="182">
        <f>(I1416*J1416)</f>
        <v>0</v>
      </c>
    </row>
    <row r="1417" spans="1:21" ht="31.5" x14ac:dyDescent="0.25">
      <c r="G1417" s="182" t="s">
        <v>554</v>
      </c>
      <c r="H1417" s="216"/>
      <c r="K1417" s="184">
        <f>(F1418*25/100)</f>
        <v>778.75</v>
      </c>
    </row>
    <row r="1418" spans="1:21" x14ac:dyDescent="0.25">
      <c r="A1418" s="537" t="s">
        <v>30</v>
      </c>
      <c r="B1418" s="537"/>
      <c r="C1418" s="537"/>
      <c r="D1418" s="537"/>
      <c r="E1418" s="537"/>
      <c r="F1418" s="184">
        <f>SUM(F1413:F1417)</f>
        <v>3115</v>
      </c>
      <c r="G1418" s="537" t="s">
        <v>31</v>
      </c>
      <c r="H1418" s="537"/>
      <c r="I1418" s="537"/>
      <c r="J1418" s="537"/>
      <c r="K1418" s="184">
        <f>SUM(K1413:K1417)</f>
        <v>28778.750000000004</v>
      </c>
      <c r="L1418" s="537" t="s">
        <v>32</v>
      </c>
      <c r="M1418" s="537"/>
      <c r="N1418" s="537"/>
      <c r="O1418" s="537"/>
      <c r="P1418" s="184">
        <f>SUM(P1413:P1417)</f>
        <v>0</v>
      </c>
      <c r="Q1418" s="537" t="s">
        <v>38</v>
      </c>
      <c r="R1418" s="537"/>
      <c r="S1418" s="537"/>
      <c r="T1418" s="537"/>
      <c r="U1418" s="223">
        <f>SUM(U1413:U1417)</f>
        <v>0</v>
      </c>
    </row>
    <row r="1419" spans="1:21" x14ac:dyDescent="0.25">
      <c r="A1419" s="537" t="s">
        <v>33</v>
      </c>
      <c r="B1419" s="537"/>
      <c r="C1419" s="537"/>
      <c r="D1419" s="537"/>
      <c r="E1419" s="537"/>
      <c r="F1419" s="184">
        <f>SUM(F1418+K1418+P1418)</f>
        <v>31893.750000000004</v>
      </c>
      <c r="G1419" s="537" t="s">
        <v>39</v>
      </c>
      <c r="H1419" s="537"/>
      <c r="I1419" s="537"/>
      <c r="J1419" s="537"/>
      <c r="K1419" s="184">
        <f>SUM(F1418+K1418+P1418+U1418)</f>
        <v>31893.750000000004</v>
      </c>
      <c r="L1419" s="537" t="s">
        <v>40</v>
      </c>
      <c r="M1419" s="537"/>
      <c r="N1419" s="537"/>
      <c r="O1419" s="537"/>
      <c r="P1419" s="184">
        <f>SUM(K1419*0.15)</f>
        <v>4784.0625</v>
      </c>
      <c r="Q1419" s="537" t="s">
        <v>41</v>
      </c>
      <c r="R1419" s="537"/>
      <c r="S1419" s="537"/>
      <c r="T1419" s="537"/>
      <c r="U1419" s="223">
        <f>SUM(K1419+P1419)</f>
        <v>36677.8125</v>
      </c>
    </row>
    <row r="1420" spans="1:21" x14ac:dyDescent="0.25">
      <c r="Q1420" s="537" t="s">
        <v>42</v>
      </c>
      <c r="R1420" s="537"/>
      <c r="S1420" s="537"/>
      <c r="T1420" s="537"/>
      <c r="U1420" s="224">
        <f>ROUND((U1419/10),2)</f>
        <v>3667.78</v>
      </c>
    </row>
    <row r="1421" spans="1:21" x14ac:dyDescent="0.25">
      <c r="A1421" s="544"/>
      <c r="B1421" s="544"/>
      <c r="C1421" s="544"/>
      <c r="D1421" s="544"/>
      <c r="E1421" s="544"/>
      <c r="F1421" s="544"/>
      <c r="G1421" s="544"/>
      <c r="H1421" s="544"/>
      <c r="I1421" s="544"/>
      <c r="J1421" s="544"/>
      <c r="K1421" s="544"/>
      <c r="L1421" s="544"/>
      <c r="M1421" s="544"/>
      <c r="N1421" s="544"/>
      <c r="O1421" s="544"/>
      <c r="P1421" s="544"/>
      <c r="Q1421" s="544"/>
      <c r="R1421" s="544"/>
      <c r="S1421" s="544"/>
      <c r="T1421" s="544"/>
      <c r="U1421" s="544"/>
    </row>
    <row r="1422" spans="1:21" x14ac:dyDescent="0.25">
      <c r="A1422" s="538" t="s">
        <v>12</v>
      </c>
      <c r="B1422" s="538"/>
      <c r="C1422" s="540" t="s">
        <v>555</v>
      </c>
      <c r="D1422" s="540"/>
      <c r="E1422" s="540"/>
      <c r="F1422" s="540"/>
      <c r="G1422" s="540"/>
      <c r="H1422" s="540"/>
      <c r="I1422" s="540"/>
      <c r="J1422" s="540"/>
      <c r="K1422" s="540"/>
      <c r="L1422" s="540"/>
      <c r="M1422" s="540"/>
      <c r="N1422" s="540"/>
      <c r="O1422" s="540"/>
      <c r="P1422" s="540"/>
      <c r="Q1422" s="540"/>
      <c r="R1422" s="540"/>
      <c r="S1422" s="540"/>
      <c r="T1422" s="540"/>
      <c r="U1422" s="541" t="s">
        <v>556</v>
      </c>
    </row>
    <row r="1423" spans="1:21" x14ac:dyDescent="0.25">
      <c r="A1423" s="538"/>
      <c r="B1423" s="538"/>
      <c r="C1423" s="540"/>
      <c r="D1423" s="540"/>
      <c r="E1423" s="540"/>
      <c r="F1423" s="540"/>
      <c r="G1423" s="540"/>
      <c r="H1423" s="540"/>
      <c r="I1423" s="540"/>
      <c r="J1423" s="540"/>
      <c r="K1423" s="540"/>
      <c r="L1423" s="540"/>
      <c r="M1423" s="540"/>
      <c r="N1423" s="540"/>
      <c r="O1423" s="540"/>
      <c r="P1423" s="540"/>
      <c r="Q1423" s="540"/>
      <c r="R1423" s="540"/>
      <c r="S1423" s="540"/>
      <c r="T1423" s="540"/>
      <c r="U1423" s="541"/>
    </row>
    <row r="1424" spans="1:21" x14ac:dyDescent="0.25">
      <c r="A1424" s="539" t="s">
        <v>494</v>
      </c>
      <c r="B1424" s="539"/>
      <c r="C1424" s="540"/>
      <c r="D1424" s="540"/>
      <c r="E1424" s="540"/>
      <c r="F1424" s="540"/>
      <c r="G1424" s="540"/>
      <c r="H1424" s="540"/>
      <c r="I1424" s="540"/>
      <c r="J1424" s="540"/>
      <c r="K1424" s="540"/>
      <c r="L1424" s="540"/>
      <c r="M1424" s="540"/>
      <c r="N1424" s="540"/>
      <c r="O1424" s="540"/>
      <c r="P1424" s="540"/>
      <c r="Q1424" s="540"/>
      <c r="R1424" s="540"/>
      <c r="S1424" s="540"/>
      <c r="T1424" s="540"/>
      <c r="U1424" s="541"/>
    </row>
    <row r="1425" spans="1:21" x14ac:dyDescent="0.25">
      <c r="A1425" s="542" t="s">
        <v>16</v>
      </c>
      <c r="B1425" s="543" t="s">
        <v>18</v>
      </c>
      <c r="C1425" s="543"/>
      <c r="D1425" s="543"/>
      <c r="E1425" s="543"/>
      <c r="F1425" s="543"/>
      <c r="G1425" s="543" t="s">
        <v>24</v>
      </c>
      <c r="H1425" s="543"/>
      <c r="I1425" s="543"/>
      <c r="J1425" s="543"/>
      <c r="K1425" s="543"/>
      <c r="L1425" s="543" t="s">
        <v>25</v>
      </c>
      <c r="M1425" s="543"/>
      <c r="N1425" s="543"/>
      <c r="O1425" s="543"/>
      <c r="P1425" s="543"/>
      <c r="Q1425" s="543" t="s">
        <v>26</v>
      </c>
      <c r="R1425" s="543"/>
      <c r="S1425" s="543"/>
      <c r="T1425" s="543"/>
      <c r="U1425" s="543"/>
    </row>
    <row r="1426" spans="1:21" x14ac:dyDescent="0.25">
      <c r="A1426" s="542"/>
      <c r="B1426" s="182" t="s">
        <v>19</v>
      </c>
      <c r="C1426" s="182" t="s">
        <v>20</v>
      </c>
      <c r="D1426" s="182" t="s">
        <v>21</v>
      </c>
      <c r="E1426" s="182" t="s">
        <v>22</v>
      </c>
      <c r="F1426" s="182" t="s">
        <v>23</v>
      </c>
      <c r="G1426" s="182" t="s">
        <v>19</v>
      </c>
      <c r="H1426" s="216" t="s">
        <v>20</v>
      </c>
      <c r="I1426" s="182" t="s">
        <v>21</v>
      </c>
      <c r="J1426" s="182" t="s">
        <v>22</v>
      </c>
      <c r="K1426" s="182" t="s">
        <v>23</v>
      </c>
      <c r="L1426" s="182" t="s">
        <v>19</v>
      </c>
      <c r="M1426" s="182" t="s">
        <v>20</v>
      </c>
      <c r="N1426" s="182" t="s">
        <v>21</v>
      </c>
      <c r="O1426" s="182" t="s">
        <v>22</v>
      </c>
      <c r="P1426" s="182" t="s">
        <v>23</v>
      </c>
      <c r="Q1426" s="182" t="s">
        <v>19</v>
      </c>
      <c r="R1426" s="182" t="s">
        <v>20</v>
      </c>
      <c r="S1426" s="182" t="s">
        <v>21</v>
      </c>
      <c r="T1426" s="182" t="s">
        <v>22</v>
      </c>
      <c r="U1426" s="211" t="s">
        <v>23</v>
      </c>
    </row>
    <row r="1427" spans="1:21" ht="31.5" x14ac:dyDescent="0.25">
      <c r="A1427" s="183" t="s">
        <v>557</v>
      </c>
      <c r="B1427" s="182" t="s">
        <v>27</v>
      </c>
      <c r="C1427" s="182" t="s">
        <v>28</v>
      </c>
      <c r="D1427" s="182">
        <v>1</v>
      </c>
      <c r="E1427" s="182">
        <f>skilled_blacksmith</f>
        <v>1245</v>
      </c>
      <c r="F1427" s="184">
        <f>(D1427*E1427)</f>
        <v>1245</v>
      </c>
      <c r="G1427" s="182" t="s">
        <v>558</v>
      </c>
      <c r="H1427" s="216" t="s">
        <v>144</v>
      </c>
      <c r="I1427" s="182">
        <v>563.61</v>
      </c>
      <c r="J1427" s="182">
        <f>adopted_rate_galvanized_corrugated_w_beam_sheet</f>
        <v>0</v>
      </c>
      <c r="K1427" s="182">
        <f>(I1427*J1427)</f>
        <v>0</v>
      </c>
      <c r="L1427" s="182" t="s">
        <v>65</v>
      </c>
      <c r="M1427" s="182" t="s">
        <v>58</v>
      </c>
      <c r="N1427" s="182">
        <v>3</v>
      </c>
      <c r="O1427" s="182">
        <f>tractor</f>
        <v>868</v>
      </c>
      <c r="P1427" s="184">
        <f>(N1427*O1427)</f>
        <v>2604</v>
      </c>
    </row>
    <row r="1428" spans="1:21" ht="31.5" x14ac:dyDescent="0.25">
      <c r="B1428" s="182" t="s">
        <v>29</v>
      </c>
      <c r="C1428" s="182" t="s">
        <v>28</v>
      </c>
      <c r="D1428" s="182">
        <v>10</v>
      </c>
      <c r="E1428" s="182">
        <f>unskilled</f>
        <v>935</v>
      </c>
      <c r="F1428" s="184">
        <f>(D1428*E1428)</f>
        <v>9350</v>
      </c>
      <c r="G1428" s="182" t="s">
        <v>559</v>
      </c>
      <c r="H1428" s="216" t="s">
        <v>144</v>
      </c>
      <c r="I1428" s="182">
        <v>695.52</v>
      </c>
      <c r="J1428" s="182">
        <f>adopted_rate_galvanized_channel_post</f>
        <v>0</v>
      </c>
      <c r="K1428" s="182">
        <f>(I1428*J1428)</f>
        <v>0</v>
      </c>
    </row>
    <row r="1429" spans="1:21" ht="31.5" x14ac:dyDescent="0.25">
      <c r="G1429" s="182" t="s">
        <v>560</v>
      </c>
      <c r="H1429" s="216" t="s">
        <v>144</v>
      </c>
      <c r="I1429" s="182">
        <v>127.51</v>
      </c>
      <c r="J1429" s="182">
        <f>adopted_rate_galvanized_spacer_channel</f>
        <v>0</v>
      </c>
      <c r="K1429" s="182">
        <f>(I1429*J1429)</f>
        <v>0</v>
      </c>
    </row>
    <row r="1430" spans="1:21" x14ac:dyDescent="0.25">
      <c r="G1430" s="182" t="s">
        <v>551</v>
      </c>
      <c r="H1430" s="216" t="s">
        <v>84</v>
      </c>
      <c r="I1430" s="182">
        <v>0.99</v>
      </c>
    </row>
    <row r="1431" spans="1:21" x14ac:dyDescent="0.25">
      <c r="G1431" s="182" t="s">
        <v>561</v>
      </c>
      <c r="H1431" s="216" t="s">
        <v>84</v>
      </c>
      <c r="I1431" s="182">
        <v>0.99</v>
      </c>
      <c r="J1431" s="183">
        <f>(K311/10)</f>
        <v>872.5</v>
      </c>
      <c r="K1431" s="184">
        <f>(I1431*J1431)</f>
        <v>863.77499999999998</v>
      </c>
    </row>
    <row r="1432" spans="1:21" ht="31.5" x14ac:dyDescent="0.25">
      <c r="G1432" s="182" t="s">
        <v>562</v>
      </c>
      <c r="H1432" s="216"/>
      <c r="K1432" s="184">
        <f>(SUM(K1427:K1429)*25/100)</f>
        <v>0</v>
      </c>
    </row>
    <row r="1433" spans="1:21" x14ac:dyDescent="0.25">
      <c r="A1433" s="537" t="s">
        <v>30</v>
      </c>
      <c r="B1433" s="537"/>
      <c r="C1433" s="537"/>
      <c r="D1433" s="537"/>
      <c r="E1433" s="537"/>
      <c r="F1433" s="184">
        <f>SUM(F1426:F1432)</f>
        <v>10595</v>
      </c>
      <c r="G1433" s="537" t="s">
        <v>31</v>
      </c>
      <c r="H1433" s="537"/>
      <c r="I1433" s="537"/>
      <c r="J1433" s="537"/>
      <c r="K1433" s="184">
        <f>SUM(K1426:K1432)</f>
        <v>863.77499999999998</v>
      </c>
      <c r="L1433" s="537" t="s">
        <v>32</v>
      </c>
      <c r="M1433" s="537"/>
      <c r="N1433" s="537"/>
      <c r="O1433" s="537"/>
      <c r="P1433" s="184">
        <f>SUM(P1426:P1432)</f>
        <v>2604</v>
      </c>
      <c r="Q1433" s="537" t="s">
        <v>38</v>
      </c>
      <c r="R1433" s="537"/>
      <c r="S1433" s="537"/>
      <c r="T1433" s="537"/>
      <c r="U1433" s="223">
        <f>SUM(U1426:U1432)</f>
        <v>0</v>
      </c>
    </row>
    <row r="1434" spans="1:21" x14ac:dyDescent="0.25">
      <c r="A1434" s="537" t="s">
        <v>33</v>
      </c>
      <c r="B1434" s="537"/>
      <c r="C1434" s="537"/>
      <c r="D1434" s="537"/>
      <c r="E1434" s="537"/>
      <c r="F1434" s="184">
        <f>SUM(F1433+K1433+P1433)</f>
        <v>14062.775</v>
      </c>
      <c r="G1434" s="537" t="s">
        <v>39</v>
      </c>
      <c r="H1434" s="537"/>
      <c r="I1434" s="537"/>
      <c r="J1434" s="537"/>
      <c r="K1434" s="184">
        <f>SUM(F1433+K1433+P1433+U1433)</f>
        <v>14062.775</v>
      </c>
      <c r="L1434" s="537" t="s">
        <v>40</v>
      </c>
      <c r="M1434" s="537"/>
      <c r="N1434" s="537"/>
      <c r="O1434" s="537"/>
      <c r="P1434" s="184">
        <f>SUM(K1434*0.15)</f>
        <v>2109.4162499999998</v>
      </c>
      <c r="Q1434" s="537" t="s">
        <v>41</v>
      </c>
      <c r="R1434" s="537"/>
      <c r="S1434" s="537"/>
      <c r="T1434" s="537"/>
      <c r="U1434" s="223">
        <f>SUM(K1434+P1434)</f>
        <v>16172.19125</v>
      </c>
    </row>
    <row r="1435" spans="1:21" x14ac:dyDescent="0.25">
      <c r="Q1435" s="537" t="s">
        <v>42</v>
      </c>
      <c r="R1435" s="537"/>
      <c r="S1435" s="537"/>
      <c r="T1435" s="537"/>
      <c r="U1435" s="224">
        <f>ROUND((U1434/40),2)</f>
        <v>404.3</v>
      </c>
    </row>
    <row r="1436" spans="1:21" x14ac:dyDescent="0.25">
      <c r="A1436" s="544"/>
      <c r="B1436" s="544"/>
      <c r="C1436" s="544"/>
      <c r="D1436" s="544"/>
      <c r="E1436" s="544"/>
      <c r="F1436" s="544"/>
      <c r="G1436" s="544"/>
      <c r="H1436" s="544"/>
      <c r="I1436" s="544"/>
      <c r="J1436" s="544"/>
      <c r="K1436" s="544"/>
      <c r="L1436" s="544"/>
      <c r="M1436" s="544"/>
      <c r="N1436" s="544"/>
      <c r="O1436" s="544"/>
      <c r="P1436" s="544"/>
      <c r="Q1436" s="544"/>
      <c r="R1436" s="544"/>
      <c r="S1436" s="544"/>
      <c r="T1436" s="544"/>
      <c r="U1436" s="544"/>
    </row>
    <row r="1437" spans="1:21" x14ac:dyDescent="0.25">
      <c r="A1437" s="538" t="s">
        <v>12</v>
      </c>
      <c r="B1437" s="538"/>
      <c r="C1437" s="540" t="s">
        <v>563</v>
      </c>
      <c r="D1437" s="540"/>
      <c r="E1437" s="540"/>
      <c r="F1437" s="540"/>
      <c r="G1437" s="540"/>
      <c r="H1437" s="540"/>
      <c r="I1437" s="540"/>
      <c r="J1437" s="540"/>
      <c r="K1437" s="540"/>
      <c r="L1437" s="540"/>
      <c r="M1437" s="540"/>
      <c r="N1437" s="540"/>
      <c r="O1437" s="540"/>
      <c r="P1437" s="540"/>
      <c r="Q1437" s="540"/>
      <c r="R1437" s="540"/>
      <c r="S1437" s="540"/>
      <c r="T1437" s="540"/>
      <c r="U1437" s="541" t="s">
        <v>556</v>
      </c>
    </row>
    <row r="1438" spans="1:21" x14ac:dyDescent="0.25">
      <c r="A1438" s="538"/>
      <c r="B1438" s="538"/>
      <c r="C1438" s="540"/>
      <c r="D1438" s="540"/>
      <c r="E1438" s="540"/>
      <c r="F1438" s="540"/>
      <c r="G1438" s="540"/>
      <c r="H1438" s="540"/>
      <c r="I1438" s="540"/>
      <c r="J1438" s="540"/>
      <c r="K1438" s="540"/>
      <c r="L1438" s="540"/>
      <c r="M1438" s="540"/>
      <c r="N1438" s="540"/>
      <c r="O1438" s="540"/>
      <c r="P1438" s="540"/>
      <c r="Q1438" s="540"/>
      <c r="R1438" s="540"/>
      <c r="S1438" s="540"/>
      <c r="T1438" s="540"/>
      <c r="U1438" s="541"/>
    </row>
    <row r="1439" spans="1:21" x14ac:dyDescent="0.25">
      <c r="A1439" s="539" t="s">
        <v>494</v>
      </c>
      <c r="B1439" s="539"/>
      <c r="C1439" s="540"/>
      <c r="D1439" s="540"/>
      <c r="E1439" s="540"/>
      <c r="F1439" s="540"/>
      <c r="G1439" s="540"/>
      <c r="H1439" s="540"/>
      <c r="I1439" s="540"/>
      <c r="J1439" s="540"/>
      <c r="K1439" s="540"/>
      <c r="L1439" s="540"/>
      <c r="M1439" s="540"/>
      <c r="N1439" s="540"/>
      <c r="O1439" s="540"/>
      <c r="P1439" s="540"/>
      <c r="Q1439" s="540"/>
      <c r="R1439" s="540"/>
      <c r="S1439" s="540"/>
      <c r="T1439" s="540"/>
      <c r="U1439" s="541"/>
    </row>
    <row r="1440" spans="1:21" x14ac:dyDescent="0.25">
      <c r="A1440" s="542" t="s">
        <v>16</v>
      </c>
      <c r="B1440" s="543" t="s">
        <v>18</v>
      </c>
      <c r="C1440" s="543"/>
      <c r="D1440" s="543"/>
      <c r="E1440" s="543"/>
      <c r="F1440" s="543"/>
      <c r="G1440" s="543" t="s">
        <v>24</v>
      </c>
      <c r="H1440" s="543"/>
      <c r="I1440" s="543"/>
      <c r="J1440" s="543"/>
      <c r="K1440" s="543"/>
      <c r="L1440" s="543" t="s">
        <v>25</v>
      </c>
      <c r="M1440" s="543"/>
      <c r="N1440" s="543"/>
      <c r="O1440" s="543"/>
      <c r="P1440" s="543"/>
      <c r="Q1440" s="543" t="s">
        <v>26</v>
      </c>
      <c r="R1440" s="543"/>
      <c r="S1440" s="543"/>
      <c r="T1440" s="543"/>
      <c r="U1440" s="543"/>
    </row>
    <row r="1441" spans="1:21" x14ac:dyDescent="0.25">
      <c r="A1441" s="542"/>
      <c r="B1441" s="182" t="s">
        <v>19</v>
      </c>
      <c r="C1441" s="182" t="s">
        <v>20</v>
      </c>
      <c r="D1441" s="182" t="s">
        <v>21</v>
      </c>
      <c r="E1441" s="182" t="s">
        <v>22</v>
      </c>
      <c r="F1441" s="182" t="s">
        <v>23</v>
      </c>
      <c r="G1441" s="182" t="s">
        <v>19</v>
      </c>
      <c r="H1441" s="216" t="s">
        <v>20</v>
      </c>
      <c r="I1441" s="182" t="s">
        <v>21</v>
      </c>
      <c r="J1441" s="182" t="s">
        <v>22</v>
      </c>
      <c r="K1441" s="182" t="s">
        <v>23</v>
      </c>
      <c r="L1441" s="182" t="s">
        <v>19</v>
      </c>
      <c r="M1441" s="182" t="s">
        <v>20</v>
      </c>
      <c r="N1441" s="182" t="s">
        <v>21</v>
      </c>
      <c r="O1441" s="182" t="s">
        <v>22</v>
      </c>
      <c r="P1441" s="182" t="s">
        <v>23</v>
      </c>
      <c r="Q1441" s="182" t="s">
        <v>19</v>
      </c>
      <c r="R1441" s="182" t="s">
        <v>20</v>
      </c>
      <c r="S1441" s="182" t="s">
        <v>21</v>
      </c>
      <c r="T1441" s="182" t="s">
        <v>22</v>
      </c>
      <c r="U1441" s="211" t="s">
        <v>23</v>
      </c>
    </row>
    <row r="1442" spans="1:21" ht="31.5" x14ac:dyDescent="0.25">
      <c r="A1442" s="183" t="s">
        <v>564</v>
      </c>
      <c r="B1442" s="182" t="s">
        <v>27</v>
      </c>
      <c r="C1442" s="182" t="s">
        <v>28</v>
      </c>
      <c r="D1442" s="182">
        <v>1</v>
      </c>
      <c r="E1442" s="182">
        <f>skilled_blacksmith</f>
        <v>1245</v>
      </c>
      <c r="F1442" s="184">
        <f>(D1442*E1442)</f>
        <v>1245</v>
      </c>
      <c r="G1442" s="182" t="s">
        <v>565</v>
      </c>
      <c r="H1442" s="216" t="s">
        <v>144</v>
      </c>
      <c r="I1442" s="182">
        <v>913.19</v>
      </c>
      <c r="J1442" s="182">
        <f>adopted_rate_galvanized_corrugated_thrie_beam</f>
        <v>0</v>
      </c>
      <c r="K1442" s="182">
        <f>(I1442*J1442)</f>
        <v>0</v>
      </c>
      <c r="L1442" s="182" t="s">
        <v>65</v>
      </c>
      <c r="M1442" s="182" t="s">
        <v>58</v>
      </c>
      <c r="N1442" s="182">
        <v>3</v>
      </c>
      <c r="O1442" s="182">
        <f>tractor</f>
        <v>868</v>
      </c>
      <c r="P1442" s="184">
        <f>(N1442*O1442)</f>
        <v>2604</v>
      </c>
    </row>
    <row r="1443" spans="1:21" ht="31.5" x14ac:dyDescent="0.25">
      <c r="B1443" s="182" t="s">
        <v>29</v>
      </c>
      <c r="C1443" s="182" t="s">
        <v>28</v>
      </c>
      <c r="D1443" s="182">
        <v>12</v>
      </c>
      <c r="E1443" s="182">
        <f>unskilled</f>
        <v>935</v>
      </c>
      <c r="F1443" s="184">
        <f>(D1443*E1443)</f>
        <v>11220</v>
      </c>
      <c r="G1443" s="182" t="s">
        <v>559</v>
      </c>
      <c r="H1443" s="216" t="s">
        <v>144</v>
      </c>
      <c r="I1443" s="182">
        <v>811.44</v>
      </c>
      <c r="J1443" s="182">
        <f>adopted_rate_galvanized_channel_post</f>
        <v>0</v>
      </c>
      <c r="K1443" s="182">
        <f>(I1443*J1443)</f>
        <v>0</v>
      </c>
    </row>
    <row r="1444" spans="1:21" ht="31.5" x14ac:dyDescent="0.25">
      <c r="G1444" s="182" t="s">
        <v>560</v>
      </c>
      <c r="H1444" s="216" t="s">
        <v>144</v>
      </c>
      <c r="I1444" s="182">
        <v>137.63999999999999</v>
      </c>
      <c r="J1444" s="182">
        <f>adopted_rate_galvanized_spacer_channel</f>
        <v>0</v>
      </c>
      <c r="K1444" s="182">
        <f>(I1444*J1444)</f>
        <v>0</v>
      </c>
    </row>
    <row r="1445" spans="1:21" x14ac:dyDescent="0.25">
      <c r="G1445" s="182" t="s">
        <v>551</v>
      </c>
      <c r="H1445" s="216" t="s">
        <v>84</v>
      </c>
      <c r="I1445" s="182">
        <v>1.1299999999999999</v>
      </c>
    </row>
    <row r="1446" spans="1:21" x14ac:dyDescent="0.25">
      <c r="G1446" s="182" t="s">
        <v>561</v>
      </c>
      <c r="H1446" s="216" t="s">
        <v>84</v>
      </c>
      <c r="I1446" s="182">
        <v>1.1299999999999999</v>
      </c>
      <c r="J1446" s="183">
        <f>(K311/10)</f>
        <v>872.5</v>
      </c>
      <c r="K1446" s="184">
        <f>(I1446*J1446)</f>
        <v>985.92499999999995</v>
      </c>
    </row>
    <row r="1447" spans="1:21" ht="31.5" x14ac:dyDescent="0.25">
      <c r="G1447" s="182" t="s">
        <v>562</v>
      </c>
      <c r="H1447" s="216"/>
      <c r="K1447" s="184">
        <f>(SUM(K1442:K1444)*25/100)</f>
        <v>0</v>
      </c>
    </row>
    <row r="1448" spans="1:21" x14ac:dyDescent="0.25">
      <c r="A1448" s="537" t="s">
        <v>30</v>
      </c>
      <c r="B1448" s="537"/>
      <c r="C1448" s="537"/>
      <c r="D1448" s="537"/>
      <c r="E1448" s="537"/>
      <c r="F1448" s="184">
        <f>SUM(F1441:F1447)</f>
        <v>12465</v>
      </c>
      <c r="G1448" s="537" t="s">
        <v>31</v>
      </c>
      <c r="H1448" s="537"/>
      <c r="I1448" s="537"/>
      <c r="J1448" s="537"/>
      <c r="K1448" s="184">
        <f>SUM(K1441:K1447)</f>
        <v>985.92499999999995</v>
      </c>
      <c r="L1448" s="537" t="s">
        <v>32</v>
      </c>
      <c r="M1448" s="537"/>
      <c r="N1448" s="537"/>
      <c r="O1448" s="537"/>
      <c r="P1448" s="184">
        <f>SUM(P1441:P1447)</f>
        <v>2604</v>
      </c>
      <c r="Q1448" s="537" t="s">
        <v>38</v>
      </c>
      <c r="R1448" s="537"/>
      <c r="S1448" s="537"/>
      <c r="T1448" s="537"/>
      <c r="U1448" s="223">
        <f>SUM(U1441:U1447)</f>
        <v>0</v>
      </c>
    </row>
    <row r="1449" spans="1:21" x14ac:dyDescent="0.25">
      <c r="A1449" s="537" t="s">
        <v>33</v>
      </c>
      <c r="B1449" s="537"/>
      <c r="C1449" s="537"/>
      <c r="D1449" s="537"/>
      <c r="E1449" s="537"/>
      <c r="F1449" s="184">
        <f>SUM(F1448+K1448+P1448)</f>
        <v>16054.924999999999</v>
      </c>
      <c r="G1449" s="537" t="s">
        <v>39</v>
      </c>
      <c r="H1449" s="537"/>
      <c r="I1449" s="537"/>
      <c r="J1449" s="537"/>
      <c r="K1449" s="184">
        <f>SUM(F1448+K1448+P1448+U1448)</f>
        <v>16054.924999999999</v>
      </c>
      <c r="L1449" s="537" t="s">
        <v>40</v>
      </c>
      <c r="M1449" s="537"/>
      <c r="N1449" s="537"/>
      <c r="O1449" s="537"/>
      <c r="P1449" s="184">
        <f>SUM(K1449*0.15)</f>
        <v>2408.23875</v>
      </c>
      <c r="Q1449" s="537" t="s">
        <v>41</v>
      </c>
      <c r="R1449" s="537"/>
      <c r="S1449" s="537"/>
      <c r="T1449" s="537"/>
      <c r="U1449" s="223">
        <f>SUM(K1449+P1449)</f>
        <v>18463.16375</v>
      </c>
    </row>
    <row r="1450" spans="1:21" x14ac:dyDescent="0.25">
      <c r="Q1450" s="537" t="s">
        <v>42</v>
      </c>
      <c r="R1450" s="537"/>
      <c r="S1450" s="537"/>
      <c r="T1450" s="537"/>
      <c r="U1450" s="224">
        <f>ROUND((U1449/40),2)</f>
        <v>461.58</v>
      </c>
    </row>
    <row r="1451" spans="1:21" x14ac:dyDescent="0.25">
      <c r="A1451" s="544"/>
      <c r="B1451" s="544"/>
      <c r="C1451" s="544"/>
      <c r="D1451" s="544"/>
      <c r="E1451" s="544"/>
      <c r="F1451" s="544"/>
      <c r="G1451" s="544"/>
      <c r="H1451" s="544"/>
      <c r="I1451" s="544"/>
      <c r="J1451" s="544"/>
      <c r="K1451" s="544"/>
      <c r="L1451" s="544"/>
      <c r="M1451" s="544"/>
      <c r="N1451" s="544"/>
      <c r="O1451" s="544"/>
      <c r="P1451" s="544"/>
      <c r="Q1451" s="544"/>
      <c r="R1451" s="544"/>
      <c r="S1451" s="544"/>
      <c r="T1451" s="544"/>
      <c r="U1451" s="544"/>
    </row>
    <row r="1452" spans="1:21" x14ac:dyDescent="0.25">
      <c r="A1452" s="538" t="s">
        <v>12</v>
      </c>
      <c r="B1452" s="538"/>
      <c r="C1452" s="540" t="s">
        <v>566</v>
      </c>
      <c r="D1452" s="540"/>
      <c r="E1452" s="540"/>
      <c r="F1452" s="540"/>
      <c r="G1452" s="540"/>
      <c r="H1452" s="540"/>
      <c r="I1452" s="540"/>
      <c r="J1452" s="540"/>
      <c r="K1452" s="540"/>
      <c r="L1452" s="540"/>
      <c r="M1452" s="540"/>
      <c r="N1452" s="540"/>
      <c r="O1452" s="540"/>
      <c r="P1452" s="540"/>
      <c r="Q1452" s="540"/>
      <c r="R1452" s="540"/>
      <c r="S1452" s="540"/>
      <c r="T1452" s="540"/>
      <c r="U1452" s="541" t="s">
        <v>567</v>
      </c>
    </row>
    <row r="1453" spans="1:21" x14ac:dyDescent="0.25">
      <c r="A1453" s="538"/>
      <c r="B1453" s="538"/>
      <c r="C1453" s="540"/>
      <c r="D1453" s="540"/>
      <c r="E1453" s="540"/>
      <c r="F1453" s="540"/>
      <c r="G1453" s="540"/>
      <c r="H1453" s="540"/>
      <c r="I1453" s="540"/>
      <c r="J1453" s="540"/>
      <c r="K1453" s="540"/>
      <c r="L1453" s="540"/>
      <c r="M1453" s="540"/>
      <c r="N1453" s="540"/>
      <c r="O1453" s="540"/>
      <c r="P1453" s="540"/>
      <c r="Q1453" s="540"/>
      <c r="R1453" s="540"/>
      <c r="S1453" s="540"/>
      <c r="T1453" s="540"/>
      <c r="U1453" s="541"/>
    </row>
    <row r="1454" spans="1:21" x14ac:dyDescent="0.25">
      <c r="A1454" s="539" t="s">
        <v>494</v>
      </c>
      <c r="B1454" s="539"/>
      <c r="C1454" s="540"/>
      <c r="D1454" s="540"/>
      <c r="E1454" s="540"/>
      <c r="F1454" s="540"/>
      <c r="G1454" s="540"/>
      <c r="H1454" s="540"/>
      <c r="I1454" s="540"/>
      <c r="J1454" s="540"/>
      <c r="K1454" s="540"/>
      <c r="L1454" s="540"/>
      <c r="M1454" s="540"/>
      <c r="N1454" s="540"/>
      <c r="O1454" s="540"/>
      <c r="P1454" s="540"/>
      <c r="Q1454" s="540"/>
      <c r="R1454" s="540"/>
      <c r="S1454" s="540"/>
      <c r="T1454" s="540"/>
      <c r="U1454" s="541"/>
    </row>
    <row r="1455" spans="1:21" x14ac:dyDescent="0.25">
      <c r="A1455" s="542" t="s">
        <v>16</v>
      </c>
      <c r="B1455" s="543" t="s">
        <v>18</v>
      </c>
      <c r="C1455" s="543"/>
      <c r="D1455" s="543"/>
      <c r="E1455" s="543"/>
      <c r="F1455" s="543"/>
      <c r="G1455" s="543" t="s">
        <v>24</v>
      </c>
      <c r="H1455" s="543"/>
      <c r="I1455" s="543"/>
      <c r="J1455" s="543"/>
      <c r="K1455" s="543"/>
      <c r="L1455" s="543" t="s">
        <v>25</v>
      </c>
      <c r="M1455" s="543"/>
      <c r="N1455" s="543"/>
      <c r="O1455" s="543"/>
      <c r="P1455" s="543"/>
      <c r="Q1455" s="543" t="s">
        <v>26</v>
      </c>
      <c r="R1455" s="543"/>
      <c r="S1455" s="543"/>
      <c r="T1455" s="543"/>
      <c r="U1455" s="543"/>
    </row>
    <row r="1456" spans="1:21" x14ac:dyDescent="0.25">
      <c r="A1456" s="542"/>
      <c r="B1456" s="182" t="s">
        <v>19</v>
      </c>
      <c r="C1456" s="182" t="s">
        <v>20</v>
      </c>
      <c r="D1456" s="182" t="s">
        <v>21</v>
      </c>
      <c r="E1456" s="182" t="s">
        <v>22</v>
      </c>
      <c r="F1456" s="182" t="s">
        <v>23</v>
      </c>
      <c r="G1456" s="182" t="s">
        <v>19</v>
      </c>
      <c r="H1456" s="216" t="s">
        <v>20</v>
      </c>
      <c r="I1456" s="182" t="s">
        <v>21</v>
      </c>
      <c r="J1456" s="182" t="s">
        <v>22</v>
      </c>
      <c r="K1456" s="182" t="s">
        <v>23</v>
      </c>
      <c r="L1456" s="182" t="s">
        <v>19</v>
      </c>
      <c r="M1456" s="182" t="s">
        <v>20</v>
      </c>
      <c r="N1456" s="182" t="s">
        <v>21</v>
      </c>
      <c r="O1456" s="182" t="s">
        <v>22</v>
      </c>
      <c r="P1456" s="182" t="s">
        <v>23</v>
      </c>
      <c r="Q1456" s="182" t="s">
        <v>19</v>
      </c>
      <c r="R1456" s="182" t="s">
        <v>20</v>
      </c>
      <c r="S1456" s="182" t="s">
        <v>21</v>
      </c>
      <c r="T1456" s="182" t="s">
        <v>22</v>
      </c>
      <c r="U1456" s="211" t="s">
        <v>23</v>
      </c>
    </row>
    <row r="1457" spans="1:21" x14ac:dyDescent="0.25">
      <c r="A1457" s="183" t="s">
        <v>568</v>
      </c>
      <c r="B1457" s="182" t="s">
        <v>29</v>
      </c>
      <c r="C1457" s="182" t="s">
        <v>28</v>
      </c>
      <c r="D1457" s="182">
        <v>4</v>
      </c>
      <c r="E1457" s="182">
        <f>unskilled</f>
        <v>935</v>
      </c>
      <c r="F1457" s="184">
        <f>(D1457*E1457)</f>
        <v>3740</v>
      </c>
      <c r="G1457" s="182" t="s">
        <v>569</v>
      </c>
      <c r="H1457" s="216" t="s">
        <v>144</v>
      </c>
      <c r="I1457" s="182">
        <v>190</v>
      </c>
      <c r="J1457" s="182">
        <f>adopted_rate_RS_joist</f>
        <v>0</v>
      </c>
      <c r="K1457" s="182">
        <f>(I1457*J1457)</f>
        <v>0</v>
      </c>
      <c r="L1457" s="182" t="s">
        <v>65</v>
      </c>
      <c r="M1457" s="182" t="s">
        <v>58</v>
      </c>
      <c r="N1457" s="182">
        <v>3</v>
      </c>
      <c r="O1457" s="182">
        <f>tractor</f>
        <v>868</v>
      </c>
      <c r="P1457" s="184">
        <f>(N1457*O1457)</f>
        <v>2604</v>
      </c>
    </row>
    <row r="1458" spans="1:21" ht="31.5" x14ac:dyDescent="0.25">
      <c r="B1458" s="182" t="s">
        <v>27</v>
      </c>
      <c r="C1458" s="182" t="s">
        <v>28</v>
      </c>
      <c r="D1458" s="182">
        <v>2</v>
      </c>
      <c r="E1458" s="182">
        <f>skilled_blacksmith</f>
        <v>1245</v>
      </c>
      <c r="F1458" s="184">
        <f>(D1458*E1458)</f>
        <v>2490</v>
      </c>
      <c r="G1458" s="182" t="s">
        <v>570</v>
      </c>
      <c r="H1458" s="216" t="s">
        <v>144</v>
      </c>
      <c r="I1458" s="182">
        <v>46</v>
      </c>
      <c r="J1458" s="182">
        <f>adopted_rate_struts</f>
        <v>0</v>
      </c>
      <c r="K1458" s="182">
        <f>(I1458*J1458)</f>
        <v>0</v>
      </c>
    </row>
    <row r="1459" spans="1:21" ht="31.5" x14ac:dyDescent="0.25">
      <c r="G1459" s="182" t="s">
        <v>571</v>
      </c>
      <c r="H1459" s="216" t="s">
        <v>144</v>
      </c>
      <c r="I1459" s="182">
        <v>188.4</v>
      </c>
      <c r="J1459" s="182">
        <f>adopted_rate_ms_plate</f>
        <v>0</v>
      </c>
      <c r="K1459" s="182">
        <f>(I1459*J1459)</f>
        <v>0</v>
      </c>
    </row>
    <row r="1460" spans="1:21" x14ac:dyDescent="0.25">
      <c r="G1460" s="182" t="s">
        <v>572</v>
      </c>
      <c r="H1460" s="216" t="s">
        <v>144</v>
      </c>
      <c r="I1460" s="182">
        <v>65</v>
      </c>
      <c r="J1460" s="182">
        <f>adopted_rate_steel_wire_40_mm</f>
        <v>0</v>
      </c>
      <c r="K1460" s="182">
        <f>(I1460*J1460)</f>
        <v>0</v>
      </c>
    </row>
    <row r="1461" spans="1:21" x14ac:dyDescent="0.25">
      <c r="G1461" s="182" t="s">
        <v>551</v>
      </c>
      <c r="H1461" s="216" t="s">
        <v>84</v>
      </c>
      <c r="I1461" s="182">
        <v>1.1299999999999999</v>
      </c>
    </row>
    <row r="1462" spans="1:21" x14ac:dyDescent="0.25">
      <c r="G1462" s="182" t="s">
        <v>561</v>
      </c>
      <c r="H1462" s="216" t="s">
        <v>84</v>
      </c>
      <c r="I1462" s="182">
        <v>1.1299999999999999</v>
      </c>
      <c r="J1462" s="183">
        <f>(K311/10)</f>
        <v>872.5</v>
      </c>
      <c r="K1462" s="184">
        <f>(I1462*J1462)</f>
        <v>985.92499999999995</v>
      </c>
    </row>
    <row r="1463" spans="1:21" ht="47.25" x14ac:dyDescent="0.25">
      <c r="G1463" s="182" t="s">
        <v>573</v>
      </c>
      <c r="H1463" s="216"/>
      <c r="K1463" s="184">
        <f>(SUM(K1457:K1460)*5/100)</f>
        <v>0</v>
      </c>
    </row>
    <row r="1464" spans="1:21" ht="31.5" x14ac:dyDescent="0.25">
      <c r="G1464" s="182" t="s">
        <v>574</v>
      </c>
      <c r="H1464" s="216" t="s">
        <v>438</v>
      </c>
      <c r="I1464" s="182">
        <v>16.5</v>
      </c>
      <c r="J1464" s="183">
        <f>(K1271/20)</f>
        <v>174.07499999999999</v>
      </c>
      <c r="K1464" s="184">
        <f>(I1464*J1464)</f>
        <v>2872.2374999999997</v>
      </c>
    </row>
    <row r="1465" spans="1:21" x14ac:dyDescent="0.25">
      <c r="A1465" s="537" t="s">
        <v>30</v>
      </c>
      <c r="B1465" s="537"/>
      <c r="C1465" s="537"/>
      <c r="D1465" s="537"/>
      <c r="E1465" s="537"/>
      <c r="F1465" s="184">
        <f>SUM(F1456:F1464)</f>
        <v>6230</v>
      </c>
      <c r="G1465" s="537" t="s">
        <v>31</v>
      </c>
      <c r="H1465" s="537"/>
      <c r="I1465" s="537"/>
      <c r="J1465" s="537"/>
      <c r="K1465" s="184">
        <f>SUM(K1456:K1464)</f>
        <v>3858.1624999999995</v>
      </c>
      <c r="L1465" s="537" t="s">
        <v>32</v>
      </c>
      <c r="M1465" s="537"/>
      <c r="N1465" s="537"/>
      <c r="O1465" s="537"/>
      <c r="P1465" s="184">
        <f>SUM(P1456:P1464)</f>
        <v>2604</v>
      </c>
      <c r="Q1465" s="537" t="s">
        <v>38</v>
      </c>
      <c r="R1465" s="537"/>
      <c r="S1465" s="537"/>
      <c r="T1465" s="537"/>
      <c r="U1465" s="223">
        <f>SUM(U1456:U1464)</f>
        <v>0</v>
      </c>
    </row>
    <row r="1466" spans="1:21" x14ac:dyDescent="0.25">
      <c r="A1466" s="537" t="s">
        <v>33</v>
      </c>
      <c r="B1466" s="537"/>
      <c r="C1466" s="537"/>
      <c r="D1466" s="537"/>
      <c r="E1466" s="537"/>
      <c r="F1466" s="184">
        <f>SUM(F1465+K1465+P1465)</f>
        <v>12692.162499999999</v>
      </c>
      <c r="G1466" s="537" t="s">
        <v>39</v>
      </c>
      <c r="H1466" s="537"/>
      <c r="I1466" s="537"/>
      <c r="J1466" s="537"/>
      <c r="K1466" s="184">
        <f>SUM(F1465+K1465+P1465+U1465)</f>
        <v>12692.162499999999</v>
      </c>
      <c r="L1466" s="537" t="s">
        <v>40</v>
      </c>
      <c r="M1466" s="537"/>
      <c r="N1466" s="537"/>
      <c r="O1466" s="537"/>
      <c r="P1466" s="184">
        <f>SUM(K1466*0.15)</f>
        <v>1903.8243749999997</v>
      </c>
      <c r="Q1466" s="537" t="s">
        <v>41</v>
      </c>
      <c r="R1466" s="537"/>
      <c r="S1466" s="537"/>
      <c r="T1466" s="537"/>
      <c r="U1466" s="223">
        <f>SUM(K1466+P1466)</f>
        <v>14595.986874999999</v>
      </c>
    </row>
    <row r="1467" spans="1:21" x14ac:dyDescent="0.25">
      <c r="Q1467" s="537" t="s">
        <v>42</v>
      </c>
      <c r="R1467" s="537"/>
      <c r="S1467" s="537"/>
      <c r="T1467" s="537"/>
      <c r="U1467" s="224">
        <f>ROUND((U1466/15),2)</f>
        <v>973.07</v>
      </c>
    </row>
    <row r="1468" spans="1:21" x14ac:dyDescent="0.25">
      <c r="A1468" s="544"/>
      <c r="B1468" s="544"/>
      <c r="C1468" s="544"/>
      <c r="D1468" s="544"/>
      <c r="E1468" s="544"/>
      <c r="F1468" s="544"/>
      <c r="G1468" s="544"/>
      <c r="H1468" s="544"/>
      <c r="I1468" s="544"/>
      <c r="J1468" s="544"/>
      <c r="K1468" s="544"/>
      <c r="L1468" s="544"/>
      <c r="M1468" s="544"/>
      <c r="N1468" s="544"/>
      <c r="O1468" s="544"/>
      <c r="P1468" s="544"/>
      <c r="Q1468" s="544"/>
      <c r="R1468" s="544"/>
      <c r="S1468" s="544"/>
      <c r="T1468" s="544"/>
      <c r="U1468" s="544"/>
    </row>
    <row r="1469" spans="1:21" x14ac:dyDescent="0.25">
      <c r="A1469" s="538" t="s">
        <v>12</v>
      </c>
      <c r="B1469" s="538"/>
      <c r="C1469" s="540" t="s">
        <v>576</v>
      </c>
      <c r="D1469" s="540"/>
      <c r="E1469" s="540"/>
      <c r="F1469" s="540"/>
      <c r="G1469" s="540"/>
      <c r="H1469" s="540"/>
      <c r="I1469" s="540"/>
      <c r="J1469" s="540"/>
      <c r="K1469" s="540"/>
      <c r="L1469" s="540"/>
      <c r="M1469" s="540"/>
      <c r="N1469" s="540"/>
      <c r="O1469" s="540"/>
      <c r="P1469" s="540"/>
      <c r="Q1469" s="540"/>
      <c r="R1469" s="540"/>
      <c r="S1469" s="540"/>
      <c r="T1469" s="540"/>
      <c r="U1469" s="541" t="s">
        <v>549</v>
      </c>
    </row>
    <row r="1470" spans="1:21" x14ac:dyDescent="0.25">
      <c r="A1470" s="538"/>
      <c r="B1470" s="538"/>
      <c r="C1470" s="540"/>
      <c r="D1470" s="540"/>
      <c r="E1470" s="540"/>
      <c r="F1470" s="540"/>
      <c r="G1470" s="540"/>
      <c r="H1470" s="540"/>
      <c r="I1470" s="540"/>
      <c r="J1470" s="540"/>
      <c r="K1470" s="540"/>
      <c r="L1470" s="540"/>
      <c r="M1470" s="540"/>
      <c r="N1470" s="540"/>
      <c r="O1470" s="540"/>
      <c r="P1470" s="540"/>
      <c r="Q1470" s="540"/>
      <c r="R1470" s="540"/>
      <c r="S1470" s="540"/>
      <c r="T1470" s="540"/>
      <c r="U1470" s="541"/>
    </row>
    <row r="1471" spans="1:21" x14ac:dyDescent="0.25">
      <c r="A1471" s="539" t="s">
        <v>575</v>
      </c>
      <c r="B1471" s="539"/>
      <c r="C1471" s="540"/>
      <c r="D1471" s="540"/>
      <c r="E1471" s="540"/>
      <c r="F1471" s="540"/>
      <c r="G1471" s="540"/>
      <c r="H1471" s="540"/>
      <c r="I1471" s="540"/>
      <c r="J1471" s="540"/>
      <c r="K1471" s="540"/>
      <c r="L1471" s="540"/>
      <c r="M1471" s="540"/>
      <c r="N1471" s="540"/>
      <c r="O1471" s="540"/>
      <c r="P1471" s="540"/>
      <c r="Q1471" s="540"/>
      <c r="R1471" s="540"/>
      <c r="S1471" s="540"/>
      <c r="T1471" s="540"/>
      <c r="U1471" s="541"/>
    </row>
    <row r="1472" spans="1:21" x14ac:dyDescent="0.25">
      <c r="A1472" s="542" t="s">
        <v>16</v>
      </c>
      <c r="B1472" s="543" t="s">
        <v>18</v>
      </c>
      <c r="C1472" s="543"/>
      <c r="D1472" s="543"/>
      <c r="E1472" s="543"/>
      <c r="F1472" s="543"/>
      <c r="G1472" s="543" t="s">
        <v>24</v>
      </c>
      <c r="H1472" s="543"/>
      <c r="I1472" s="543"/>
      <c r="J1472" s="543"/>
      <c r="K1472" s="543"/>
      <c r="L1472" s="543" t="s">
        <v>25</v>
      </c>
      <c r="M1472" s="543"/>
      <c r="N1472" s="543"/>
      <c r="O1472" s="543"/>
      <c r="P1472" s="543"/>
      <c r="Q1472" s="543" t="s">
        <v>26</v>
      </c>
      <c r="R1472" s="543"/>
      <c r="S1472" s="543"/>
      <c r="T1472" s="543"/>
      <c r="U1472" s="543"/>
    </row>
    <row r="1473" spans="1:21" x14ac:dyDescent="0.25">
      <c r="A1473" s="542"/>
      <c r="B1473" s="182" t="s">
        <v>19</v>
      </c>
      <c r="C1473" s="182" t="s">
        <v>20</v>
      </c>
      <c r="D1473" s="182" t="s">
        <v>21</v>
      </c>
      <c r="E1473" s="182" t="s">
        <v>22</v>
      </c>
      <c r="F1473" s="182" t="s">
        <v>23</v>
      </c>
      <c r="G1473" s="182" t="s">
        <v>19</v>
      </c>
      <c r="H1473" s="216" t="s">
        <v>20</v>
      </c>
      <c r="I1473" s="182" t="s">
        <v>21</v>
      </c>
      <c r="J1473" s="182" t="s">
        <v>22</v>
      </c>
      <c r="K1473" s="182" t="s">
        <v>23</v>
      </c>
      <c r="L1473" s="182" t="s">
        <v>19</v>
      </c>
      <c r="M1473" s="182" t="s">
        <v>20</v>
      </c>
      <c r="N1473" s="182" t="s">
        <v>21</v>
      </c>
      <c r="O1473" s="182" t="s">
        <v>22</v>
      </c>
      <c r="P1473" s="182" t="s">
        <v>23</v>
      </c>
      <c r="Q1473" s="182" t="s">
        <v>19</v>
      </c>
      <c r="R1473" s="182" t="s">
        <v>20</v>
      </c>
      <c r="S1473" s="182" t="s">
        <v>21</v>
      </c>
      <c r="T1473" s="182" t="s">
        <v>22</v>
      </c>
      <c r="U1473" s="211" t="s">
        <v>23</v>
      </c>
    </row>
    <row r="1474" spans="1:21" x14ac:dyDescent="0.25">
      <c r="A1474" s="183" t="s">
        <v>577</v>
      </c>
      <c r="B1474" s="182" t="s">
        <v>47</v>
      </c>
      <c r="C1474" s="182" t="s">
        <v>28</v>
      </c>
      <c r="D1474" s="182">
        <v>1</v>
      </c>
      <c r="E1474" s="182">
        <f>skilled</f>
        <v>1245</v>
      </c>
      <c r="F1474" s="184">
        <f>(D1474*E1474)</f>
        <v>1245</v>
      </c>
      <c r="G1474" s="182" t="s">
        <v>578</v>
      </c>
      <c r="H1474" s="216" t="s">
        <v>75</v>
      </c>
      <c r="I1474" s="182">
        <v>160</v>
      </c>
      <c r="J1474" s="182">
        <f>adopted_rate_ms_pipe_25_mm</f>
        <v>0</v>
      </c>
      <c r="K1474" s="182">
        <f>(I1474*J1474)</f>
        <v>0</v>
      </c>
    </row>
    <row r="1475" spans="1:21" ht="31.5" x14ac:dyDescent="0.25">
      <c r="B1475" s="182" t="s">
        <v>29</v>
      </c>
      <c r="C1475" s="182" t="s">
        <v>28</v>
      </c>
      <c r="D1475" s="182">
        <v>2</v>
      </c>
      <c r="E1475" s="182">
        <f>unskilled</f>
        <v>935</v>
      </c>
      <c r="F1475" s="184">
        <f>(D1475*E1475)</f>
        <v>1870</v>
      </c>
      <c r="G1475" s="182" t="s">
        <v>579</v>
      </c>
      <c r="H1475" s="216" t="s">
        <v>144</v>
      </c>
      <c r="I1475" s="182">
        <v>43.2</v>
      </c>
      <c r="J1475" s="182">
        <f>adopted_rate_ms_plate</f>
        <v>0</v>
      </c>
      <c r="K1475" s="182">
        <f>(I1475*J1475)</f>
        <v>0</v>
      </c>
    </row>
    <row r="1476" spans="1:21" ht="31.5" x14ac:dyDescent="0.25">
      <c r="G1476" s="182" t="s">
        <v>580</v>
      </c>
      <c r="H1476" s="216" t="s">
        <v>144</v>
      </c>
      <c r="I1476" s="182">
        <v>48</v>
      </c>
      <c r="J1476" s="182">
        <f>adopted_rate_ms_plate</f>
        <v>0</v>
      </c>
      <c r="K1476" s="182">
        <f>(I1476*J1476)</f>
        <v>0</v>
      </c>
    </row>
    <row r="1477" spans="1:21" ht="31.5" x14ac:dyDescent="0.25">
      <c r="G1477" s="182" t="s">
        <v>581</v>
      </c>
      <c r="H1477" s="216"/>
      <c r="K1477" s="184">
        <f>(SUM(K1474:K1476)*5/100)</f>
        <v>0</v>
      </c>
    </row>
    <row r="1478" spans="1:21" ht="31.5" x14ac:dyDescent="0.25">
      <c r="G1478" s="182" t="s">
        <v>574</v>
      </c>
      <c r="H1478" s="216" t="s">
        <v>438</v>
      </c>
      <c r="I1478" s="182">
        <v>18.3</v>
      </c>
      <c r="J1478" s="183">
        <f>(K1271/20)</f>
        <v>174.07499999999999</v>
      </c>
      <c r="K1478" s="184">
        <f>(I1478*J1478)</f>
        <v>3185.5724999999998</v>
      </c>
    </row>
    <row r="1479" spans="1:21" x14ac:dyDescent="0.25">
      <c r="A1479" s="537" t="s">
        <v>30</v>
      </c>
      <c r="B1479" s="537"/>
      <c r="C1479" s="537"/>
      <c r="D1479" s="537"/>
      <c r="E1479" s="537"/>
      <c r="F1479" s="184">
        <f>SUM(F1473:F1478)</f>
        <v>3115</v>
      </c>
      <c r="G1479" s="537" t="s">
        <v>31</v>
      </c>
      <c r="H1479" s="537"/>
      <c r="I1479" s="537"/>
      <c r="J1479" s="537"/>
      <c r="K1479" s="184">
        <f>SUM(K1473:K1478)</f>
        <v>3185.5724999999998</v>
      </c>
      <c r="L1479" s="537" t="s">
        <v>32</v>
      </c>
      <c r="M1479" s="537"/>
      <c r="N1479" s="537"/>
      <c r="O1479" s="537"/>
      <c r="P1479" s="184">
        <f>SUM(P1473:P1478)</f>
        <v>0</v>
      </c>
      <c r="Q1479" s="537" t="s">
        <v>38</v>
      </c>
      <c r="R1479" s="537"/>
      <c r="S1479" s="537"/>
      <c r="T1479" s="537"/>
      <c r="U1479" s="223">
        <f>SUM(U1473:U1478)</f>
        <v>0</v>
      </c>
    </row>
    <row r="1480" spans="1:21" x14ac:dyDescent="0.25">
      <c r="A1480" s="537" t="s">
        <v>33</v>
      </c>
      <c r="B1480" s="537"/>
      <c r="C1480" s="537"/>
      <c r="D1480" s="537"/>
      <c r="E1480" s="537"/>
      <c r="F1480" s="184">
        <f>SUM(F1479+K1479+P1479)</f>
        <v>6300.5725000000002</v>
      </c>
      <c r="G1480" s="537" t="s">
        <v>39</v>
      </c>
      <c r="H1480" s="537"/>
      <c r="I1480" s="537"/>
      <c r="J1480" s="537"/>
      <c r="K1480" s="184">
        <f>SUM(F1479+K1479+P1479+U1479)</f>
        <v>6300.5725000000002</v>
      </c>
      <c r="L1480" s="537" t="s">
        <v>40</v>
      </c>
      <c r="M1480" s="537"/>
      <c r="N1480" s="537"/>
      <c r="O1480" s="537"/>
      <c r="P1480" s="184">
        <f>SUM(K1480*0.15)</f>
        <v>945.08587499999999</v>
      </c>
      <c r="Q1480" s="537" t="s">
        <v>41</v>
      </c>
      <c r="R1480" s="537"/>
      <c r="S1480" s="537"/>
      <c r="T1480" s="537"/>
      <c r="U1480" s="223">
        <f>SUM(K1480+P1480)</f>
        <v>7245.658375</v>
      </c>
    </row>
    <row r="1481" spans="1:21" x14ac:dyDescent="0.25">
      <c r="Q1481" s="537" t="s">
        <v>42</v>
      </c>
      <c r="R1481" s="537"/>
      <c r="S1481" s="537"/>
      <c r="T1481" s="537"/>
      <c r="U1481" s="224">
        <f>ROUND((U1480/10),2)</f>
        <v>724.57</v>
      </c>
    </row>
    <row r="1482" spans="1:21" x14ac:dyDescent="0.25">
      <c r="A1482" s="544"/>
      <c r="B1482" s="544"/>
      <c r="C1482" s="544"/>
      <c r="D1482" s="544"/>
      <c r="E1482" s="544"/>
      <c r="F1482" s="544"/>
      <c r="G1482" s="544"/>
      <c r="H1482" s="544"/>
      <c r="I1482" s="544"/>
      <c r="J1482" s="544"/>
      <c r="K1482" s="544"/>
      <c r="L1482" s="544"/>
      <c r="M1482" s="544"/>
      <c r="N1482" s="544"/>
      <c r="O1482" s="544"/>
      <c r="P1482" s="544"/>
      <c r="Q1482" s="544"/>
      <c r="R1482" s="544"/>
      <c r="S1482" s="544"/>
      <c r="T1482" s="544"/>
      <c r="U1482" s="544"/>
    </row>
    <row r="1483" spans="1:21" x14ac:dyDescent="0.25">
      <c r="A1483" s="538" t="s">
        <v>12</v>
      </c>
      <c r="B1483" s="538"/>
      <c r="C1483" s="540" t="s">
        <v>582</v>
      </c>
      <c r="D1483" s="540"/>
      <c r="E1483" s="540"/>
      <c r="F1483" s="540"/>
      <c r="G1483" s="540"/>
      <c r="H1483" s="540"/>
      <c r="I1483" s="540"/>
      <c r="J1483" s="540"/>
      <c r="K1483" s="540"/>
      <c r="L1483" s="540"/>
      <c r="M1483" s="540"/>
      <c r="N1483" s="540"/>
      <c r="O1483" s="540"/>
      <c r="P1483" s="540"/>
      <c r="Q1483" s="540"/>
      <c r="R1483" s="540"/>
      <c r="S1483" s="540"/>
      <c r="T1483" s="540"/>
      <c r="U1483" s="541" t="s">
        <v>567</v>
      </c>
    </row>
    <row r="1484" spans="1:21" x14ac:dyDescent="0.25">
      <c r="A1484" s="538"/>
      <c r="B1484" s="538"/>
      <c r="C1484" s="540"/>
      <c r="D1484" s="540"/>
      <c r="E1484" s="540"/>
      <c r="F1484" s="540"/>
      <c r="G1484" s="540"/>
      <c r="H1484" s="540"/>
      <c r="I1484" s="540"/>
      <c r="J1484" s="540"/>
      <c r="K1484" s="540"/>
      <c r="L1484" s="540"/>
      <c r="M1484" s="540"/>
      <c r="N1484" s="540"/>
      <c r="O1484" s="540"/>
      <c r="P1484" s="540"/>
      <c r="Q1484" s="540"/>
      <c r="R1484" s="540"/>
      <c r="S1484" s="540"/>
      <c r="T1484" s="540"/>
      <c r="U1484" s="541"/>
    </row>
    <row r="1485" spans="1:21" x14ac:dyDescent="0.25">
      <c r="A1485" s="539" t="s">
        <v>575</v>
      </c>
      <c r="B1485" s="539"/>
      <c r="C1485" s="540"/>
      <c r="D1485" s="540"/>
      <c r="E1485" s="540"/>
      <c r="F1485" s="540"/>
      <c r="G1485" s="540"/>
      <c r="H1485" s="540"/>
      <c r="I1485" s="540"/>
      <c r="J1485" s="540"/>
      <c r="K1485" s="540"/>
      <c r="L1485" s="540"/>
      <c r="M1485" s="540"/>
      <c r="N1485" s="540"/>
      <c r="O1485" s="540"/>
      <c r="P1485" s="540"/>
      <c r="Q1485" s="540"/>
      <c r="R1485" s="540"/>
      <c r="S1485" s="540"/>
      <c r="T1485" s="540"/>
      <c r="U1485" s="541"/>
    </row>
    <row r="1486" spans="1:21" x14ac:dyDescent="0.25">
      <c r="A1486" s="542" t="s">
        <v>16</v>
      </c>
      <c r="B1486" s="543" t="s">
        <v>18</v>
      </c>
      <c r="C1486" s="543"/>
      <c r="D1486" s="543"/>
      <c r="E1486" s="543"/>
      <c r="F1486" s="543"/>
      <c r="G1486" s="543" t="s">
        <v>24</v>
      </c>
      <c r="H1486" s="543"/>
      <c r="I1486" s="543"/>
      <c r="J1486" s="543"/>
      <c r="K1486" s="543"/>
      <c r="L1486" s="543" t="s">
        <v>25</v>
      </c>
      <c r="M1486" s="543"/>
      <c r="N1486" s="543"/>
      <c r="O1486" s="543"/>
      <c r="P1486" s="543"/>
      <c r="Q1486" s="543" t="s">
        <v>26</v>
      </c>
      <c r="R1486" s="543"/>
      <c r="S1486" s="543"/>
      <c r="T1486" s="543"/>
      <c r="U1486" s="543"/>
    </row>
    <row r="1487" spans="1:21" x14ac:dyDescent="0.25">
      <c r="A1487" s="542"/>
      <c r="B1487" s="182" t="s">
        <v>19</v>
      </c>
      <c r="C1487" s="182" t="s">
        <v>20</v>
      </c>
      <c r="D1487" s="182" t="s">
        <v>21</v>
      </c>
      <c r="E1487" s="182" t="s">
        <v>22</v>
      </c>
      <c r="F1487" s="182" t="s">
        <v>23</v>
      </c>
      <c r="G1487" s="182" t="s">
        <v>19</v>
      </c>
      <c r="H1487" s="216" t="s">
        <v>20</v>
      </c>
      <c r="I1487" s="182" t="s">
        <v>21</v>
      </c>
      <c r="J1487" s="182" t="s">
        <v>22</v>
      </c>
      <c r="K1487" s="182" t="s">
        <v>23</v>
      </c>
      <c r="L1487" s="182" t="s">
        <v>19</v>
      </c>
      <c r="M1487" s="182" t="s">
        <v>20</v>
      </c>
      <c r="N1487" s="182" t="s">
        <v>21</v>
      </c>
      <c r="O1487" s="182" t="s">
        <v>22</v>
      </c>
      <c r="P1487" s="182" t="s">
        <v>23</v>
      </c>
      <c r="Q1487" s="182" t="s">
        <v>19</v>
      </c>
      <c r="R1487" s="182" t="s">
        <v>20</v>
      </c>
      <c r="S1487" s="182" t="s">
        <v>21</v>
      </c>
      <c r="T1487" s="182" t="s">
        <v>22</v>
      </c>
      <c r="U1487" s="211" t="s">
        <v>23</v>
      </c>
    </row>
    <row r="1488" spans="1:21" x14ac:dyDescent="0.25">
      <c r="A1488" s="183" t="s">
        <v>583</v>
      </c>
      <c r="B1488" s="182" t="s">
        <v>47</v>
      </c>
      <c r="C1488" s="182" t="s">
        <v>28</v>
      </c>
      <c r="D1488" s="182">
        <v>1</v>
      </c>
      <c r="E1488" s="182">
        <f>skilled</f>
        <v>1245</v>
      </c>
      <c r="F1488" s="184">
        <f>(D1488*E1488)</f>
        <v>1245</v>
      </c>
      <c r="G1488" s="182" t="s">
        <v>464</v>
      </c>
      <c r="H1488" s="216" t="s">
        <v>144</v>
      </c>
      <c r="I1488" s="182">
        <v>106</v>
      </c>
      <c r="J1488" s="182">
        <f>adopted_rate_ms_angle</f>
        <v>0</v>
      </c>
      <c r="K1488" s="182">
        <f>(I1488*J1488)</f>
        <v>0</v>
      </c>
      <c r="L1488" s="182" t="s">
        <v>65</v>
      </c>
      <c r="M1488" s="182" t="s">
        <v>58</v>
      </c>
      <c r="N1488" s="182">
        <v>3</v>
      </c>
      <c r="O1488" s="182">
        <f>tractor</f>
        <v>868</v>
      </c>
      <c r="P1488" s="184">
        <f>(N1488*O1488)</f>
        <v>2604</v>
      </c>
    </row>
    <row r="1489" spans="1:21" x14ac:dyDescent="0.25">
      <c r="B1489" s="182" t="s">
        <v>29</v>
      </c>
      <c r="C1489" s="182" t="s">
        <v>28</v>
      </c>
      <c r="D1489" s="182">
        <v>2</v>
      </c>
      <c r="E1489" s="182">
        <f>unskilled</f>
        <v>935</v>
      </c>
      <c r="F1489" s="184">
        <f>(D1489*E1489)</f>
        <v>1870</v>
      </c>
      <c r="G1489" s="182" t="s">
        <v>584</v>
      </c>
      <c r="H1489" s="216" t="s">
        <v>144</v>
      </c>
      <c r="I1489" s="182">
        <v>90</v>
      </c>
      <c r="J1489" s="182">
        <f>adopted_rate_ms_plate</f>
        <v>0</v>
      </c>
      <c r="K1489" s="182">
        <f>(I1489*J1489)</f>
        <v>0</v>
      </c>
    </row>
    <row r="1490" spans="1:21" ht="31.5" x14ac:dyDescent="0.25">
      <c r="G1490" s="182" t="s">
        <v>585</v>
      </c>
      <c r="H1490" s="216"/>
      <c r="K1490" s="184">
        <f>(SUM(K1488:K1489)*5/100)</f>
        <v>0</v>
      </c>
    </row>
    <row r="1491" spans="1:21" x14ac:dyDescent="0.25">
      <c r="G1491" s="182" t="s">
        <v>586</v>
      </c>
      <c r="H1491" s="216" t="s">
        <v>438</v>
      </c>
      <c r="I1491" s="182">
        <v>8.5</v>
      </c>
      <c r="J1491" s="183">
        <f>(K1259/10)</f>
        <v>914.8</v>
      </c>
      <c r="K1491" s="184">
        <f>(I1491*J1491)</f>
        <v>7775.7999999999993</v>
      </c>
    </row>
    <row r="1492" spans="1:21" x14ac:dyDescent="0.25">
      <c r="A1492" s="537" t="s">
        <v>30</v>
      </c>
      <c r="B1492" s="537"/>
      <c r="C1492" s="537"/>
      <c r="D1492" s="537"/>
      <c r="E1492" s="537"/>
      <c r="F1492" s="184">
        <f>SUM(F1487:F1491)</f>
        <v>3115</v>
      </c>
      <c r="G1492" s="537" t="s">
        <v>31</v>
      </c>
      <c r="H1492" s="537"/>
      <c r="I1492" s="537"/>
      <c r="J1492" s="537"/>
      <c r="K1492" s="184">
        <f>SUM(K1487:K1491)</f>
        <v>7775.7999999999993</v>
      </c>
      <c r="L1492" s="537" t="s">
        <v>32</v>
      </c>
      <c r="M1492" s="537"/>
      <c r="N1492" s="537"/>
      <c r="O1492" s="537"/>
      <c r="P1492" s="184">
        <f>SUM(P1487:P1491)</f>
        <v>2604</v>
      </c>
      <c r="Q1492" s="537" t="s">
        <v>38</v>
      </c>
      <c r="R1492" s="537"/>
      <c r="S1492" s="537"/>
      <c r="T1492" s="537"/>
      <c r="U1492" s="223">
        <f>SUM(U1487:U1491)</f>
        <v>0</v>
      </c>
    </row>
    <row r="1493" spans="1:21" x14ac:dyDescent="0.25">
      <c r="A1493" s="537" t="s">
        <v>33</v>
      </c>
      <c r="B1493" s="537"/>
      <c r="C1493" s="537"/>
      <c r="D1493" s="537"/>
      <c r="E1493" s="537"/>
      <c r="F1493" s="184">
        <f>SUM(F1492+K1492+P1492)</f>
        <v>13494.8</v>
      </c>
      <c r="G1493" s="537" t="s">
        <v>39</v>
      </c>
      <c r="H1493" s="537"/>
      <c r="I1493" s="537"/>
      <c r="J1493" s="537"/>
      <c r="K1493" s="184">
        <f>SUM(F1492+K1492+P1492+U1492)</f>
        <v>13494.8</v>
      </c>
      <c r="L1493" s="537" t="s">
        <v>40</v>
      </c>
      <c r="M1493" s="537"/>
      <c r="N1493" s="537"/>
      <c r="O1493" s="537"/>
      <c r="P1493" s="184">
        <f>SUM(K1493*0.15)</f>
        <v>2024.2199999999998</v>
      </c>
      <c r="Q1493" s="537" t="s">
        <v>41</v>
      </c>
      <c r="R1493" s="537"/>
      <c r="S1493" s="537"/>
      <c r="T1493" s="537"/>
      <c r="U1493" s="223">
        <f>SUM(K1493+P1493)</f>
        <v>15519.019999999999</v>
      </c>
    </row>
    <row r="1494" spans="1:21" x14ac:dyDescent="0.25">
      <c r="Q1494" s="537" t="s">
        <v>42</v>
      </c>
      <c r="R1494" s="537"/>
      <c r="S1494" s="537"/>
      <c r="T1494" s="537"/>
      <c r="U1494" s="224">
        <f>ROUND((U1493/15),2)</f>
        <v>1034.5999999999999</v>
      </c>
    </row>
    <row r="1495" spans="1:21" x14ac:dyDescent="0.25">
      <c r="A1495" s="544"/>
      <c r="B1495" s="544"/>
      <c r="C1495" s="544"/>
      <c r="D1495" s="544"/>
      <c r="E1495" s="544"/>
      <c r="F1495" s="544"/>
      <c r="G1495" s="544"/>
      <c r="H1495" s="544"/>
      <c r="I1495" s="544"/>
      <c r="J1495" s="544"/>
      <c r="K1495" s="544"/>
      <c r="L1495" s="544"/>
      <c r="M1495" s="544"/>
      <c r="N1495" s="544"/>
      <c r="O1495" s="544"/>
      <c r="P1495" s="544"/>
      <c r="Q1495" s="544"/>
      <c r="R1495" s="544"/>
      <c r="S1495" s="544"/>
      <c r="T1495" s="544"/>
      <c r="U1495" s="544"/>
    </row>
    <row r="1496" spans="1:21" x14ac:dyDescent="0.25">
      <c r="A1496" s="538" t="s">
        <v>12</v>
      </c>
      <c r="B1496" s="538"/>
      <c r="C1496" s="540" t="s">
        <v>587</v>
      </c>
      <c r="D1496" s="540"/>
      <c r="E1496" s="540"/>
      <c r="F1496" s="540"/>
      <c r="G1496" s="540"/>
      <c r="H1496" s="540"/>
      <c r="I1496" s="540"/>
      <c r="J1496" s="540"/>
      <c r="K1496" s="540"/>
      <c r="L1496" s="540"/>
      <c r="M1496" s="540"/>
      <c r="N1496" s="540"/>
      <c r="O1496" s="540"/>
      <c r="P1496" s="540"/>
      <c r="Q1496" s="540"/>
      <c r="R1496" s="540"/>
      <c r="S1496" s="540"/>
      <c r="T1496" s="540"/>
      <c r="U1496" s="541" t="s">
        <v>588</v>
      </c>
    </row>
    <row r="1497" spans="1:21" x14ac:dyDescent="0.25">
      <c r="A1497" s="538"/>
      <c r="B1497" s="538"/>
      <c r="C1497" s="540"/>
      <c r="D1497" s="540"/>
      <c r="E1497" s="540"/>
      <c r="F1497" s="540"/>
      <c r="G1497" s="540"/>
      <c r="H1497" s="540"/>
      <c r="I1497" s="540"/>
      <c r="J1497" s="540"/>
      <c r="K1497" s="540"/>
      <c r="L1497" s="540"/>
      <c r="M1497" s="540"/>
      <c r="N1497" s="540"/>
      <c r="O1497" s="540"/>
      <c r="P1497" s="540"/>
      <c r="Q1497" s="540"/>
      <c r="R1497" s="540"/>
      <c r="S1497" s="540"/>
      <c r="T1497" s="540"/>
      <c r="U1497" s="541"/>
    </row>
    <row r="1498" spans="1:21" x14ac:dyDescent="0.25">
      <c r="A1498" s="539" t="s">
        <v>406</v>
      </c>
      <c r="B1498" s="539"/>
      <c r="C1498" s="540"/>
      <c r="D1498" s="540"/>
      <c r="E1498" s="540"/>
      <c r="F1498" s="540"/>
      <c r="G1498" s="540"/>
      <c r="H1498" s="540"/>
      <c r="I1498" s="540"/>
      <c r="J1498" s="540"/>
      <c r="K1498" s="540"/>
      <c r="L1498" s="540"/>
      <c r="M1498" s="540"/>
      <c r="N1498" s="540"/>
      <c r="O1498" s="540"/>
      <c r="P1498" s="540"/>
      <c r="Q1498" s="540"/>
      <c r="R1498" s="540"/>
      <c r="S1498" s="540"/>
      <c r="T1498" s="540"/>
      <c r="U1498" s="541"/>
    </row>
    <row r="1499" spans="1:21" x14ac:dyDescent="0.25">
      <c r="A1499" s="542" t="s">
        <v>16</v>
      </c>
      <c r="B1499" s="543" t="s">
        <v>18</v>
      </c>
      <c r="C1499" s="543"/>
      <c r="D1499" s="543"/>
      <c r="E1499" s="543"/>
      <c r="F1499" s="543"/>
      <c r="G1499" s="543" t="s">
        <v>24</v>
      </c>
      <c r="H1499" s="543"/>
      <c r="I1499" s="543"/>
      <c r="J1499" s="543"/>
      <c r="K1499" s="543"/>
      <c r="L1499" s="543" t="s">
        <v>25</v>
      </c>
      <c r="M1499" s="543"/>
      <c r="N1499" s="543"/>
      <c r="O1499" s="543"/>
      <c r="P1499" s="543"/>
      <c r="Q1499" s="543" t="s">
        <v>26</v>
      </c>
      <c r="R1499" s="543"/>
      <c r="S1499" s="543"/>
      <c r="T1499" s="543"/>
      <c r="U1499" s="543"/>
    </row>
    <row r="1500" spans="1:21" x14ac:dyDescent="0.25">
      <c r="A1500" s="542"/>
      <c r="B1500" s="182" t="s">
        <v>19</v>
      </c>
      <c r="C1500" s="182" t="s">
        <v>20</v>
      </c>
      <c r="D1500" s="182" t="s">
        <v>21</v>
      </c>
      <c r="E1500" s="182" t="s">
        <v>22</v>
      </c>
      <c r="F1500" s="182" t="s">
        <v>23</v>
      </c>
      <c r="G1500" s="182" t="s">
        <v>19</v>
      </c>
      <c r="H1500" s="216" t="s">
        <v>20</v>
      </c>
      <c r="I1500" s="182" t="s">
        <v>21</v>
      </c>
      <c r="J1500" s="182" t="s">
        <v>22</v>
      </c>
      <c r="K1500" s="182" t="s">
        <v>23</v>
      </c>
      <c r="L1500" s="182" t="s">
        <v>19</v>
      </c>
      <c r="M1500" s="182" t="s">
        <v>20</v>
      </c>
      <c r="N1500" s="182" t="s">
        <v>21</v>
      </c>
      <c r="O1500" s="182" t="s">
        <v>22</v>
      </c>
      <c r="P1500" s="182" t="s">
        <v>23</v>
      </c>
      <c r="Q1500" s="182" t="s">
        <v>19</v>
      </c>
      <c r="R1500" s="182" t="s">
        <v>20</v>
      </c>
      <c r="S1500" s="182" t="s">
        <v>21</v>
      </c>
      <c r="T1500" s="182" t="s">
        <v>22</v>
      </c>
      <c r="U1500" s="211" t="s">
        <v>23</v>
      </c>
    </row>
    <row r="1501" spans="1:21" ht="63" x14ac:dyDescent="0.25">
      <c r="A1501" s="183" t="s">
        <v>589</v>
      </c>
      <c r="G1501" s="182" t="s">
        <v>590</v>
      </c>
      <c r="H1501" s="216"/>
    </row>
    <row r="1502" spans="1:21" x14ac:dyDescent="0.25">
      <c r="A1502" s="537" t="s">
        <v>30</v>
      </c>
      <c r="B1502" s="537"/>
      <c r="C1502" s="537"/>
      <c r="D1502" s="537"/>
      <c r="E1502" s="537"/>
      <c r="F1502" s="184">
        <f>SUM(F1500:F1501)</f>
        <v>0</v>
      </c>
      <c r="G1502" s="537" t="s">
        <v>31</v>
      </c>
      <c r="H1502" s="537"/>
      <c r="I1502" s="537"/>
      <c r="J1502" s="537"/>
      <c r="K1502" s="184">
        <f>SUM(K1500:K1501)</f>
        <v>0</v>
      </c>
      <c r="L1502" s="537" t="s">
        <v>32</v>
      </c>
      <c r="M1502" s="537"/>
      <c r="N1502" s="537"/>
      <c r="O1502" s="537"/>
      <c r="P1502" s="184">
        <f>SUM(P1500:P1501)</f>
        <v>0</v>
      </c>
      <c r="Q1502" s="537" t="s">
        <v>38</v>
      </c>
      <c r="R1502" s="537"/>
      <c r="S1502" s="537"/>
      <c r="T1502" s="537"/>
      <c r="U1502" s="223">
        <f>SUM(U1500:U1501)</f>
        <v>0</v>
      </c>
    </row>
    <row r="1503" spans="1:21" x14ac:dyDescent="0.25">
      <c r="A1503" s="537" t="s">
        <v>33</v>
      </c>
      <c r="B1503" s="537"/>
      <c r="C1503" s="537"/>
      <c r="D1503" s="537"/>
      <c r="E1503" s="537"/>
      <c r="F1503" s="184">
        <f>SUM(F1502+K1502+P1502)</f>
        <v>0</v>
      </c>
      <c r="G1503" s="537" t="s">
        <v>39</v>
      </c>
      <c r="H1503" s="537"/>
      <c r="I1503" s="537"/>
      <c r="J1503" s="537"/>
      <c r="K1503" s="184">
        <f>SUM(F1502+K1502+P1502+U1502)</f>
        <v>0</v>
      </c>
      <c r="L1503" s="537" t="s">
        <v>40</v>
      </c>
      <c r="M1503" s="537"/>
      <c r="N1503" s="537"/>
      <c r="O1503" s="537"/>
      <c r="P1503" s="184">
        <f>SUM(K1503*0.15)</f>
        <v>0</v>
      </c>
      <c r="Q1503" s="537" t="s">
        <v>41</v>
      </c>
      <c r="R1503" s="537"/>
      <c r="S1503" s="537"/>
      <c r="T1503" s="537"/>
      <c r="U1503" s="223">
        <f>SUM(K1503+P1503)</f>
        <v>0</v>
      </c>
    </row>
    <row r="1504" spans="1:21" x14ac:dyDescent="0.25">
      <c r="Q1504" s="537" t="s">
        <v>42</v>
      </c>
      <c r="R1504" s="537"/>
      <c r="S1504" s="537"/>
      <c r="T1504" s="537"/>
      <c r="U1504" s="224">
        <f>ROUND((U1503/100),2)</f>
        <v>0</v>
      </c>
    </row>
    <row r="1505" spans="1:21" x14ac:dyDescent="0.25">
      <c r="A1505" s="544"/>
      <c r="B1505" s="544"/>
      <c r="C1505" s="544"/>
      <c r="D1505" s="544"/>
      <c r="E1505" s="544"/>
      <c r="F1505" s="544"/>
      <c r="G1505" s="544"/>
      <c r="H1505" s="544"/>
      <c r="I1505" s="544"/>
      <c r="J1505" s="544"/>
      <c r="K1505" s="544"/>
      <c r="L1505" s="544"/>
      <c r="M1505" s="544"/>
      <c r="N1505" s="544"/>
      <c r="O1505" s="544"/>
      <c r="P1505" s="544"/>
      <c r="Q1505" s="544"/>
      <c r="R1505" s="544"/>
      <c r="S1505" s="544"/>
      <c r="T1505" s="544"/>
      <c r="U1505" s="544"/>
    </row>
    <row r="1506" spans="1:21" x14ac:dyDescent="0.25">
      <c r="A1506" s="538" t="s">
        <v>12</v>
      </c>
      <c r="B1506" s="538"/>
      <c r="C1506" s="540" t="s">
        <v>592</v>
      </c>
      <c r="D1506" s="540"/>
      <c r="E1506" s="540"/>
      <c r="F1506" s="540"/>
      <c r="G1506" s="540"/>
      <c r="H1506" s="540"/>
      <c r="I1506" s="540"/>
      <c r="J1506" s="540"/>
      <c r="K1506" s="540"/>
      <c r="L1506" s="540"/>
      <c r="M1506" s="540"/>
      <c r="N1506" s="540"/>
      <c r="O1506" s="540"/>
      <c r="P1506" s="540"/>
      <c r="Q1506" s="540"/>
      <c r="R1506" s="540"/>
      <c r="S1506" s="540"/>
      <c r="T1506" s="540"/>
      <c r="U1506" s="541" t="s">
        <v>593</v>
      </c>
    </row>
    <row r="1507" spans="1:21" x14ac:dyDescent="0.25">
      <c r="A1507" s="538"/>
      <c r="B1507" s="538"/>
      <c r="C1507" s="540"/>
      <c r="D1507" s="540"/>
      <c r="E1507" s="540"/>
      <c r="F1507" s="540"/>
      <c r="G1507" s="540"/>
      <c r="H1507" s="540"/>
      <c r="I1507" s="540"/>
      <c r="J1507" s="540"/>
      <c r="K1507" s="540"/>
      <c r="L1507" s="540"/>
      <c r="M1507" s="540"/>
      <c r="N1507" s="540"/>
      <c r="O1507" s="540"/>
      <c r="P1507" s="540"/>
      <c r="Q1507" s="540"/>
      <c r="R1507" s="540"/>
      <c r="S1507" s="540"/>
      <c r="T1507" s="540"/>
      <c r="U1507" s="541"/>
    </row>
    <row r="1508" spans="1:21" x14ac:dyDescent="0.25">
      <c r="A1508" s="539" t="s">
        <v>591</v>
      </c>
      <c r="B1508" s="539"/>
      <c r="C1508" s="540"/>
      <c r="D1508" s="540"/>
      <c r="E1508" s="540"/>
      <c r="F1508" s="540"/>
      <c r="G1508" s="540"/>
      <c r="H1508" s="540"/>
      <c r="I1508" s="540"/>
      <c r="J1508" s="540"/>
      <c r="K1508" s="540"/>
      <c r="L1508" s="540"/>
      <c r="M1508" s="540"/>
      <c r="N1508" s="540"/>
      <c r="O1508" s="540"/>
      <c r="P1508" s="540"/>
      <c r="Q1508" s="540"/>
      <c r="R1508" s="540"/>
      <c r="S1508" s="540"/>
      <c r="T1508" s="540"/>
      <c r="U1508" s="541"/>
    </row>
    <row r="1509" spans="1:21" x14ac:dyDescent="0.25">
      <c r="A1509" s="542" t="s">
        <v>16</v>
      </c>
      <c r="B1509" s="543" t="s">
        <v>18</v>
      </c>
      <c r="C1509" s="543"/>
      <c r="D1509" s="543"/>
      <c r="E1509" s="543"/>
      <c r="F1509" s="543"/>
      <c r="G1509" s="543" t="s">
        <v>24</v>
      </c>
      <c r="H1509" s="543"/>
      <c r="I1509" s="543"/>
      <c r="J1509" s="543"/>
      <c r="K1509" s="543"/>
      <c r="L1509" s="543" t="s">
        <v>25</v>
      </c>
      <c r="M1509" s="543"/>
      <c r="N1509" s="543"/>
      <c r="O1509" s="543"/>
      <c r="P1509" s="543"/>
      <c r="Q1509" s="543" t="s">
        <v>26</v>
      </c>
      <c r="R1509" s="543"/>
      <c r="S1509" s="543"/>
      <c r="T1509" s="543"/>
      <c r="U1509" s="543"/>
    </row>
    <row r="1510" spans="1:21" x14ac:dyDescent="0.25">
      <c r="A1510" s="542"/>
      <c r="B1510" s="182" t="s">
        <v>19</v>
      </c>
      <c r="C1510" s="182" t="s">
        <v>20</v>
      </c>
      <c r="D1510" s="182" t="s">
        <v>21</v>
      </c>
      <c r="E1510" s="182" t="s">
        <v>22</v>
      </c>
      <c r="F1510" s="182" t="s">
        <v>23</v>
      </c>
      <c r="G1510" s="182" t="s">
        <v>19</v>
      </c>
      <c r="H1510" s="216" t="s">
        <v>20</v>
      </c>
      <c r="I1510" s="182" t="s">
        <v>21</v>
      </c>
      <c r="J1510" s="182" t="s">
        <v>22</v>
      </c>
      <c r="K1510" s="182" t="s">
        <v>23</v>
      </c>
      <c r="L1510" s="182" t="s">
        <v>19</v>
      </c>
      <c r="M1510" s="182" t="s">
        <v>20</v>
      </c>
      <c r="N1510" s="182" t="s">
        <v>21</v>
      </c>
      <c r="O1510" s="182" t="s">
        <v>22</v>
      </c>
      <c r="P1510" s="182" t="s">
        <v>23</v>
      </c>
      <c r="Q1510" s="182" t="s">
        <v>19</v>
      </c>
      <c r="R1510" s="182" t="s">
        <v>20</v>
      </c>
      <c r="S1510" s="182" t="s">
        <v>21</v>
      </c>
      <c r="T1510" s="182" t="s">
        <v>22</v>
      </c>
      <c r="U1510" s="211" t="s">
        <v>23</v>
      </c>
    </row>
    <row r="1511" spans="1:21" ht="47.25" x14ac:dyDescent="0.25">
      <c r="A1511" s="183" t="s">
        <v>594</v>
      </c>
      <c r="B1511" s="182" t="s">
        <v>29</v>
      </c>
      <c r="C1511" s="182" t="s">
        <v>28</v>
      </c>
      <c r="D1511" s="182">
        <v>1</v>
      </c>
      <c r="E1511" s="182">
        <f>unskilled</f>
        <v>935</v>
      </c>
      <c r="F1511" s="184">
        <f>(D1511*E1511)</f>
        <v>935</v>
      </c>
      <c r="G1511" s="182" t="s">
        <v>596</v>
      </c>
      <c r="H1511" s="216" t="s">
        <v>49</v>
      </c>
      <c r="I1511" s="182">
        <v>1</v>
      </c>
      <c r="J1511" s="182">
        <f>adopted_rate_street_lighting_pole_9_m</f>
        <v>0</v>
      </c>
      <c r="K1511" s="182">
        <f>(I1511*J1511)</f>
        <v>0</v>
      </c>
    </row>
    <row r="1512" spans="1:21" ht="31.5" x14ac:dyDescent="0.25">
      <c r="B1512" s="182" t="s">
        <v>595</v>
      </c>
      <c r="C1512" s="182" t="s">
        <v>28</v>
      </c>
      <c r="D1512" s="182">
        <v>1</v>
      </c>
      <c r="E1512" s="182">
        <f>skilled_electrician_lineman</f>
        <v>1245</v>
      </c>
      <c r="F1512" s="184">
        <f>(D1512*E1512)</f>
        <v>1245</v>
      </c>
      <c r="G1512" s="182" t="s">
        <v>597</v>
      </c>
      <c r="H1512" s="216" t="s">
        <v>49</v>
      </c>
      <c r="I1512" s="182">
        <v>1</v>
      </c>
      <c r="J1512" s="182">
        <f>adopted_rate_vapor_lamp</f>
        <v>0</v>
      </c>
      <c r="K1512" s="182">
        <f>(I1512*J1512)</f>
        <v>0</v>
      </c>
    </row>
    <row r="1513" spans="1:21" ht="47.25" x14ac:dyDescent="0.25">
      <c r="G1513" s="182" t="s">
        <v>598</v>
      </c>
      <c r="H1513" s="216"/>
      <c r="K1513" s="184">
        <f>(SUM(K1511:K1512)*5/100)</f>
        <v>0</v>
      </c>
    </row>
    <row r="1514" spans="1:21" x14ac:dyDescent="0.25">
      <c r="G1514" s="182" t="s">
        <v>599</v>
      </c>
      <c r="H1514" s="216"/>
    </row>
    <row r="1515" spans="1:21" ht="47.25" x14ac:dyDescent="0.25">
      <c r="G1515" s="182" t="s">
        <v>600</v>
      </c>
      <c r="H1515" s="216" t="s">
        <v>438</v>
      </c>
      <c r="I1515" s="182">
        <v>5.75</v>
      </c>
      <c r="J1515" s="183">
        <f>(K1271/20)</f>
        <v>174.07499999999999</v>
      </c>
      <c r="K1515" s="184">
        <f>(I1515*J1515)</f>
        <v>1000.93125</v>
      </c>
    </row>
    <row r="1516" spans="1:21" x14ac:dyDescent="0.25">
      <c r="G1516" s="182" t="s">
        <v>601</v>
      </c>
      <c r="H1516" s="216"/>
    </row>
    <row r="1517" spans="1:21" ht="47.25" x14ac:dyDescent="0.25">
      <c r="G1517" s="182" t="s">
        <v>602</v>
      </c>
      <c r="H1517" s="216" t="s">
        <v>438</v>
      </c>
      <c r="I1517" s="182">
        <v>4.63</v>
      </c>
      <c r="J1517" s="183">
        <f>(K1271/20)</f>
        <v>174.07499999999999</v>
      </c>
      <c r="K1517" s="184">
        <f>(I1517*J1517)</f>
        <v>805.96724999999992</v>
      </c>
    </row>
    <row r="1518" spans="1:21" x14ac:dyDescent="0.25">
      <c r="A1518" s="537" t="s">
        <v>30</v>
      </c>
      <c r="B1518" s="537"/>
      <c r="C1518" s="537"/>
      <c r="D1518" s="537"/>
      <c r="E1518" s="537"/>
      <c r="F1518" s="184">
        <f>SUM(F1510:F1517)</f>
        <v>2180</v>
      </c>
      <c r="G1518" s="537" t="s">
        <v>31</v>
      </c>
      <c r="H1518" s="537"/>
      <c r="I1518" s="537"/>
      <c r="J1518" s="537"/>
      <c r="K1518" s="184">
        <f>SUM(K1510:K1517)</f>
        <v>1806.8984999999998</v>
      </c>
      <c r="L1518" s="537" t="s">
        <v>32</v>
      </c>
      <c r="M1518" s="537"/>
      <c r="N1518" s="537"/>
      <c r="O1518" s="537"/>
      <c r="P1518" s="184">
        <f>SUM(P1510:P1517)</f>
        <v>0</v>
      </c>
      <c r="Q1518" s="537" t="s">
        <v>38</v>
      </c>
      <c r="R1518" s="537"/>
      <c r="S1518" s="537"/>
      <c r="T1518" s="537"/>
      <c r="U1518" s="223">
        <f>SUM(U1510:U1517)</f>
        <v>0</v>
      </c>
    </row>
    <row r="1519" spans="1:21" x14ac:dyDescent="0.25">
      <c r="A1519" s="537" t="s">
        <v>33</v>
      </c>
      <c r="B1519" s="537"/>
      <c r="C1519" s="537"/>
      <c r="D1519" s="537"/>
      <c r="E1519" s="537"/>
      <c r="F1519" s="184">
        <f>SUM(F1518+K1518+P1518)</f>
        <v>3986.8984999999998</v>
      </c>
      <c r="G1519" s="537" t="s">
        <v>39</v>
      </c>
      <c r="H1519" s="537"/>
      <c r="I1519" s="537"/>
      <c r="J1519" s="537"/>
      <c r="K1519" s="184">
        <f>SUM(F1518+K1518+P1518+U1518)</f>
        <v>3986.8984999999998</v>
      </c>
      <c r="L1519" s="537" t="s">
        <v>40</v>
      </c>
      <c r="M1519" s="537"/>
      <c r="N1519" s="537"/>
      <c r="O1519" s="537"/>
      <c r="P1519" s="184">
        <f>SUM(K1519*0.15)</f>
        <v>598.03477499999997</v>
      </c>
      <c r="Q1519" s="537" t="s">
        <v>41</v>
      </c>
      <c r="R1519" s="537"/>
      <c r="S1519" s="537"/>
      <c r="T1519" s="537"/>
      <c r="U1519" s="223">
        <f>SUM(K1519+P1519)</f>
        <v>4584.9332749999994</v>
      </c>
    </row>
    <row r="1520" spans="1:21" x14ac:dyDescent="0.25">
      <c r="Q1520" s="537" t="s">
        <v>42</v>
      </c>
      <c r="R1520" s="537"/>
      <c r="S1520" s="537"/>
      <c r="T1520" s="537"/>
      <c r="U1520" s="224">
        <f>ROUND((U1519/1),2)</f>
        <v>4584.93</v>
      </c>
    </row>
    <row r="1521" spans="1:21" x14ac:dyDescent="0.25">
      <c r="A1521" s="544"/>
      <c r="B1521" s="544"/>
      <c r="C1521" s="544"/>
      <c r="D1521" s="544"/>
      <c r="E1521" s="544"/>
      <c r="F1521" s="544"/>
      <c r="G1521" s="544"/>
      <c r="H1521" s="544"/>
      <c r="I1521" s="544"/>
      <c r="J1521" s="544"/>
      <c r="K1521" s="544"/>
      <c r="L1521" s="544"/>
      <c r="M1521" s="544"/>
      <c r="N1521" s="544"/>
      <c r="O1521" s="544"/>
      <c r="P1521" s="544"/>
      <c r="Q1521" s="544"/>
      <c r="R1521" s="544"/>
      <c r="S1521" s="544"/>
      <c r="T1521" s="544"/>
      <c r="U1521" s="544"/>
    </row>
    <row r="1522" spans="1:21" x14ac:dyDescent="0.25">
      <c r="A1522" s="538" t="s">
        <v>12</v>
      </c>
      <c r="B1522" s="538"/>
      <c r="C1522" s="540" t="s">
        <v>603</v>
      </c>
      <c r="D1522" s="540"/>
      <c r="E1522" s="540"/>
      <c r="F1522" s="540"/>
      <c r="G1522" s="540"/>
      <c r="H1522" s="540"/>
      <c r="I1522" s="540"/>
      <c r="J1522" s="540"/>
      <c r="K1522" s="540"/>
      <c r="L1522" s="540"/>
      <c r="M1522" s="540"/>
      <c r="N1522" s="540"/>
      <c r="O1522" s="540"/>
      <c r="P1522" s="540"/>
      <c r="Q1522" s="540"/>
      <c r="R1522" s="540"/>
      <c r="S1522" s="540"/>
      <c r="T1522" s="540"/>
      <c r="U1522" s="541" t="s">
        <v>604</v>
      </c>
    </row>
    <row r="1523" spans="1:21" x14ac:dyDescent="0.25">
      <c r="A1523" s="538"/>
      <c r="B1523" s="538"/>
      <c r="C1523" s="540"/>
      <c r="D1523" s="540"/>
      <c r="E1523" s="540"/>
      <c r="F1523" s="540"/>
      <c r="G1523" s="540"/>
      <c r="H1523" s="540"/>
      <c r="I1523" s="540"/>
      <c r="J1523" s="540"/>
      <c r="K1523" s="540"/>
      <c r="L1523" s="540"/>
      <c r="M1523" s="540"/>
      <c r="N1523" s="540"/>
      <c r="O1523" s="540"/>
      <c r="P1523" s="540"/>
      <c r="Q1523" s="540"/>
      <c r="R1523" s="540"/>
      <c r="S1523" s="540"/>
      <c r="T1523" s="540"/>
      <c r="U1523" s="541"/>
    </row>
    <row r="1524" spans="1:21" x14ac:dyDescent="0.25">
      <c r="A1524" s="539" t="s">
        <v>524</v>
      </c>
      <c r="B1524" s="539"/>
      <c r="C1524" s="540"/>
      <c r="D1524" s="540"/>
      <c r="E1524" s="540"/>
      <c r="F1524" s="540"/>
      <c r="G1524" s="540"/>
      <c r="H1524" s="540"/>
      <c r="I1524" s="540"/>
      <c r="J1524" s="540"/>
      <c r="K1524" s="540"/>
      <c r="L1524" s="540"/>
      <c r="M1524" s="540"/>
      <c r="N1524" s="540"/>
      <c r="O1524" s="540"/>
      <c r="P1524" s="540"/>
      <c r="Q1524" s="540"/>
      <c r="R1524" s="540"/>
      <c r="S1524" s="540"/>
      <c r="T1524" s="540"/>
      <c r="U1524" s="541"/>
    </row>
    <row r="1525" spans="1:21" x14ac:dyDescent="0.25">
      <c r="A1525" s="542" t="s">
        <v>16</v>
      </c>
      <c r="B1525" s="543" t="s">
        <v>18</v>
      </c>
      <c r="C1525" s="543"/>
      <c r="D1525" s="543"/>
      <c r="E1525" s="543"/>
      <c r="F1525" s="543"/>
      <c r="G1525" s="543" t="s">
        <v>24</v>
      </c>
      <c r="H1525" s="543"/>
      <c r="I1525" s="543"/>
      <c r="J1525" s="543"/>
      <c r="K1525" s="543"/>
      <c r="L1525" s="543" t="s">
        <v>25</v>
      </c>
      <c r="M1525" s="543"/>
      <c r="N1525" s="543"/>
      <c r="O1525" s="543"/>
      <c r="P1525" s="543"/>
      <c r="Q1525" s="543" t="s">
        <v>26</v>
      </c>
      <c r="R1525" s="543"/>
      <c r="S1525" s="543"/>
      <c r="T1525" s="543"/>
      <c r="U1525" s="543"/>
    </row>
    <row r="1526" spans="1:21" x14ac:dyDescent="0.25">
      <c r="A1526" s="542"/>
      <c r="B1526" s="182" t="s">
        <v>19</v>
      </c>
      <c r="C1526" s="182" t="s">
        <v>20</v>
      </c>
      <c r="D1526" s="182" t="s">
        <v>21</v>
      </c>
      <c r="E1526" s="182" t="s">
        <v>22</v>
      </c>
      <c r="F1526" s="182" t="s">
        <v>23</v>
      </c>
      <c r="G1526" s="182" t="s">
        <v>19</v>
      </c>
      <c r="H1526" s="216" t="s">
        <v>20</v>
      </c>
      <c r="I1526" s="182" t="s">
        <v>21</v>
      </c>
      <c r="J1526" s="182" t="s">
        <v>22</v>
      </c>
      <c r="K1526" s="182" t="s">
        <v>23</v>
      </c>
      <c r="L1526" s="182" t="s">
        <v>19</v>
      </c>
      <c r="M1526" s="182" t="s">
        <v>20</v>
      </c>
      <c r="N1526" s="182" t="s">
        <v>21</v>
      </c>
      <c r="O1526" s="182" t="s">
        <v>22</v>
      </c>
      <c r="P1526" s="182" t="s">
        <v>23</v>
      </c>
      <c r="Q1526" s="182" t="s">
        <v>19</v>
      </c>
      <c r="R1526" s="182" t="s">
        <v>20</v>
      </c>
      <c r="S1526" s="182" t="s">
        <v>21</v>
      </c>
      <c r="T1526" s="182" t="s">
        <v>22</v>
      </c>
      <c r="U1526" s="211" t="s">
        <v>23</v>
      </c>
    </row>
    <row r="1527" spans="1:21" ht="31.5" x14ac:dyDescent="0.25">
      <c r="A1527" s="183" t="s">
        <v>605</v>
      </c>
      <c r="B1527" s="182" t="s">
        <v>486</v>
      </c>
      <c r="C1527" s="182" t="s">
        <v>28</v>
      </c>
      <c r="D1527" s="182">
        <v>4</v>
      </c>
      <c r="E1527" s="182">
        <f>skilled_painter</f>
        <v>1245</v>
      </c>
      <c r="F1527" s="184">
        <f>(D1527*E1527)</f>
        <v>4980</v>
      </c>
      <c r="G1527" s="182" t="s">
        <v>487</v>
      </c>
      <c r="H1527" s="216" t="s">
        <v>488</v>
      </c>
      <c r="I1527" s="182">
        <v>0.7</v>
      </c>
      <c r="J1527" s="182">
        <v>509</v>
      </c>
      <c r="K1527" s="182">
        <f>(I1527*J1527)</f>
        <v>356.29999999999995</v>
      </c>
    </row>
    <row r="1528" spans="1:21" x14ac:dyDescent="0.25">
      <c r="B1528" s="182" t="s">
        <v>29</v>
      </c>
      <c r="C1528" s="182" t="s">
        <v>28</v>
      </c>
      <c r="D1528" s="182">
        <v>2</v>
      </c>
      <c r="E1528" s="182">
        <f>unskilled</f>
        <v>935</v>
      </c>
      <c r="F1528" s="184">
        <f>(D1528*E1528)</f>
        <v>1870</v>
      </c>
    </row>
    <row r="1529" spans="1:21" x14ac:dyDescent="0.25">
      <c r="A1529" s="537" t="s">
        <v>30</v>
      </c>
      <c r="B1529" s="537"/>
      <c r="C1529" s="537"/>
      <c r="D1529" s="537"/>
      <c r="E1529" s="537"/>
      <c r="F1529" s="184">
        <f>SUM(F1526:F1528)</f>
        <v>6850</v>
      </c>
      <c r="G1529" s="537" t="s">
        <v>31</v>
      </c>
      <c r="H1529" s="537"/>
      <c r="I1529" s="537"/>
      <c r="J1529" s="537"/>
      <c r="K1529" s="184">
        <f>SUM(K1526:K1528)</f>
        <v>356.29999999999995</v>
      </c>
      <c r="L1529" s="537" t="s">
        <v>32</v>
      </c>
      <c r="M1529" s="537"/>
      <c r="N1529" s="537"/>
      <c r="O1529" s="537"/>
      <c r="P1529" s="184">
        <f>SUM(P1526:P1528)</f>
        <v>0</v>
      </c>
      <c r="Q1529" s="537" t="s">
        <v>38</v>
      </c>
      <c r="R1529" s="537"/>
      <c r="S1529" s="537"/>
      <c r="T1529" s="537"/>
      <c r="U1529" s="223">
        <f>SUM(U1526:U1528)</f>
        <v>0</v>
      </c>
    </row>
    <row r="1530" spans="1:21" x14ac:dyDescent="0.25">
      <c r="A1530" s="537" t="s">
        <v>33</v>
      </c>
      <c r="B1530" s="537"/>
      <c r="C1530" s="537"/>
      <c r="D1530" s="537"/>
      <c r="E1530" s="537"/>
      <c r="F1530" s="184">
        <f>SUM(F1529+K1529+P1529)</f>
        <v>7206.3</v>
      </c>
      <c r="G1530" s="537" t="s">
        <v>39</v>
      </c>
      <c r="H1530" s="537"/>
      <c r="I1530" s="537"/>
      <c r="J1530" s="537"/>
      <c r="K1530" s="184">
        <f>SUM(F1529+K1529+P1529+U1529)</f>
        <v>7206.3</v>
      </c>
      <c r="L1530" s="537" t="s">
        <v>40</v>
      </c>
      <c r="M1530" s="537"/>
      <c r="N1530" s="537"/>
      <c r="O1530" s="537"/>
      <c r="P1530" s="184">
        <f>SUM(K1530*0.15)</f>
        <v>1080.9449999999999</v>
      </c>
      <c r="Q1530" s="537" t="s">
        <v>41</v>
      </c>
      <c r="R1530" s="537"/>
      <c r="S1530" s="537"/>
      <c r="T1530" s="537"/>
      <c r="U1530" s="223">
        <f>SUM(K1530+P1530)</f>
        <v>8287.2450000000008</v>
      </c>
    </row>
    <row r="1531" spans="1:21" x14ac:dyDescent="0.25">
      <c r="Q1531" s="537" t="s">
        <v>42</v>
      </c>
      <c r="R1531" s="537"/>
      <c r="S1531" s="537"/>
      <c r="T1531" s="537"/>
      <c r="U1531" s="224">
        <f>ROUND((U1530/1600),2)</f>
        <v>5.18</v>
      </c>
    </row>
    <row r="1532" spans="1:21" x14ac:dyDescent="0.25">
      <c r="A1532" s="544"/>
      <c r="B1532" s="544"/>
      <c r="C1532" s="544"/>
      <c r="D1532" s="544"/>
      <c r="E1532" s="544"/>
      <c r="F1532" s="544"/>
      <c r="G1532" s="544"/>
      <c r="H1532" s="544"/>
      <c r="I1532" s="544"/>
      <c r="J1532" s="544"/>
      <c r="K1532" s="544"/>
      <c r="L1532" s="544"/>
      <c r="M1532" s="544"/>
      <c r="N1532" s="544"/>
      <c r="O1532" s="544"/>
      <c r="P1532" s="544"/>
      <c r="Q1532" s="544"/>
      <c r="R1532" s="544"/>
      <c r="S1532" s="544"/>
      <c r="T1532" s="544"/>
      <c r="U1532" s="544"/>
    </row>
    <row r="1533" spans="1:21" x14ac:dyDescent="0.25">
      <c r="A1533" s="538" t="s">
        <v>12</v>
      </c>
      <c r="B1533" s="538"/>
      <c r="C1533" s="540" t="s">
        <v>606</v>
      </c>
      <c r="D1533" s="540"/>
      <c r="E1533" s="540"/>
      <c r="F1533" s="540"/>
      <c r="G1533" s="540"/>
      <c r="H1533" s="540"/>
      <c r="I1533" s="540"/>
      <c r="J1533" s="540"/>
      <c r="K1533" s="540"/>
      <c r="L1533" s="540"/>
      <c r="M1533" s="540"/>
      <c r="N1533" s="540"/>
      <c r="O1533" s="540"/>
      <c r="P1533" s="540"/>
      <c r="Q1533" s="540"/>
      <c r="R1533" s="540"/>
      <c r="S1533" s="540"/>
      <c r="T1533" s="540"/>
      <c r="U1533" s="541" t="s">
        <v>604</v>
      </c>
    </row>
    <row r="1534" spans="1:21" x14ac:dyDescent="0.25">
      <c r="A1534" s="538"/>
      <c r="B1534" s="538"/>
      <c r="C1534" s="540"/>
      <c r="D1534" s="540"/>
      <c r="E1534" s="540"/>
      <c r="F1534" s="540"/>
      <c r="G1534" s="540"/>
      <c r="H1534" s="540"/>
      <c r="I1534" s="540"/>
      <c r="J1534" s="540"/>
      <c r="K1534" s="540"/>
      <c r="L1534" s="540"/>
      <c r="M1534" s="540"/>
      <c r="N1534" s="540"/>
      <c r="O1534" s="540"/>
      <c r="P1534" s="540"/>
      <c r="Q1534" s="540"/>
      <c r="R1534" s="540"/>
      <c r="S1534" s="540"/>
      <c r="T1534" s="540"/>
      <c r="U1534" s="541"/>
    </row>
    <row r="1535" spans="1:21" x14ac:dyDescent="0.25">
      <c r="A1535" s="539" t="s">
        <v>524</v>
      </c>
      <c r="B1535" s="539"/>
      <c r="C1535" s="540"/>
      <c r="D1535" s="540"/>
      <c r="E1535" s="540"/>
      <c r="F1535" s="540"/>
      <c r="G1535" s="540"/>
      <c r="H1535" s="540"/>
      <c r="I1535" s="540"/>
      <c r="J1535" s="540"/>
      <c r="K1535" s="540"/>
      <c r="L1535" s="540"/>
      <c r="M1535" s="540"/>
      <c r="N1535" s="540"/>
      <c r="O1535" s="540"/>
      <c r="P1535" s="540"/>
      <c r="Q1535" s="540"/>
      <c r="R1535" s="540"/>
      <c r="S1535" s="540"/>
      <c r="T1535" s="540"/>
      <c r="U1535" s="541"/>
    </row>
    <row r="1536" spans="1:21" x14ac:dyDescent="0.25">
      <c r="A1536" s="542" t="s">
        <v>16</v>
      </c>
      <c r="B1536" s="543" t="s">
        <v>18</v>
      </c>
      <c r="C1536" s="543"/>
      <c r="D1536" s="543"/>
      <c r="E1536" s="543"/>
      <c r="F1536" s="543"/>
      <c r="G1536" s="543" t="s">
        <v>24</v>
      </c>
      <c r="H1536" s="543"/>
      <c r="I1536" s="543"/>
      <c r="J1536" s="543"/>
      <c r="K1536" s="543"/>
      <c r="L1536" s="543" t="s">
        <v>25</v>
      </c>
      <c r="M1536" s="543"/>
      <c r="N1536" s="543"/>
      <c r="O1536" s="543"/>
      <c r="P1536" s="543"/>
      <c r="Q1536" s="543" t="s">
        <v>26</v>
      </c>
      <c r="R1536" s="543"/>
      <c r="S1536" s="543"/>
      <c r="T1536" s="543"/>
      <c r="U1536" s="543"/>
    </row>
    <row r="1537" spans="1:21" x14ac:dyDescent="0.25">
      <c r="A1537" s="542"/>
      <c r="B1537" s="182" t="s">
        <v>19</v>
      </c>
      <c r="C1537" s="182" t="s">
        <v>20</v>
      </c>
      <c r="D1537" s="182" t="s">
        <v>21</v>
      </c>
      <c r="E1537" s="182" t="s">
        <v>22</v>
      </c>
      <c r="F1537" s="182" t="s">
        <v>23</v>
      </c>
      <c r="G1537" s="182" t="s">
        <v>19</v>
      </c>
      <c r="H1537" s="216" t="s">
        <v>20</v>
      </c>
      <c r="I1537" s="182" t="s">
        <v>21</v>
      </c>
      <c r="J1537" s="182" t="s">
        <v>22</v>
      </c>
      <c r="K1537" s="182" t="s">
        <v>23</v>
      </c>
      <c r="L1537" s="182" t="s">
        <v>19</v>
      </c>
      <c r="M1537" s="182" t="s">
        <v>20</v>
      </c>
      <c r="N1537" s="182" t="s">
        <v>21</v>
      </c>
      <c r="O1537" s="182" t="s">
        <v>22</v>
      </c>
      <c r="P1537" s="182" t="s">
        <v>23</v>
      </c>
      <c r="Q1537" s="182" t="s">
        <v>19</v>
      </c>
      <c r="R1537" s="182" t="s">
        <v>20</v>
      </c>
      <c r="S1537" s="182" t="s">
        <v>21</v>
      </c>
      <c r="T1537" s="182" t="s">
        <v>22</v>
      </c>
      <c r="U1537" s="211" t="s">
        <v>23</v>
      </c>
    </row>
    <row r="1538" spans="1:21" ht="31.5" x14ac:dyDescent="0.25">
      <c r="A1538" s="183" t="s">
        <v>607</v>
      </c>
      <c r="B1538" s="182" t="s">
        <v>486</v>
      </c>
      <c r="C1538" s="182" t="s">
        <v>28</v>
      </c>
      <c r="D1538" s="182">
        <v>2</v>
      </c>
      <c r="E1538" s="182">
        <f>skilled_painter</f>
        <v>1245</v>
      </c>
      <c r="F1538" s="184">
        <f>(D1538*E1538)</f>
        <v>2490</v>
      </c>
      <c r="G1538" s="182" t="s">
        <v>487</v>
      </c>
      <c r="H1538" s="216" t="s">
        <v>488</v>
      </c>
      <c r="I1538" s="182">
        <v>0.5</v>
      </c>
      <c r="J1538" s="182">
        <f>adopted_rate_paint</f>
        <v>219</v>
      </c>
      <c r="K1538" s="182">
        <f>(I1538*J1538)</f>
        <v>109.5</v>
      </c>
    </row>
    <row r="1539" spans="1:21" x14ac:dyDescent="0.25">
      <c r="B1539" s="182" t="s">
        <v>29</v>
      </c>
      <c r="C1539" s="182" t="s">
        <v>28</v>
      </c>
      <c r="D1539" s="182">
        <v>2</v>
      </c>
      <c r="E1539" s="182">
        <f>unskilled</f>
        <v>935</v>
      </c>
      <c r="F1539" s="184">
        <f>(D1539*E1539)</f>
        <v>1870</v>
      </c>
    </row>
    <row r="1540" spans="1:21" x14ac:dyDescent="0.25">
      <c r="A1540" s="537" t="s">
        <v>30</v>
      </c>
      <c r="B1540" s="537"/>
      <c r="C1540" s="537"/>
      <c r="D1540" s="537"/>
      <c r="E1540" s="537"/>
      <c r="F1540" s="184">
        <f>SUM(F1537:F1539)</f>
        <v>4360</v>
      </c>
      <c r="G1540" s="537" t="s">
        <v>31</v>
      </c>
      <c r="H1540" s="537"/>
      <c r="I1540" s="537"/>
      <c r="J1540" s="537"/>
      <c r="K1540" s="184">
        <f>SUM(K1537:K1539)</f>
        <v>109.5</v>
      </c>
      <c r="L1540" s="537" t="s">
        <v>32</v>
      </c>
      <c r="M1540" s="537"/>
      <c r="N1540" s="537"/>
      <c r="O1540" s="537"/>
      <c r="P1540" s="184">
        <f>SUM(P1537:P1539)</f>
        <v>0</v>
      </c>
      <c r="Q1540" s="537" t="s">
        <v>38</v>
      </c>
      <c r="R1540" s="537"/>
      <c r="S1540" s="537"/>
      <c r="T1540" s="537"/>
      <c r="U1540" s="223">
        <f>SUM(U1537:U1539)</f>
        <v>0</v>
      </c>
    </row>
    <row r="1541" spans="1:21" x14ac:dyDescent="0.25">
      <c r="A1541" s="537" t="s">
        <v>33</v>
      </c>
      <c r="B1541" s="537"/>
      <c r="C1541" s="537"/>
      <c r="D1541" s="537"/>
      <c r="E1541" s="537"/>
      <c r="F1541" s="184">
        <f>SUM(F1540+K1540+P1540)</f>
        <v>4469.5</v>
      </c>
      <c r="G1541" s="537" t="s">
        <v>39</v>
      </c>
      <c r="H1541" s="537"/>
      <c r="I1541" s="537"/>
      <c r="J1541" s="537"/>
      <c r="K1541" s="184">
        <f>SUM(F1540+K1540+P1540+U1540)</f>
        <v>4469.5</v>
      </c>
      <c r="L1541" s="537" t="s">
        <v>40</v>
      </c>
      <c r="M1541" s="537"/>
      <c r="N1541" s="537"/>
      <c r="O1541" s="537"/>
      <c r="P1541" s="184">
        <f>SUM(K1541*0.15)</f>
        <v>670.42499999999995</v>
      </c>
      <c r="Q1541" s="537" t="s">
        <v>41</v>
      </c>
      <c r="R1541" s="537"/>
      <c r="S1541" s="537"/>
      <c r="T1541" s="537"/>
      <c r="U1541" s="223">
        <f>SUM(K1541+P1541)</f>
        <v>5139.9250000000002</v>
      </c>
    </row>
    <row r="1542" spans="1:21" x14ac:dyDescent="0.25">
      <c r="Q1542" s="537" t="s">
        <v>42</v>
      </c>
      <c r="R1542" s="537"/>
      <c r="S1542" s="537"/>
      <c r="T1542" s="537"/>
      <c r="U1542" s="224">
        <f>ROUND((U1541/1600),2)</f>
        <v>3.21</v>
      </c>
    </row>
    <row r="1543" spans="1:21" x14ac:dyDescent="0.25">
      <c r="A1543" s="544"/>
      <c r="B1543" s="544"/>
      <c r="C1543" s="544"/>
      <c r="D1543" s="544"/>
      <c r="E1543" s="544"/>
      <c r="F1543" s="544"/>
      <c r="G1543" s="544"/>
      <c r="H1543" s="544"/>
      <c r="I1543" s="544"/>
      <c r="J1543" s="544"/>
      <c r="K1543" s="544"/>
      <c r="L1543" s="544"/>
      <c r="M1543" s="544"/>
      <c r="N1543" s="544"/>
      <c r="O1543" s="544"/>
      <c r="P1543" s="544"/>
      <c r="Q1543" s="544"/>
      <c r="R1543" s="544"/>
      <c r="S1543" s="544"/>
      <c r="T1543" s="544"/>
      <c r="U1543" s="544"/>
    </row>
    <row r="1544" spans="1:21" x14ac:dyDescent="0.25">
      <c r="A1544" s="538" t="s">
        <v>12</v>
      </c>
      <c r="B1544" s="538"/>
      <c r="C1544" s="540" t="s">
        <v>609</v>
      </c>
      <c r="D1544" s="540"/>
      <c r="E1544" s="540"/>
      <c r="F1544" s="540"/>
      <c r="G1544" s="540"/>
      <c r="H1544" s="540"/>
      <c r="I1544" s="540"/>
      <c r="J1544" s="540"/>
      <c r="K1544" s="540"/>
      <c r="L1544" s="540"/>
      <c r="M1544" s="540"/>
      <c r="N1544" s="540"/>
      <c r="O1544" s="540"/>
      <c r="P1544" s="540"/>
      <c r="Q1544" s="540"/>
      <c r="R1544" s="540"/>
      <c r="S1544" s="540"/>
      <c r="T1544" s="540"/>
      <c r="U1544" s="541" t="s">
        <v>610</v>
      </c>
    </row>
    <row r="1545" spans="1:21" x14ac:dyDescent="0.25">
      <c r="A1545" s="538"/>
      <c r="B1545" s="538"/>
      <c r="C1545" s="540"/>
      <c r="D1545" s="540"/>
      <c r="E1545" s="540"/>
      <c r="F1545" s="540"/>
      <c r="G1545" s="540"/>
      <c r="H1545" s="540"/>
      <c r="I1545" s="540"/>
      <c r="J1545" s="540"/>
      <c r="K1545" s="540"/>
      <c r="L1545" s="540"/>
      <c r="M1545" s="540"/>
      <c r="N1545" s="540"/>
      <c r="O1545" s="540"/>
      <c r="P1545" s="540"/>
      <c r="Q1545" s="540"/>
      <c r="R1545" s="540"/>
      <c r="S1545" s="540"/>
      <c r="T1545" s="540"/>
      <c r="U1545" s="541"/>
    </row>
    <row r="1546" spans="1:21" x14ac:dyDescent="0.25">
      <c r="A1546" s="539" t="s">
        <v>608</v>
      </c>
      <c r="B1546" s="539"/>
      <c r="C1546" s="540"/>
      <c r="D1546" s="540"/>
      <c r="E1546" s="540"/>
      <c r="F1546" s="540"/>
      <c r="G1546" s="540"/>
      <c r="H1546" s="540"/>
      <c r="I1546" s="540"/>
      <c r="J1546" s="540"/>
      <c r="K1546" s="540"/>
      <c r="L1546" s="540"/>
      <c r="M1546" s="540"/>
      <c r="N1546" s="540"/>
      <c r="O1546" s="540"/>
      <c r="P1546" s="540"/>
      <c r="Q1546" s="540"/>
      <c r="R1546" s="540"/>
      <c r="S1546" s="540"/>
      <c r="T1546" s="540"/>
      <c r="U1546" s="541"/>
    </row>
    <row r="1547" spans="1:21" x14ac:dyDescent="0.25">
      <c r="A1547" s="542" t="s">
        <v>16</v>
      </c>
      <c r="B1547" s="543" t="s">
        <v>18</v>
      </c>
      <c r="C1547" s="543"/>
      <c r="D1547" s="543"/>
      <c r="E1547" s="543"/>
      <c r="F1547" s="543"/>
      <c r="G1547" s="543" t="s">
        <v>24</v>
      </c>
      <c r="H1547" s="543"/>
      <c r="I1547" s="543"/>
      <c r="J1547" s="543"/>
      <c r="K1547" s="543"/>
      <c r="L1547" s="543" t="s">
        <v>25</v>
      </c>
      <c r="M1547" s="543"/>
      <c r="N1547" s="543"/>
      <c r="O1547" s="543"/>
      <c r="P1547" s="543"/>
      <c r="Q1547" s="543" t="s">
        <v>26</v>
      </c>
      <c r="R1547" s="543"/>
      <c r="S1547" s="543"/>
      <c r="T1547" s="543"/>
      <c r="U1547" s="543"/>
    </row>
    <row r="1548" spans="1:21" x14ac:dyDescent="0.25">
      <c r="A1548" s="542"/>
      <c r="B1548" s="182" t="s">
        <v>19</v>
      </c>
      <c r="C1548" s="182" t="s">
        <v>20</v>
      </c>
      <c r="D1548" s="182" t="s">
        <v>21</v>
      </c>
      <c r="E1548" s="182" t="s">
        <v>22</v>
      </c>
      <c r="F1548" s="182" t="s">
        <v>23</v>
      </c>
      <c r="G1548" s="182" t="s">
        <v>19</v>
      </c>
      <c r="H1548" s="216" t="s">
        <v>20</v>
      </c>
      <c r="I1548" s="182" t="s">
        <v>21</v>
      </c>
      <c r="J1548" s="182" t="s">
        <v>22</v>
      </c>
      <c r="K1548" s="182" t="s">
        <v>23</v>
      </c>
      <c r="L1548" s="182" t="s">
        <v>19</v>
      </c>
      <c r="M1548" s="182" t="s">
        <v>20</v>
      </c>
      <c r="N1548" s="182" t="s">
        <v>21</v>
      </c>
      <c r="O1548" s="182" t="s">
        <v>22</v>
      </c>
      <c r="P1548" s="182" t="s">
        <v>23</v>
      </c>
      <c r="Q1548" s="182" t="s">
        <v>19</v>
      </c>
      <c r="R1548" s="182" t="s">
        <v>20</v>
      </c>
      <c r="S1548" s="182" t="s">
        <v>21</v>
      </c>
      <c r="T1548" s="182" t="s">
        <v>22</v>
      </c>
      <c r="U1548" s="211" t="s">
        <v>23</v>
      </c>
    </row>
    <row r="1549" spans="1:21" ht="31.5" x14ac:dyDescent="0.25">
      <c r="A1549" s="183" t="s">
        <v>611</v>
      </c>
      <c r="B1549" s="182" t="s">
        <v>47</v>
      </c>
      <c r="C1549" s="182" t="s">
        <v>28</v>
      </c>
      <c r="D1549" s="182">
        <v>1</v>
      </c>
      <c r="E1549" s="182">
        <f>skilled</f>
        <v>1245</v>
      </c>
      <c r="F1549" s="184">
        <f>(D1549*E1549)</f>
        <v>1245</v>
      </c>
      <c r="G1549" s="182" t="s">
        <v>612</v>
      </c>
      <c r="H1549" s="216" t="s">
        <v>144</v>
      </c>
      <c r="I1549" s="182">
        <v>75</v>
      </c>
      <c r="J1549" s="182">
        <f>adopted_rate_bentonite</f>
        <v>20</v>
      </c>
      <c r="K1549" s="182">
        <f>(I1549*J1549)</f>
        <v>1500</v>
      </c>
      <c r="L1549" s="182" t="s">
        <v>613</v>
      </c>
      <c r="M1549" s="182" t="s">
        <v>58</v>
      </c>
      <c r="N1549" s="182" t="s">
        <v>614</v>
      </c>
      <c r="O1549" s="182">
        <f>piling_rig_with_all_accessories</f>
        <v>3434</v>
      </c>
      <c r="P1549" s="184">
        <f>(N1549*O1549)</f>
        <v>8585</v>
      </c>
    </row>
    <row r="1550" spans="1:21" x14ac:dyDescent="0.25">
      <c r="B1550" s="182" t="s">
        <v>29</v>
      </c>
      <c r="C1550" s="182" t="s">
        <v>28</v>
      </c>
      <c r="D1550" s="182">
        <v>7</v>
      </c>
      <c r="E1550" s="182">
        <f>unskilled</f>
        <v>935</v>
      </c>
      <c r="F1550" s="184">
        <f>(D1550*E1550)</f>
        <v>6545</v>
      </c>
      <c r="L1550" s="182" t="s">
        <v>477</v>
      </c>
      <c r="M1550" s="182" t="s">
        <v>58</v>
      </c>
      <c r="N1550" s="182" t="s">
        <v>614</v>
      </c>
      <c r="O1550" s="182">
        <f>crane</f>
        <v>2903</v>
      </c>
      <c r="P1550" s="184">
        <f>(N1550*O1550)</f>
        <v>7257.5</v>
      </c>
    </row>
    <row r="1551" spans="1:21" x14ac:dyDescent="0.25">
      <c r="L1551" s="182" t="s">
        <v>615</v>
      </c>
      <c r="M1551" s="182" t="s">
        <v>58</v>
      </c>
      <c r="N1551" s="182" t="s">
        <v>614</v>
      </c>
      <c r="O1551" s="182">
        <f>bentonite_pump</f>
        <v>299</v>
      </c>
      <c r="P1551" s="184">
        <f>(N1551*O1551)</f>
        <v>747.5</v>
      </c>
    </row>
    <row r="1552" spans="1:21" x14ac:dyDescent="0.25">
      <c r="A1552" s="537" t="s">
        <v>30</v>
      </c>
      <c r="B1552" s="537"/>
      <c r="C1552" s="537"/>
      <c r="D1552" s="537"/>
      <c r="E1552" s="537"/>
      <c r="F1552" s="184">
        <f>SUM(F1548:F1551)</f>
        <v>7790</v>
      </c>
      <c r="G1552" s="537" t="s">
        <v>31</v>
      </c>
      <c r="H1552" s="537"/>
      <c r="I1552" s="537"/>
      <c r="J1552" s="537"/>
      <c r="K1552" s="184">
        <f>SUM(K1548:K1551)</f>
        <v>1500</v>
      </c>
      <c r="L1552" s="537" t="s">
        <v>32</v>
      </c>
      <c r="M1552" s="537"/>
      <c r="N1552" s="537"/>
      <c r="O1552" s="537"/>
      <c r="P1552" s="184">
        <f>SUM(P1548:P1551)</f>
        <v>16590</v>
      </c>
      <c r="Q1552" s="537" t="s">
        <v>38</v>
      </c>
      <c r="R1552" s="537"/>
      <c r="S1552" s="537"/>
      <c r="T1552" s="537"/>
      <c r="U1552" s="223">
        <f>SUM(U1548:U1551)</f>
        <v>0</v>
      </c>
    </row>
    <row r="1553" spans="1:21" x14ac:dyDescent="0.25">
      <c r="A1553" s="537" t="s">
        <v>33</v>
      </c>
      <c r="B1553" s="537"/>
      <c r="C1553" s="537"/>
      <c r="D1553" s="537"/>
      <c r="E1553" s="537"/>
      <c r="F1553" s="184">
        <f>SUM(F1552+K1552+P1552)</f>
        <v>25880</v>
      </c>
      <c r="G1553" s="537" t="s">
        <v>39</v>
      </c>
      <c r="H1553" s="537"/>
      <c r="I1553" s="537"/>
      <c r="J1553" s="537"/>
      <c r="K1553" s="184">
        <f>SUM(F1552+K1552+P1552+U1552)</f>
        <v>25880</v>
      </c>
      <c r="L1553" s="537" t="s">
        <v>40</v>
      </c>
      <c r="M1553" s="537"/>
      <c r="N1553" s="537"/>
      <c r="O1553" s="537"/>
      <c r="P1553" s="184">
        <f>SUM(K1553*0.15)</f>
        <v>3882</v>
      </c>
      <c r="Q1553" s="537" t="s">
        <v>41</v>
      </c>
      <c r="R1553" s="537"/>
      <c r="S1553" s="537"/>
      <c r="T1553" s="537"/>
      <c r="U1553" s="223">
        <f>SUM(K1553+P1553)</f>
        <v>29762</v>
      </c>
    </row>
    <row r="1554" spans="1:21" x14ac:dyDescent="0.25">
      <c r="Q1554" s="537" t="s">
        <v>42</v>
      </c>
      <c r="R1554" s="537"/>
      <c r="S1554" s="537"/>
      <c r="T1554" s="537"/>
      <c r="U1554" s="224">
        <f>ROUND((U1553/5),2)</f>
        <v>5952.4</v>
      </c>
    </row>
    <row r="1555" spans="1:21" x14ac:dyDescent="0.25">
      <c r="A1555" s="544"/>
      <c r="B1555" s="544"/>
      <c r="C1555" s="544"/>
      <c r="D1555" s="544"/>
      <c r="E1555" s="544"/>
      <c r="F1555" s="544"/>
      <c r="G1555" s="544"/>
      <c r="H1555" s="544"/>
      <c r="I1555" s="544"/>
      <c r="J1555" s="544"/>
      <c r="K1555" s="544"/>
      <c r="L1555" s="544"/>
      <c r="M1555" s="544"/>
      <c r="N1555" s="544"/>
      <c r="O1555" s="544"/>
      <c r="P1555" s="544"/>
      <c r="Q1555" s="544"/>
      <c r="R1555" s="544"/>
      <c r="S1555" s="544"/>
      <c r="T1555" s="544"/>
      <c r="U1555" s="544"/>
    </row>
    <row r="1556" spans="1:21" x14ac:dyDescent="0.25">
      <c r="A1556" s="538" t="s">
        <v>12</v>
      </c>
      <c r="B1556" s="538"/>
      <c r="C1556" s="540" t="s">
        <v>616</v>
      </c>
      <c r="D1556" s="540"/>
      <c r="E1556" s="540"/>
      <c r="F1556" s="540"/>
      <c r="G1556" s="540"/>
      <c r="H1556" s="540"/>
      <c r="I1556" s="540"/>
      <c r="J1556" s="540"/>
      <c r="K1556" s="540"/>
      <c r="L1556" s="540"/>
      <c r="M1556" s="540"/>
      <c r="N1556" s="540"/>
      <c r="O1556" s="540"/>
      <c r="P1556" s="540"/>
      <c r="Q1556" s="540"/>
      <c r="R1556" s="540"/>
      <c r="S1556" s="540"/>
      <c r="T1556" s="540"/>
      <c r="U1556" s="541" t="s">
        <v>610</v>
      </c>
    </row>
    <row r="1557" spans="1:21" x14ac:dyDescent="0.25">
      <c r="A1557" s="538"/>
      <c r="B1557" s="538"/>
      <c r="C1557" s="540"/>
      <c r="D1557" s="540"/>
      <c r="E1557" s="540"/>
      <c r="F1557" s="540"/>
      <c r="G1557" s="540"/>
      <c r="H1557" s="540"/>
      <c r="I1557" s="540"/>
      <c r="J1557" s="540"/>
      <c r="K1557" s="540"/>
      <c r="L1557" s="540"/>
      <c r="M1557" s="540"/>
      <c r="N1557" s="540"/>
      <c r="O1557" s="540"/>
      <c r="P1557" s="540"/>
      <c r="Q1557" s="540"/>
      <c r="R1557" s="540"/>
      <c r="S1557" s="540"/>
      <c r="T1557" s="540"/>
      <c r="U1557" s="541"/>
    </row>
    <row r="1558" spans="1:21" x14ac:dyDescent="0.25">
      <c r="A1558" s="539" t="s">
        <v>608</v>
      </c>
      <c r="B1558" s="539"/>
      <c r="C1558" s="540"/>
      <c r="D1558" s="540"/>
      <c r="E1558" s="540"/>
      <c r="F1558" s="540"/>
      <c r="G1558" s="540"/>
      <c r="H1558" s="540"/>
      <c r="I1558" s="540"/>
      <c r="J1558" s="540"/>
      <c r="K1558" s="540"/>
      <c r="L1558" s="540"/>
      <c r="M1558" s="540"/>
      <c r="N1558" s="540"/>
      <c r="O1558" s="540"/>
      <c r="P1558" s="540"/>
      <c r="Q1558" s="540"/>
      <c r="R1558" s="540"/>
      <c r="S1558" s="540"/>
      <c r="T1558" s="540"/>
      <c r="U1558" s="541"/>
    </row>
    <row r="1559" spans="1:21" x14ac:dyDescent="0.25">
      <c r="A1559" s="542" t="s">
        <v>16</v>
      </c>
      <c r="B1559" s="543" t="s">
        <v>18</v>
      </c>
      <c r="C1559" s="543"/>
      <c r="D1559" s="543"/>
      <c r="E1559" s="543"/>
      <c r="F1559" s="543"/>
      <c r="G1559" s="543" t="s">
        <v>24</v>
      </c>
      <c r="H1559" s="543"/>
      <c r="I1559" s="543"/>
      <c r="J1559" s="543"/>
      <c r="K1559" s="543"/>
      <c r="L1559" s="543" t="s">
        <v>25</v>
      </c>
      <c r="M1559" s="543"/>
      <c r="N1559" s="543"/>
      <c r="O1559" s="543"/>
      <c r="P1559" s="543"/>
      <c r="Q1559" s="543" t="s">
        <v>26</v>
      </c>
      <c r="R1559" s="543"/>
      <c r="S1559" s="543"/>
      <c r="T1559" s="543"/>
      <c r="U1559" s="543"/>
    </row>
    <row r="1560" spans="1:21" x14ac:dyDescent="0.25">
      <c r="A1560" s="542"/>
      <c r="B1560" s="182" t="s">
        <v>19</v>
      </c>
      <c r="C1560" s="182" t="s">
        <v>20</v>
      </c>
      <c r="D1560" s="182" t="s">
        <v>21</v>
      </c>
      <c r="E1560" s="182" t="s">
        <v>22</v>
      </c>
      <c r="F1560" s="182" t="s">
        <v>23</v>
      </c>
      <c r="G1560" s="182" t="s">
        <v>19</v>
      </c>
      <c r="H1560" s="216" t="s">
        <v>20</v>
      </c>
      <c r="I1560" s="182" t="s">
        <v>21</v>
      </c>
      <c r="J1560" s="182" t="s">
        <v>22</v>
      </c>
      <c r="K1560" s="182" t="s">
        <v>23</v>
      </c>
      <c r="L1560" s="182" t="s">
        <v>19</v>
      </c>
      <c r="M1560" s="182" t="s">
        <v>20</v>
      </c>
      <c r="N1560" s="182" t="s">
        <v>21</v>
      </c>
      <c r="O1560" s="182" t="s">
        <v>22</v>
      </c>
      <c r="P1560" s="182" t="s">
        <v>23</v>
      </c>
      <c r="Q1560" s="182" t="s">
        <v>19</v>
      </c>
      <c r="R1560" s="182" t="s">
        <v>20</v>
      </c>
      <c r="S1560" s="182" t="s">
        <v>21</v>
      </c>
      <c r="T1560" s="182" t="s">
        <v>22</v>
      </c>
      <c r="U1560" s="211" t="s">
        <v>23</v>
      </c>
    </row>
    <row r="1561" spans="1:21" ht="31.5" x14ac:dyDescent="0.25">
      <c r="A1561" s="183" t="s">
        <v>617</v>
      </c>
      <c r="B1561" s="182" t="s">
        <v>47</v>
      </c>
      <c r="C1561" s="182" t="s">
        <v>28</v>
      </c>
      <c r="D1561" s="182">
        <v>1</v>
      </c>
      <c r="E1561" s="182">
        <f>skilled</f>
        <v>1245</v>
      </c>
      <c r="F1561" s="184">
        <f>(D1561*E1561)</f>
        <v>1245</v>
      </c>
      <c r="G1561" s="182" t="s">
        <v>612</v>
      </c>
      <c r="H1561" s="216" t="s">
        <v>144</v>
      </c>
      <c r="I1561" s="182">
        <v>100</v>
      </c>
      <c r="J1561" s="182">
        <f>adopted_rate_bentonite</f>
        <v>20</v>
      </c>
      <c r="K1561" s="182">
        <f>(I1561*J1561)</f>
        <v>2000</v>
      </c>
      <c r="L1561" s="182" t="s">
        <v>613</v>
      </c>
      <c r="M1561" s="182" t="s">
        <v>58</v>
      </c>
      <c r="N1561" s="182" t="s">
        <v>618</v>
      </c>
      <c r="O1561" s="182">
        <f>piling_rig_with_all_accessories</f>
        <v>3434</v>
      </c>
      <c r="P1561" s="184">
        <f>(N1561*O1561)</f>
        <v>10302</v>
      </c>
    </row>
    <row r="1562" spans="1:21" x14ac:dyDescent="0.25">
      <c r="B1562" s="182" t="s">
        <v>29</v>
      </c>
      <c r="C1562" s="182" t="s">
        <v>28</v>
      </c>
      <c r="D1562" s="182">
        <v>10</v>
      </c>
      <c r="E1562" s="182">
        <f>unskilled</f>
        <v>935</v>
      </c>
      <c r="F1562" s="184">
        <f>(D1562*E1562)</f>
        <v>9350</v>
      </c>
      <c r="L1562" s="182" t="s">
        <v>477</v>
      </c>
      <c r="M1562" s="182" t="s">
        <v>58</v>
      </c>
      <c r="N1562" s="182" t="s">
        <v>618</v>
      </c>
      <c r="O1562" s="182">
        <f>crane</f>
        <v>2903</v>
      </c>
      <c r="P1562" s="184">
        <f>(N1562*O1562)</f>
        <v>8709</v>
      </c>
    </row>
    <row r="1563" spans="1:21" x14ac:dyDescent="0.25">
      <c r="L1563" s="182" t="s">
        <v>615</v>
      </c>
      <c r="M1563" s="182" t="s">
        <v>58</v>
      </c>
      <c r="N1563" s="182" t="s">
        <v>618</v>
      </c>
      <c r="O1563" s="182">
        <f>bentonite_pump</f>
        <v>299</v>
      </c>
      <c r="P1563" s="184">
        <f>(N1563*O1563)</f>
        <v>897</v>
      </c>
    </row>
    <row r="1564" spans="1:21" x14ac:dyDescent="0.25">
      <c r="A1564" s="537" t="s">
        <v>30</v>
      </c>
      <c r="B1564" s="537"/>
      <c r="C1564" s="537"/>
      <c r="D1564" s="537"/>
      <c r="E1564" s="537"/>
      <c r="F1564" s="184">
        <f>SUM(F1560:F1563)</f>
        <v>10595</v>
      </c>
      <c r="G1564" s="537" t="s">
        <v>31</v>
      </c>
      <c r="H1564" s="537"/>
      <c r="I1564" s="537"/>
      <c r="J1564" s="537"/>
      <c r="K1564" s="184">
        <f>SUM(K1560:K1563)</f>
        <v>2000</v>
      </c>
      <c r="L1564" s="537" t="s">
        <v>32</v>
      </c>
      <c r="M1564" s="537"/>
      <c r="N1564" s="537"/>
      <c r="O1564" s="537"/>
      <c r="P1564" s="184">
        <f>SUM(P1560:P1563)</f>
        <v>19908</v>
      </c>
      <c r="Q1564" s="537" t="s">
        <v>38</v>
      </c>
      <c r="R1564" s="537"/>
      <c r="S1564" s="537"/>
      <c r="T1564" s="537"/>
      <c r="U1564" s="223">
        <f>SUM(U1560:U1563)</f>
        <v>0</v>
      </c>
    </row>
    <row r="1565" spans="1:21" x14ac:dyDescent="0.25">
      <c r="A1565" s="537" t="s">
        <v>33</v>
      </c>
      <c r="B1565" s="537"/>
      <c r="C1565" s="537"/>
      <c r="D1565" s="537"/>
      <c r="E1565" s="537"/>
      <c r="F1565" s="184">
        <f>SUM(F1564+K1564+P1564)</f>
        <v>32503</v>
      </c>
      <c r="G1565" s="537" t="s">
        <v>39</v>
      </c>
      <c r="H1565" s="537"/>
      <c r="I1565" s="537"/>
      <c r="J1565" s="537"/>
      <c r="K1565" s="184">
        <f>SUM(F1564+K1564+P1564+U1564)</f>
        <v>32503</v>
      </c>
      <c r="L1565" s="537" t="s">
        <v>40</v>
      </c>
      <c r="M1565" s="537"/>
      <c r="N1565" s="537"/>
      <c r="O1565" s="537"/>
      <c r="P1565" s="184">
        <f>SUM(K1565*0.15)</f>
        <v>4875.45</v>
      </c>
      <c r="Q1565" s="537" t="s">
        <v>41</v>
      </c>
      <c r="R1565" s="537"/>
      <c r="S1565" s="537"/>
      <c r="T1565" s="537"/>
      <c r="U1565" s="223">
        <f>SUM(K1565+P1565)</f>
        <v>37378.449999999997</v>
      </c>
    </row>
    <row r="1566" spans="1:21" x14ac:dyDescent="0.25">
      <c r="Q1566" s="537" t="s">
        <v>42</v>
      </c>
      <c r="R1566" s="537"/>
      <c r="S1566" s="537"/>
      <c r="T1566" s="537"/>
      <c r="U1566" s="224">
        <f>ROUND((U1565/5),2)</f>
        <v>7475.69</v>
      </c>
    </row>
    <row r="1567" spans="1:21" x14ac:dyDescent="0.25">
      <c r="A1567" s="544"/>
      <c r="B1567" s="544"/>
      <c r="C1567" s="544"/>
      <c r="D1567" s="544"/>
      <c r="E1567" s="544"/>
      <c r="F1567" s="544"/>
      <c r="G1567" s="544"/>
      <c r="H1567" s="544"/>
      <c r="I1567" s="544"/>
      <c r="J1567" s="544"/>
      <c r="K1567" s="544"/>
      <c r="L1567" s="544"/>
      <c r="M1567" s="544"/>
      <c r="N1567" s="544"/>
      <c r="O1567" s="544"/>
      <c r="P1567" s="544"/>
      <c r="Q1567" s="544"/>
      <c r="R1567" s="544"/>
      <c r="S1567" s="544"/>
      <c r="T1567" s="544"/>
      <c r="U1567" s="544"/>
    </row>
    <row r="1568" spans="1:21" x14ac:dyDescent="0.25">
      <c r="A1568" s="538" t="s">
        <v>12</v>
      </c>
      <c r="B1568" s="538"/>
      <c r="C1568" s="540" t="s">
        <v>619</v>
      </c>
      <c r="D1568" s="540"/>
      <c r="E1568" s="540"/>
      <c r="F1568" s="540"/>
      <c r="G1568" s="540"/>
      <c r="H1568" s="540"/>
      <c r="I1568" s="540"/>
      <c r="J1568" s="540"/>
      <c r="K1568" s="540"/>
      <c r="L1568" s="540"/>
      <c r="M1568" s="540"/>
      <c r="N1568" s="540"/>
      <c r="O1568" s="540"/>
      <c r="P1568" s="540"/>
      <c r="Q1568" s="540"/>
      <c r="R1568" s="540"/>
      <c r="S1568" s="540"/>
      <c r="T1568" s="540"/>
      <c r="U1568" s="541" t="s">
        <v>610</v>
      </c>
    </row>
    <row r="1569" spans="1:21" x14ac:dyDescent="0.25">
      <c r="A1569" s="538"/>
      <c r="B1569" s="538"/>
      <c r="C1569" s="540"/>
      <c r="D1569" s="540"/>
      <c r="E1569" s="540"/>
      <c r="F1569" s="540"/>
      <c r="G1569" s="540"/>
      <c r="H1569" s="540"/>
      <c r="I1569" s="540"/>
      <c r="J1569" s="540"/>
      <c r="K1569" s="540"/>
      <c r="L1569" s="540"/>
      <c r="M1569" s="540"/>
      <c r="N1569" s="540"/>
      <c r="O1569" s="540"/>
      <c r="P1569" s="540"/>
      <c r="Q1569" s="540"/>
      <c r="R1569" s="540"/>
      <c r="S1569" s="540"/>
      <c r="T1569" s="540"/>
      <c r="U1569" s="541"/>
    </row>
    <row r="1570" spans="1:21" x14ac:dyDescent="0.25">
      <c r="A1570" s="539" t="s">
        <v>608</v>
      </c>
      <c r="B1570" s="539"/>
      <c r="C1570" s="540"/>
      <c r="D1570" s="540"/>
      <c r="E1570" s="540"/>
      <c r="F1570" s="540"/>
      <c r="G1570" s="540"/>
      <c r="H1570" s="540"/>
      <c r="I1570" s="540"/>
      <c r="J1570" s="540"/>
      <c r="K1570" s="540"/>
      <c r="L1570" s="540"/>
      <c r="M1570" s="540"/>
      <c r="N1570" s="540"/>
      <c r="O1570" s="540"/>
      <c r="P1570" s="540"/>
      <c r="Q1570" s="540"/>
      <c r="R1570" s="540"/>
      <c r="S1570" s="540"/>
      <c r="T1570" s="540"/>
      <c r="U1570" s="541"/>
    </row>
    <row r="1571" spans="1:21" x14ac:dyDescent="0.25">
      <c r="A1571" s="542" t="s">
        <v>16</v>
      </c>
      <c r="B1571" s="543" t="s">
        <v>18</v>
      </c>
      <c r="C1571" s="543"/>
      <c r="D1571" s="543"/>
      <c r="E1571" s="543"/>
      <c r="F1571" s="543"/>
      <c r="G1571" s="543" t="s">
        <v>24</v>
      </c>
      <c r="H1571" s="543"/>
      <c r="I1571" s="543"/>
      <c r="J1571" s="543"/>
      <c r="K1571" s="543"/>
      <c r="L1571" s="543" t="s">
        <v>25</v>
      </c>
      <c r="M1571" s="543"/>
      <c r="N1571" s="543"/>
      <c r="O1571" s="543"/>
      <c r="P1571" s="543"/>
      <c r="Q1571" s="543" t="s">
        <v>26</v>
      </c>
      <c r="R1571" s="543"/>
      <c r="S1571" s="543"/>
      <c r="T1571" s="543"/>
      <c r="U1571" s="543"/>
    </row>
    <row r="1572" spans="1:21" x14ac:dyDescent="0.25">
      <c r="A1572" s="542"/>
      <c r="B1572" s="182" t="s">
        <v>19</v>
      </c>
      <c r="C1572" s="182" t="s">
        <v>20</v>
      </c>
      <c r="D1572" s="182" t="s">
        <v>21</v>
      </c>
      <c r="E1572" s="182" t="s">
        <v>22</v>
      </c>
      <c r="F1572" s="182" t="s">
        <v>23</v>
      </c>
      <c r="G1572" s="182" t="s">
        <v>19</v>
      </c>
      <c r="H1572" s="216" t="s">
        <v>20</v>
      </c>
      <c r="I1572" s="182" t="s">
        <v>21</v>
      </c>
      <c r="J1572" s="182" t="s">
        <v>22</v>
      </c>
      <c r="K1572" s="182" t="s">
        <v>23</v>
      </c>
      <c r="L1572" s="182" t="s">
        <v>19</v>
      </c>
      <c r="M1572" s="182" t="s">
        <v>20</v>
      </c>
      <c r="N1572" s="182" t="s">
        <v>21</v>
      </c>
      <c r="O1572" s="182" t="s">
        <v>22</v>
      </c>
      <c r="P1572" s="182" t="s">
        <v>23</v>
      </c>
      <c r="Q1572" s="182" t="s">
        <v>19</v>
      </c>
      <c r="R1572" s="182" t="s">
        <v>20</v>
      </c>
      <c r="S1572" s="182" t="s">
        <v>21</v>
      </c>
      <c r="T1572" s="182" t="s">
        <v>22</v>
      </c>
      <c r="U1572" s="211" t="s">
        <v>23</v>
      </c>
    </row>
    <row r="1573" spans="1:21" ht="31.5" x14ac:dyDescent="0.25">
      <c r="A1573" s="183" t="s">
        <v>620</v>
      </c>
      <c r="B1573" s="182" t="s">
        <v>47</v>
      </c>
      <c r="C1573" s="182" t="s">
        <v>28</v>
      </c>
      <c r="D1573" s="182">
        <v>2</v>
      </c>
      <c r="E1573" s="182">
        <f>skilled</f>
        <v>1245</v>
      </c>
      <c r="F1573" s="184">
        <f>(D1573*E1573)</f>
        <v>2490</v>
      </c>
      <c r="G1573" s="182" t="s">
        <v>612</v>
      </c>
      <c r="H1573" s="216" t="s">
        <v>144</v>
      </c>
      <c r="I1573" s="182">
        <v>150</v>
      </c>
      <c r="J1573" s="182">
        <f>adopted_rate_bentonite</f>
        <v>20</v>
      </c>
      <c r="K1573" s="182">
        <f>(I1573*J1573)</f>
        <v>3000</v>
      </c>
      <c r="L1573" s="182" t="s">
        <v>613</v>
      </c>
      <c r="M1573" s="182" t="s">
        <v>58</v>
      </c>
      <c r="N1573" s="182" t="s">
        <v>621</v>
      </c>
      <c r="O1573" s="182">
        <f>piling_rig_with_all_accessories</f>
        <v>3434</v>
      </c>
      <c r="P1573" s="184">
        <f>(N1573*O1573)</f>
        <v>15453</v>
      </c>
    </row>
    <row r="1574" spans="1:21" x14ac:dyDescent="0.25">
      <c r="B1574" s="182" t="s">
        <v>29</v>
      </c>
      <c r="C1574" s="182" t="s">
        <v>28</v>
      </c>
      <c r="D1574" s="182">
        <v>15</v>
      </c>
      <c r="E1574" s="182">
        <f>unskilled</f>
        <v>935</v>
      </c>
      <c r="F1574" s="184">
        <f>(D1574*E1574)</f>
        <v>14025</v>
      </c>
      <c r="L1574" s="182" t="s">
        <v>477</v>
      </c>
      <c r="M1574" s="182" t="s">
        <v>58</v>
      </c>
      <c r="N1574" s="182" t="s">
        <v>621</v>
      </c>
      <c r="O1574" s="182">
        <f>crane</f>
        <v>2903</v>
      </c>
      <c r="P1574" s="184">
        <f>(N1574*O1574)</f>
        <v>13063.5</v>
      </c>
    </row>
    <row r="1575" spans="1:21" x14ac:dyDescent="0.25">
      <c r="L1575" s="182" t="s">
        <v>615</v>
      </c>
      <c r="M1575" s="182" t="s">
        <v>58</v>
      </c>
      <c r="N1575" s="182" t="s">
        <v>621</v>
      </c>
      <c r="O1575" s="182">
        <f>bentonite_pump</f>
        <v>299</v>
      </c>
      <c r="P1575" s="184">
        <f>(N1575*O1575)</f>
        <v>1345.5</v>
      </c>
    </row>
    <row r="1576" spans="1:21" x14ac:dyDescent="0.25">
      <c r="A1576" s="537" t="s">
        <v>30</v>
      </c>
      <c r="B1576" s="537"/>
      <c r="C1576" s="537"/>
      <c r="D1576" s="537"/>
      <c r="E1576" s="537"/>
      <c r="F1576" s="184">
        <f>SUM(F1572:F1575)</f>
        <v>16515</v>
      </c>
      <c r="G1576" s="537" t="s">
        <v>31</v>
      </c>
      <c r="H1576" s="537"/>
      <c r="I1576" s="537"/>
      <c r="J1576" s="537"/>
      <c r="K1576" s="184">
        <f>SUM(K1572:K1575)</f>
        <v>3000</v>
      </c>
      <c r="L1576" s="537" t="s">
        <v>32</v>
      </c>
      <c r="M1576" s="537"/>
      <c r="N1576" s="537"/>
      <c r="O1576" s="537"/>
      <c r="P1576" s="184">
        <f>SUM(P1572:P1575)</f>
        <v>29862</v>
      </c>
      <c r="Q1576" s="537" t="s">
        <v>38</v>
      </c>
      <c r="R1576" s="537"/>
      <c r="S1576" s="537"/>
      <c r="T1576" s="537"/>
      <c r="U1576" s="223">
        <f>SUM(U1572:U1575)</f>
        <v>0</v>
      </c>
    </row>
    <row r="1577" spans="1:21" x14ac:dyDescent="0.25">
      <c r="A1577" s="537" t="s">
        <v>33</v>
      </c>
      <c r="B1577" s="537"/>
      <c r="C1577" s="537"/>
      <c r="D1577" s="537"/>
      <c r="E1577" s="537"/>
      <c r="F1577" s="184">
        <f>SUM(F1576+K1576+P1576)</f>
        <v>49377</v>
      </c>
      <c r="G1577" s="537" t="s">
        <v>39</v>
      </c>
      <c r="H1577" s="537"/>
      <c r="I1577" s="537"/>
      <c r="J1577" s="537"/>
      <c r="K1577" s="184">
        <f>SUM(F1576+K1576+P1576+U1576)</f>
        <v>49377</v>
      </c>
      <c r="L1577" s="537" t="s">
        <v>40</v>
      </c>
      <c r="M1577" s="537"/>
      <c r="N1577" s="537"/>
      <c r="O1577" s="537"/>
      <c r="P1577" s="184">
        <f>SUM(K1577*0.15)</f>
        <v>7406.5499999999993</v>
      </c>
      <c r="Q1577" s="537" t="s">
        <v>41</v>
      </c>
      <c r="R1577" s="537"/>
      <c r="S1577" s="537"/>
      <c r="T1577" s="537"/>
      <c r="U1577" s="223">
        <f>SUM(K1577+P1577)</f>
        <v>56783.55</v>
      </c>
    </row>
    <row r="1578" spans="1:21" x14ac:dyDescent="0.25">
      <c r="Q1578" s="537" t="s">
        <v>42</v>
      </c>
      <c r="R1578" s="537"/>
      <c r="S1578" s="537"/>
      <c r="T1578" s="537"/>
      <c r="U1578" s="224">
        <f>ROUND((U1577/5),2)</f>
        <v>11356.71</v>
      </c>
    </row>
    <row r="1579" spans="1:21" x14ac:dyDescent="0.25">
      <c r="A1579" s="544"/>
      <c r="B1579" s="544"/>
      <c r="C1579" s="544"/>
      <c r="D1579" s="544"/>
      <c r="E1579" s="544"/>
      <c r="F1579" s="544"/>
      <c r="G1579" s="544"/>
      <c r="H1579" s="544"/>
      <c r="I1579" s="544"/>
      <c r="J1579" s="544"/>
      <c r="K1579" s="544"/>
      <c r="L1579" s="544"/>
      <c r="M1579" s="544"/>
      <c r="N1579" s="544"/>
      <c r="O1579" s="544"/>
      <c r="P1579" s="544"/>
      <c r="Q1579" s="544"/>
      <c r="R1579" s="544"/>
      <c r="S1579" s="544"/>
      <c r="T1579" s="544"/>
      <c r="U1579" s="544"/>
    </row>
    <row r="1580" spans="1:21" x14ac:dyDescent="0.25">
      <c r="A1580" s="538" t="s">
        <v>12</v>
      </c>
      <c r="B1580" s="538"/>
      <c r="C1580" s="540" t="s">
        <v>622</v>
      </c>
      <c r="D1580" s="540"/>
      <c r="E1580" s="540"/>
      <c r="F1580" s="540"/>
      <c r="G1580" s="540"/>
      <c r="H1580" s="540"/>
      <c r="I1580" s="540"/>
      <c r="J1580" s="540"/>
      <c r="K1580" s="540"/>
      <c r="L1580" s="540"/>
      <c r="M1580" s="540"/>
      <c r="N1580" s="540"/>
      <c r="O1580" s="540"/>
      <c r="P1580" s="540"/>
      <c r="Q1580" s="540"/>
      <c r="R1580" s="540"/>
      <c r="S1580" s="540"/>
      <c r="T1580" s="540"/>
      <c r="U1580" s="541" t="s">
        <v>610</v>
      </c>
    </row>
    <row r="1581" spans="1:21" x14ac:dyDescent="0.25">
      <c r="A1581" s="538"/>
      <c r="B1581" s="538"/>
      <c r="C1581" s="540"/>
      <c r="D1581" s="540"/>
      <c r="E1581" s="540"/>
      <c r="F1581" s="540"/>
      <c r="G1581" s="540"/>
      <c r="H1581" s="540"/>
      <c r="I1581" s="540"/>
      <c r="J1581" s="540"/>
      <c r="K1581" s="540"/>
      <c r="L1581" s="540"/>
      <c r="M1581" s="540"/>
      <c r="N1581" s="540"/>
      <c r="O1581" s="540"/>
      <c r="P1581" s="540"/>
      <c r="Q1581" s="540"/>
      <c r="R1581" s="540"/>
      <c r="S1581" s="540"/>
      <c r="T1581" s="540"/>
      <c r="U1581" s="541"/>
    </row>
    <row r="1582" spans="1:21" x14ac:dyDescent="0.25">
      <c r="A1582" s="539" t="s">
        <v>608</v>
      </c>
      <c r="B1582" s="539"/>
      <c r="C1582" s="540"/>
      <c r="D1582" s="540"/>
      <c r="E1582" s="540"/>
      <c r="F1582" s="540"/>
      <c r="G1582" s="540"/>
      <c r="H1582" s="540"/>
      <c r="I1582" s="540"/>
      <c r="J1582" s="540"/>
      <c r="K1582" s="540"/>
      <c r="L1582" s="540"/>
      <c r="M1582" s="540"/>
      <c r="N1582" s="540"/>
      <c r="O1582" s="540"/>
      <c r="P1582" s="540"/>
      <c r="Q1582" s="540"/>
      <c r="R1582" s="540"/>
      <c r="S1582" s="540"/>
      <c r="T1582" s="540"/>
      <c r="U1582" s="541"/>
    </row>
    <row r="1583" spans="1:21" x14ac:dyDescent="0.25">
      <c r="A1583" s="542" t="s">
        <v>16</v>
      </c>
      <c r="B1583" s="543" t="s">
        <v>18</v>
      </c>
      <c r="C1583" s="543"/>
      <c r="D1583" s="543"/>
      <c r="E1583" s="543"/>
      <c r="F1583" s="543"/>
      <c r="G1583" s="543" t="s">
        <v>24</v>
      </c>
      <c r="H1583" s="543"/>
      <c r="I1583" s="543"/>
      <c r="J1583" s="543"/>
      <c r="K1583" s="543"/>
      <c r="L1583" s="543" t="s">
        <v>25</v>
      </c>
      <c r="M1583" s="543"/>
      <c r="N1583" s="543"/>
      <c r="O1583" s="543"/>
      <c r="P1583" s="543"/>
      <c r="Q1583" s="543" t="s">
        <v>26</v>
      </c>
      <c r="R1583" s="543"/>
      <c r="S1583" s="543"/>
      <c r="T1583" s="543"/>
      <c r="U1583" s="543"/>
    </row>
    <row r="1584" spans="1:21" x14ac:dyDescent="0.25">
      <c r="A1584" s="542"/>
      <c r="B1584" s="182" t="s">
        <v>19</v>
      </c>
      <c r="C1584" s="182" t="s">
        <v>20</v>
      </c>
      <c r="D1584" s="182" t="s">
        <v>21</v>
      </c>
      <c r="E1584" s="182" t="s">
        <v>22</v>
      </c>
      <c r="F1584" s="182" t="s">
        <v>23</v>
      </c>
      <c r="G1584" s="182" t="s">
        <v>19</v>
      </c>
      <c r="H1584" s="216" t="s">
        <v>20</v>
      </c>
      <c r="I1584" s="182" t="s">
        <v>21</v>
      </c>
      <c r="J1584" s="182" t="s">
        <v>22</v>
      </c>
      <c r="K1584" s="182" t="s">
        <v>23</v>
      </c>
      <c r="L1584" s="182" t="s">
        <v>19</v>
      </c>
      <c r="M1584" s="182" t="s">
        <v>20</v>
      </c>
      <c r="N1584" s="182" t="s">
        <v>21</v>
      </c>
      <c r="O1584" s="182" t="s">
        <v>22</v>
      </c>
      <c r="P1584" s="182" t="s">
        <v>23</v>
      </c>
      <c r="Q1584" s="182" t="s">
        <v>19</v>
      </c>
      <c r="R1584" s="182" t="s">
        <v>20</v>
      </c>
      <c r="S1584" s="182" t="s">
        <v>21</v>
      </c>
      <c r="T1584" s="182" t="s">
        <v>22</v>
      </c>
      <c r="U1584" s="211" t="s">
        <v>23</v>
      </c>
    </row>
    <row r="1585" spans="1:21" ht="31.5" x14ac:dyDescent="0.25">
      <c r="A1585" s="183" t="s">
        <v>623</v>
      </c>
      <c r="B1585" s="182" t="s">
        <v>47</v>
      </c>
      <c r="C1585" s="182" t="s">
        <v>28</v>
      </c>
      <c r="D1585" s="182">
        <v>2</v>
      </c>
      <c r="E1585" s="182">
        <f>skilled</f>
        <v>1245</v>
      </c>
      <c r="F1585" s="184">
        <f>(D1585*E1585)</f>
        <v>2490</v>
      </c>
      <c r="G1585" s="182" t="s">
        <v>612</v>
      </c>
      <c r="H1585" s="216" t="s">
        <v>144</v>
      </c>
      <c r="I1585" s="182">
        <v>220</v>
      </c>
      <c r="J1585" s="182">
        <f>adopted_rate_bentonite</f>
        <v>20</v>
      </c>
      <c r="K1585" s="182">
        <f>(I1585*J1585)</f>
        <v>4400</v>
      </c>
      <c r="L1585" s="182" t="s">
        <v>613</v>
      </c>
      <c r="M1585" s="182" t="s">
        <v>58</v>
      </c>
      <c r="N1585" s="182" t="s">
        <v>432</v>
      </c>
      <c r="O1585" s="182">
        <f>piling_rig_with_all_accessories</f>
        <v>3434</v>
      </c>
      <c r="P1585" s="184">
        <f>(N1585*O1585)</f>
        <v>20604</v>
      </c>
    </row>
    <row r="1586" spans="1:21" x14ac:dyDescent="0.25">
      <c r="B1586" s="182" t="s">
        <v>29</v>
      </c>
      <c r="C1586" s="182" t="s">
        <v>28</v>
      </c>
      <c r="D1586" s="182">
        <v>20</v>
      </c>
      <c r="E1586" s="182">
        <f>unskilled</f>
        <v>935</v>
      </c>
      <c r="F1586" s="184">
        <f>(D1586*E1586)</f>
        <v>18700</v>
      </c>
      <c r="L1586" s="182" t="s">
        <v>477</v>
      </c>
      <c r="M1586" s="182" t="s">
        <v>58</v>
      </c>
      <c r="N1586" s="182" t="s">
        <v>432</v>
      </c>
      <c r="O1586" s="182">
        <f>crane</f>
        <v>2903</v>
      </c>
      <c r="P1586" s="184">
        <f>(N1586*O1586)</f>
        <v>17418</v>
      </c>
    </row>
    <row r="1587" spans="1:21" x14ac:dyDescent="0.25">
      <c r="L1587" s="182" t="s">
        <v>615</v>
      </c>
      <c r="M1587" s="182" t="s">
        <v>58</v>
      </c>
      <c r="N1587" s="182" t="s">
        <v>432</v>
      </c>
      <c r="O1587" s="182">
        <f>bentonite_pump</f>
        <v>299</v>
      </c>
      <c r="P1587" s="184">
        <f>(N1587*O1587)</f>
        <v>1794</v>
      </c>
    </row>
    <row r="1588" spans="1:21" x14ac:dyDescent="0.25">
      <c r="A1588" s="537" t="s">
        <v>30</v>
      </c>
      <c r="B1588" s="537"/>
      <c r="C1588" s="537"/>
      <c r="D1588" s="537"/>
      <c r="E1588" s="537"/>
      <c r="F1588" s="184">
        <f>SUM(F1584:F1587)</f>
        <v>21190</v>
      </c>
      <c r="G1588" s="537" t="s">
        <v>31</v>
      </c>
      <c r="H1588" s="537"/>
      <c r="I1588" s="537"/>
      <c r="J1588" s="537"/>
      <c r="K1588" s="184">
        <f>SUM(K1584:K1587)</f>
        <v>4400</v>
      </c>
      <c r="L1588" s="537" t="s">
        <v>32</v>
      </c>
      <c r="M1588" s="537"/>
      <c r="N1588" s="537"/>
      <c r="O1588" s="537"/>
      <c r="P1588" s="184">
        <f>SUM(P1584:P1587)</f>
        <v>39816</v>
      </c>
      <c r="Q1588" s="537" t="s">
        <v>38</v>
      </c>
      <c r="R1588" s="537"/>
      <c r="S1588" s="537"/>
      <c r="T1588" s="537"/>
      <c r="U1588" s="223">
        <f>SUM(U1584:U1587)</f>
        <v>0</v>
      </c>
    </row>
    <row r="1589" spans="1:21" x14ac:dyDescent="0.25">
      <c r="A1589" s="537" t="s">
        <v>33</v>
      </c>
      <c r="B1589" s="537"/>
      <c r="C1589" s="537"/>
      <c r="D1589" s="537"/>
      <c r="E1589" s="537"/>
      <c r="F1589" s="184">
        <f>SUM(F1588+K1588+P1588)</f>
        <v>65406</v>
      </c>
      <c r="G1589" s="537" t="s">
        <v>39</v>
      </c>
      <c r="H1589" s="537"/>
      <c r="I1589" s="537"/>
      <c r="J1589" s="537"/>
      <c r="K1589" s="184">
        <f>SUM(F1588+K1588+P1588+U1588)</f>
        <v>65406</v>
      </c>
      <c r="L1589" s="537" t="s">
        <v>40</v>
      </c>
      <c r="M1589" s="537"/>
      <c r="N1589" s="537"/>
      <c r="O1589" s="537"/>
      <c r="P1589" s="184">
        <f>SUM(K1589*0.15)</f>
        <v>9810.9</v>
      </c>
      <c r="Q1589" s="537" t="s">
        <v>41</v>
      </c>
      <c r="R1589" s="537"/>
      <c r="S1589" s="537"/>
      <c r="T1589" s="537"/>
      <c r="U1589" s="223">
        <f>SUM(K1589+P1589)</f>
        <v>75216.899999999994</v>
      </c>
    </row>
    <row r="1590" spans="1:21" x14ac:dyDescent="0.25">
      <c r="Q1590" s="537" t="s">
        <v>42</v>
      </c>
      <c r="R1590" s="537"/>
      <c r="S1590" s="537"/>
      <c r="T1590" s="537"/>
      <c r="U1590" s="224">
        <f>ROUND((U1589/5),2)</f>
        <v>15043.38</v>
      </c>
    </row>
    <row r="1591" spans="1:21" x14ac:dyDescent="0.25">
      <c r="A1591" s="544"/>
      <c r="B1591" s="544"/>
      <c r="C1591" s="544"/>
      <c r="D1591" s="544"/>
      <c r="E1591" s="544"/>
      <c r="F1591" s="544"/>
      <c r="G1591" s="544"/>
      <c r="H1591" s="544"/>
      <c r="I1591" s="544"/>
      <c r="J1591" s="544"/>
      <c r="K1591" s="544"/>
      <c r="L1591" s="544"/>
      <c r="M1591" s="544"/>
      <c r="N1591" s="544"/>
      <c r="O1591" s="544"/>
      <c r="P1591" s="544"/>
      <c r="Q1591" s="544"/>
      <c r="R1591" s="544"/>
      <c r="S1591" s="544"/>
      <c r="T1591" s="544"/>
      <c r="U1591" s="544"/>
    </row>
    <row r="1592" spans="1:21" x14ac:dyDescent="0.25">
      <c r="A1592" s="538" t="s">
        <v>12</v>
      </c>
      <c r="B1592" s="538"/>
      <c r="C1592" s="540" t="s">
        <v>624</v>
      </c>
      <c r="D1592" s="540"/>
      <c r="E1592" s="540"/>
      <c r="F1592" s="540"/>
      <c r="G1592" s="540"/>
      <c r="H1592" s="540"/>
      <c r="I1592" s="540"/>
      <c r="J1592" s="540"/>
      <c r="K1592" s="540"/>
      <c r="L1592" s="540"/>
      <c r="M1592" s="540"/>
      <c r="N1592" s="540"/>
      <c r="O1592" s="540"/>
      <c r="P1592" s="540"/>
      <c r="Q1592" s="540"/>
      <c r="R1592" s="540"/>
      <c r="S1592" s="540"/>
      <c r="T1592" s="540"/>
      <c r="U1592" s="541" t="s">
        <v>610</v>
      </c>
    </row>
    <row r="1593" spans="1:21" x14ac:dyDescent="0.25">
      <c r="A1593" s="538"/>
      <c r="B1593" s="538"/>
      <c r="C1593" s="540"/>
      <c r="D1593" s="540"/>
      <c r="E1593" s="540"/>
      <c r="F1593" s="540"/>
      <c r="G1593" s="540"/>
      <c r="H1593" s="540"/>
      <c r="I1593" s="540"/>
      <c r="J1593" s="540"/>
      <c r="K1593" s="540"/>
      <c r="L1593" s="540"/>
      <c r="M1593" s="540"/>
      <c r="N1593" s="540"/>
      <c r="O1593" s="540"/>
      <c r="P1593" s="540"/>
      <c r="Q1593" s="540"/>
      <c r="R1593" s="540"/>
      <c r="S1593" s="540"/>
      <c r="T1593" s="540"/>
      <c r="U1593" s="541"/>
    </row>
    <row r="1594" spans="1:21" x14ac:dyDescent="0.25">
      <c r="A1594" s="539" t="s">
        <v>608</v>
      </c>
      <c r="B1594" s="539"/>
      <c r="C1594" s="540"/>
      <c r="D1594" s="540"/>
      <c r="E1594" s="540"/>
      <c r="F1594" s="540"/>
      <c r="G1594" s="540"/>
      <c r="H1594" s="540"/>
      <c r="I1594" s="540"/>
      <c r="J1594" s="540"/>
      <c r="K1594" s="540"/>
      <c r="L1594" s="540"/>
      <c r="M1594" s="540"/>
      <c r="N1594" s="540"/>
      <c r="O1594" s="540"/>
      <c r="P1594" s="540"/>
      <c r="Q1594" s="540"/>
      <c r="R1594" s="540"/>
      <c r="S1594" s="540"/>
      <c r="T1594" s="540"/>
      <c r="U1594" s="541"/>
    </row>
    <row r="1595" spans="1:21" x14ac:dyDescent="0.25">
      <c r="A1595" s="542" t="s">
        <v>16</v>
      </c>
      <c r="B1595" s="543" t="s">
        <v>18</v>
      </c>
      <c r="C1595" s="543"/>
      <c r="D1595" s="543"/>
      <c r="E1595" s="543"/>
      <c r="F1595" s="543"/>
      <c r="G1595" s="543" t="s">
        <v>24</v>
      </c>
      <c r="H1595" s="543"/>
      <c r="I1595" s="543"/>
      <c r="J1595" s="543"/>
      <c r="K1595" s="543"/>
      <c r="L1595" s="543" t="s">
        <v>25</v>
      </c>
      <c r="M1595" s="543"/>
      <c r="N1595" s="543"/>
      <c r="O1595" s="543"/>
      <c r="P1595" s="543"/>
      <c r="Q1595" s="543" t="s">
        <v>26</v>
      </c>
      <c r="R1595" s="543"/>
      <c r="S1595" s="543"/>
      <c r="T1595" s="543"/>
      <c r="U1595" s="543"/>
    </row>
    <row r="1596" spans="1:21" x14ac:dyDescent="0.25">
      <c r="A1596" s="542"/>
      <c r="B1596" s="182" t="s">
        <v>19</v>
      </c>
      <c r="C1596" s="182" t="s">
        <v>20</v>
      </c>
      <c r="D1596" s="182" t="s">
        <v>21</v>
      </c>
      <c r="E1596" s="182" t="s">
        <v>22</v>
      </c>
      <c r="F1596" s="182" t="s">
        <v>23</v>
      </c>
      <c r="G1596" s="182" t="s">
        <v>19</v>
      </c>
      <c r="H1596" s="216" t="s">
        <v>20</v>
      </c>
      <c r="I1596" s="182" t="s">
        <v>21</v>
      </c>
      <c r="J1596" s="182" t="s">
        <v>22</v>
      </c>
      <c r="K1596" s="182" t="s">
        <v>23</v>
      </c>
      <c r="L1596" s="182" t="s">
        <v>19</v>
      </c>
      <c r="M1596" s="182" t="s">
        <v>20</v>
      </c>
      <c r="N1596" s="182" t="s">
        <v>21</v>
      </c>
      <c r="O1596" s="182" t="s">
        <v>22</v>
      </c>
      <c r="P1596" s="182" t="s">
        <v>23</v>
      </c>
      <c r="Q1596" s="182" t="s">
        <v>19</v>
      </c>
      <c r="R1596" s="182" t="s">
        <v>20</v>
      </c>
      <c r="S1596" s="182" t="s">
        <v>21</v>
      </c>
      <c r="T1596" s="182" t="s">
        <v>22</v>
      </c>
      <c r="U1596" s="211" t="s">
        <v>23</v>
      </c>
    </row>
    <row r="1597" spans="1:21" ht="31.5" x14ac:dyDescent="0.25">
      <c r="A1597" s="183" t="s">
        <v>625</v>
      </c>
      <c r="B1597" s="182" t="s">
        <v>47</v>
      </c>
      <c r="C1597" s="182" t="s">
        <v>28</v>
      </c>
      <c r="D1597" s="182">
        <v>3</v>
      </c>
      <c r="E1597" s="182">
        <f>skilled</f>
        <v>1245</v>
      </c>
      <c r="F1597" s="184">
        <f>(D1597*E1597)</f>
        <v>3735</v>
      </c>
      <c r="G1597" s="182" t="s">
        <v>612</v>
      </c>
      <c r="H1597" s="216" t="s">
        <v>144</v>
      </c>
      <c r="I1597" s="182">
        <v>320</v>
      </c>
      <c r="J1597" s="182">
        <f>adopted_rate_bentonite</f>
        <v>20</v>
      </c>
      <c r="K1597" s="182">
        <f>(I1597*J1597)</f>
        <v>6400</v>
      </c>
      <c r="L1597" s="182" t="s">
        <v>613</v>
      </c>
      <c r="M1597" s="182" t="s">
        <v>58</v>
      </c>
      <c r="N1597" s="182" t="s">
        <v>626</v>
      </c>
      <c r="O1597" s="182">
        <f>piling_rig_with_all_accessories</f>
        <v>3434</v>
      </c>
      <c r="P1597" s="184">
        <f>(N1597*O1597)</f>
        <v>25755</v>
      </c>
    </row>
    <row r="1598" spans="1:21" x14ac:dyDescent="0.25">
      <c r="B1598" s="182" t="s">
        <v>29</v>
      </c>
      <c r="C1598" s="182" t="s">
        <v>28</v>
      </c>
      <c r="D1598" s="182">
        <v>25</v>
      </c>
      <c r="E1598" s="182">
        <f>unskilled</f>
        <v>935</v>
      </c>
      <c r="F1598" s="184">
        <f>(D1598*E1598)</f>
        <v>23375</v>
      </c>
      <c r="L1598" s="182" t="s">
        <v>477</v>
      </c>
      <c r="M1598" s="182" t="s">
        <v>58</v>
      </c>
      <c r="N1598" s="182" t="s">
        <v>626</v>
      </c>
      <c r="O1598" s="182">
        <f>crane</f>
        <v>2903</v>
      </c>
      <c r="P1598" s="184">
        <f>(N1598*O1598)</f>
        <v>21772.5</v>
      </c>
    </row>
    <row r="1599" spans="1:21" x14ac:dyDescent="0.25">
      <c r="L1599" s="182" t="s">
        <v>615</v>
      </c>
      <c r="M1599" s="182" t="s">
        <v>58</v>
      </c>
      <c r="N1599" s="182" t="s">
        <v>626</v>
      </c>
      <c r="O1599" s="182">
        <f>bentonite_pump</f>
        <v>299</v>
      </c>
      <c r="P1599" s="184">
        <f>(N1599*O1599)</f>
        <v>2242.5</v>
      </c>
    </row>
    <row r="1600" spans="1:21" x14ac:dyDescent="0.25">
      <c r="A1600" s="537" t="s">
        <v>30</v>
      </c>
      <c r="B1600" s="537"/>
      <c r="C1600" s="537"/>
      <c r="D1600" s="537"/>
      <c r="E1600" s="537"/>
      <c r="F1600" s="184">
        <f>SUM(F1596:F1599)</f>
        <v>27110</v>
      </c>
      <c r="G1600" s="537" t="s">
        <v>31</v>
      </c>
      <c r="H1600" s="537"/>
      <c r="I1600" s="537"/>
      <c r="J1600" s="537"/>
      <c r="K1600" s="184">
        <f>SUM(K1596:K1599)</f>
        <v>6400</v>
      </c>
      <c r="L1600" s="537" t="s">
        <v>32</v>
      </c>
      <c r="M1600" s="537"/>
      <c r="N1600" s="537"/>
      <c r="O1600" s="537"/>
      <c r="P1600" s="184">
        <f>SUM(P1596:P1599)</f>
        <v>49770</v>
      </c>
      <c r="Q1600" s="537" t="s">
        <v>38</v>
      </c>
      <c r="R1600" s="537"/>
      <c r="S1600" s="537"/>
      <c r="T1600" s="537"/>
      <c r="U1600" s="223">
        <f>SUM(U1596:U1599)</f>
        <v>0</v>
      </c>
    </row>
    <row r="1601" spans="1:21" x14ac:dyDescent="0.25">
      <c r="A1601" s="537" t="s">
        <v>33</v>
      </c>
      <c r="B1601" s="537"/>
      <c r="C1601" s="537"/>
      <c r="D1601" s="537"/>
      <c r="E1601" s="537"/>
      <c r="F1601" s="184">
        <f>SUM(F1600+K1600+P1600)</f>
        <v>83280</v>
      </c>
      <c r="G1601" s="537" t="s">
        <v>39</v>
      </c>
      <c r="H1601" s="537"/>
      <c r="I1601" s="537"/>
      <c r="J1601" s="537"/>
      <c r="K1601" s="184">
        <f>SUM(F1600+K1600+P1600+U1600)</f>
        <v>83280</v>
      </c>
      <c r="L1601" s="537" t="s">
        <v>40</v>
      </c>
      <c r="M1601" s="537"/>
      <c r="N1601" s="537"/>
      <c r="O1601" s="537"/>
      <c r="P1601" s="184">
        <f>SUM(K1601*0.15)</f>
        <v>12492</v>
      </c>
      <c r="Q1601" s="537" t="s">
        <v>41</v>
      </c>
      <c r="R1601" s="537"/>
      <c r="S1601" s="537"/>
      <c r="T1601" s="537"/>
      <c r="U1601" s="223">
        <f>SUM(K1601+P1601)</f>
        <v>95772</v>
      </c>
    </row>
    <row r="1602" spans="1:21" x14ac:dyDescent="0.25">
      <c r="Q1602" s="537" t="s">
        <v>42</v>
      </c>
      <c r="R1602" s="537"/>
      <c r="S1602" s="537"/>
      <c r="T1602" s="537"/>
      <c r="U1602" s="224">
        <f>ROUND((U1601/5),2)</f>
        <v>19154.400000000001</v>
      </c>
    </row>
    <row r="1603" spans="1:21" x14ac:dyDescent="0.25">
      <c r="A1603" s="544"/>
      <c r="B1603" s="544"/>
      <c r="C1603" s="544"/>
      <c r="D1603" s="544"/>
      <c r="E1603" s="544"/>
      <c r="F1603" s="544"/>
      <c r="G1603" s="544"/>
      <c r="H1603" s="544"/>
      <c r="I1603" s="544"/>
      <c r="J1603" s="544"/>
      <c r="K1603" s="544"/>
      <c r="L1603" s="544"/>
      <c r="M1603" s="544"/>
      <c r="N1603" s="544"/>
      <c r="O1603" s="544"/>
      <c r="P1603" s="544"/>
      <c r="Q1603" s="544"/>
      <c r="R1603" s="544"/>
      <c r="S1603" s="544"/>
      <c r="T1603" s="544"/>
      <c r="U1603" s="544"/>
    </row>
    <row r="1604" spans="1:21" x14ac:dyDescent="0.25">
      <c r="A1604" s="538" t="s">
        <v>12</v>
      </c>
      <c r="B1604" s="538"/>
      <c r="C1604" s="540" t="s">
        <v>627</v>
      </c>
      <c r="D1604" s="540"/>
      <c r="E1604" s="540"/>
      <c r="F1604" s="540"/>
      <c r="G1604" s="540"/>
      <c r="H1604" s="540"/>
      <c r="I1604" s="540"/>
      <c r="J1604" s="540"/>
      <c r="K1604" s="540"/>
      <c r="L1604" s="540"/>
      <c r="M1604" s="540"/>
      <c r="N1604" s="540"/>
      <c r="O1604" s="540"/>
      <c r="P1604" s="540"/>
      <c r="Q1604" s="540"/>
      <c r="R1604" s="540"/>
      <c r="S1604" s="540"/>
      <c r="T1604" s="540"/>
      <c r="U1604" s="541" t="s">
        <v>610</v>
      </c>
    </row>
    <row r="1605" spans="1:21" x14ac:dyDescent="0.25">
      <c r="A1605" s="538"/>
      <c r="B1605" s="538"/>
      <c r="C1605" s="540"/>
      <c r="D1605" s="540"/>
      <c r="E1605" s="540"/>
      <c r="F1605" s="540"/>
      <c r="G1605" s="540"/>
      <c r="H1605" s="540"/>
      <c r="I1605" s="540"/>
      <c r="J1605" s="540"/>
      <c r="K1605" s="540"/>
      <c r="L1605" s="540"/>
      <c r="M1605" s="540"/>
      <c r="N1605" s="540"/>
      <c r="O1605" s="540"/>
      <c r="P1605" s="540"/>
      <c r="Q1605" s="540"/>
      <c r="R1605" s="540"/>
      <c r="S1605" s="540"/>
      <c r="T1605" s="540"/>
      <c r="U1605" s="541"/>
    </row>
    <row r="1606" spans="1:21" x14ac:dyDescent="0.25">
      <c r="A1606" s="539" t="s">
        <v>608</v>
      </c>
      <c r="B1606" s="539"/>
      <c r="C1606" s="540"/>
      <c r="D1606" s="540"/>
      <c r="E1606" s="540"/>
      <c r="F1606" s="540"/>
      <c r="G1606" s="540"/>
      <c r="H1606" s="540"/>
      <c r="I1606" s="540"/>
      <c r="J1606" s="540"/>
      <c r="K1606" s="540"/>
      <c r="L1606" s="540"/>
      <c r="M1606" s="540"/>
      <c r="N1606" s="540"/>
      <c r="O1606" s="540"/>
      <c r="P1606" s="540"/>
      <c r="Q1606" s="540"/>
      <c r="R1606" s="540"/>
      <c r="S1606" s="540"/>
      <c r="T1606" s="540"/>
      <c r="U1606" s="541"/>
    </row>
    <row r="1607" spans="1:21" x14ac:dyDescent="0.25">
      <c r="A1607" s="542" t="s">
        <v>16</v>
      </c>
      <c r="B1607" s="543" t="s">
        <v>18</v>
      </c>
      <c r="C1607" s="543"/>
      <c r="D1607" s="543"/>
      <c r="E1607" s="543"/>
      <c r="F1607" s="543"/>
      <c r="G1607" s="543" t="s">
        <v>24</v>
      </c>
      <c r="H1607" s="543"/>
      <c r="I1607" s="543"/>
      <c r="J1607" s="543"/>
      <c r="K1607" s="543"/>
      <c r="L1607" s="543" t="s">
        <v>25</v>
      </c>
      <c r="M1607" s="543"/>
      <c r="N1607" s="543"/>
      <c r="O1607" s="543"/>
      <c r="P1607" s="543"/>
      <c r="Q1607" s="543" t="s">
        <v>26</v>
      </c>
      <c r="R1607" s="543"/>
      <c r="S1607" s="543"/>
      <c r="T1607" s="543"/>
      <c r="U1607" s="543"/>
    </row>
    <row r="1608" spans="1:21" x14ac:dyDescent="0.25">
      <c r="A1608" s="542"/>
      <c r="B1608" s="182" t="s">
        <v>19</v>
      </c>
      <c r="C1608" s="182" t="s">
        <v>20</v>
      </c>
      <c r="D1608" s="182" t="s">
        <v>21</v>
      </c>
      <c r="E1608" s="182" t="s">
        <v>22</v>
      </c>
      <c r="F1608" s="182" t="s">
        <v>23</v>
      </c>
      <c r="G1608" s="182" t="s">
        <v>19</v>
      </c>
      <c r="H1608" s="216" t="s">
        <v>20</v>
      </c>
      <c r="I1608" s="182" t="s">
        <v>21</v>
      </c>
      <c r="J1608" s="182" t="s">
        <v>22</v>
      </c>
      <c r="K1608" s="182" t="s">
        <v>23</v>
      </c>
      <c r="L1608" s="182" t="s">
        <v>19</v>
      </c>
      <c r="M1608" s="182" t="s">
        <v>20</v>
      </c>
      <c r="N1608" s="182" t="s">
        <v>21</v>
      </c>
      <c r="O1608" s="182" t="s">
        <v>22</v>
      </c>
      <c r="P1608" s="182" t="s">
        <v>23</v>
      </c>
      <c r="Q1608" s="182" t="s">
        <v>19</v>
      </c>
      <c r="R1608" s="182" t="s">
        <v>20</v>
      </c>
      <c r="S1608" s="182" t="s">
        <v>21</v>
      </c>
      <c r="T1608" s="182" t="s">
        <v>22</v>
      </c>
      <c r="U1608" s="211" t="s">
        <v>23</v>
      </c>
    </row>
    <row r="1609" spans="1:21" ht="31.5" x14ac:dyDescent="0.25">
      <c r="A1609" s="183" t="s">
        <v>628</v>
      </c>
      <c r="B1609" s="182" t="s">
        <v>47</v>
      </c>
      <c r="C1609" s="182" t="s">
        <v>28</v>
      </c>
      <c r="D1609" s="182">
        <v>2</v>
      </c>
      <c r="E1609" s="182">
        <f>skilled</f>
        <v>1245</v>
      </c>
      <c r="F1609" s="184">
        <f>(D1609*E1609)</f>
        <v>2490</v>
      </c>
      <c r="G1609" s="182" t="s">
        <v>612</v>
      </c>
      <c r="H1609" s="216" t="s">
        <v>144</v>
      </c>
      <c r="I1609" s="182">
        <v>25</v>
      </c>
      <c r="J1609" s="182">
        <f>adopted_rate_bentonite</f>
        <v>20</v>
      </c>
      <c r="K1609" s="182">
        <f>(I1609*J1609)</f>
        <v>500</v>
      </c>
      <c r="L1609" s="182" t="s">
        <v>613</v>
      </c>
      <c r="M1609" s="182" t="s">
        <v>58</v>
      </c>
      <c r="N1609" s="182">
        <v>3</v>
      </c>
      <c r="O1609" s="182">
        <f>piling_rig_with_all_accessories</f>
        <v>3434</v>
      </c>
      <c r="P1609" s="184">
        <f>(N1609*O1609)</f>
        <v>10302</v>
      </c>
    </row>
    <row r="1610" spans="1:21" x14ac:dyDescent="0.25">
      <c r="B1610" s="182" t="s">
        <v>29</v>
      </c>
      <c r="C1610" s="182" t="s">
        <v>28</v>
      </c>
      <c r="D1610" s="182">
        <v>15</v>
      </c>
      <c r="E1610" s="182">
        <f>unskilled</f>
        <v>935</v>
      </c>
      <c r="F1610" s="184">
        <f>(D1610*E1610)</f>
        <v>14025</v>
      </c>
      <c r="L1610" s="182" t="s">
        <v>477</v>
      </c>
      <c r="M1610" s="182" t="s">
        <v>58</v>
      </c>
      <c r="N1610" s="182">
        <v>3</v>
      </c>
      <c r="O1610" s="182">
        <f>crane</f>
        <v>2903</v>
      </c>
      <c r="P1610" s="184">
        <f>(N1610*O1610)</f>
        <v>8709</v>
      </c>
    </row>
    <row r="1611" spans="1:21" x14ac:dyDescent="0.25">
      <c r="L1611" s="182" t="s">
        <v>615</v>
      </c>
      <c r="M1611" s="182" t="s">
        <v>58</v>
      </c>
      <c r="N1611" s="182">
        <v>3</v>
      </c>
      <c r="O1611" s="182">
        <f>bentonite_pump</f>
        <v>299</v>
      </c>
      <c r="P1611" s="184">
        <f>(N1611*O1611)</f>
        <v>897</v>
      </c>
    </row>
    <row r="1612" spans="1:21" x14ac:dyDescent="0.25">
      <c r="A1612" s="537" t="s">
        <v>30</v>
      </c>
      <c r="B1612" s="537"/>
      <c r="C1612" s="537"/>
      <c r="D1612" s="537"/>
      <c r="E1612" s="537"/>
      <c r="F1612" s="184">
        <f>SUM(F1608:F1611)</f>
        <v>16515</v>
      </c>
      <c r="G1612" s="537" t="s">
        <v>31</v>
      </c>
      <c r="H1612" s="537"/>
      <c r="I1612" s="537"/>
      <c r="J1612" s="537"/>
      <c r="K1612" s="184">
        <f>SUM(K1608:K1611)</f>
        <v>500</v>
      </c>
      <c r="L1612" s="537" t="s">
        <v>32</v>
      </c>
      <c r="M1612" s="537"/>
      <c r="N1612" s="537"/>
      <c r="O1612" s="537"/>
      <c r="P1612" s="184">
        <f>SUM(P1608:P1611)</f>
        <v>19908</v>
      </c>
      <c r="Q1612" s="537" t="s">
        <v>38</v>
      </c>
      <c r="R1612" s="537"/>
      <c r="S1612" s="537"/>
      <c r="T1612" s="537"/>
      <c r="U1612" s="223">
        <f>SUM(U1608:U1611)</f>
        <v>0</v>
      </c>
    </row>
    <row r="1613" spans="1:21" x14ac:dyDescent="0.25">
      <c r="A1613" s="537" t="s">
        <v>33</v>
      </c>
      <c r="B1613" s="537"/>
      <c r="C1613" s="537"/>
      <c r="D1613" s="537"/>
      <c r="E1613" s="537"/>
      <c r="F1613" s="184">
        <f>SUM(F1612+K1612+P1612)</f>
        <v>36923</v>
      </c>
      <c r="G1613" s="537" t="s">
        <v>39</v>
      </c>
      <c r="H1613" s="537"/>
      <c r="I1613" s="537"/>
      <c r="J1613" s="537"/>
      <c r="K1613" s="184">
        <f>SUM(F1612+K1612+P1612+U1612)</f>
        <v>36923</v>
      </c>
      <c r="L1613" s="537" t="s">
        <v>40</v>
      </c>
      <c r="M1613" s="537"/>
      <c r="N1613" s="537"/>
      <c r="O1613" s="537"/>
      <c r="P1613" s="184">
        <f>SUM(K1613*0.15)</f>
        <v>5538.45</v>
      </c>
      <c r="Q1613" s="537" t="s">
        <v>41</v>
      </c>
      <c r="R1613" s="537"/>
      <c r="S1613" s="537"/>
      <c r="T1613" s="537"/>
      <c r="U1613" s="223">
        <f>SUM(K1613+P1613)</f>
        <v>42461.45</v>
      </c>
    </row>
    <row r="1614" spans="1:21" x14ac:dyDescent="0.25">
      <c r="Q1614" s="537" t="s">
        <v>42</v>
      </c>
      <c r="R1614" s="537"/>
      <c r="S1614" s="537"/>
      <c r="T1614" s="537"/>
      <c r="U1614" s="224">
        <f>ROUND((U1613/5),2)</f>
        <v>8492.2900000000009</v>
      </c>
    </row>
    <row r="1615" spans="1:21" x14ac:dyDescent="0.25">
      <c r="A1615" s="544"/>
      <c r="B1615" s="544"/>
      <c r="C1615" s="544"/>
      <c r="D1615" s="544"/>
      <c r="E1615" s="544"/>
      <c r="F1615" s="544"/>
      <c r="G1615" s="544"/>
      <c r="H1615" s="544"/>
      <c r="I1615" s="544"/>
      <c r="J1615" s="544"/>
      <c r="K1615" s="544"/>
      <c r="L1615" s="544"/>
      <c r="M1615" s="544"/>
      <c r="N1615" s="544"/>
      <c r="O1615" s="544"/>
      <c r="P1615" s="544"/>
      <c r="Q1615" s="544"/>
      <c r="R1615" s="544"/>
      <c r="S1615" s="544"/>
      <c r="T1615" s="544"/>
      <c r="U1615" s="544"/>
    </row>
    <row r="1616" spans="1:21" x14ac:dyDescent="0.25">
      <c r="A1616" s="538" t="s">
        <v>12</v>
      </c>
      <c r="B1616" s="538"/>
      <c r="C1616" s="540" t="s">
        <v>629</v>
      </c>
      <c r="D1616" s="540"/>
      <c r="E1616" s="540"/>
      <c r="F1616" s="540"/>
      <c r="G1616" s="540"/>
      <c r="H1616" s="540"/>
      <c r="I1616" s="540"/>
      <c r="J1616" s="540"/>
      <c r="K1616" s="540"/>
      <c r="L1616" s="540"/>
      <c r="M1616" s="540"/>
      <c r="N1616" s="540"/>
      <c r="O1616" s="540"/>
      <c r="P1616" s="540"/>
      <c r="Q1616" s="540"/>
      <c r="R1616" s="540"/>
      <c r="S1616" s="540"/>
      <c r="T1616" s="540"/>
      <c r="U1616" s="541" t="s">
        <v>610</v>
      </c>
    </row>
    <row r="1617" spans="1:21" x14ac:dyDescent="0.25">
      <c r="A1617" s="538"/>
      <c r="B1617" s="538"/>
      <c r="C1617" s="540"/>
      <c r="D1617" s="540"/>
      <c r="E1617" s="540"/>
      <c r="F1617" s="540"/>
      <c r="G1617" s="540"/>
      <c r="H1617" s="540"/>
      <c r="I1617" s="540"/>
      <c r="J1617" s="540"/>
      <c r="K1617" s="540"/>
      <c r="L1617" s="540"/>
      <c r="M1617" s="540"/>
      <c r="N1617" s="540"/>
      <c r="O1617" s="540"/>
      <c r="P1617" s="540"/>
      <c r="Q1617" s="540"/>
      <c r="R1617" s="540"/>
      <c r="S1617" s="540"/>
      <c r="T1617" s="540"/>
      <c r="U1617" s="541"/>
    </row>
    <row r="1618" spans="1:21" x14ac:dyDescent="0.25">
      <c r="A1618" s="539" t="s">
        <v>608</v>
      </c>
      <c r="B1618" s="539"/>
      <c r="C1618" s="540"/>
      <c r="D1618" s="540"/>
      <c r="E1618" s="540"/>
      <c r="F1618" s="540"/>
      <c r="G1618" s="540"/>
      <c r="H1618" s="540"/>
      <c r="I1618" s="540"/>
      <c r="J1618" s="540"/>
      <c r="K1618" s="540"/>
      <c r="L1618" s="540"/>
      <c r="M1618" s="540"/>
      <c r="N1618" s="540"/>
      <c r="O1618" s="540"/>
      <c r="P1618" s="540"/>
      <c r="Q1618" s="540"/>
      <c r="R1618" s="540"/>
      <c r="S1618" s="540"/>
      <c r="T1618" s="540"/>
      <c r="U1618" s="541"/>
    </row>
    <row r="1619" spans="1:21" x14ac:dyDescent="0.25">
      <c r="A1619" s="542" t="s">
        <v>16</v>
      </c>
      <c r="B1619" s="543" t="s">
        <v>18</v>
      </c>
      <c r="C1619" s="543"/>
      <c r="D1619" s="543"/>
      <c r="E1619" s="543"/>
      <c r="F1619" s="543"/>
      <c r="G1619" s="543" t="s">
        <v>24</v>
      </c>
      <c r="H1619" s="543"/>
      <c r="I1619" s="543"/>
      <c r="J1619" s="543"/>
      <c r="K1619" s="543"/>
      <c r="L1619" s="543" t="s">
        <v>25</v>
      </c>
      <c r="M1619" s="543"/>
      <c r="N1619" s="543"/>
      <c r="O1619" s="543"/>
      <c r="P1619" s="543"/>
      <c r="Q1619" s="543" t="s">
        <v>26</v>
      </c>
      <c r="R1619" s="543"/>
      <c r="S1619" s="543"/>
      <c r="T1619" s="543"/>
      <c r="U1619" s="543"/>
    </row>
    <row r="1620" spans="1:21" x14ac:dyDescent="0.25">
      <c r="A1620" s="542"/>
      <c r="B1620" s="182" t="s">
        <v>19</v>
      </c>
      <c r="C1620" s="182" t="s">
        <v>20</v>
      </c>
      <c r="D1620" s="182" t="s">
        <v>21</v>
      </c>
      <c r="E1620" s="182" t="s">
        <v>22</v>
      </c>
      <c r="F1620" s="182" t="s">
        <v>23</v>
      </c>
      <c r="G1620" s="182" t="s">
        <v>19</v>
      </c>
      <c r="H1620" s="216" t="s">
        <v>20</v>
      </c>
      <c r="I1620" s="182" t="s">
        <v>21</v>
      </c>
      <c r="J1620" s="182" t="s">
        <v>22</v>
      </c>
      <c r="K1620" s="182" t="s">
        <v>23</v>
      </c>
      <c r="L1620" s="182" t="s">
        <v>19</v>
      </c>
      <c r="M1620" s="182" t="s">
        <v>20</v>
      </c>
      <c r="N1620" s="182" t="s">
        <v>21</v>
      </c>
      <c r="O1620" s="182" t="s">
        <v>22</v>
      </c>
      <c r="P1620" s="182" t="s">
        <v>23</v>
      </c>
      <c r="Q1620" s="182" t="s">
        <v>19</v>
      </c>
      <c r="R1620" s="182" t="s">
        <v>20</v>
      </c>
      <c r="S1620" s="182" t="s">
        <v>21</v>
      </c>
      <c r="T1620" s="182" t="s">
        <v>22</v>
      </c>
      <c r="U1620" s="211" t="s">
        <v>23</v>
      </c>
    </row>
    <row r="1621" spans="1:21" ht="31.5" x14ac:dyDescent="0.25">
      <c r="A1621" s="183" t="s">
        <v>630</v>
      </c>
      <c r="B1621" s="182" t="s">
        <v>47</v>
      </c>
      <c r="C1621" s="182" t="s">
        <v>28</v>
      </c>
      <c r="D1621" s="182">
        <v>2</v>
      </c>
      <c r="E1621" s="182">
        <f>skilled</f>
        <v>1245</v>
      </c>
      <c r="F1621" s="184">
        <f>(D1621*E1621)</f>
        <v>2490</v>
      </c>
      <c r="G1621" s="182" t="s">
        <v>612</v>
      </c>
      <c r="H1621" s="216" t="s">
        <v>144</v>
      </c>
      <c r="I1621" s="182">
        <v>50</v>
      </c>
      <c r="J1621" s="182">
        <f>adopted_rate_bentonite</f>
        <v>20</v>
      </c>
      <c r="K1621" s="182">
        <f>(I1621*J1621)</f>
        <v>1000</v>
      </c>
      <c r="L1621" s="182" t="s">
        <v>613</v>
      </c>
      <c r="M1621" s="182" t="s">
        <v>58</v>
      </c>
      <c r="N1621" s="182">
        <v>4</v>
      </c>
      <c r="O1621" s="182">
        <f>piling_rig_with_all_accessories</f>
        <v>3434</v>
      </c>
      <c r="P1621" s="184">
        <f>(N1621*O1621)</f>
        <v>13736</v>
      </c>
    </row>
    <row r="1622" spans="1:21" x14ac:dyDescent="0.25">
      <c r="B1622" s="182" t="s">
        <v>29</v>
      </c>
      <c r="C1622" s="182" t="s">
        <v>28</v>
      </c>
      <c r="D1622" s="182">
        <v>20</v>
      </c>
      <c r="E1622" s="182">
        <f>unskilled</f>
        <v>935</v>
      </c>
      <c r="F1622" s="184">
        <f>(D1622*E1622)</f>
        <v>18700</v>
      </c>
      <c r="L1622" s="182" t="s">
        <v>477</v>
      </c>
      <c r="M1622" s="182" t="s">
        <v>58</v>
      </c>
      <c r="N1622" s="182">
        <v>4</v>
      </c>
      <c r="O1622" s="182">
        <f>crane</f>
        <v>2903</v>
      </c>
      <c r="P1622" s="184">
        <f>(N1622*O1622)</f>
        <v>11612</v>
      </c>
    </row>
    <row r="1623" spans="1:21" x14ac:dyDescent="0.25">
      <c r="L1623" s="182" t="s">
        <v>615</v>
      </c>
      <c r="M1623" s="182" t="s">
        <v>58</v>
      </c>
      <c r="N1623" s="182">
        <v>4</v>
      </c>
      <c r="O1623" s="182">
        <f>bentonite_pump</f>
        <v>299</v>
      </c>
      <c r="P1623" s="184">
        <f>(N1623*O1623)</f>
        <v>1196</v>
      </c>
    </row>
    <row r="1624" spans="1:21" x14ac:dyDescent="0.25">
      <c r="A1624" s="537" t="s">
        <v>30</v>
      </c>
      <c r="B1624" s="537"/>
      <c r="C1624" s="537"/>
      <c r="D1624" s="537"/>
      <c r="E1624" s="537"/>
      <c r="F1624" s="184">
        <f>SUM(F1620:F1623)</f>
        <v>21190</v>
      </c>
      <c r="G1624" s="537" t="s">
        <v>31</v>
      </c>
      <c r="H1624" s="537"/>
      <c r="I1624" s="537"/>
      <c r="J1624" s="537"/>
      <c r="K1624" s="184">
        <f>SUM(K1620:K1623)</f>
        <v>1000</v>
      </c>
      <c r="L1624" s="537" t="s">
        <v>32</v>
      </c>
      <c r="M1624" s="537"/>
      <c r="N1624" s="537"/>
      <c r="O1624" s="537"/>
      <c r="P1624" s="184">
        <f>SUM(P1620:P1623)</f>
        <v>26544</v>
      </c>
      <c r="Q1624" s="537" t="s">
        <v>38</v>
      </c>
      <c r="R1624" s="537"/>
      <c r="S1624" s="537"/>
      <c r="T1624" s="537"/>
      <c r="U1624" s="223">
        <f>SUM(U1620:U1623)</f>
        <v>0</v>
      </c>
    </row>
    <row r="1625" spans="1:21" x14ac:dyDescent="0.25">
      <c r="A1625" s="537" t="s">
        <v>33</v>
      </c>
      <c r="B1625" s="537"/>
      <c r="C1625" s="537"/>
      <c r="D1625" s="537"/>
      <c r="E1625" s="537"/>
      <c r="F1625" s="184">
        <f>SUM(F1624+K1624+P1624)</f>
        <v>48734</v>
      </c>
      <c r="G1625" s="537" t="s">
        <v>39</v>
      </c>
      <c r="H1625" s="537"/>
      <c r="I1625" s="537"/>
      <c r="J1625" s="537"/>
      <c r="K1625" s="184">
        <f>SUM(F1624+K1624+P1624+U1624)</f>
        <v>48734</v>
      </c>
      <c r="L1625" s="537" t="s">
        <v>40</v>
      </c>
      <c r="M1625" s="537"/>
      <c r="N1625" s="537"/>
      <c r="O1625" s="537"/>
      <c r="P1625" s="184">
        <f>SUM(K1625*0.15)</f>
        <v>7310.0999999999995</v>
      </c>
      <c r="Q1625" s="537" t="s">
        <v>41</v>
      </c>
      <c r="R1625" s="537"/>
      <c r="S1625" s="537"/>
      <c r="T1625" s="537"/>
      <c r="U1625" s="223">
        <f>SUM(K1625+P1625)</f>
        <v>56044.1</v>
      </c>
    </row>
    <row r="1626" spans="1:21" x14ac:dyDescent="0.25">
      <c r="Q1626" s="537" t="s">
        <v>42</v>
      </c>
      <c r="R1626" s="537"/>
      <c r="S1626" s="537"/>
      <c r="T1626" s="537"/>
      <c r="U1626" s="224">
        <f>ROUND((U1625/5),2)</f>
        <v>11208.82</v>
      </c>
    </row>
    <row r="1627" spans="1:21" x14ac:dyDescent="0.25">
      <c r="A1627" s="544"/>
      <c r="B1627" s="544"/>
      <c r="C1627" s="544"/>
      <c r="D1627" s="544"/>
      <c r="E1627" s="544"/>
      <c r="F1627" s="544"/>
      <c r="G1627" s="544"/>
      <c r="H1627" s="544"/>
      <c r="I1627" s="544"/>
      <c r="J1627" s="544"/>
      <c r="K1627" s="544"/>
      <c r="L1627" s="544"/>
      <c r="M1627" s="544"/>
      <c r="N1627" s="544"/>
      <c r="O1627" s="544"/>
      <c r="P1627" s="544"/>
      <c r="Q1627" s="544"/>
      <c r="R1627" s="544"/>
      <c r="S1627" s="544"/>
      <c r="T1627" s="544"/>
      <c r="U1627" s="544"/>
    </row>
    <row r="1628" spans="1:21" x14ac:dyDescent="0.25">
      <c r="A1628" s="538" t="s">
        <v>12</v>
      </c>
      <c r="B1628" s="538"/>
      <c r="C1628" s="540" t="s">
        <v>631</v>
      </c>
      <c r="D1628" s="540"/>
      <c r="E1628" s="540"/>
      <c r="F1628" s="540"/>
      <c r="G1628" s="540"/>
      <c r="H1628" s="540"/>
      <c r="I1628" s="540"/>
      <c r="J1628" s="540"/>
      <c r="K1628" s="540"/>
      <c r="L1628" s="540"/>
      <c r="M1628" s="540"/>
      <c r="N1628" s="540"/>
      <c r="O1628" s="540"/>
      <c r="P1628" s="540"/>
      <c r="Q1628" s="540"/>
      <c r="R1628" s="540"/>
      <c r="S1628" s="540"/>
      <c r="T1628" s="540"/>
      <c r="U1628" s="541" t="s">
        <v>610</v>
      </c>
    </row>
    <row r="1629" spans="1:21" x14ac:dyDescent="0.25">
      <c r="A1629" s="538"/>
      <c r="B1629" s="538"/>
      <c r="C1629" s="540"/>
      <c r="D1629" s="540"/>
      <c r="E1629" s="540"/>
      <c r="F1629" s="540"/>
      <c r="G1629" s="540"/>
      <c r="H1629" s="540"/>
      <c r="I1629" s="540"/>
      <c r="J1629" s="540"/>
      <c r="K1629" s="540"/>
      <c r="L1629" s="540"/>
      <c r="M1629" s="540"/>
      <c r="N1629" s="540"/>
      <c r="O1629" s="540"/>
      <c r="P1629" s="540"/>
      <c r="Q1629" s="540"/>
      <c r="R1629" s="540"/>
      <c r="S1629" s="540"/>
      <c r="T1629" s="540"/>
      <c r="U1629" s="541"/>
    </row>
    <row r="1630" spans="1:21" x14ac:dyDescent="0.25">
      <c r="A1630" s="539" t="s">
        <v>608</v>
      </c>
      <c r="B1630" s="539"/>
      <c r="C1630" s="540"/>
      <c r="D1630" s="540"/>
      <c r="E1630" s="540"/>
      <c r="F1630" s="540"/>
      <c r="G1630" s="540"/>
      <c r="H1630" s="540"/>
      <c r="I1630" s="540"/>
      <c r="J1630" s="540"/>
      <c r="K1630" s="540"/>
      <c r="L1630" s="540"/>
      <c r="M1630" s="540"/>
      <c r="N1630" s="540"/>
      <c r="O1630" s="540"/>
      <c r="P1630" s="540"/>
      <c r="Q1630" s="540"/>
      <c r="R1630" s="540"/>
      <c r="S1630" s="540"/>
      <c r="T1630" s="540"/>
      <c r="U1630" s="541"/>
    </row>
    <row r="1631" spans="1:21" x14ac:dyDescent="0.25">
      <c r="A1631" s="542" t="s">
        <v>16</v>
      </c>
      <c r="B1631" s="543" t="s">
        <v>18</v>
      </c>
      <c r="C1631" s="543"/>
      <c r="D1631" s="543"/>
      <c r="E1631" s="543"/>
      <c r="F1631" s="543"/>
      <c r="G1631" s="543" t="s">
        <v>24</v>
      </c>
      <c r="H1631" s="543"/>
      <c r="I1631" s="543"/>
      <c r="J1631" s="543"/>
      <c r="K1631" s="543"/>
      <c r="L1631" s="543" t="s">
        <v>25</v>
      </c>
      <c r="M1631" s="543"/>
      <c r="N1631" s="543"/>
      <c r="O1631" s="543"/>
      <c r="P1631" s="543"/>
      <c r="Q1631" s="543" t="s">
        <v>26</v>
      </c>
      <c r="R1631" s="543"/>
      <c r="S1631" s="543"/>
      <c r="T1631" s="543"/>
      <c r="U1631" s="543"/>
    </row>
    <row r="1632" spans="1:21" x14ac:dyDescent="0.25">
      <c r="A1632" s="542"/>
      <c r="B1632" s="182" t="s">
        <v>19</v>
      </c>
      <c r="C1632" s="182" t="s">
        <v>20</v>
      </c>
      <c r="D1632" s="182" t="s">
        <v>21</v>
      </c>
      <c r="E1632" s="182" t="s">
        <v>22</v>
      </c>
      <c r="F1632" s="182" t="s">
        <v>23</v>
      </c>
      <c r="G1632" s="182" t="s">
        <v>19</v>
      </c>
      <c r="H1632" s="216" t="s">
        <v>20</v>
      </c>
      <c r="I1632" s="182" t="s">
        <v>21</v>
      </c>
      <c r="J1632" s="182" t="s">
        <v>22</v>
      </c>
      <c r="K1632" s="182" t="s">
        <v>23</v>
      </c>
      <c r="L1632" s="182" t="s">
        <v>19</v>
      </c>
      <c r="M1632" s="182" t="s">
        <v>20</v>
      </c>
      <c r="N1632" s="182" t="s">
        <v>21</v>
      </c>
      <c r="O1632" s="182" t="s">
        <v>22</v>
      </c>
      <c r="P1632" s="182" t="s">
        <v>23</v>
      </c>
      <c r="Q1632" s="182" t="s">
        <v>19</v>
      </c>
      <c r="R1632" s="182" t="s">
        <v>20</v>
      </c>
      <c r="S1632" s="182" t="s">
        <v>21</v>
      </c>
      <c r="T1632" s="182" t="s">
        <v>22</v>
      </c>
      <c r="U1632" s="211" t="s">
        <v>23</v>
      </c>
    </row>
    <row r="1633" spans="1:21" ht="31.5" x14ac:dyDescent="0.25">
      <c r="A1633" s="183" t="s">
        <v>632</v>
      </c>
      <c r="B1633" s="182" t="s">
        <v>47</v>
      </c>
      <c r="C1633" s="182" t="s">
        <v>28</v>
      </c>
      <c r="D1633" s="182">
        <v>3</v>
      </c>
      <c r="E1633" s="182">
        <f>skilled</f>
        <v>1245</v>
      </c>
      <c r="F1633" s="184">
        <f>(D1633*E1633)</f>
        <v>3735</v>
      </c>
      <c r="G1633" s="182" t="s">
        <v>612</v>
      </c>
      <c r="H1633" s="216" t="s">
        <v>144</v>
      </c>
      <c r="I1633" s="182">
        <v>100</v>
      </c>
      <c r="J1633" s="182">
        <f>adopted_rate_bentonite</f>
        <v>20</v>
      </c>
      <c r="K1633" s="182">
        <f>(I1633*J1633)</f>
        <v>2000</v>
      </c>
      <c r="L1633" s="182" t="s">
        <v>613</v>
      </c>
      <c r="M1633" s="182" t="s">
        <v>58</v>
      </c>
      <c r="N1633" s="182">
        <v>5</v>
      </c>
      <c r="O1633" s="182">
        <f>piling_rig_with_all_accessories</f>
        <v>3434</v>
      </c>
      <c r="P1633" s="184">
        <f>(N1633*O1633)</f>
        <v>17170</v>
      </c>
    </row>
    <row r="1634" spans="1:21" x14ac:dyDescent="0.25">
      <c r="B1634" s="182" t="s">
        <v>29</v>
      </c>
      <c r="C1634" s="182" t="s">
        <v>28</v>
      </c>
      <c r="D1634" s="182">
        <v>30</v>
      </c>
      <c r="E1634" s="182">
        <f>unskilled</f>
        <v>935</v>
      </c>
      <c r="F1634" s="184">
        <f>(D1634*E1634)</f>
        <v>28050</v>
      </c>
      <c r="L1634" s="182" t="s">
        <v>477</v>
      </c>
      <c r="M1634" s="182" t="s">
        <v>58</v>
      </c>
      <c r="N1634" s="182">
        <v>5</v>
      </c>
      <c r="O1634" s="182">
        <f>crane</f>
        <v>2903</v>
      </c>
      <c r="P1634" s="184">
        <f>(N1634*O1634)</f>
        <v>14515</v>
      </c>
    </row>
    <row r="1635" spans="1:21" x14ac:dyDescent="0.25">
      <c r="L1635" s="182" t="s">
        <v>615</v>
      </c>
      <c r="M1635" s="182" t="s">
        <v>58</v>
      </c>
      <c r="N1635" s="182">
        <v>5</v>
      </c>
      <c r="O1635" s="182">
        <f>bentonite_pump</f>
        <v>299</v>
      </c>
      <c r="P1635" s="184">
        <f>(N1635*O1635)</f>
        <v>1495</v>
      </c>
    </row>
    <row r="1636" spans="1:21" x14ac:dyDescent="0.25">
      <c r="A1636" s="537" t="s">
        <v>30</v>
      </c>
      <c r="B1636" s="537"/>
      <c r="C1636" s="537"/>
      <c r="D1636" s="537"/>
      <c r="E1636" s="537"/>
      <c r="F1636" s="184">
        <f>SUM(F1632:F1635)</f>
        <v>31785</v>
      </c>
      <c r="G1636" s="537" t="s">
        <v>31</v>
      </c>
      <c r="H1636" s="537"/>
      <c r="I1636" s="537"/>
      <c r="J1636" s="537"/>
      <c r="K1636" s="184">
        <f>SUM(K1632:K1635)</f>
        <v>2000</v>
      </c>
      <c r="L1636" s="537" t="s">
        <v>32</v>
      </c>
      <c r="M1636" s="537"/>
      <c r="N1636" s="537"/>
      <c r="O1636" s="537"/>
      <c r="P1636" s="184">
        <f>SUM(P1632:P1635)</f>
        <v>33180</v>
      </c>
      <c r="Q1636" s="537" t="s">
        <v>38</v>
      </c>
      <c r="R1636" s="537"/>
      <c r="S1636" s="537"/>
      <c r="T1636" s="537"/>
      <c r="U1636" s="223">
        <f>SUM(U1632:U1635)</f>
        <v>0</v>
      </c>
    </row>
    <row r="1637" spans="1:21" x14ac:dyDescent="0.25">
      <c r="A1637" s="537" t="s">
        <v>33</v>
      </c>
      <c r="B1637" s="537"/>
      <c r="C1637" s="537"/>
      <c r="D1637" s="537"/>
      <c r="E1637" s="537"/>
      <c r="F1637" s="184">
        <f>SUM(F1636+K1636+P1636)</f>
        <v>66965</v>
      </c>
      <c r="G1637" s="537" t="s">
        <v>39</v>
      </c>
      <c r="H1637" s="537"/>
      <c r="I1637" s="537"/>
      <c r="J1637" s="537"/>
      <c r="K1637" s="184">
        <f>SUM(F1636+K1636+P1636+U1636)</f>
        <v>66965</v>
      </c>
      <c r="L1637" s="537" t="s">
        <v>40</v>
      </c>
      <c r="M1637" s="537"/>
      <c r="N1637" s="537"/>
      <c r="O1637" s="537"/>
      <c r="P1637" s="184">
        <f>SUM(K1637*0.15)</f>
        <v>10044.75</v>
      </c>
      <c r="Q1637" s="537" t="s">
        <v>41</v>
      </c>
      <c r="R1637" s="537"/>
      <c r="S1637" s="537"/>
      <c r="T1637" s="537"/>
      <c r="U1637" s="223">
        <f>SUM(K1637+P1637)</f>
        <v>77009.75</v>
      </c>
    </row>
    <row r="1638" spans="1:21" x14ac:dyDescent="0.25">
      <c r="Q1638" s="537" t="s">
        <v>42</v>
      </c>
      <c r="R1638" s="537"/>
      <c r="S1638" s="537"/>
      <c r="T1638" s="537"/>
      <c r="U1638" s="224">
        <f>ROUND((U1637/5),2)</f>
        <v>15401.95</v>
      </c>
    </row>
    <row r="1639" spans="1:21" x14ac:dyDescent="0.25">
      <c r="A1639" s="544"/>
      <c r="B1639" s="544"/>
      <c r="C1639" s="544"/>
      <c r="D1639" s="544"/>
      <c r="E1639" s="544"/>
      <c r="F1639" s="544"/>
      <c r="G1639" s="544"/>
      <c r="H1639" s="544"/>
      <c r="I1639" s="544"/>
      <c r="J1639" s="544"/>
      <c r="K1639" s="544"/>
      <c r="L1639" s="544"/>
      <c r="M1639" s="544"/>
      <c r="N1639" s="544"/>
      <c r="O1639" s="544"/>
      <c r="P1639" s="544"/>
      <c r="Q1639" s="544"/>
      <c r="R1639" s="544"/>
      <c r="S1639" s="544"/>
      <c r="T1639" s="544"/>
      <c r="U1639" s="544"/>
    </row>
    <row r="1640" spans="1:21" x14ac:dyDescent="0.25">
      <c r="A1640" s="538" t="s">
        <v>12</v>
      </c>
      <c r="B1640" s="538"/>
      <c r="C1640" s="540" t="s">
        <v>633</v>
      </c>
      <c r="D1640" s="540"/>
      <c r="E1640" s="540"/>
      <c r="F1640" s="540"/>
      <c r="G1640" s="540"/>
      <c r="H1640" s="540"/>
      <c r="I1640" s="540"/>
      <c r="J1640" s="540"/>
      <c r="K1640" s="540"/>
      <c r="L1640" s="540"/>
      <c r="M1640" s="540"/>
      <c r="N1640" s="540"/>
      <c r="O1640" s="540"/>
      <c r="P1640" s="540"/>
      <c r="Q1640" s="540"/>
      <c r="R1640" s="540"/>
      <c r="S1640" s="540"/>
      <c r="T1640" s="540"/>
      <c r="U1640" s="541" t="s">
        <v>610</v>
      </c>
    </row>
    <row r="1641" spans="1:21" x14ac:dyDescent="0.25">
      <c r="A1641" s="538"/>
      <c r="B1641" s="538"/>
      <c r="C1641" s="540"/>
      <c r="D1641" s="540"/>
      <c r="E1641" s="540"/>
      <c r="F1641" s="540"/>
      <c r="G1641" s="540"/>
      <c r="H1641" s="540"/>
      <c r="I1641" s="540"/>
      <c r="J1641" s="540"/>
      <c r="K1641" s="540"/>
      <c r="L1641" s="540"/>
      <c r="M1641" s="540"/>
      <c r="N1641" s="540"/>
      <c r="O1641" s="540"/>
      <c r="P1641" s="540"/>
      <c r="Q1641" s="540"/>
      <c r="R1641" s="540"/>
      <c r="S1641" s="540"/>
      <c r="T1641" s="540"/>
      <c r="U1641" s="541"/>
    </row>
    <row r="1642" spans="1:21" x14ac:dyDescent="0.25">
      <c r="A1642" s="539" t="s">
        <v>608</v>
      </c>
      <c r="B1642" s="539"/>
      <c r="C1642" s="540"/>
      <c r="D1642" s="540"/>
      <c r="E1642" s="540"/>
      <c r="F1642" s="540"/>
      <c r="G1642" s="540"/>
      <c r="H1642" s="540"/>
      <c r="I1642" s="540"/>
      <c r="J1642" s="540"/>
      <c r="K1642" s="540"/>
      <c r="L1642" s="540"/>
      <c r="M1642" s="540"/>
      <c r="N1642" s="540"/>
      <c r="O1642" s="540"/>
      <c r="P1642" s="540"/>
      <c r="Q1642" s="540"/>
      <c r="R1642" s="540"/>
      <c r="S1642" s="540"/>
      <c r="T1642" s="540"/>
      <c r="U1642" s="541"/>
    </row>
    <row r="1643" spans="1:21" x14ac:dyDescent="0.25">
      <c r="A1643" s="542" t="s">
        <v>16</v>
      </c>
      <c r="B1643" s="543" t="s">
        <v>18</v>
      </c>
      <c r="C1643" s="543"/>
      <c r="D1643" s="543"/>
      <c r="E1643" s="543"/>
      <c r="F1643" s="543"/>
      <c r="G1643" s="543" t="s">
        <v>24</v>
      </c>
      <c r="H1643" s="543"/>
      <c r="I1643" s="543"/>
      <c r="J1643" s="543"/>
      <c r="K1643" s="543"/>
      <c r="L1643" s="543" t="s">
        <v>25</v>
      </c>
      <c r="M1643" s="543"/>
      <c r="N1643" s="543"/>
      <c r="O1643" s="543"/>
      <c r="P1643" s="543"/>
      <c r="Q1643" s="543" t="s">
        <v>26</v>
      </c>
      <c r="R1643" s="543"/>
      <c r="S1643" s="543"/>
      <c r="T1643" s="543"/>
      <c r="U1643" s="543"/>
    </row>
    <row r="1644" spans="1:21" x14ac:dyDescent="0.25">
      <c r="A1644" s="542"/>
      <c r="B1644" s="182" t="s">
        <v>19</v>
      </c>
      <c r="C1644" s="182" t="s">
        <v>20</v>
      </c>
      <c r="D1644" s="182" t="s">
        <v>21</v>
      </c>
      <c r="E1644" s="182" t="s">
        <v>22</v>
      </c>
      <c r="F1644" s="182" t="s">
        <v>23</v>
      </c>
      <c r="G1644" s="182" t="s">
        <v>19</v>
      </c>
      <c r="H1644" s="216" t="s">
        <v>20</v>
      </c>
      <c r="I1644" s="182" t="s">
        <v>21</v>
      </c>
      <c r="J1644" s="182" t="s">
        <v>22</v>
      </c>
      <c r="K1644" s="182" t="s">
        <v>23</v>
      </c>
      <c r="L1644" s="182" t="s">
        <v>19</v>
      </c>
      <c r="M1644" s="182" t="s">
        <v>20</v>
      </c>
      <c r="N1644" s="182" t="s">
        <v>21</v>
      </c>
      <c r="O1644" s="182" t="s">
        <v>22</v>
      </c>
      <c r="P1644" s="182" t="s">
        <v>23</v>
      </c>
      <c r="Q1644" s="182" t="s">
        <v>19</v>
      </c>
      <c r="R1644" s="182" t="s">
        <v>20</v>
      </c>
      <c r="S1644" s="182" t="s">
        <v>21</v>
      </c>
      <c r="T1644" s="182" t="s">
        <v>22</v>
      </c>
      <c r="U1644" s="211" t="s">
        <v>23</v>
      </c>
    </row>
    <row r="1645" spans="1:21" ht="31.5" x14ac:dyDescent="0.25">
      <c r="A1645" s="183" t="s">
        <v>634</v>
      </c>
      <c r="B1645" s="182" t="s">
        <v>47</v>
      </c>
      <c r="C1645" s="182" t="s">
        <v>28</v>
      </c>
      <c r="D1645" s="182">
        <v>3</v>
      </c>
      <c r="E1645" s="182">
        <f>skilled</f>
        <v>1245</v>
      </c>
      <c r="F1645" s="184">
        <f>(D1645*E1645)</f>
        <v>3735</v>
      </c>
      <c r="G1645" s="182" t="s">
        <v>612</v>
      </c>
      <c r="H1645" s="216" t="s">
        <v>144</v>
      </c>
      <c r="I1645" s="182">
        <v>50</v>
      </c>
      <c r="J1645" s="182">
        <f>adopted_rate_bentonite</f>
        <v>20</v>
      </c>
      <c r="K1645" s="182">
        <f>(I1645*J1645)</f>
        <v>1000</v>
      </c>
      <c r="L1645" s="182" t="s">
        <v>613</v>
      </c>
      <c r="M1645" s="182" t="s">
        <v>58</v>
      </c>
      <c r="N1645" s="182">
        <v>6</v>
      </c>
      <c r="O1645" s="182">
        <f>piling_rig_with_all_accessories</f>
        <v>3434</v>
      </c>
      <c r="P1645" s="184">
        <f>(N1645*O1645)</f>
        <v>20604</v>
      </c>
    </row>
    <row r="1646" spans="1:21" x14ac:dyDescent="0.25">
      <c r="B1646" s="182" t="s">
        <v>29</v>
      </c>
      <c r="C1646" s="182" t="s">
        <v>28</v>
      </c>
      <c r="D1646" s="182">
        <v>30</v>
      </c>
      <c r="E1646" s="182">
        <f>unskilled</f>
        <v>935</v>
      </c>
      <c r="F1646" s="184">
        <f>(D1646*E1646)</f>
        <v>28050</v>
      </c>
      <c r="L1646" s="182" t="s">
        <v>477</v>
      </c>
      <c r="M1646" s="182" t="s">
        <v>58</v>
      </c>
      <c r="N1646" s="182">
        <v>6</v>
      </c>
      <c r="O1646" s="182">
        <f>crane</f>
        <v>2903</v>
      </c>
      <c r="P1646" s="184">
        <f>(N1646*O1646)</f>
        <v>17418</v>
      </c>
    </row>
    <row r="1647" spans="1:21" x14ac:dyDescent="0.25">
      <c r="L1647" s="182" t="s">
        <v>615</v>
      </c>
      <c r="M1647" s="182" t="s">
        <v>58</v>
      </c>
      <c r="N1647" s="182">
        <v>6</v>
      </c>
      <c r="O1647" s="182">
        <f>bentonite_pump</f>
        <v>299</v>
      </c>
      <c r="P1647" s="184">
        <f>(N1647*O1647)</f>
        <v>1794</v>
      </c>
    </row>
    <row r="1648" spans="1:21" x14ac:dyDescent="0.25">
      <c r="A1648" s="537" t="s">
        <v>30</v>
      </c>
      <c r="B1648" s="537"/>
      <c r="C1648" s="537"/>
      <c r="D1648" s="537"/>
      <c r="E1648" s="537"/>
      <c r="F1648" s="184">
        <f>SUM(F1644:F1647)</f>
        <v>31785</v>
      </c>
      <c r="G1648" s="537" t="s">
        <v>31</v>
      </c>
      <c r="H1648" s="537"/>
      <c r="I1648" s="537"/>
      <c r="J1648" s="537"/>
      <c r="K1648" s="184">
        <f>SUM(K1644:K1647)</f>
        <v>1000</v>
      </c>
      <c r="L1648" s="537" t="s">
        <v>32</v>
      </c>
      <c r="M1648" s="537"/>
      <c r="N1648" s="537"/>
      <c r="O1648" s="537"/>
      <c r="P1648" s="184">
        <f>SUM(P1644:P1647)</f>
        <v>39816</v>
      </c>
      <c r="Q1648" s="537" t="s">
        <v>38</v>
      </c>
      <c r="R1648" s="537"/>
      <c r="S1648" s="537"/>
      <c r="T1648" s="537"/>
      <c r="U1648" s="223">
        <f>SUM(U1644:U1647)</f>
        <v>0</v>
      </c>
    </row>
    <row r="1649" spans="1:21" x14ac:dyDescent="0.25">
      <c r="A1649" s="537" t="s">
        <v>33</v>
      </c>
      <c r="B1649" s="537"/>
      <c r="C1649" s="537"/>
      <c r="D1649" s="537"/>
      <c r="E1649" s="537"/>
      <c r="F1649" s="184">
        <f>SUM(F1648+K1648+P1648)</f>
        <v>72601</v>
      </c>
      <c r="G1649" s="537" t="s">
        <v>39</v>
      </c>
      <c r="H1649" s="537"/>
      <c r="I1649" s="537"/>
      <c r="J1649" s="537"/>
      <c r="K1649" s="184">
        <f>SUM(F1648+K1648+P1648+U1648)</f>
        <v>72601</v>
      </c>
      <c r="L1649" s="537" t="s">
        <v>40</v>
      </c>
      <c r="M1649" s="537"/>
      <c r="N1649" s="537"/>
      <c r="O1649" s="537"/>
      <c r="P1649" s="184">
        <f>SUM(K1649*0.15)</f>
        <v>10890.15</v>
      </c>
      <c r="Q1649" s="537" t="s">
        <v>41</v>
      </c>
      <c r="R1649" s="537"/>
      <c r="S1649" s="537"/>
      <c r="T1649" s="537"/>
      <c r="U1649" s="223">
        <f>SUM(K1649+P1649)</f>
        <v>83491.149999999994</v>
      </c>
    </row>
    <row r="1650" spans="1:21" x14ac:dyDescent="0.25">
      <c r="Q1650" s="537" t="s">
        <v>42</v>
      </c>
      <c r="R1650" s="537"/>
      <c r="S1650" s="537"/>
      <c r="T1650" s="537"/>
      <c r="U1650" s="224">
        <f>ROUND((U1649/5),2)</f>
        <v>16698.23</v>
      </c>
    </row>
    <row r="1651" spans="1:21" x14ac:dyDescent="0.25">
      <c r="A1651" s="544"/>
      <c r="B1651" s="544"/>
      <c r="C1651" s="544"/>
      <c r="D1651" s="544"/>
      <c r="E1651" s="544"/>
      <c r="F1651" s="544"/>
      <c r="G1651" s="544"/>
      <c r="H1651" s="544"/>
      <c r="I1651" s="544"/>
      <c r="J1651" s="544"/>
      <c r="K1651" s="544"/>
      <c r="L1651" s="544"/>
      <c r="M1651" s="544"/>
      <c r="N1651" s="544"/>
      <c r="O1651" s="544"/>
      <c r="P1651" s="544"/>
      <c r="Q1651" s="544"/>
      <c r="R1651" s="544"/>
      <c r="S1651" s="544"/>
      <c r="T1651" s="544"/>
      <c r="U1651" s="544"/>
    </row>
    <row r="1652" spans="1:21" x14ac:dyDescent="0.25">
      <c r="A1652" s="538" t="s">
        <v>12</v>
      </c>
      <c r="B1652" s="538"/>
      <c r="C1652" s="540" t="s">
        <v>635</v>
      </c>
      <c r="D1652" s="540"/>
      <c r="E1652" s="540"/>
      <c r="F1652" s="540"/>
      <c r="G1652" s="540"/>
      <c r="H1652" s="540"/>
      <c r="I1652" s="540"/>
      <c r="J1652" s="540"/>
      <c r="K1652" s="540"/>
      <c r="L1652" s="540"/>
      <c r="M1652" s="540"/>
      <c r="N1652" s="540"/>
      <c r="O1652" s="540"/>
      <c r="P1652" s="540"/>
      <c r="Q1652" s="540"/>
      <c r="R1652" s="540"/>
      <c r="S1652" s="540"/>
      <c r="T1652" s="540"/>
      <c r="U1652" s="541" t="s">
        <v>610</v>
      </c>
    </row>
    <row r="1653" spans="1:21" x14ac:dyDescent="0.25">
      <c r="A1653" s="538"/>
      <c r="B1653" s="538"/>
      <c r="C1653" s="540"/>
      <c r="D1653" s="540"/>
      <c r="E1653" s="540"/>
      <c r="F1653" s="540"/>
      <c r="G1653" s="540"/>
      <c r="H1653" s="540"/>
      <c r="I1653" s="540"/>
      <c r="J1653" s="540"/>
      <c r="K1653" s="540"/>
      <c r="L1653" s="540"/>
      <c r="M1653" s="540"/>
      <c r="N1653" s="540"/>
      <c r="O1653" s="540"/>
      <c r="P1653" s="540"/>
      <c r="Q1653" s="540"/>
      <c r="R1653" s="540"/>
      <c r="S1653" s="540"/>
      <c r="T1653" s="540"/>
      <c r="U1653" s="541"/>
    </row>
    <row r="1654" spans="1:21" x14ac:dyDescent="0.25">
      <c r="A1654" s="539" t="s">
        <v>608</v>
      </c>
      <c r="B1654" s="539"/>
      <c r="C1654" s="540"/>
      <c r="D1654" s="540"/>
      <c r="E1654" s="540"/>
      <c r="F1654" s="540"/>
      <c r="G1654" s="540"/>
      <c r="H1654" s="540"/>
      <c r="I1654" s="540"/>
      <c r="J1654" s="540"/>
      <c r="K1654" s="540"/>
      <c r="L1654" s="540"/>
      <c r="M1654" s="540"/>
      <c r="N1654" s="540"/>
      <c r="O1654" s="540"/>
      <c r="P1654" s="540"/>
      <c r="Q1654" s="540"/>
      <c r="R1654" s="540"/>
      <c r="S1654" s="540"/>
      <c r="T1654" s="540"/>
      <c r="U1654" s="541"/>
    </row>
    <row r="1655" spans="1:21" x14ac:dyDescent="0.25">
      <c r="A1655" s="542" t="s">
        <v>16</v>
      </c>
      <c r="B1655" s="543" t="s">
        <v>18</v>
      </c>
      <c r="C1655" s="543"/>
      <c r="D1655" s="543"/>
      <c r="E1655" s="543"/>
      <c r="F1655" s="543"/>
      <c r="G1655" s="543" t="s">
        <v>24</v>
      </c>
      <c r="H1655" s="543"/>
      <c r="I1655" s="543"/>
      <c r="J1655" s="543"/>
      <c r="K1655" s="543"/>
      <c r="L1655" s="543" t="s">
        <v>25</v>
      </c>
      <c r="M1655" s="543"/>
      <c r="N1655" s="543"/>
      <c r="O1655" s="543"/>
      <c r="P1655" s="543"/>
      <c r="Q1655" s="543" t="s">
        <v>26</v>
      </c>
      <c r="R1655" s="543"/>
      <c r="S1655" s="543"/>
      <c r="T1655" s="543"/>
      <c r="U1655" s="543"/>
    </row>
    <row r="1656" spans="1:21" x14ac:dyDescent="0.25">
      <c r="A1656" s="542"/>
      <c r="B1656" s="182" t="s">
        <v>19</v>
      </c>
      <c r="C1656" s="182" t="s">
        <v>20</v>
      </c>
      <c r="D1656" s="182" t="s">
        <v>21</v>
      </c>
      <c r="E1656" s="182" t="s">
        <v>22</v>
      </c>
      <c r="F1656" s="182" t="s">
        <v>23</v>
      </c>
      <c r="G1656" s="182" t="s">
        <v>19</v>
      </c>
      <c r="H1656" s="216" t="s">
        <v>20</v>
      </c>
      <c r="I1656" s="182" t="s">
        <v>21</v>
      </c>
      <c r="J1656" s="182" t="s">
        <v>22</v>
      </c>
      <c r="K1656" s="182" t="s">
        <v>23</v>
      </c>
      <c r="L1656" s="182" t="s">
        <v>19</v>
      </c>
      <c r="M1656" s="182" t="s">
        <v>20</v>
      </c>
      <c r="N1656" s="182" t="s">
        <v>21</v>
      </c>
      <c r="O1656" s="182" t="s">
        <v>22</v>
      </c>
      <c r="P1656" s="182" t="s">
        <v>23</v>
      </c>
      <c r="Q1656" s="182" t="s">
        <v>19</v>
      </c>
      <c r="R1656" s="182" t="s">
        <v>20</v>
      </c>
      <c r="S1656" s="182" t="s">
        <v>21</v>
      </c>
      <c r="T1656" s="182" t="s">
        <v>22</v>
      </c>
      <c r="U1656" s="211" t="s">
        <v>23</v>
      </c>
    </row>
    <row r="1657" spans="1:21" ht="31.5" x14ac:dyDescent="0.25">
      <c r="A1657" s="183" t="s">
        <v>636</v>
      </c>
      <c r="B1657" s="182" t="s">
        <v>47</v>
      </c>
      <c r="C1657" s="182" t="s">
        <v>28</v>
      </c>
      <c r="D1657" s="182">
        <v>5</v>
      </c>
      <c r="E1657" s="182">
        <f>skilled</f>
        <v>1245</v>
      </c>
      <c r="F1657" s="184">
        <f>(D1657*E1657)</f>
        <v>6225</v>
      </c>
      <c r="G1657" s="182" t="s">
        <v>612</v>
      </c>
      <c r="H1657" s="216" t="s">
        <v>144</v>
      </c>
      <c r="I1657" s="182">
        <v>75</v>
      </c>
      <c r="J1657" s="182">
        <f>adopted_rate_bentonite</f>
        <v>20</v>
      </c>
      <c r="K1657" s="182">
        <f>(I1657*J1657)</f>
        <v>1500</v>
      </c>
      <c r="L1657" s="182" t="s">
        <v>613</v>
      </c>
      <c r="M1657" s="182" t="s">
        <v>58</v>
      </c>
      <c r="N1657" s="182" t="s">
        <v>637</v>
      </c>
      <c r="O1657" s="182">
        <f>piling_rig_with_all_accessories</f>
        <v>3434</v>
      </c>
      <c r="P1657" s="184">
        <f>(N1657*O1657)</f>
        <v>30906</v>
      </c>
    </row>
    <row r="1658" spans="1:21" x14ac:dyDescent="0.25">
      <c r="B1658" s="182" t="s">
        <v>29</v>
      </c>
      <c r="C1658" s="182" t="s">
        <v>28</v>
      </c>
      <c r="D1658" s="182">
        <v>50</v>
      </c>
      <c r="E1658" s="182">
        <f>unskilled</f>
        <v>935</v>
      </c>
      <c r="F1658" s="184">
        <f>(D1658*E1658)</f>
        <v>46750</v>
      </c>
      <c r="L1658" s="182" t="s">
        <v>477</v>
      </c>
      <c r="M1658" s="182" t="s">
        <v>58</v>
      </c>
      <c r="N1658" s="182" t="s">
        <v>637</v>
      </c>
      <c r="O1658" s="182">
        <f>crane</f>
        <v>2903</v>
      </c>
      <c r="P1658" s="184">
        <f>(N1658*O1658)</f>
        <v>26127</v>
      </c>
    </row>
    <row r="1659" spans="1:21" x14ac:dyDescent="0.25">
      <c r="L1659" s="182" t="s">
        <v>615</v>
      </c>
      <c r="M1659" s="182" t="s">
        <v>58</v>
      </c>
      <c r="N1659" s="182" t="s">
        <v>637</v>
      </c>
      <c r="O1659" s="182">
        <f>bentonite_pump</f>
        <v>299</v>
      </c>
      <c r="P1659" s="184">
        <f>(N1659*O1659)</f>
        <v>2691</v>
      </c>
    </row>
    <row r="1660" spans="1:21" x14ac:dyDescent="0.25">
      <c r="A1660" s="537" t="s">
        <v>30</v>
      </c>
      <c r="B1660" s="537"/>
      <c r="C1660" s="537"/>
      <c r="D1660" s="537"/>
      <c r="E1660" s="537"/>
      <c r="F1660" s="184">
        <f>SUM(F1656:F1659)</f>
        <v>52975</v>
      </c>
      <c r="G1660" s="537" t="s">
        <v>31</v>
      </c>
      <c r="H1660" s="537"/>
      <c r="I1660" s="537"/>
      <c r="J1660" s="537"/>
      <c r="K1660" s="184">
        <f>SUM(K1656:K1659)</f>
        <v>1500</v>
      </c>
      <c r="L1660" s="537" t="s">
        <v>32</v>
      </c>
      <c r="M1660" s="537"/>
      <c r="N1660" s="537"/>
      <c r="O1660" s="537"/>
      <c r="P1660" s="184">
        <f>SUM(P1656:P1659)</f>
        <v>59724</v>
      </c>
      <c r="Q1660" s="537" t="s">
        <v>38</v>
      </c>
      <c r="R1660" s="537"/>
      <c r="S1660" s="537"/>
      <c r="T1660" s="537"/>
      <c r="U1660" s="223">
        <f>SUM(U1656:U1659)</f>
        <v>0</v>
      </c>
    </row>
    <row r="1661" spans="1:21" x14ac:dyDescent="0.25">
      <c r="A1661" s="537" t="s">
        <v>33</v>
      </c>
      <c r="B1661" s="537"/>
      <c r="C1661" s="537"/>
      <c r="D1661" s="537"/>
      <c r="E1661" s="537"/>
      <c r="F1661" s="184">
        <f>SUM(F1660+K1660+P1660)</f>
        <v>114199</v>
      </c>
      <c r="G1661" s="537" t="s">
        <v>39</v>
      </c>
      <c r="H1661" s="537"/>
      <c r="I1661" s="537"/>
      <c r="J1661" s="537"/>
      <c r="K1661" s="184">
        <f>SUM(F1660+K1660+P1660+U1660)</f>
        <v>114199</v>
      </c>
      <c r="L1661" s="537" t="s">
        <v>40</v>
      </c>
      <c r="M1661" s="537"/>
      <c r="N1661" s="537"/>
      <c r="O1661" s="537"/>
      <c r="P1661" s="184">
        <f>SUM(K1661*0.15)</f>
        <v>17129.849999999999</v>
      </c>
      <c r="Q1661" s="537" t="s">
        <v>41</v>
      </c>
      <c r="R1661" s="537"/>
      <c r="S1661" s="537"/>
      <c r="T1661" s="537"/>
      <c r="U1661" s="223">
        <f>SUM(K1661+P1661)</f>
        <v>131328.85</v>
      </c>
    </row>
    <row r="1662" spans="1:21" x14ac:dyDescent="0.25">
      <c r="Q1662" s="537" t="s">
        <v>42</v>
      </c>
      <c r="R1662" s="537"/>
      <c r="S1662" s="537"/>
      <c r="T1662" s="537"/>
      <c r="U1662" s="224">
        <f>ROUND((U1661/5),2)</f>
        <v>26265.77</v>
      </c>
    </row>
    <row r="1663" spans="1:21" x14ac:dyDescent="0.25">
      <c r="A1663" s="544"/>
      <c r="B1663" s="544"/>
      <c r="C1663" s="544"/>
      <c r="D1663" s="544"/>
      <c r="E1663" s="544"/>
      <c r="F1663" s="544"/>
      <c r="G1663" s="544"/>
      <c r="H1663" s="544"/>
      <c r="I1663" s="544"/>
      <c r="J1663" s="544"/>
      <c r="K1663" s="544"/>
      <c r="L1663" s="544"/>
      <c r="M1663" s="544"/>
      <c r="N1663" s="544"/>
      <c r="O1663" s="544"/>
      <c r="P1663" s="544"/>
      <c r="Q1663" s="544"/>
      <c r="R1663" s="544"/>
      <c r="S1663" s="544"/>
      <c r="T1663" s="544"/>
      <c r="U1663" s="544"/>
    </row>
    <row r="1664" spans="1:21" x14ac:dyDescent="0.25">
      <c r="A1664" s="538" t="s">
        <v>12</v>
      </c>
      <c r="B1664" s="538"/>
      <c r="C1664" s="540" t="s">
        <v>639</v>
      </c>
      <c r="D1664" s="540"/>
      <c r="E1664" s="540"/>
      <c r="F1664" s="540"/>
      <c r="G1664" s="540"/>
      <c r="H1664" s="540"/>
      <c r="I1664" s="540"/>
      <c r="J1664" s="540"/>
      <c r="K1664" s="540"/>
      <c r="L1664" s="540"/>
      <c r="M1664" s="540"/>
      <c r="N1664" s="540"/>
      <c r="O1664" s="540"/>
      <c r="P1664" s="540"/>
      <c r="Q1664" s="540"/>
      <c r="R1664" s="540"/>
      <c r="S1664" s="540"/>
      <c r="T1664" s="540"/>
      <c r="U1664" s="541" t="s">
        <v>640</v>
      </c>
    </row>
    <row r="1665" spans="1:21" x14ac:dyDescent="0.25">
      <c r="A1665" s="538"/>
      <c r="B1665" s="538"/>
      <c r="C1665" s="540"/>
      <c r="D1665" s="540"/>
      <c r="E1665" s="540"/>
      <c r="F1665" s="540"/>
      <c r="G1665" s="540"/>
      <c r="H1665" s="540"/>
      <c r="I1665" s="540"/>
      <c r="J1665" s="540"/>
      <c r="K1665" s="540"/>
      <c r="L1665" s="540"/>
      <c r="M1665" s="540"/>
      <c r="N1665" s="540"/>
      <c r="O1665" s="540"/>
      <c r="P1665" s="540"/>
      <c r="Q1665" s="540"/>
      <c r="R1665" s="540"/>
      <c r="S1665" s="540"/>
      <c r="T1665" s="540"/>
      <c r="U1665" s="541"/>
    </row>
    <row r="1666" spans="1:21" x14ac:dyDescent="0.25">
      <c r="A1666" s="539" t="s">
        <v>638</v>
      </c>
      <c r="B1666" s="539"/>
      <c r="C1666" s="540"/>
      <c r="D1666" s="540"/>
      <c r="E1666" s="540"/>
      <c r="F1666" s="540"/>
      <c r="G1666" s="540"/>
      <c r="H1666" s="540"/>
      <c r="I1666" s="540"/>
      <c r="J1666" s="540"/>
      <c r="K1666" s="540"/>
      <c r="L1666" s="540"/>
      <c r="M1666" s="540"/>
      <c r="N1666" s="540"/>
      <c r="O1666" s="540"/>
      <c r="P1666" s="540"/>
      <c r="Q1666" s="540"/>
      <c r="R1666" s="540"/>
      <c r="S1666" s="540"/>
      <c r="T1666" s="540"/>
      <c r="U1666" s="541"/>
    </row>
    <row r="1667" spans="1:21" x14ac:dyDescent="0.25">
      <c r="A1667" s="542" t="s">
        <v>16</v>
      </c>
      <c r="B1667" s="543" t="s">
        <v>18</v>
      </c>
      <c r="C1667" s="543"/>
      <c r="D1667" s="543"/>
      <c r="E1667" s="543"/>
      <c r="F1667" s="543"/>
      <c r="G1667" s="543" t="s">
        <v>24</v>
      </c>
      <c r="H1667" s="543"/>
      <c r="I1667" s="543"/>
      <c r="J1667" s="543"/>
      <c r="K1667" s="543"/>
      <c r="L1667" s="543" t="s">
        <v>25</v>
      </c>
      <c r="M1667" s="543"/>
      <c r="N1667" s="543"/>
      <c r="O1667" s="543"/>
      <c r="P1667" s="543"/>
      <c r="Q1667" s="543" t="s">
        <v>26</v>
      </c>
      <c r="R1667" s="543"/>
      <c r="S1667" s="543"/>
      <c r="T1667" s="543"/>
      <c r="U1667" s="543"/>
    </row>
    <row r="1668" spans="1:21" x14ac:dyDescent="0.25">
      <c r="A1668" s="542"/>
      <c r="B1668" s="182" t="s">
        <v>19</v>
      </c>
      <c r="C1668" s="182" t="s">
        <v>20</v>
      </c>
      <c r="D1668" s="182" t="s">
        <v>21</v>
      </c>
      <c r="E1668" s="182" t="s">
        <v>22</v>
      </c>
      <c r="F1668" s="182" t="s">
        <v>23</v>
      </c>
      <c r="G1668" s="182" t="s">
        <v>19</v>
      </c>
      <c r="H1668" s="216" t="s">
        <v>20</v>
      </c>
      <c r="I1668" s="182" t="s">
        <v>21</v>
      </c>
      <c r="J1668" s="182" t="s">
        <v>22</v>
      </c>
      <c r="K1668" s="182" t="s">
        <v>23</v>
      </c>
      <c r="L1668" s="182" t="s">
        <v>19</v>
      </c>
      <c r="M1668" s="182" t="s">
        <v>20</v>
      </c>
      <c r="N1668" s="182" t="s">
        <v>21</v>
      </c>
      <c r="O1668" s="182" t="s">
        <v>22</v>
      </c>
      <c r="P1668" s="182" t="s">
        <v>23</v>
      </c>
      <c r="Q1668" s="182" t="s">
        <v>19</v>
      </c>
      <c r="R1668" s="182" t="s">
        <v>20</v>
      </c>
      <c r="S1668" s="182" t="s">
        <v>21</v>
      </c>
      <c r="T1668" s="182" t="s">
        <v>22</v>
      </c>
      <c r="U1668" s="211" t="s">
        <v>23</v>
      </c>
    </row>
    <row r="1669" spans="1:21" x14ac:dyDescent="0.25">
      <c r="A1669" s="183" t="s">
        <v>641</v>
      </c>
      <c r="B1669" s="182" t="s">
        <v>47</v>
      </c>
      <c r="C1669" s="182" t="s">
        <v>28</v>
      </c>
      <c r="D1669" s="182">
        <v>1</v>
      </c>
      <c r="E1669" s="182">
        <f>skilled</f>
        <v>1245</v>
      </c>
      <c r="F1669" s="184">
        <f>(D1669*E1669)</f>
        <v>1245</v>
      </c>
      <c r="G1669" s="182" t="s">
        <v>642</v>
      </c>
      <c r="H1669" s="216" t="s">
        <v>35</v>
      </c>
      <c r="I1669" s="182">
        <v>0</v>
      </c>
      <c r="J1669" s="182">
        <f>adopted_rate_structural_steel</f>
        <v>96000</v>
      </c>
      <c r="K1669" s="182">
        <f>(I1669*J1669)</f>
        <v>0</v>
      </c>
      <c r="L1669" s="182" t="s">
        <v>477</v>
      </c>
      <c r="M1669" s="182" t="s">
        <v>58</v>
      </c>
      <c r="N1669" s="182">
        <v>6</v>
      </c>
      <c r="O1669" s="182">
        <f>crane</f>
        <v>2903</v>
      </c>
      <c r="P1669" s="184">
        <f>(N1669*O1669)</f>
        <v>17418</v>
      </c>
    </row>
    <row r="1670" spans="1:21" ht="31.5" x14ac:dyDescent="0.25">
      <c r="B1670" s="182" t="s">
        <v>29</v>
      </c>
      <c r="C1670" s="182" t="s">
        <v>28</v>
      </c>
      <c r="D1670" s="182">
        <v>5</v>
      </c>
      <c r="E1670" s="182">
        <f>unskilled</f>
        <v>935</v>
      </c>
      <c r="F1670" s="184">
        <f>(D1670*E1670)</f>
        <v>4675</v>
      </c>
      <c r="L1670" s="182" t="s">
        <v>613</v>
      </c>
      <c r="M1670" s="182" t="s">
        <v>58</v>
      </c>
      <c r="N1670" s="182">
        <v>6</v>
      </c>
      <c r="O1670" s="182">
        <f>piling_rig_with_all_accessories</f>
        <v>3434</v>
      </c>
      <c r="P1670" s="184">
        <f>(N1670*O1670)</f>
        <v>20604</v>
      </c>
    </row>
    <row r="1671" spans="1:21" x14ac:dyDescent="0.25">
      <c r="A1671" s="537" t="s">
        <v>30</v>
      </c>
      <c r="B1671" s="537"/>
      <c r="C1671" s="537"/>
      <c r="D1671" s="537"/>
      <c r="E1671" s="537"/>
      <c r="F1671" s="184">
        <f>SUM(F1668:F1670)</f>
        <v>5920</v>
      </c>
      <c r="G1671" s="537" t="s">
        <v>31</v>
      </c>
      <c r="H1671" s="537"/>
      <c r="I1671" s="537"/>
      <c r="J1671" s="537"/>
      <c r="K1671" s="184">
        <f>SUM(K1668:K1670)</f>
        <v>0</v>
      </c>
      <c r="L1671" s="537" t="s">
        <v>32</v>
      </c>
      <c r="M1671" s="537"/>
      <c r="N1671" s="537"/>
      <c r="O1671" s="537"/>
      <c r="P1671" s="184">
        <f>SUM(P1668:P1670)</f>
        <v>38022</v>
      </c>
      <c r="Q1671" s="537" t="s">
        <v>38</v>
      </c>
      <c r="R1671" s="537"/>
      <c r="S1671" s="537"/>
      <c r="T1671" s="537"/>
      <c r="U1671" s="223">
        <f>SUM(U1668:U1670)</f>
        <v>0</v>
      </c>
    </row>
    <row r="1672" spans="1:21" x14ac:dyDescent="0.25">
      <c r="A1672" s="537" t="s">
        <v>33</v>
      </c>
      <c r="B1672" s="537"/>
      <c r="C1672" s="537"/>
      <c r="D1672" s="537"/>
      <c r="E1672" s="537"/>
      <c r="F1672" s="184">
        <f>SUM(F1671+K1671+P1671)</f>
        <v>43942</v>
      </c>
      <c r="G1672" s="537" t="s">
        <v>39</v>
      </c>
      <c r="H1672" s="537"/>
      <c r="I1672" s="537"/>
      <c r="J1672" s="537"/>
      <c r="K1672" s="184">
        <f>SUM(F1671+K1671+P1671+U1671)</f>
        <v>43942</v>
      </c>
      <c r="L1672" s="537" t="s">
        <v>40</v>
      </c>
      <c r="M1672" s="537"/>
      <c r="N1672" s="537"/>
      <c r="O1672" s="537"/>
      <c r="P1672" s="184">
        <f>SUM(K1672*0.15)</f>
        <v>6591.3</v>
      </c>
      <c r="Q1672" s="537" t="s">
        <v>41</v>
      </c>
      <c r="R1672" s="537"/>
      <c r="S1672" s="537"/>
      <c r="T1672" s="537"/>
      <c r="U1672" s="223">
        <f>SUM(K1672+P1672)</f>
        <v>50533.3</v>
      </c>
    </row>
    <row r="1673" spans="1:21" x14ac:dyDescent="0.25">
      <c r="Q1673" s="537" t="s">
        <v>42</v>
      </c>
      <c r="R1673" s="537"/>
      <c r="S1673" s="537"/>
      <c r="T1673" s="537"/>
      <c r="U1673" s="224">
        <f>ROUND((U1672/2.5),2)</f>
        <v>20213.32</v>
      </c>
    </row>
    <row r="1674" spans="1:21" x14ac:dyDescent="0.25">
      <c r="A1674" s="544"/>
      <c r="B1674" s="544"/>
      <c r="C1674" s="544"/>
      <c r="D1674" s="544"/>
      <c r="E1674" s="544"/>
      <c r="F1674" s="544"/>
      <c r="G1674" s="544"/>
      <c r="H1674" s="544"/>
      <c r="I1674" s="544"/>
      <c r="J1674" s="544"/>
      <c r="K1674" s="544"/>
      <c r="L1674" s="544"/>
      <c r="M1674" s="544"/>
      <c r="N1674" s="544"/>
      <c r="O1674" s="544"/>
      <c r="P1674" s="544"/>
      <c r="Q1674" s="544"/>
      <c r="R1674" s="544"/>
      <c r="S1674" s="544"/>
      <c r="T1674" s="544"/>
      <c r="U1674" s="544"/>
    </row>
    <row r="1675" spans="1:21" x14ac:dyDescent="0.25">
      <c r="A1675" s="538" t="s">
        <v>12</v>
      </c>
      <c r="B1675" s="538"/>
      <c r="C1675" s="540" t="s">
        <v>644</v>
      </c>
      <c r="D1675" s="540"/>
      <c r="E1675" s="540"/>
      <c r="F1675" s="540"/>
      <c r="G1675" s="540"/>
      <c r="H1675" s="540"/>
      <c r="I1675" s="540"/>
      <c r="J1675" s="540"/>
      <c r="K1675" s="540"/>
      <c r="L1675" s="540"/>
      <c r="M1675" s="540"/>
      <c r="N1675" s="540"/>
      <c r="O1675" s="540"/>
      <c r="P1675" s="540"/>
      <c r="Q1675" s="540"/>
      <c r="R1675" s="540"/>
      <c r="S1675" s="540"/>
      <c r="T1675" s="540"/>
      <c r="U1675" s="541" t="s">
        <v>435</v>
      </c>
    </row>
    <row r="1676" spans="1:21" x14ac:dyDescent="0.25">
      <c r="A1676" s="538"/>
      <c r="B1676" s="538"/>
      <c r="C1676" s="540"/>
      <c r="D1676" s="540"/>
      <c r="E1676" s="540"/>
      <c r="F1676" s="540"/>
      <c r="G1676" s="540"/>
      <c r="H1676" s="540"/>
      <c r="I1676" s="540"/>
      <c r="J1676" s="540"/>
      <c r="K1676" s="540"/>
      <c r="L1676" s="540"/>
      <c r="M1676" s="540"/>
      <c r="N1676" s="540"/>
      <c r="O1676" s="540"/>
      <c r="P1676" s="540"/>
      <c r="Q1676" s="540"/>
      <c r="R1676" s="540"/>
      <c r="S1676" s="540"/>
      <c r="T1676" s="540"/>
      <c r="U1676" s="541"/>
    </row>
    <row r="1677" spans="1:21" x14ac:dyDescent="0.25">
      <c r="A1677" s="539" t="s">
        <v>643</v>
      </c>
      <c r="B1677" s="539"/>
      <c r="C1677" s="540"/>
      <c r="D1677" s="540"/>
      <c r="E1677" s="540"/>
      <c r="F1677" s="540"/>
      <c r="G1677" s="540"/>
      <c r="H1677" s="540"/>
      <c r="I1677" s="540"/>
      <c r="J1677" s="540"/>
      <c r="K1677" s="540"/>
      <c r="L1677" s="540"/>
      <c r="M1677" s="540"/>
      <c r="N1677" s="540"/>
      <c r="O1677" s="540"/>
      <c r="P1677" s="540"/>
      <c r="Q1677" s="540"/>
      <c r="R1677" s="540"/>
      <c r="S1677" s="540"/>
      <c r="T1677" s="540"/>
      <c r="U1677" s="541"/>
    </row>
    <row r="1678" spans="1:21" x14ac:dyDescent="0.25">
      <c r="A1678" s="542" t="s">
        <v>16</v>
      </c>
      <c r="B1678" s="543" t="s">
        <v>18</v>
      </c>
      <c r="C1678" s="543"/>
      <c r="D1678" s="543"/>
      <c r="E1678" s="543"/>
      <c r="F1678" s="543"/>
      <c r="G1678" s="543" t="s">
        <v>24</v>
      </c>
      <c r="H1678" s="543"/>
      <c r="I1678" s="543"/>
      <c r="J1678" s="543"/>
      <c r="K1678" s="543"/>
      <c r="L1678" s="543" t="s">
        <v>25</v>
      </c>
      <c r="M1678" s="543"/>
      <c r="N1678" s="543"/>
      <c r="O1678" s="543"/>
      <c r="P1678" s="543"/>
      <c r="Q1678" s="543" t="s">
        <v>26</v>
      </c>
      <c r="R1678" s="543"/>
      <c r="S1678" s="543"/>
      <c r="T1678" s="543"/>
      <c r="U1678" s="543"/>
    </row>
    <row r="1679" spans="1:21" x14ac:dyDescent="0.25">
      <c r="A1679" s="542"/>
      <c r="B1679" s="182" t="s">
        <v>19</v>
      </c>
      <c r="C1679" s="182" t="s">
        <v>20</v>
      </c>
      <c r="D1679" s="182" t="s">
        <v>21</v>
      </c>
      <c r="E1679" s="182" t="s">
        <v>22</v>
      </c>
      <c r="F1679" s="182" t="s">
        <v>23</v>
      </c>
      <c r="G1679" s="182" t="s">
        <v>19</v>
      </c>
      <c r="H1679" s="216" t="s">
        <v>20</v>
      </c>
      <c r="I1679" s="182" t="s">
        <v>21</v>
      </c>
      <c r="J1679" s="182" t="s">
        <v>22</v>
      </c>
      <c r="K1679" s="182" t="s">
        <v>23</v>
      </c>
      <c r="L1679" s="182" t="s">
        <v>19</v>
      </c>
      <c r="M1679" s="182" t="s">
        <v>20</v>
      </c>
      <c r="N1679" s="182" t="s">
        <v>21</v>
      </c>
      <c r="O1679" s="182" t="s">
        <v>22</v>
      </c>
      <c r="P1679" s="182" t="s">
        <v>23</v>
      </c>
      <c r="Q1679" s="182" t="s">
        <v>19</v>
      </c>
      <c r="R1679" s="182" t="s">
        <v>20</v>
      </c>
      <c r="S1679" s="182" t="s">
        <v>21</v>
      </c>
      <c r="T1679" s="182" t="s">
        <v>22</v>
      </c>
      <c r="U1679" s="211" t="s">
        <v>23</v>
      </c>
    </row>
    <row r="1680" spans="1:21" x14ac:dyDescent="0.25">
      <c r="A1680" s="183" t="s">
        <v>645</v>
      </c>
      <c r="B1680" s="182" t="s">
        <v>47</v>
      </c>
      <c r="C1680" s="182" t="s">
        <v>28</v>
      </c>
      <c r="D1680" s="182">
        <v>1.5</v>
      </c>
      <c r="E1680" s="182">
        <f>skilled</f>
        <v>1245</v>
      </c>
      <c r="F1680" s="184">
        <f>(D1680*E1680)</f>
        <v>1867.5</v>
      </c>
      <c r="G1680" s="182" t="s">
        <v>646</v>
      </c>
      <c r="H1680" s="216" t="s">
        <v>84</v>
      </c>
      <c r="I1680" s="188">
        <f>0.42/8</f>
        <v>5.2499999999999998E-2</v>
      </c>
      <c r="J1680" s="182">
        <f>adopted_rate_planks_38mm_thick</f>
        <v>57400.560000000005</v>
      </c>
      <c r="K1680" s="182">
        <f>(I1680*J1680)</f>
        <v>3013.5294000000004</v>
      </c>
    </row>
    <row r="1681" spans="1:21" x14ac:dyDescent="0.25">
      <c r="B1681" s="182" t="s">
        <v>29</v>
      </c>
      <c r="C1681" s="182" t="s">
        <v>28</v>
      </c>
      <c r="D1681" s="182">
        <v>2</v>
      </c>
      <c r="E1681" s="182">
        <f>unskilled</f>
        <v>935</v>
      </c>
      <c r="F1681" s="184">
        <f>(D1681*E1681)</f>
        <v>1870</v>
      </c>
      <c r="G1681" s="182" t="s">
        <v>647</v>
      </c>
      <c r="H1681" s="216" t="s">
        <v>84</v>
      </c>
      <c r="I1681" s="188">
        <f>0.18/12</f>
        <v>1.4999999999999999E-2</v>
      </c>
      <c r="J1681" s="182">
        <f>adopted_rate_struts_ballies</f>
        <v>54684</v>
      </c>
      <c r="K1681" s="182">
        <f>(I1681*J1681)</f>
        <v>820.26</v>
      </c>
    </row>
    <row r="1682" spans="1:21" x14ac:dyDescent="0.25">
      <c r="G1682" s="182" t="s">
        <v>648</v>
      </c>
      <c r="H1682" s="216" t="s">
        <v>144</v>
      </c>
      <c r="I1682" s="182">
        <v>1</v>
      </c>
      <c r="J1682" s="182">
        <f>adopted_rate_nails_spikes</f>
        <v>132</v>
      </c>
      <c r="K1682" s="182">
        <f>(I1682*J1682)</f>
        <v>132</v>
      </c>
    </row>
    <row r="1683" spans="1:21" x14ac:dyDescent="0.25">
      <c r="G1683" s="182"/>
      <c r="H1683" s="216"/>
      <c r="I1683" s="182">
        <v>0</v>
      </c>
    </row>
    <row r="1684" spans="1:21" x14ac:dyDescent="0.25">
      <c r="A1684" s="537" t="s">
        <v>30</v>
      </c>
      <c r="B1684" s="537"/>
      <c r="C1684" s="537"/>
      <c r="D1684" s="537"/>
      <c r="E1684" s="537"/>
      <c r="F1684" s="184">
        <f>SUM(F1679:F1683)</f>
        <v>3737.5</v>
      </c>
      <c r="G1684" s="537" t="s">
        <v>31</v>
      </c>
      <c r="H1684" s="537"/>
      <c r="I1684" s="537"/>
      <c r="J1684" s="537"/>
      <c r="K1684" s="184">
        <f>SUM(K1679:K1683)</f>
        <v>3965.7894000000006</v>
      </c>
      <c r="L1684" s="537" t="s">
        <v>32</v>
      </c>
      <c r="M1684" s="537"/>
      <c r="N1684" s="537"/>
      <c r="O1684" s="537"/>
      <c r="P1684" s="184">
        <f>SUM(P1679:P1683)</f>
        <v>0</v>
      </c>
      <c r="Q1684" s="537" t="s">
        <v>38</v>
      </c>
      <c r="R1684" s="537"/>
      <c r="S1684" s="537"/>
      <c r="T1684" s="537"/>
      <c r="U1684" s="223">
        <f>SUM(U1679:U1683)</f>
        <v>0</v>
      </c>
    </row>
    <row r="1685" spans="1:21" x14ac:dyDescent="0.25">
      <c r="A1685" s="537" t="s">
        <v>33</v>
      </c>
      <c r="B1685" s="537"/>
      <c r="C1685" s="537"/>
      <c r="D1685" s="537"/>
      <c r="E1685" s="537"/>
      <c r="F1685" s="184">
        <f>SUM(F1684+K1684+P1684)</f>
        <v>7703.2894000000006</v>
      </c>
      <c r="G1685" s="537" t="s">
        <v>39</v>
      </c>
      <c r="H1685" s="537"/>
      <c r="I1685" s="537"/>
      <c r="J1685" s="537"/>
      <c r="K1685" s="184">
        <f>SUM(F1684+K1684+P1684+U1684)</f>
        <v>7703.2894000000006</v>
      </c>
      <c r="L1685" s="537" t="s">
        <v>40</v>
      </c>
      <c r="M1685" s="537"/>
      <c r="N1685" s="537"/>
      <c r="O1685" s="537"/>
      <c r="P1685" s="184">
        <f>SUM(K1685*0.15)</f>
        <v>1155.49341</v>
      </c>
      <c r="Q1685" s="537" t="s">
        <v>41</v>
      </c>
      <c r="R1685" s="537"/>
      <c r="S1685" s="537"/>
      <c r="T1685" s="537"/>
      <c r="U1685" s="223">
        <f>SUM(K1685+P1685)</f>
        <v>8858.7828100000006</v>
      </c>
    </row>
    <row r="1686" spans="1:21" x14ac:dyDescent="0.25">
      <c r="Q1686" s="537" t="s">
        <v>42</v>
      </c>
      <c r="R1686" s="537"/>
      <c r="S1686" s="537"/>
      <c r="T1686" s="537"/>
      <c r="U1686" s="224">
        <f>ROUND((U1685/10),2)</f>
        <v>885.88</v>
      </c>
    </row>
    <row r="1687" spans="1:21" x14ac:dyDescent="0.25">
      <c r="A1687" s="544"/>
      <c r="B1687" s="544"/>
      <c r="C1687" s="544"/>
      <c r="D1687" s="544"/>
      <c r="E1687" s="544"/>
      <c r="F1687" s="544"/>
      <c r="G1687" s="544"/>
      <c r="H1687" s="544"/>
      <c r="I1687" s="544"/>
      <c r="J1687" s="544"/>
      <c r="K1687" s="544"/>
      <c r="L1687" s="544"/>
      <c r="M1687" s="544"/>
      <c r="N1687" s="544"/>
      <c r="O1687" s="544"/>
      <c r="P1687" s="544"/>
      <c r="Q1687" s="544"/>
      <c r="R1687" s="544"/>
      <c r="S1687" s="544"/>
      <c r="T1687" s="544"/>
      <c r="U1687" s="544"/>
    </row>
    <row r="1688" spans="1:21" x14ac:dyDescent="0.25">
      <c r="A1688" s="538" t="s">
        <v>12</v>
      </c>
      <c r="B1688" s="538"/>
      <c r="C1688" s="540" t="s">
        <v>649</v>
      </c>
      <c r="D1688" s="540"/>
      <c r="E1688" s="540"/>
      <c r="F1688" s="540"/>
      <c r="G1688" s="540"/>
      <c r="H1688" s="540"/>
      <c r="I1688" s="540"/>
      <c r="J1688" s="540"/>
      <c r="K1688" s="540"/>
      <c r="L1688" s="540"/>
      <c r="M1688" s="540"/>
      <c r="N1688" s="540"/>
      <c r="O1688" s="540"/>
      <c r="P1688" s="540"/>
      <c r="Q1688" s="540"/>
      <c r="R1688" s="540"/>
      <c r="S1688" s="540"/>
      <c r="T1688" s="540"/>
      <c r="U1688" s="541" t="s">
        <v>435</v>
      </c>
    </row>
    <row r="1689" spans="1:21" x14ac:dyDescent="0.25">
      <c r="A1689" s="538"/>
      <c r="B1689" s="538"/>
      <c r="C1689" s="540"/>
      <c r="D1689" s="540"/>
      <c r="E1689" s="540"/>
      <c r="F1689" s="540"/>
      <c r="G1689" s="540"/>
      <c r="H1689" s="540"/>
      <c r="I1689" s="540"/>
      <c r="J1689" s="540"/>
      <c r="K1689" s="540"/>
      <c r="L1689" s="540"/>
      <c r="M1689" s="540"/>
      <c r="N1689" s="540"/>
      <c r="O1689" s="540"/>
      <c r="P1689" s="540"/>
      <c r="Q1689" s="540"/>
      <c r="R1689" s="540"/>
      <c r="S1689" s="540"/>
      <c r="T1689" s="540"/>
      <c r="U1689" s="541"/>
    </row>
    <row r="1690" spans="1:21" x14ac:dyDescent="0.25">
      <c r="A1690" s="539" t="s">
        <v>643</v>
      </c>
      <c r="B1690" s="539"/>
      <c r="C1690" s="540"/>
      <c r="D1690" s="540"/>
      <c r="E1690" s="540"/>
      <c r="F1690" s="540"/>
      <c r="G1690" s="540"/>
      <c r="H1690" s="540"/>
      <c r="I1690" s="540"/>
      <c r="J1690" s="540"/>
      <c r="K1690" s="540"/>
      <c r="L1690" s="540"/>
      <c r="M1690" s="540"/>
      <c r="N1690" s="540"/>
      <c r="O1690" s="540"/>
      <c r="P1690" s="540"/>
      <c r="Q1690" s="540"/>
      <c r="R1690" s="540"/>
      <c r="S1690" s="540"/>
      <c r="T1690" s="540"/>
      <c r="U1690" s="541"/>
    </row>
    <row r="1691" spans="1:21" x14ac:dyDescent="0.25">
      <c r="A1691" s="542" t="s">
        <v>16</v>
      </c>
      <c r="B1691" s="543" t="s">
        <v>18</v>
      </c>
      <c r="C1691" s="543"/>
      <c r="D1691" s="543"/>
      <c r="E1691" s="543"/>
      <c r="F1691" s="543"/>
      <c r="G1691" s="543" t="s">
        <v>24</v>
      </c>
      <c r="H1691" s="543"/>
      <c r="I1691" s="543"/>
      <c r="J1691" s="543"/>
      <c r="K1691" s="543"/>
      <c r="L1691" s="543" t="s">
        <v>25</v>
      </c>
      <c r="M1691" s="543"/>
      <c r="N1691" s="543"/>
      <c r="O1691" s="543"/>
      <c r="P1691" s="543"/>
      <c r="Q1691" s="543" t="s">
        <v>26</v>
      </c>
      <c r="R1691" s="543"/>
      <c r="S1691" s="543"/>
      <c r="T1691" s="543"/>
      <c r="U1691" s="543"/>
    </row>
    <row r="1692" spans="1:21" x14ac:dyDescent="0.25">
      <c r="A1692" s="542"/>
      <c r="B1692" s="182" t="s">
        <v>19</v>
      </c>
      <c r="C1692" s="182" t="s">
        <v>20</v>
      </c>
      <c r="D1692" s="182" t="s">
        <v>21</v>
      </c>
      <c r="E1692" s="182" t="s">
        <v>22</v>
      </c>
      <c r="F1692" s="182" t="s">
        <v>23</v>
      </c>
      <c r="G1692" s="182" t="s">
        <v>19</v>
      </c>
      <c r="H1692" s="216" t="s">
        <v>20</v>
      </c>
      <c r="I1692" s="182" t="s">
        <v>21</v>
      </c>
      <c r="J1692" s="182" t="s">
        <v>22</v>
      </c>
      <c r="K1692" s="182" t="s">
        <v>23</v>
      </c>
      <c r="L1692" s="182" t="s">
        <v>19</v>
      </c>
      <c r="M1692" s="182" t="s">
        <v>20</v>
      </c>
      <c r="N1692" s="182" t="s">
        <v>21</v>
      </c>
      <c r="O1692" s="182" t="s">
        <v>22</v>
      </c>
      <c r="P1692" s="182" t="s">
        <v>23</v>
      </c>
      <c r="Q1692" s="182" t="s">
        <v>19</v>
      </c>
      <c r="R1692" s="182" t="s">
        <v>20</v>
      </c>
      <c r="S1692" s="182" t="s">
        <v>21</v>
      </c>
      <c r="T1692" s="182" t="s">
        <v>22</v>
      </c>
      <c r="U1692" s="211" t="s">
        <v>23</v>
      </c>
    </row>
    <row r="1693" spans="1:21" x14ac:dyDescent="0.25">
      <c r="A1693" s="183" t="s">
        <v>650</v>
      </c>
      <c r="B1693" s="182" t="s">
        <v>47</v>
      </c>
      <c r="C1693" s="182" t="s">
        <v>28</v>
      </c>
      <c r="D1693" s="182">
        <v>1.5</v>
      </c>
      <c r="E1693" s="182">
        <f>skilled</f>
        <v>1245</v>
      </c>
      <c r="F1693" s="184">
        <f>(D1693*E1693)</f>
        <v>1867.5</v>
      </c>
      <c r="G1693" s="182" t="s">
        <v>651</v>
      </c>
      <c r="H1693" s="216" t="s">
        <v>144</v>
      </c>
      <c r="I1693" s="188">
        <f>530/60</f>
        <v>8.8333333333333339</v>
      </c>
      <c r="J1693" s="182">
        <f>adopted_rate_ms_plate</f>
        <v>0</v>
      </c>
      <c r="K1693" s="182">
        <f>(I1693*J1693)</f>
        <v>0</v>
      </c>
    </row>
    <row r="1694" spans="1:21" x14ac:dyDescent="0.25">
      <c r="B1694" s="182" t="s">
        <v>29</v>
      </c>
      <c r="C1694" s="182" t="s">
        <v>28</v>
      </c>
      <c r="D1694" s="182">
        <v>2.5</v>
      </c>
      <c r="E1694" s="182">
        <f>unskilled</f>
        <v>935</v>
      </c>
      <c r="F1694" s="184">
        <f>(D1694*E1694)</f>
        <v>2337.5</v>
      </c>
      <c r="G1694" s="182" t="s">
        <v>652</v>
      </c>
      <c r="H1694" s="216" t="s">
        <v>463</v>
      </c>
      <c r="I1694" s="188">
        <f>36/90</f>
        <v>0.4</v>
      </c>
      <c r="J1694" s="182">
        <f>adopted_rate_ms_pipes_dia_40mm</f>
        <v>964</v>
      </c>
      <c r="K1694" s="182">
        <f>(I1694*J1694)</f>
        <v>385.6</v>
      </c>
    </row>
    <row r="1695" spans="1:21" x14ac:dyDescent="0.25">
      <c r="G1695" s="182" t="s">
        <v>653</v>
      </c>
      <c r="H1695" s="216" t="s">
        <v>106</v>
      </c>
      <c r="I1695" s="188">
        <f>21/60</f>
        <v>0.35</v>
      </c>
      <c r="J1695" s="182">
        <f>adopted_rate_clamps</f>
        <v>0</v>
      </c>
      <c r="K1695" s="182">
        <f>(I1695*J1695)</f>
        <v>0</v>
      </c>
    </row>
    <row r="1696" spans="1:21" ht="31.5" x14ac:dyDescent="0.25">
      <c r="G1696" s="182" t="s">
        <v>654</v>
      </c>
      <c r="H1696" s="216" t="s">
        <v>144</v>
      </c>
      <c r="I1696" s="188">
        <f>3.56/40</f>
        <v>8.8999999999999996E-2</v>
      </c>
      <c r="J1696" s="182">
        <f>adopted_rate_nuts_bolts</f>
        <v>195</v>
      </c>
      <c r="K1696" s="182">
        <f>(I1696*J1696)</f>
        <v>17.355</v>
      </c>
    </row>
    <row r="1697" spans="1:21" x14ac:dyDescent="0.25">
      <c r="A1697" s="537" t="s">
        <v>30</v>
      </c>
      <c r="B1697" s="537"/>
      <c r="C1697" s="537"/>
      <c r="D1697" s="537"/>
      <c r="E1697" s="537"/>
      <c r="F1697" s="184">
        <f>SUM(F1692:F1696)</f>
        <v>4205</v>
      </c>
      <c r="G1697" s="537" t="s">
        <v>31</v>
      </c>
      <c r="H1697" s="537"/>
      <c r="I1697" s="537"/>
      <c r="J1697" s="537"/>
      <c r="K1697" s="184">
        <f>SUM(K1692:K1696)</f>
        <v>402.95500000000004</v>
      </c>
      <c r="L1697" s="537" t="s">
        <v>32</v>
      </c>
      <c r="M1697" s="537"/>
      <c r="N1697" s="537"/>
      <c r="O1697" s="537"/>
      <c r="P1697" s="184">
        <f>SUM(P1692:P1696)</f>
        <v>0</v>
      </c>
      <c r="Q1697" s="537" t="s">
        <v>38</v>
      </c>
      <c r="R1697" s="537"/>
      <c r="S1697" s="537"/>
      <c r="T1697" s="537"/>
      <c r="U1697" s="223">
        <f>SUM(U1692:U1696)</f>
        <v>0</v>
      </c>
    </row>
    <row r="1698" spans="1:21" x14ac:dyDescent="0.25">
      <c r="A1698" s="537" t="s">
        <v>33</v>
      </c>
      <c r="B1698" s="537"/>
      <c r="C1698" s="537"/>
      <c r="D1698" s="537"/>
      <c r="E1698" s="537"/>
      <c r="F1698" s="184">
        <f>SUM(F1697+K1697+P1697)</f>
        <v>4607.9549999999999</v>
      </c>
      <c r="G1698" s="537" t="s">
        <v>39</v>
      </c>
      <c r="H1698" s="537"/>
      <c r="I1698" s="537"/>
      <c r="J1698" s="537"/>
      <c r="K1698" s="184">
        <f>SUM(F1697+K1697+P1697+U1697)</f>
        <v>4607.9549999999999</v>
      </c>
      <c r="L1698" s="537" t="s">
        <v>40</v>
      </c>
      <c r="M1698" s="537"/>
      <c r="N1698" s="537"/>
      <c r="O1698" s="537"/>
      <c r="P1698" s="184">
        <f>SUM(K1698*0.15)</f>
        <v>691.19324999999992</v>
      </c>
      <c r="Q1698" s="537" t="s">
        <v>41</v>
      </c>
      <c r="R1698" s="537"/>
      <c r="S1698" s="537"/>
      <c r="T1698" s="537"/>
      <c r="U1698" s="223">
        <f>SUM(K1698+P1698)</f>
        <v>5299.1482500000002</v>
      </c>
    </row>
    <row r="1699" spans="1:21" x14ac:dyDescent="0.25">
      <c r="Q1699" s="537" t="s">
        <v>42</v>
      </c>
      <c r="R1699" s="537"/>
      <c r="S1699" s="537"/>
      <c r="T1699" s="537"/>
      <c r="U1699" s="224">
        <f>ROUND((U1698/10),2)</f>
        <v>529.91</v>
      </c>
    </row>
    <row r="1700" spans="1:21" x14ac:dyDescent="0.25">
      <c r="A1700" s="544"/>
      <c r="B1700" s="544"/>
      <c r="C1700" s="544"/>
      <c r="D1700" s="544"/>
      <c r="E1700" s="544"/>
      <c r="F1700" s="544"/>
      <c r="G1700" s="544"/>
      <c r="H1700" s="544"/>
      <c r="I1700" s="544"/>
      <c r="J1700" s="544"/>
      <c r="K1700" s="544"/>
      <c r="L1700" s="544"/>
      <c r="M1700" s="544"/>
      <c r="N1700" s="544"/>
      <c r="O1700" s="544"/>
      <c r="P1700" s="544"/>
      <c r="Q1700" s="544"/>
      <c r="R1700" s="544"/>
      <c r="S1700" s="544"/>
      <c r="T1700" s="544"/>
      <c r="U1700" s="544"/>
    </row>
    <row r="1701" spans="1:21" x14ac:dyDescent="0.25">
      <c r="A1701" s="538" t="s">
        <v>12</v>
      </c>
      <c r="B1701" s="538"/>
      <c r="C1701" s="540" t="s">
        <v>655</v>
      </c>
      <c r="D1701" s="540"/>
      <c r="E1701" s="540"/>
      <c r="F1701" s="540"/>
      <c r="G1701" s="540"/>
      <c r="H1701" s="540"/>
      <c r="I1701" s="540"/>
      <c r="J1701" s="540"/>
      <c r="K1701" s="540"/>
      <c r="L1701" s="540"/>
      <c r="M1701" s="540"/>
      <c r="N1701" s="540"/>
      <c r="O1701" s="540"/>
      <c r="P1701" s="540"/>
      <c r="Q1701" s="540"/>
      <c r="R1701" s="540"/>
      <c r="S1701" s="540"/>
      <c r="T1701" s="540"/>
      <c r="U1701" s="541" t="s">
        <v>435</v>
      </c>
    </row>
    <row r="1702" spans="1:21" x14ac:dyDescent="0.25">
      <c r="A1702" s="538"/>
      <c r="B1702" s="538"/>
      <c r="C1702" s="540"/>
      <c r="D1702" s="540"/>
      <c r="E1702" s="540"/>
      <c r="F1702" s="540"/>
      <c r="G1702" s="540"/>
      <c r="H1702" s="540"/>
      <c r="I1702" s="540"/>
      <c r="J1702" s="540"/>
      <c r="K1702" s="540"/>
      <c r="L1702" s="540"/>
      <c r="M1702" s="540"/>
      <c r="N1702" s="540"/>
      <c r="O1702" s="540"/>
      <c r="P1702" s="540"/>
      <c r="Q1702" s="540"/>
      <c r="R1702" s="540"/>
      <c r="S1702" s="540"/>
      <c r="T1702" s="540"/>
      <c r="U1702" s="541"/>
    </row>
    <row r="1703" spans="1:21" x14ac:dyDescent="0.25">
      <c r="A1703" s="539" t="s">
        <v>643</v>
      </c>
      <c r="B1703" s="539"/>
      <c r="C1703" s="540"/>
      <c r="D1703" s="540"/>
      <c r="E1703" s="540"/>
      <c r="F1703" s="540"/>
      <c r="G1703" s="540"/>
      <c r="H1703" s="540"/>
      <c r="I1703" s="540"/>
      <c r="J1703" s="540"/>
      <c r="K1703" s="540"/>
      <c r="L1703" s="540"/>
      <c r="M1703" s="540"/>
      <c r="N1703" s="540"/>
      <c r="O1703" s="540"/>
      <c r="P1703" s="540"/>
      <c r="Q1703" s="540"/>
      <c r="R1703" s="540"/>
      <c r="S1703" s="540"/>
      <c r="T1703" s="540"/>
      <c r="U1703" s="541"/>
    </row>
    <row r="1704" spans="1:21" x14ac:dyDescent="0.25">
      <c r="A1704" s="542" t="s">
        <v>16</v>
      </c>
      <c r="B1704" s="543" t="s">
        <v>18</v>
      </c>
      <c r="C1704" s="543"/>
      <c r="D1704" s="543"/>
      <c r="E1704" s="543"/>
      <c r="F1704" s="543"/>
      <c r="G1704" s="543" t="s">
        <v>24</v>
      </c>
      <c r="H1704" s="543"/>
      <c r="I1704" s="543"/>
      <c r="J1704" s="543"/>
      <c r="K1704" s="543"/>
      <c r="L1704" s="543" t="s">
        <v>25</v>
      </c>
      <c r="M1704" s="543"/>
      <c r="N1704" s="543"/>
      <c r="O1704" s="543"/>
      <c r="P1704" s="543"/>
      <c r="Q1704" s="543" t="s">
        <v>26</v>
      </c>
      <c r="R1704" s="543"/>
      <c r="S1704" s="543"/>
      <c r="T1704" s="543"/>
      <c r="U1704" s="543"/>
    </row>
    <row r="1705" spans="1:21" x14ac:dyDescent="0.25">
      <c r="A1705" s="542"/>
      <c r="B1705" s="182" t="s">
        <v>19</v>
      </c>
      <c r="C1705" s="182" t="s">
        <v>20</v>
      </c>
      <c r="D1705" s="182" t="s">
        <v>21</v>
      </c>
      <c r="E1705" s="182" t="s">
        <v>22</v>
      </c>
      <c r="F1705" s="182" t="s">
        <v>23</v>
      </c>
      <c r="G1705" s="182" t="s">
        <v>19</v>
      </c>
      <c r="H1705" s="216" t="s">
        <v>20</v>
      </c>
      <c r="I1705" s="182" t="s">
        <v>21</v>
      </c>
      <c r="J1705" s="182" t="s">
        <v>22</v>
      </c>
      <c r="K1705" s="182" t="s">
        <v>23</v>
      </c>
      <c r="L1705" s="182" t="s">
        <v>19</v>
      </c>
      <c r="M1705" s="182" t="s">
        <v>20</v>
      </c>
      <c r="N1705" s="182" t="s">
        <v>21</v>
      </c>
      <c r="O1705" s="182" t="s">
        <v>22</v>
      </c>
      <c r="P1705" s="182" t="s">
        <v>23</v>
      </c>
      <c r="Q1705" s="182" t="s">
        <v>19</v>
      </c>
      <c r="R1705" s="182" t="s">
        <v>20</v>
      </c>
      <c r="S1705" s="182" t="s">
        <v>21</v>
      </c>
      <c r="T1705" s="182" t="s">
        <v>22</v>
      </c>
      <c r="U1705" s="211" t="s">
        <v>23</v>
      </c>
    </row>
    <row r="1706" spans="1:21" x14ac:dyDescent="0.25">
      <c r="A1706" s="183" t="s">
        <v>656</v>
      </c>
      <c r="B1706" s="182" t="s">
        <v>47</v>
      </c>
      <c r="C1706" s="182" t="s">
        <v>28</v>
      </c>
      <c r="D1706" s="182">
        <v>2.2000000000000002</v>
      </c>
      <c r="E1706" s="182">
        <f>skilled</f>
        <v>1245</v>
      </c>
      <c r="F1706" s="184">
        <f>(D1706*E1706)</f>
        <v>2739</v>
      </c>
      <c r="G1706" s="182" t="s">
        <v>657</v>
      </c>
      <c r="H1706" s="216" t="s">
        <v>438</v>
      </c>
      <c r="I1706" s="188">
        <f>11/12</f>
        <v>0.91666666666666663</v>
      </c>
      <c r="J1706" s="182">
        <f>adopted_rate_ply_wood_9mm_thick</f>
        <v>613.31999999999994</v>
      </c>
      <c r="K1706" s="182">
        <f>(I1706*J1706)</f>
        <v>562.20999999999992</v>
      </c>
    </row>
    <row r="1707" spans="1:21" x14ac:dyDescent="0.25">
      <c r="B1707" s="182" t="s">
        <v>29</v>
      </c>
      <c r="C1707" s="182" t="s">
        <v>28</v>
      </c>
      <c r="D1707" s="182">
        <v>2.2000000000000002</v>
      </c>
      <c r="E1707" s="182">
        <f>unskilled</f>
        <v>935</v>
      </c>
      <c r="F1707" s="184">
        <f>(D1707*E1707)</f>
        <v>2057</v>
      </c>
      <c r="G1707" s="182" t="s">
        <v>647</v>
      </c>
      <c r="H1707" s="216" t="s">
        <v>84</v>
      </c>
      <c r="I1707" s="188">
        <f>0.4/12</f>
        <v>3.3333333333333333E-2</v>
      </c>
      <c r="J1707" s="182">
        <f>adopted_rate_struts_ballies</f>
        <v>54684</v>
      </c>
      <c r="K1707" s="182">
        <f>(I1707*J1707)</f>
        <v>1822.8</v>
      </c>
    </row>
    <row r="1708" spans="1:21" x14ac:dyDescent="0.25">
      <c r="G1708" s="182" t="s">
        <v>648</v>
      </c>
      <c r="H1708" s="216" t="s">
        <v>144</v>
      </c>
      <c r="I1708" s="182">
        <v>2.5</v>
      </c>
      <c r="J1708" s="182">
        <f>adopted_rate_nails_spikes</f>
        <v>132</v>
      </c>
      <c r="K1708" s="182">
        <f>(I1708*J1708)</f>
        <v>330</v>
      </c>
    </row>
    <row r="1709" spans="1:21" x14ac:dyDescent="0.25">
      <c r="A1709" s="537" t="s">
        <v>30</v>
      </c>
      <c r="B1709" s="537"/>
      <c r="C1709" s="537"/>
      <c r="D1709" s="537"/>
      <c r="E1709" s="537"/>
      <c r="F1709" s="184">
        <f>SUM(F1705:F1708)</f>
        <v>4796</v>
      </c>
      <c r="G1709" s="537" t="s">
        <v>31</v>
      </c>
      <c r="H1709" s="537"/>
      <c r="I1709" s="537"/>
      <c r="J1709" s="537"/>
      <c r="K1709" s="184">
        <f>SUM(K1705:K1708)</f>
        <v>2715.0099999999998</v>
      </c>
      <c r="L1709" s="537" t="s">
        <v>32</v>
      </c>
      <c r="M1709" s="537"/>
      <c r="N1709" s="537"/>
      <c r="O1709" s="537"/>
      <c r="P1709" s="184">
        <f>SUM(P1705:P1708)</f>
        <v>0</v>
      </c>
      <c r="Q1709" s="537" t="s">
        <v>38</v>
      </c>
      <c r="R1709" s="537"/>
      <c r="S1709" s="537"/>
      <c r="T1709" s="537"/>
      <c r="U1709" s="223">
        <f>SUM(U1705:U1708)</f>
        <v>0</v>
      </c>
    </row>
    <row r="1710" spans="1:21" x14ac:dyDescent="0.25">
      <c r="A1710" s="537" t="s">
        <v>33</v>
      </c>
      <c r="B1710" s="537"/>
      <c r="C1710" s="537"/>
      <c r="D1710" s="537"/>
      <c r="E1710" s="537"/>
      <c r="F1710" s="184">
        <f>SUM(F1709+K1709+P1709)</f>
        <v>7511.01</v>
      </c>
      <c r="G1710" s="537" t="s">
        <v>39</v>
      </c>
      <c r="H1710" s="537"/>
      <c r="I1710" s="537"/>
      <c r="J1710" s="537"/>
      <c r="K1710" s="184">
        <f>SUM(F1709+K1709+P1709+U1709)</f>
        <v>7511.01</v>
      </c>
      <c r="L1710" s="537" t="s">
        <v>40</v>
      </c>
      <c r="M1710" s="537"/>
      <c r="N1710" s="537"/>
      <c r="O1710" s="537"/>
      <c r="P1710" s="184">
        <f>SUM(K1710*0.15)</f>
        <v>1126.6514999999999</v>
      </c>
      <c r="Q1710" s="537" t="s">
        <v>41</v>
      </c>
      <c r="R1710" s="537"/>
      <c r="S1710" s="537"/>
      <c r="T1710" s="537"/>
      <c r="U1710" s="223">
        <f>SUM(K1710+P1710)</f>
        <v>8637.6615000000002</v>
      </c>
    </row>
    <row r="1711" spans="1:21" x14ac:dyDescent="0.25">
      <c r="Q1711" s="537" t="s">
        <v>42</v>
      </c>
      <c r="R1711" s="537"/>
      <c r="S1711" s="537"/>
      <c r="T1711" s="537"/>
      <c r="U1711" s="224">
        <f>ROUND((U1710/10),2)</f>
        <v>863.77</v>
      </c>
    </row>
    <row r="1712" spans="1:21" x14ac:dyDescent="0.25">
      <c r="A1712" s="544"/>
      <c r="B1712" s="544"/>
      <c r="C1712" s="544"/>
      <c r="D1712" s="544"/>
      <c r="E1712" s="544"/>
      <c r="F1712" s="544"/>
      <c r="G1712" s="544"/>
      <c r="H1712" s="544"/>
      <c r="I1712" s="544"/>
      <c r="J1712" s="544"/>
      <c r="K1712" s="544"/>
      <c r="L1712" s="544"/>
      <c r="M1712" s="544"/>
      <c r="N1712" s="544"/>
      <c r="O1712" s="544"/>
      <c r="P1712" s="544"/>
      <c r="Q1712" s="544"/>
      <c r="R1712" s="544"/>
      <c r="S1712" s="544"/>
      <c r="T1712" s="544"/>
      <c r="U1712" s="544"/>
    </row>
    <row r="1713" spans="1:21" x14ac:dyDescent="0.25">
      <c r="A1713" s="538" t="s">
        <v>12</v>
      </c>
      <c r="B1713" s="538"/>
      <c r="C1713" s="540" t="s">
        <v>658</v>
      </c>
      <c r="D1713" s="540"/>
      <c r="E1713" s="540"/>
      <c r="F1713" s="540"/>
      <c r="G1713" s="540"/>
      <c r="H1713" s="540"/>
      <c r="I1713" s="540"/>
      <c r="J1713" s="540"/>
      <c r="K1713" s="540"/>
      <c r="L1713" s="540"/>
      <c r="M1713" s="540"/>
      <c r="N1713" s="540"/>
      <c r="O1713" s="540"/>
      <c r="P1713" s="540"/>
      <c r="Q1713" s="540"/>
      <c r="R1713" s="540"/>
      <c r="S1713" s="540"/>
      <c r="T1713" s="540"/>
      <c r="U1713" s="541" t="s">
        <v>435</v>
      </c>
    </row>
    <row r="1714" spans="1:21" x14ac:dyDescent="0.25">
      <c r="A1714" s="538"/>
      <c r="B1714" s="538"/>
      <c r="C1714" s="540"/>
      <c r="D1714" s="540"/>
      <c r="E1714" s="540"/>
      <c r="F1714" s="540"/>
      <c r="G1714" s="540"/>
      <c r="H1714" s="540"/>
      <c r="I1714" s="540"/>
      <c r="J1714" s="540"/>
      <c r="K1714" s="540"/>
      <c r="L1714" s="540"/>
      <c r="M1714" s="540"/>
      <c r="N1714" s="540"/>
      <c r="O1714" s="540"/>
      <c r="P1714" s="540"/>
      <c r="Q1714" s="540"/>
      <c r="R1714" s="540"/>
      <c r="S1714" s="540"/>
      <c r="T1714" s="540"/>
      <c r="U1714" s="541"/>
    </row>
    <row r="1715" spans="1:21" x14ac:dyDescent="0.25">
      <c r="A1715" s="539" t="s">
        <v>643</v>
      </c>
      <c r="B1715" s="539"/>
      <c r="C1715" s="540"/>
      <c r="D1715" s="540"/>
      <c r="E1715" s="540"/>
      <c r="F1715" s="540"/>
      <c r="G1715" s="540"/>
      <c r="H1715" s="540"/>
      <c r="I1715" s="540"/>
      <c r="J1715" s="540"/>
      <c r="K1715" s="540"/>
      <c r="L1715" s="540"/>
      <c r="M1715" s="540"/>
      <c r="N1715" s="540"/>
      <c r="O1715" s="540"/>
      <c r="P1715" s="540"/>
      <c r="Q1715" s="540"/>
      <c r="R1715" s="540"/>
      <c r="S1715" s="540"/>
      <c r="T1715" s="540"/>
      <c r="U1715" s="541"/>
    </row>
    <row r="1716" spans="1:21" x14ac:dyDescent="0.25">
      <c r="A1716" s="542" t="s">
        <v>16</v>
      </c>
      <c r="B1716" s="543" t="s">
        <v>18</v>
      </c>
      <c r="C1716" s="543"/>
      <c r="D1716" s="543"/>
      <c r="E1716" s="543"/>
      <c r="F1716" s="543"/>
      <c r="G1716" s="543" t="s">
        <v>24</v>
      </c>
      <c r="H1716" s="543"/>
      <c r="I1716" s="543"/>
      <c r="J1716" s="543"/>
      <c r="K1716" s="543"/>
      <c r="L1716" s="543" t="s">
        <v>25</v>
      </c>
      <c r="M1716" s="543"/>
      <c r="N1716" s="543"/>
      <c r="O1716" s="543"/>
      <c r="P1716" s="543"/>
      <c r="Q1716" s="543" t="s">
        <v>26</v>
      </c>
      <c r="R1716" s="543"/>
      <c r="S1716" s="543"/>
      <c r="T1716" s="543"/>
      <c r="U1716" s="543"/>
    </row>
    <row r="1717" spans="1:21" x14ac:dyDescent="0.25">
      <c r="A1717" s="542"/>
      <c r="B1717" s="182" t="s">
        <v>19</v>
      </c>
      <c r="C1717" s="182" t="s">
        <v>20</v>
      </c>
      <c r="D1717" s="182" t="s">
        <v>21</v>
      </c>
      <c r="E1717" s="182" t="s">
        <v>22</v>
      </c>
      <c r="F1717" s="182" t="s">
        <v>23</v>
      </c>
      <c r="G1717" s="182" t="s">
        <v>19</v>
      </c>
      <c r="H1717" s="216" t="s">
        <v>20</v>
      </c>
      <c r="I1717" s="182" t="s">
        <v>21</v>
      </c>
      <c r="J1717" s="182" t="s">
        <v>22</v>
      </c>
      <c r="K1717" s="182" t="s">
        <v>23</v>
      </c>
      <c r="L1717" s="182" t="s">
        <v>19</v>
      </c>
      <c r="M1717" s="182" t="s">
        <v>20</v>
      </c>
      <c r="N1717" s="182" t="s">
        <v>21</v>
      </c>
      <c r="O1717" s="182" t="s">
        <v>22</v>
      </c>
      <c r="P1717" s="182" t="s">
        <v>23</v>
      </c>
      <c r="Q1717" s="182" t="s">
        <v>19</v>
      </c>
      <c r="R1717" s="182" t="s">
        <v>20</v>
      </c>
      <c r="S1717" s="182" t="s">
        <v>21</v>
      </c>
      <c r="T1717" s="182" t="s">
        <v>22</v>
      </c>
      <c r="U1717" s="211" t="s">
        <v>23</v>
      </c>
    </row>
    <row r="1718" spans="1:21" x14ac:dyDescent="0.25">
      <c r="A1718" s="183" t="s">
        <v>659</v>
      </c>
      <c r="B1718" s="182" t="s">
        <v>47</v>
      </c>
      <c r="C1718" s="182" t="s">
        <v>28</v>
      </c>
      <c r="D1718" s="182">
        <v>2.6</v>
      </c>
      <c r="E1718" s="182">
        <f>skilled</f>
        <v>1245</v>
      </c>
      <c r="F1718" s="184">
        <f>(D1718*E1718)</f>
        <v>3237</v>
      </c>
      <c r="G1718" s="182" t="s">
        <v>657</v>
      </c>
      <c r="H1718" s="216" t="s">
        <v>438</v>
      </c>
      <c r="I1718" s="188">
        <f>11/12</f>
        <v>0.91666666666666663</v>
      </c>
      <c r="J1718" s="182">
        <f>adopted_rate_ply_wood_9mm_thick</f>
        <v>613.31999999999994</v>
      </c>
      <c r="K1718" s="182">
        <f>(I1718*J1718)</f>
        <v>562.20999999999992</v>
      </c>
    </row>
    <row r="1719" spans="1:21" x14ac:dyDescent="0.25">
      <c r="B1719" s="182" t="s">
        <v>29</v>
      </c>
      <c r="C1719" s="182" t="s">
        <v>28</v>
      </c>
      <c r="D1719" s="182">
        <v>2.8</v>
      </c>
      <c r="E1719" s="182">
        <f>unskilled</f>
        <v>935</v>
      </c>
      <c r="F1719" s="184">
        <f>(D1719*E1719)</f>
        <v>2618</v>
      </c>
      <c r="G1719" s="182" t="s">
        <v>647</v>
      </c>
      <c r="H1719" s="216" t="s">
        <v>84</v>
      </c>
      <c r="I1719" s="189">
        <f>0.5/12</f>
        <v>4.1666666666666664E-2</v>
      </c>
      <c r="J1719" s="182">
        <f>adopted_rate_struts_ballies</f>
        <v>54684</v>
      </c>
      <c r="K1719" s="182">
        <f>(I1719*J1719)</f>
        <v>2278.5</v>
      </c>
    </row>
    <row r="1720" spans="1:21" x14ac:dyDescent="0.25">
      <c r="G1720" s="182" t="s">
        <v>648</v>
      </c>
      <c r="H1720" s="216" t="s">
        <v>144</v>
      </c>
      <c r="I1720" s="182">
        <v>3.5</v>
      </c>
      <c r="J1720" s="182">
        <f>adopted_rate_nails_spikes</f>
        <v>132</v>
      </c>
      <c r="K1720" s="182">
        <f>(I1720*J1720)</f>
        <v>462</v>
      </c>
    </row>
    <row r="1721" spans="1:21" x14ac:dyDescent="0.25">
      <c r="A1721" s="537" t="s">
        <v>30</v>
      </c>
      <c r="B1721" s="537"/>
      <c r="C1721" s="537"/>
      <c r="D1721" s="537"/>
      <c r="E1721" s="537"/>
      <c r="F1721" s="184">
        <f>SUM(F1717:F1720)</f>
        <v>5855</v>
      </c>
      <c r="G1721" s="537" t="s">
        <v>31</v>
      </c>
      <c r="H1721" s="537"/>
      <c r="I1721" s="537"/>
      <c r="J1721" s="537"/>
      <c r="K1721" s="184">
        <f>SUM(K1717:K1720)</f>
        <v>3302.71</v>
      </c>
      <c r="L1721" s="537" t="s">
        <v>32</v>
      </c>
      <c r="M1721" s="537"/>
      <c r="N1721" s="537"/>
      <c r="O1721" s="537"/>
      <c r="P1721" s="184">
        <f>SUM(P1717:P1720)</f>
        <v>0</v>
      </c>
      <c r="Q1721" s="537" t="s">
        <v>38</v>
      </c>
      <c r="R1721" s="537"/>
      <c r="S1721" s="537"/>
      <c r="T1721" s="537"/>
      <c r="U1721" s="223">
        <f>SUM(U1717:U1720)</f>
        <v>0</v>
      </c>
    </row>
    <row r="1722" spans="1:21" x14ac:dyDescent="0.25">
      <c r="A1722" s="537" t="s">
        <v>33</v>
      </c>
      <c r="B1722" s="537"/>
      <c r="C1722" s="537"/>
      <c r="D1722" s="537"/>
      <c r="E1722" s="537"/>
      <c r="F1722" s="184">
        <f>SUM(F1721+K1721+P1721)</f>
        <v>9157.7099999999991</v>
      </c>
      <c r="G1722" s="537" t="s">
        <v>39</v>
      </c>
      <c r="H1722" s="537"/>
      <c r="I1722" s="537"/>
      <c r="J1722" s="537"/>
      <c r="K1722" s="184">
        <f>SUM(F1721+K1721+P1721+U1721)</f>
        <v>9157.7099999999991</v>
      </c>
      <c r="L1722" s="537" t="s">
        <v>40</v>
      </c>
      <c r="M1722" s="537"/>
      <c r="N1722" s="537"/>
      <c r="O1722" s="537"/>
      <c r="P1722" s="184">
        <f>SUM(K1722*0.15)</f>
        <v>1373.6564999999998</v>
      </c>
      <c r="Q1722" s="537" t="s">
        <v>41</v>
      </c>
      <c r="R1722" s="537"/>
      <c r="S1722" s="537"/>
      <c r="T1722" s="537"/>
      <c r="U1722" s="223">
        <f>SUM(K1722+P1722)</f>
        <v>10531.366499999998</v>
      </c>
    </row>
    <row r="1723" spans="1:21" x14ac:dyDescent="0.25">
      <c r="Q1723" s="537" t="s">
        <v>42</v>
      </c>
      <c r="R1723" s="537"/>
      <c r="S1723" s="537"/>
      <c r="T1723" s="537"/>
      <c r="U1723" s="224">
        <f>ROUND((U1722/10),2)</f>
        <v>1053.1400000000001</v>
      </c>
    </row>
    <row r="1724" spans="1:21" x14ac:dyDescent="0.25">
      <c r="A1724" s="544"/>
      <c r="B1724" s="544"/>
      <c r="C1724" s="544"/>
      <c r="D1724" s="544"/>
      <c r="E1724" s="544"/>
      <c r="F1724" s="544"/>
      <c r="G1724" s="544"/>
      <c r="H1724" s="544"/>
      <c r="I1724" s="544"/>
      <c r="J1724" s="544"/>
      <c r="K1724" s="544"/>
      <c r="L1724" s="544"/>
      <c r="M1724" s="544"/>
      <c r="N1724" s="544"/>
      <c r="O1724" s="544"/>
      <c r="P1724" s="544"/>
      <c r="Q1724" s="544"/>
      <c r="R1724" s="544"/>
      <c r="S1724" s="544"/>
      <c r="T1724" s="544"/>
      <c r="U1724" s="544"/>
    </row>
    <row r="1725" spans="1:21" x14ac:dyDescent="0.25">
      <c r="A1725" s="538" t="s">
        <v>12</v>
      </c>
      <c r="B1725" s="538"/>
      <c r="C1725" s="540" t="s">
        <v>660</v>
      </c>
      <c r="D1725" s="540"/>
      <c r="E1725" s="540"/>
      <c r="F1725" s="540"/>
      <c r="G1725" s="540"/>
      <c r="H1725" s="540"/>
      <c r="I1725" s="540"/>
      <c r="J1725" s="540"/>
      <c r="K1725" s="540"/>
      <c r="L1725" s="540"/>
      <c r="M1725" s="540"/>
      <c r="N1725" s="540"/>
      <c r="O1725" s="540"/>
      <c r="P1725" s="540"/>
      <c r="Q1725" s="540"/>
      <c r="R1725" s="540"/>
      <c r="S1725" s="540"/>
      <c r="T1725" s="540"/>
      <c r="U1725" s="541" t="s">
        <v>435</v>
      </c>
    </row>
    <row r="1726" spans="1:21" x14ac:dyDescent="0.25">
      <c r="A1726" s="538"/>
      <c r="B1726" s="538"/>
      <c r="C1726" s="540"/>
      <c r="D1726" s="540"/>
      <c r="E1726" s="540"/>
      <c r="F1726" s="540"/>
      <c r="G1726" s="540"/>
      <c r="H1726" s="540"/>
      <c r="I1726" s="540"/>
      <c r="J1726" s="540"/>
      <c r="K1726" s="540"/>
      <c r="L1726" s="540"/>
      <c r="M1726" s="540"/>
      <c r="N1726" s="540"/>
      <c r="O1726" s="540"/>
      <c r="P1726" s="540"/>
      <c r="Q1726" s="540"/>
      <c r="R1726" s="540"/>
      <c r="S1726" s="540"/>
      <c r="T1726" s="540"/>
      <c r="U1726" s="541"/>
    </row>
    <row r="1727" spans="1:21" x14ac:dyDescent="0.25">
      <c r="A1727" s="539" t="s">
        <v>643</v>
      </c>
      <c r="B1727" s="539"/>
      <c r="C1727" s="540"/>
      <c r="D1727" s="540"/>
      <c r="E1727" s="540"/>
      <c r="F1727" s="540"/>
      <c r="G1727" s="540"/>
      <c r="H1727" s="540"/>
      <c r="I1727" s="540"/>
      <c r="J1727" s="540"/>
      <c r="K1727" s="540"/>
      <c r="L1727" s="540"/>
      <c r="M1727" s="540"/>
      <c r="N1727" s="540"/>
      <c r="O1727" s="540"/>
      <c r="P1727" s="540"/>
      <c r="Q1727" s="540"/>
      <c r="R1727" s="540"/>
      <c r="S1727" s="540"/>
      <c r="T1727" s="540"/>
      <c r="U1727" s="541"/>
    </row>
    <row r="1728" spans="1:21" x14ac:dyDescent="0.25">
      <c r="A1728" s="542" t="s">
        <v>16</v>
      </c>
      <c r="B1728" s="543" t="s">
        <v>18</v>
      </c>
      <c r="C1728" s="543"/>
      <c r="D1728" s="543"/>
      <c r="E1728" s="543"/>
      <c r="F1728" s="543"/>
      <c r="G1728" s="543" t="s">
        <v>24</v>
      </c>
      <c r="H1728" s="543"/>
      <c r="I1728" s="543"/>
      <c r="J1728" s="543"/>
      <c r="K1728" s="543"/>
      <c r="L1728" s="543" t="s">
        <v>25</v>
      </c>
      <c r="M1728" s="543"/>
      <c r="N1728" s="543"/>
      <c r="O1728" s="543"/>
      <c r="P1728" s="543"/>
      <c r="Q1728" s="543" t="s">
        <v>26</v>
      </c>
      <c r="R1728" s="543"/>
      <c r="S1728" s="543"/>
      <c r="T1728" s="543"/>
      <c r="U1728" s="543"/>
    </row>
    <row r="1729" spans="1:21" x14ac:dyDescent="0.25">
      <c r="A1729" s="542"/>
      <c r="B1729" s="182" t="s">
        <v>19</v>
      </c>
      <c r="C1729" s="182" t="s">
        <v>20</v>
      </c>
      <c r="D1729" s="182" t="s">
        <v>21</v>
      </c>
      <c r="E1729" s="182" t="s">
        <v>22</v>
      </c>
      <c r="F1729" s="182" t="s">
        <v>23</v>
      </c>
      <c r="G1729" s="182" t="s">
        <v>19</v>
      </c>
      <c r="H1729" s="216" t="s">
        <v>20</v>
      </c>
      <c r="I1729" s="182" t="s">
        <v>21</v>
      </c>
      <c r="J1729" s="182" t="s">
        <v>22</v>
      </c>
      <c r="K1729" s="182" t="s">
        <v>23</v>
      </c>
      <c r="L1729" s="182" t="s">
        <v>19</v>
      </c>
      <c r="M1729" s="182" t="s">
        <v>20</v>
      </c>
      <c r="N1729" s="182" t="s">
        <v>21</v>
      </c>
      <c r="O1729" s="182" t="s">
        <v>22</v>
      </c>
      <c r="P1729" s="182" t="s">
        <v>23</v>
      </c>
      <c r="Q1729" s="182" t="s">
        <v>19</v>
      </c>
      <c r="R1729" s="182" t="s">
        <v>20</v>
      </c>
      <c r="S1729" s="182" t="s">
        <v>21</v>
      </c>
      <c r="T1729" s="182" t="s">
        <v>22</v>
      </c>
      <c r="U1729" s="211" t="s">
        <v>23</v>
      </c>
    </row>
    <row r="1730" spans="1:21" ht="31.5" x14ac:dyDescent="0.25">
      <c r="A1730" s="183" t="s">
        <v>661</v>
      </c>
      <c r="B1730" s="182" t="s">
        <v>47</v>
      </c>
      <c r="C1730" s="182" t="s">
        <v>28</v>
      </c>
      <c r="D1730" s="182">
        <v>3.2</v>
      </c>
      <c r="E1730" s="182">
        <f>skilled</f>
        <v>1245</v>
      </c>
      <c r="F1730" s="184">
        <f>(D1730*E1730)</f>
        <v>3984</v>
      </c>
      <c r="G1730" s="182" t="s">
        <v>657</v>
      </c>
      <c r="H1730" s="216" t="s">
        <v>438</v>
      </c>
      <c r="I1730" s="188">
        <f>11/12</f>
        <v>0.91666666666666663</v>
      </c>
      <c r="J1730" s="182">
        <f>adopted_rate_ply_wood_9mm_thick</f>
        <v>613.31999999999994</v>
      </c>
      <c r="K1730" s="182">
        <f>(I1730*J1730)</f>
        <v>562.20999999999992</v>
      </c>
    </row>
    <row r="1731" spans="1:21" x14ac:dyDescent="0.25">
      <c r="B1731" s="182" t="s">
        <v>29</v>
      </c>
      <c r="C1731" s="182" t="s">
        <v>28</v>
      </c>
      <c r="D1731" s="182">
        <v>4</v>
      </c>
      <c r="E1731" s="182">
        <f>unskilled</f>
        <v>935</v>
      </c>
      <c r="F1731" s="184">
        <f>(D1731*E1731)</f>
        <v>3740</v>
      </c>
      <c r="G1731" s="182" t="s">
        <v>647</v>
      </c>
      <c r="H1731" s="216" t="s">
        <v>84</v>
      </c>
      <c r="I1731" s="182">
        <f>0.6/12</f>
        <v>4.9999999999999996E-2</v>
      </c>
      <c r="J1731" s="182">
        <f>adopted_rate_struts_ballies</f>
        <v>54684</v>
      </c>
      <c r="K1731" s="182">
        <f>(I1731*J1731)</f>
        <v>2734.2</v>
      </c>
    </row>
    <row r="1732" spans="1:21" x14ac:dyDescent="0.25">
      <c r="G1732" s="182" t="s">
        <v>648</v>
      </c>
      <c r="H1732" s="216" t="s">
        <v>144</v>
      </c>
      <c r="I1732" s="182">
        <v>4.5</v>
      </c>
      <c r="J1732" s="182">
        <f>adopted_rate_nails_spikes</f>
        <v>132</v>
      </c>
      <c r="K1732" s="182">
        <f>(I1732*J1732)</f>
        <v>594</v>
      </c>
    </row>
    <row r="1733" spans="1:21" x14ac:dyDescent="0.25">
      <c r="A1733" s="537" t="s">
        <v>30</v>
      </c>
      <c r="B1733" s="537"/>
      <c r="C1733" s="537"/>
      <c r="D1733" s="537"/>
      <c r="E1733" s="537"/>
      <c r="F1733" s="184">
        <f>SUM(F1729:F1732)</f>
        <v>7724</v>
      </c>
      <c r="G1733" s="537" t="s">
        <v>31</v>
      </c>
      <c r="H1733" s="537"/>
      <c r="I1733" s="537"/>
      <c r="J1733" s="537"/>
      <c r="K1733" s="184">
        <f>SUM(K1729:K1732)</f>
        <v>3890.41</v>
      </c>
      <c r="L1733" s="537" t="s">
        <v>32</v>
      </c>
      <c r="M1733" s="537"/>
      <c r="N1733" s="537"/>
      <c r="O1733" s="537"/>
      <c r="P1733" s="184">
        <f>SUM(P1729:P1732)</f>
        <v>0</v>
      </c>
      <c r="Q1733" s="537" t="s">
        <v>38</v>
      </c>
      <c r="R1733" s="537"/>
      <c r="S1733" s="537"/>
      <c r="T1733" s="537"/>
      <c r="U1733" s="223">
        <f>SUM(U1729:U1732)</f>
        <v>0</v>
      </c>
    </row>
    <row r="1734" spans="1:21" x14ac:dyDescent="0.25">
      <c r="A1734" s="537" t="s">
        <v>33</v>
      </c>
      <c r="B1734" s="537"/>
      <c r="C1734" s="537"/>
      <c r="D1734" s="537"/>
      <c r="E1734" s="537"/>
      <c r="F1734" s="184">
        <f>SUM(F1733+K1733+P1733)</f>
        <v>11614.41</v>
      </c>
      <c r="G1734" s="537" t="s">
        <v>39</v>
      </c>
      <c r="H1734" s="537"/>
      <c r="I1734" s="537"/>
      <c r="J1734" s="537"/>
      <c r="K1734" s="184">
        <f>SUM(F1733+K1733+P1733+U1733)</f>
        <v>11614.41</v>
      </c>
      <c r="L1734" s="537" t="s">
        <v>40</v>
      </c>
      <c r="M1734" s="537"/>
      <c r="N1734" s="537"/>
      <c r="O1734" s="537"/>
      <c r="P1734" s="184">
        <f>SUM(K1734*0.15)</f>
        <v>1742.1614999999999</v>
      </c>
      <c r="Q1734" s="537" t="s">
        <v>41</v>
      </c>
      <c r="R1734" s="537"/>
      <c r="S1734" s="537"/>
      <c r="T1734" s="537"/>
      <c r="U1734" s="223">
        <f>SUM(K1734+P1734)</f>
        <v>13356.5715</v>
      </c>
    </row>
    <row r="1735" spans="1:21" x14ac:dyDescent="0.25">
      <c r="Q1735" s="537" t="s">
        <v>42</v>
      </c>
      <c r="R1735" s="537"/>
      <c r="S1735" s="537"/>
      <c r="T1735" s="537"/>
      <c r="U1735" s="224">
        <f>ROUND((U1734/10),2)</f>
        <v>1335.66</v>
      </c>
    </row>
    <row r="1736" spans="1:21" x14ac:dyDescent="0.25">
      <c r="A1736" s="544"/>
      <c r="B1736" s="544"/>
      <c r="C1736" s="544"/>
      <c r="D1736" s="544"/>
      <c r="E1736" s="544"/>
      <c r="F1736" s="544"/>
      <c r="G1736" s="544"/>
      <c r="H1736" s="544"/>
      <c r="I1736" s="544"/>
      <c r="J1736" s="544"/>
      <c r="K1736" s="544"/>
      <c r="L1736" s="544"/>
      <c r="M1736" s="544"/>
      <c r="N1736" s="544"/>
      <c r="O1736" s="544"/>
      <c r="P1736" s="544"/>
      <c r="Q1736" s="544"/>
      <c r="R1736" s="544"/>
      <c r="S1736" s="544"/>
      <c r="T1736" s="544"/>
      <c r="U1736" s="544"/>
    </row>
    <row r="1737" spans="1:21" x14ac:dyDescent="0.25">
      <c r="A1737" s="538" t="s">
        <v>12</v>
      </c>
      <c r="B1737" s="538"/>
      <c r="C1737" s="540" t="s">
        <v>662</v>
      </c>
      <c r="D1737" s="540"/>
      <c r="E1737" s="540"/>
      <c r="F1737" s="540"/>
      <c r="G1737" s="540"/>
      <c r="H1737" s="540"/>
      <c r="I1737" s="540"/>
      <c r="J1737" s="540"/>
      <c r="K1737" s="540"/>
      <c r="L1737" s="540"/>
      <c r="M1737" s="540"/>
      <c r="N1737" s="540"/>
      <c r="O1737" s="540"/>
      <c r="P1737" s="540"/>
      <c r="Q1737" s="540"/>
      <c r="R1737" s="540"/>
      <c r="S1737" s="540"/>
      <c r="T1737" s="540"/>
      <c r="U1737" s="541" t="s">
        <v>435</v>
      </c>
    </row>
    <row r="1738" spans="1:21" x14ac:dyDescent="0.25">
      <c r="A1738" s="538"/>
      <c r="B1738" s="538"/>
      <c r="C1738" s="540"/>
      <c r="D1738" s="540"/>
      <c r="E1738" s="540"/>
      <c r="F1738" s="540"/>
      <c r="G1738" s="540"/>
      <c r="H1738" s="540"/>
      <c r="I1738" s="540"/>
      <c r="J1738" s="540"/>
      <c r="K1738" s="540"/>
      <c r="L1738" s="540"/>
      <c r="M1738" s="540"/>
      <c r="N1738" s="540"/>
      <c r="O1738" s="540"/>
      <c r="P1738" s="540"/>
      <c r="Q1738" s="540"/>
      <c r="R1738" s="540"/>
      <c r="S1738" s="540"/>
      <c r="T1738" s="540"/>
      <c r="U1738" s="541"/>
    </row>
    <row r="1739" spans="1:21" x14ac:dyDescent="0.25">
      <c r="A1739" s="539" t="s">
        <v>643</v>
      </c>
      <c r="B1739" s="539"/>
      <c r="C1739" s="540"/>
      <c r="D1739" s="540"/>
      <c r="E1739" s="540"/>
      <c r="F1739" s="540"/>
      <c r="G1739" s="540"/>
      <c r="H1739" s="540"/>
      <c r="I1739" s="540"/>
      <c r="J1739" s="540"/>
      <c r="K1739" s="540"/>
      <c r="L1739" s="540"/>
      <c r="M1739" s="540"/>
      <c r="N1739" s="540"/>
      <c r="O1739" s="540"/>
      <c r="P1739" s="540"/>
      <c r="Q1739" s="540"/>
      <c r="R1739" s="540"/>
      <c r="S1739" s="540"/>
      <c r="T1739" s="540"/>
      <c r="U1739" s="541"/>
    </row>
    <row r="1740" spans="1:21" x14ac:dyDescent="0.25">
      <c r="A1740" s="542" t="s">
        <v>16</v>
      </c>
      <c r="B1740" s="543" t="s">
        <v>18</v>
      </c>
      <c r="C1740" s="543"/>
      <c r="D1740" s="543"/>
      <c r="E1740" s="543"/>
      <c r="F1740" s="543"/>
      <c r="G1740" s="543" t="s">
        <v>24</v>
      </c>
      <c r="H1740" s="543"/>
      <c r="I1740" s="543"/>
      <c r="J1740" s="543"/>
      <c r="K1740" s="543"/>
      <c r="L1740" s="543" t="s">
        <v>25</v>
      </c>
      <c r="M1740" s="543"/>
      <c r="N1740" s="543"/>
      <c r="O1740" s="543"/>
      <c r="P1740" s="543"/>
      <c r="Q1740" s="543" t="s">
        <v>26</v>
      </c>
      <c r="R1740" s="543"/>
      <c r="S1740" s="543"/>
      <c r="T1740" s="543"/>
      <c r="U1740" s="543"/>
    </row>
    <row r="1741" spans="1:21" x14ac:dyDescent="0.25">
      <c r="A1741" s="542"/>
      <c r="B1741" s="182" t="s">
        <v>19</v>
      </c>
      <c r="C1741" s="182" t="s">
        <v>20</v>
      </c>
      <c r="D1741" s="182" t="s">
        <v>21</v>
      </c>
      <c r="E1741" s="182" t="s">
        <v>22</v>
      </c>
      <c r="F1741" s="182" t="s">
        <v>23</v>
      </c>
      <c r="G1741" s="182" t="s">
        <v>19</v>
      </c>
      <c r="H1741" s="216" t="s">
        <v>20</v>
      </c>
      <c r="I1741" s="182" t="s">
        <v>21</v>
      </c>
      <c r="J1741" s="182" t="s">
        <v>22</v>
      </c>
      <c r="K1741" s="182" t="s">
        <v>23</v>
      </c>
      <c r="L1741" s="182" t="s">
        <v>19</v>
      </c>
      <c r="M1741" s="182" t="s">
        <v>20</v>
      </c>
      <c r="N1741" s="182" t="s">
        <v>21</v>
      </c>
      <c r="O1741" s="182" t="s">
        <v>22</v>
      </c>
      <c r="P1741" s="182" t="s">
        <v>23</v>
      </c>
      <c r="Q1741" s="182" t="s">
        <v>19</v>
      </c>
      <c r="R1741" s="182" t="s">
        <v>20</v>
      </c>
      <c r="S1741" s="182" t="s">
        <v>21</v>
      </c>
      <c r="T1741" s="182" t="s">
        <v>22</v>
      </c>
      <c r="U1741" s="211" t="s">
        <v>23</v>
      </c>
    </row>
    <row r="1742" spans="1:21" ht="47.25" x14ac:dyDescent="0.25">
      <c r="A1742" s="183" t="s">
        <v>663</v>
      </c>
      <c r="G1742" s="182" t="s">
        <v>664</v>
      </c>
      <c r="H1742" s="216"/>
    </row>
    <row r="1743" spans="1:21" x14ac:dyDescent="0.25">
      <c r="A1743" s="537" t="s">
        <v>30</v>
      </c>
      <c r="B1743" s="537"/>
      <c r="C1743" s="537"/>
      <c r="D1743" s="537"/>
      <c r="E1743" s="537"/>
      <c r="F1743" s="184">
        <f>SUM(F1741:F1742)</f>
        <v>0</v>
      </c>
      <c r="G1743" s="537" t="s">
        <v>31</v>
      </c>
      <c r="H1743" s="537"/>
      <c r="I1743" s="537"/>
      <c r="J1743" s="537"/>
      <c r="K1743" s="184">
        <f>SUM(K1741:K1742)</f>
        <v>0</v>
      </c>
      <c r="L1743" s="537" t="s">
        <v>32</v>
      </c>
      <c r="M1743" s="537"/>
      <c r="N1743" s="537"/>
      <c r="O1743" s="537"/>
      <c r="P1743" s="184">
        <f>SUM(P1741:P1742)</f>
        <v>0</v>
      </c>
      <c r="Q1743" s="537" t="s">
        <v>38</v>
      </c>
      <c r="R1743" s="537"/>
      <c r="S1743" s="537"/>
      <c r="T1743" s="537"/>
      <c r="U1743" s="223">
        <f>SUM(U1741:U1742)</f>
        <v>0</v>
      </c>
    </row>
    <row r="1744" spans="1:21" x14ac:dyDescent="0.25">
      <c r="A1744" s="537" t="s">
        <v>33</v>
      </c>
      <c r="B1744" s="537"/>
      <c r="C1744" s="537"/>
      <c r="D1744" s="537"/>
      <c r="E1744" s="537"/>
      <c r="F1744" s="184">
        <f>SUM(F1743+K1743+P1743)</f>
        <v>0</v>
      </c>
      <c r="G1744" s="537" t="s">
        <v>39</v>
      </c>
      <c r="H1744" s="537"/>
      <c r="I1744" s="537"/>
      <c r="J1744" s="537"/>
      <c r="K1744" s="184">
        <f>SUM(F1743+K1743+P1743+U1743)</f>
        <v>0</v>
      </c>
      <c r="L1744" s="537" t="s">
        <v>40</v>
      </c>
      <c r="M1744" s="537"/>
      <c r="N1744" s="537"/>
      <c r="O1744" s="537"/>
      <c r="P1744" s="184">
        <f>SUM(K1744*0.15)</f>
        <v>0</v>
      </c>
      <c r="Q1744" s="537" t="s">
        <v>41</v>
      </c>
      <c r="R1744" s="537"/>
      <c r="S1744" s="537"/>
      <c r="T1744" s="537"/>
      <c r="U1744" s="223">
        <f>SUM(K1744+P1744)</f>
        <v>0</v>
      </c>
    </row>
    <row r="1745" spans="1:21" x14ac:dyDescent="0.25">
      <c r="Q1745" s="537" t="s">
        <v>42</v>
      </c>
      <c r="R1745" s="537"/>
      <c r="S1745" s="537"/>
      <c r="T1745" s="537"/>
      <c r="U1745" s="224">
        <f>ROUND((U1744/10),2)</f>
        <v>0</v>
      </c>
    </row>
    <row r="1746" spans="1:21" x14ac:dyDescent="0.25">
      <c r="A1746" s="544"/>
      <c r="B1746" s="544"/>
      <c r="C1746" s="544"/>
      <c r="D1746" s="544"/>
      <c r="E1746" s="544"/>
      <c r="F1746" s="544"/>
      <c r="G1746" s="544"/>
      <c r="H1746" s="544"/>
      <c r="I1746" s="544"/>
      <c r="J1746" s="544"/>
      <c r="K1746" s="544"/>
      <c r="L1746" s="544"/>
      <c r="M1746" s="544"/>
      <c r="N1746" s="544"/>
      <c r="O1746" s="544"/>
      <c r="P1746" s="544"/>
      <c r="Q1746" s="544"/>
      <c r="R1746" s="544"/>
      <c r="S1746" s="544"/>
      <c r="T1746" s="544"/>
      <c r="U1746" s="544"/>
    </row>
    <row r="1747" spans="1:21" x14ac:dyDescent="0.25">
      <c r="A1747" s="538" t="s">
        <v>12</v>
      </c>
      <c r="B1747" s="538"/>
      <c r="C1747" s="540" t="s">
        <v>665</v>
      </c>
      <c r="D1747" s="540"/>
      <c r="E1747" s="540"/>
      <c r="F1747" s="540"/>
      <c r="G1747" s="540"/>
      <c r="H1747" s="540"/>
      <c r="I1747" s="540"/>
      <c r="J1747" s="540"/>
      <c r="K1747" s="540"/>
      <c r="L1747" s="540"/>
      <c r="M1747" s="540"/>
      <c r="N1747" s="540"/>
      <c r="O1747" s="540"/>
      <c r="P1747" s="540"/>
      <c r="Q1747" s="540"/>
      <c r="R1747" s="540"/>
      <c r="S1747" s="540"/>
      <c r="T1747" s="540"/>
      <c r="U1747" s="541" t="s">
        <v>435</v>
      </c>
    </row>
    <row r="1748" spans="1:21" x14ac:dyDescent="0.25">
      <c r="A1748" s="538"/>
      <c r="B1748" s="538"/>
      <c r="C1748" s="540"/>
      <c r="D1748" s="540"/>
      <c r="E1748" s="540"/>
      <c r="F1748" s="540"/>
      <c r="G1748" s="540"/>
      <c r="H1748" s="540"/>
      <c r="I1748" s="540"/>
      <c r="J1748" s="540"/>
      <c r="K1748" s="540"/>
      <c r="L1748" s="540"/>
      <c r="M1748" s="540"/>
      <c r="N1748" s="540"/>
      <c r="O1748" s="540"/>
      <c r="P1748" s="540"/>
      <c r="Q1748" s="540"/>
      <c r="R1748" s="540"/>
      <c r="S1748" s="540"/>
      <c r="T1748" s="540"/>
      <c r="U1748" s="541"/>
    </row>
    <row r="1749" spans="1:21" x14ac:dyDescent="0.25">
      <c r="A1749" s="539" t="s">
        <v>643</v>
      </c>
      <c r="B1749" s="539"/>
      <c r="C1749" s="540"/>
      <c r="D1749" s="540"/>
      <c r="E1749" s="540"/>
      <c r="F1749" s="540"/>
      <c r="G1749" s="540"/>
      <c r="H1749" s="540"/>
      <c r="I1749" s="540"/>
      <c r="J1749" s="540"/>
      <c r="K1749" s="540"/>
      <c r="L1749" s="540"/>
      <c r="M1749" s="540"/>
      <c r="N1749" s="540"/>
      <c r="O1749" s="540"/>
      <c r="P1749" s="540"/>
      <c r="Q1749" s="540"/>
      <c r="R1749" s="540"/>
      <c r="S1749" s="540"/>
      <c r="T1749" s="540"/>
      <c r="U1749" s="541"/>
    </row>
    <row r="1750" spans="1:21" x14ac:dyDescent="0.25">
      <c r="A1750" s="542" t="s">
        <v>16</v>
      </c>
      <c r="B1750" s="543" t="s">
        <v>18</v>
      </c>
      <c r="C1750" s="543"/>
      <c r="D1750" s="543"/>
      <c r="E1750" s="543"/>
      <c r="F1750" s="543"/>
      <c r="G1750" s="543" t="s">
        <v>24</v>
      </c>
      <c r="H1750" s="543"/>
      <c r="I1750" s="543"/>
      <c r="J1750" s="543"/>
      <c r="K1750" s="543"/>
      <c r="L1750" s="543" t="s">
        <v>25</v>
      </c>
      <c r="M1750" s="543"/>
      <c r="N1750" s="543"/>
      <c r="O1750" s="543"/>
      <c r="P1750" s="543"/>
      <c r="Q1750" s="543" t="s">
        <v>26</v>
      </c>
      <c r="R1750" s="543"/>
      <c r="S1750" s="543"/>
      <c r="T1750" s="543"/>
      <c r="U1750" s="543"/>
    </row>
    <row r="1751" spans="1:21" x14ac:dyDescent="0.25">
      <c r="A1751" s="542"/>
      <c r="B1751" s="182" t="s">
        <v>19</v>
      </c>
      <c r="C1751" s="182" t="s">
        <v>20</v>
      </c>
      <c r="D1751" s="182" t="s">
        <v>21</v>
      </c>
      <c r="E1751" s="182" t="s">
        <v>22</v>
      </c>
      <c r="F1751" s="182" t="s">
        <v>23</v>
      </c>
      <c r="G1751" s="182" t="s">
        <v>19</v>
      </c>
      <c r="H1751" s="216" t="s">
        <v>20</v>
      </c>
      <c r="I1751" s="182" t="s">
        <v>21</v>
      </c>
      <c r="J1751" s="182" t="s">
        <v>22</v>
      </c>
      <c r="K1751" s="182" t="s">
        <v>23</v>
      </c>
      <c r="L1751" s="182" t="s">
        <v>19</v>
      </c>
      <c r="M1751" s="182" t="s">
        <v>20</v>
      </c>
      <c r="N1751" s="182" t="s">
        <v>21</v>
      </c>
      <c r="O1751" s="182" t="s">
        <v>22</v>
      </c>
      <c r="P1751" s="182" t="s">
        <v>23</v>
      </c>
      <c r="Q1751" s="182" t="s">
        <v>19</v>
      </c>
      <c r="R1751" s="182" t="s">
        <v>20</v>
      </c>
      <c r="S1751" s="182" t="s">
        <v>21</v>
      </c>
      <c r="T1751" s="182" t="s">
        <v>22</v>
      </c>
      <c r="U1751" s="211" t="s">
        <v>23</v>
      </c>
    </row>
    <row r="1752" spans="1:21" ht="31.5" x14ac:dyDescent="0.25">
      <c r="A1752" s="183" t="s">
        <v>666</v>
      </c>
      <c r="B1752" s="182" t="s">
        <v>47</v>
      </c>
      <c r="C1752" s="182" t="s">
        <v>28</v>
      </c>
      <c r="D1752" s="182">
        <v>1.8</v>
      </c>
      <c r="E1752" s="182">
        <f>skilled</f>
        <v>1245</v>
      </c>
      <c r="F1752" s="184">
        <f>(D1752*E1752)</f>
        <v>2241</v>
      </c>
      <c r="G1752" s="182" t="s">
        <v>667</v>
      </c>
      <c r="H1752" s="216" t="s">
        <v>84</v>
      </c>
      <c r="I1752" s="188">
        <f>0.54/6</f>
        <v>9.0000000000000011E-2</v>
      </c>
      <c r="J1752" s="182">
        <f>adopted_rate_planks_38mm_thick</f>
        <v>57400.560000000005</v>
      </c>
      <c r="K1752" s="182">
        <f>(I1752*J1752)</f>
        <v>5166.050400000001</v>
      </c>
    </row>
    <row r="1753" spans="1:21" x14ac:dyDescent="0.25">
      <c r="B1753" s="182" t="s">
        <v>29</v>
      </c>
      <c r="C1753" s="182" t="s">
        <v>28</v>
      </c>
      <c r="D1753" s="182">
        <v>2.5</v>
      </c>
      <c r="E1753" s="182">
        <f>unskilled</f>
        <v>935</v>
      </c>
      <c r="F1753" s="184">
        <f>(D1753*E1753)</f>
        <v>2337.5</v>
      </c>
      <c r="G1753" s="182" t="s">
        <v>648</v>
      </c>
      <c r="H1753" s="216" t="s">
        <v>144</v>
      </c>
      <c r="I1753" s="182">
        <v>2.5</v>
      </c>
      <c r="J1753" s="182">
        <f>adopted_rate_nails_spikes</f>
        <v>132</v>
      </c>
      <c r="K1753" s="182">
        <f>(I1753*J1753)</f>
        <v>330</v>
      </c>
    </row>
    <row r="1754" spans="1:21" x14ac:dyDescent="0.25">
      <c r="A1754" s="537" t="s">
        <v>30</v>
      </c>
      <c r="B1754" s="537"/>
      <c r="C1754" s="537"/>
      <c r="D1754" s="537"/>
      <c r="E1754" s="537"/>
      <c r="F1754" s="184">
        <f>SUM(F1751:F1753)</f>
        <v>4578.5</v>
      </c>
      <c r="G1754" s="537" t="s">
        <v>31</v>
      </c>
      <c r="H1754" s="537"/>
      <c r="I1754" s="537"/>
      <c r="J1754" s="537"/>
      <c r="K1754" s="184">
        <f>SUM(K1751:K1753)</f>
        <v>5496.050400000001</v>
      </c>
      <c r="L1754" s="537" t="s">
        <v>32</v>
      </c>
      <c r="M1754" s="537"/>
      <c r="N1754" s="537"/>
      <c r="O1754" s="537"/>
      <c r="P1754" s="184">
        <f>SUM(P1751:P1753)</f>
        <v>0</v>
      </c>
      <c r="Q1754" s="537" t="s">
        <v>38</v>
      </c>
      <c r="R1754" s="537"/>
      <c r="S1754" s="537"/>
      <c r="T1754" s="537"/>
      <c r="U1754" s="223">
        <f>SUM(U1751:U1753)</f>
        <v>0</v>
      </c>
    </row>
    <row r="1755" spans="1:21" x14ac:dyDescent="0.25">
      <c r="A1755" s="537" t="s">
        <v>33</v>
      </c>
      <c r="B1755" s="537"/>
      <c r="C1755" s="537"/>
      <c r="D1755" s="537"/>
      <c r="E1755" s="537"/>
      <c r="F1755" s="184">
        <f>SUM(F1754+K1754+P1754)</f>
        <v>10074.5504</v>
      </c>
      <c r="G1755" s="537" t="s">
        <v>39</v>
      </c>
      <c r="H1755" s="537"/>
      <c r="I1755" s="537"/>
      <c r="J1755" s="537"/>
      <c r="K1755" s="184">
        <f>SUM(F1754+K1754+P1754+U1754)</f>
        <v>10074.5504</v>
      </c>
      <c r="L1755" s="537" t="s">
        <v>40</v>
      </c>
      <c r="M1755" s="537"/>
      <c r="N1755" s="537"/>
      <c r="O1755" s="537"/>
      <c r="P1755" s="184">
        <f>SUM(K1755*0.15)</f>
        <v>1511.18256</v>
      </c>
      <c r="Q1755" s="537" t="s">
        <v>41</v>
      </c>
      <c r="R1755" s="537"/>
      <c r="S1755" s="537"/>
      <c r="T1755" s="537"/>
      <c r="U1755" s="223">
        <f>SUM(K1755+P1755)</f>
        <v>11585.732959999999</v>
      </c>
    </row>
    <row r="1756" spans="1:21" x14ac:dyDescent="0.25">
      <c r="Q1756" s="537" t="s">
        <v>42</v>
      </c>
      <c r="R1756" s="537"/>
      <c r="S1756" s="537"/>
      <c r="T1756" s="537"/>
      <c r="U1756" s="224">
        <f>ROUND((U1755/10),2)</f>
        <v>1158.57</v>
      </c>
    </row>
    <row r="1757" spans="1:21" x14ac:dyDescent="0.25">
      <c r="A1757" s="544"/>
      <c r="B1757" s="544"/>
      <c r="C1757" s="544"/>
      <c r="D1757" s="544"/>
      <c r="E1757" s="544"/>
      <c r="F1757" s="544"/>
      <c r="G1757" s="544"/>
      <c r="H1757" s="544"/>
      <c r="I1757" s="544"/>
      <c r="J1757" s="544"/>
      <c r="K1757" s="544"/>
      <c r="L1757" s="544"/>
      <c r="M1757" s="544"/>
      <c r="N1757" s="544"/>
      <c r="O1757" s="544"/>
      <c r="P1757" s="544"/>
      <c r="Q1757" s="544"/>
      <c r="R1757" s="544"/>
      <c r="S1757" s="544"/>
      <c r="T1757" s="544"/>
      <c r="U1757" s="544"/>
    </row>
    <row r="1758" spans="1:21" x14ac:dyDescent="0.25">
      <c r="A1758" s="538" t="s">
        <v>12</v>
      </c>
      <c r="B1758" s="538"/>
      <c r="C1758" s="540" t="s">
        <v>668</v>
      </c>
      <c r="D1758" s="540"/>
      <c r="E1758" s="540"/>
      <c r="F1758" s="540"/>
      <c r="G1758" s="540"/>
      <c r="H1758" s="540"/>
      <c r="I1758" s="540"/>
      <c r="J1758" s="540"/>
      <c r="K1758" s="540"/>
      <c r="L1758" s="540"/>
      <c r="M1758" s="540"/>
      <c r="N1758" s="540"/>
      <c r="O1758" s="540"/>
      <c r="P1758" s="540"/>
      <c r="Q1758" s="540"/>
      <c r="R1758" s="540"/>
      <c r="S1758" s="540"/>
      <c r="T1758" s="540"/>
      <c r="U1758" s="541" t="s">
        <v>435</v>
      </c>
    </row>
    <row r="1759" spans="1:21" x14ac:dyDescent="0.25">
      <c r="A1759" s="538"/>
      <c r="B1759" s="538"/>
      <c r="C1759" s="540"/>
      <c r="D1759" s="540"/>
      <c r="E1759" s="540"/>
      <c r="F1759" s="540"/>
      <c r="G1759" s="540"/>
      <c r="H1759" s="540"/>
      <c r="I1759" s="540"/>
      <c r="J1759" s="540"/>
      <c r="K1759" s="540"/>
      <c r="L1759" s="540"/>
      <c r="M1759" s="540"/>
      <c r="N1759" s="540"/>
      <c r="O1759" s="540"/>
      <c r="P1759" s="540"/>
      <c r="Q1759" s="540"/>
      <c r="R1759" s="540"/>
      <c r="S1759" s="540"/>
      <c r="T1759" s="540"/>
      <c r="U1759" s="541"/>
    </row>
    <row r="1760" spans="1:21" x14ac:dyDescent="0.25">
      <c r="A1760" s="539" t="s">
        <v>643</v>
      </c>
      <c r="B1760" s="539"/>
      <c r="C1760" s="540"/>
      <c r="D1760" s="540"/>
      <c r="E1760" s="540"/>
      <c r="F1760" s="540"/>
      <c r="G1760" s="540"/>
      <c r="H1760" s="540"/>
      <c r="I1760" s="540"/>
      <c r="J1760" s="540"/>
      <c r="K1760" s="540"/>
      <c r="L1760" s="540"/>
      <c r="M1760" s="540"/>
      <c r="N1760" s="540"/>
      <c r="O1760" s="540"/>
      <c r="P1760" s="540"/>
      <c r="Q1760" s="540"/>
      <c r="R1760" s="540"/>
      <c r="S1760" s="540"/>
      <c r="T1760" s="540"/>
      <c r="U1760" s="541"/>
    </row>
    <row r="1761" spans="1:21" x14ac:dyDescent="0.25">
      <c r="A1761" s="542" t="s">
        <v>16</v>
      </c>
      <c r="B1761" s="543" t="s">
        <v>18</v>
      </c>
      <c r="C1761" s="543"/>
      <c r="D1761" s="543"/>
      <c r="E1761" s="543"/>
      <c r="F1761" s="543"/>
      <c r="G1761" s="543" t="s">
        <v>24</v>
      </c>
      <c r="H1761" s="543"/>
      <c r="I1761" s="543"/>
      <c r="J1761" s="543"/>
      <c r="K1761" s="543"/>
      <c r="L1761" s="543" t="s">
        <v>25</v>
      </c>
      <c r="M1761" s="543"/>
      <c r="N1761" s="543"/>
      <c r="O1761" s="543"/>
      <c r="P1761" s="543"/>
      <c r="Q1761" s="543" t="s">
        <v>26</v>
      </c>
      <c r="R1761" s="543"/>
      <c r="S1761" s="543"/>
      <c r="T1761" s="543"/>
      <c r="U1761" s="543"/>
    </row>
    <row r="1762" spans="1:21" x14ac:dyDescent="0.25">
      <c r="A1762" s="542"/>
      <c r="B1762" s="182" t="s">
        <v>19</v>
      </c>
      <c r="C1762" s="182" t="s">
        <v>20</v>
      </c>
      <c r="D1762" s="182" t="s">
        <v>21</v>
      </c>
      <c r="E1762" s="182" t="s">
        <v>22</v>
      </c>
      <c r="F1762" s="182" t="s">
        <v>23</v>
      </c>
      <c r="G1762" s="182" t="s">
        <v>19</v>
      </c>
      <c r="H1762" s="216" t="s">
        <v>20</v>
      </c>
      <c r="I1762" s="182" t="s">
        <v>21</v>
      </c>
      <c r="J1762" s="182" t="s">
        <v>22</v>
      </c>
      <c r="K1762" s="182" t="s">
        <v>23</v>
      </c>
      <c r="L1762" s="182" t="s">
        <v>19</v>
      </c>
      <c r="M1762" s="182" t="s">
        <v>20</v>
      </c>
      <c r="N1762" s="182" t="s">
        <v>21</v>
      </c>
      <c r="O1762" s="182" t="s">
        <v>22</v>
      </c>
      <c r="P1762" s="182" t="s">
        <v>23</v>
      </c>
      <c r="Q1762" s="182" t="s">
        <v>19</v>
      </c>
      <c r="R1762" s="182" t="s">
        <v>20</v>
      </c>
      <c r="S1762" s="182" t="s">
        <v>21</v>
      </c>
      <c r="T1762" s="182" t="s">
        <v>22</v>
      </c>
      <c r="U1762" s="211" t="s">
        <v>23</v>
      </c>
    </row>
    <row r="1763" spans="1:21" x14ac:dyDescent="0.25">
      <c r="A1763" s="183" t="s">
        <v>669</v>
      </c>
      <c r="B1763" s="182" t="s">
        <v>47</v>
      </c>
      <c r="C1763" s="182" t="s">
        <v>28</v>
      </c>
      <c r="D1763" s="182">
        <v>1.5</v>
      </c>
      <c r="E1763" s="182">
        <f>skilled</f>
        <v>1245</v>
      </c>
      <c r="F1763" s="184">
        <f>(D1763*E1763)</f>
        <v>1867.5</v>
      </c>
      <c r="G1763" s="182" t="s">
        <v>670</v>
      </c>
      <c r="H1763" s="216"/>
    </row>
    <row r="1764" spans="1:21" x14ac:dyDescent="0.25">
      <c r="B1764" s="182" t="s">
        <v>29</v>
      </c>
      <c r="C1764" s="182" t="s">
        <v>28</v>
      </c>
      <c r="D1764" s="182">
        <v>2.5</v>
      </c>
      <c r="E1764" s="182">
        <f>unskilled</f>
        <v>935</v>
      </c>
      <c r="F1764" s="184">
        <f>(D1764*E1764)</f>
        <v>2337.5</v>
      </c>
      <c r="G1764" s="182" t="s">
        <v>671</v>
      </c>
      <c r="H1764" s="216" t="s">
        <v>438</v>
      </c>
      <c r="I1764" s="188">
        <f>11/6</f>
        <v>1.8333333333333333</v>
      </c>
      <c r="J1764" s="182">
        <f>adopted_rate_ply_wood_12mm_thick</f>
        <v>860.8</v>
      </c>
      <c r="K1764" s="182">
        <f>(I1764*J1764)</f>
        <v>1578.1333333333332</v>
      </c>
    </row>
    <row r="1765" spans="1:21" x14ac:dyDescent="0.25">
      <c r="G1765" s="182" t="s">
        <v>672</v>
      </c>
      <c r="H1765" s="216" t="s">
        <v>84</v>
      </c>
      <c r="I1765" s="182">
        <v>0.1</v>
      </c>
      <c r="J1765" s="182">
        <f>struts_ballies</f>
        <v>54684</v>
      </c>
      <c r="K1765" s="182">
        <f>(I1765*J1765)</f>
        <v>5468.4000000000005</v>
      </c>
    </row>
    <row r="1766" spans="1:21" x14ac:dyDescent="0.25">
      <c r="G1766" s="182" t="s">
        <v>648</v>
      </c>
      <c r="H1766" s="216" t="s">
        <v>144</v>
      </c>
      <c r="I1766" s="182">
        <v>2</v>
      </c>
      <c r="J1766" s="182">
        <f>adopted_rate_nails_spikes</f>
        <v>132</v>
      </c>
      <c r="K1766" s="182">
        <f>(I1766*J1766)</f>
        <v>264</v>
      </c>
    </row>
    <row r="1767" spans="1:21" x14ac:dyDescent="0.25">
      <c r="A1767" s="537" t="s">
        <v>30</v>
      </c>
      <c r="B1767" s="537"/>
      <c r="C1767" s="537"/>
      <c r="D1767" s="537"/>
      <c r="E1767" s="537"/>
      <c r="F1767" s="184">
        <f>SUM(F1762:F1766)</f>
        <v>4205</v>
      </c>
      <c r="G1767" s="537" t="s">
        <v>31</v>
      </c>
      <c r="H1767" s="537"/>
      <c r="I1767" s="537"/>
      <c r="J1767" s="537"/>
      <c r="K1767" s="184">
        <f>SUM(K1762:K1766)</f>
        <v>7310.5333333333338</v>
      </c>
      <c r="L1767" s="537" t="s">
        <v>32</v>
      </c>
      <c r="M1767" s="537"/>
      <c r="N1767" s="537"/>
      <c r="O1767" s="537"/>
      <c r="P1767" s="184">
        <f>SUM(P1762:P1766)</f>
        <v>0</v>
      </c>
      <c r="Q1767" s="537" t="s">
        <v>38</v>
      </c>
      <c r="R1767" s="537"/>
      <c r="S1767" s="537"/>
      <c r="T1767" s="537"/>
      <c r="U1767" s="223">
        <f>SUM(U1762:U1766)</f>
        <v>0</v>
      </c>
    </row>
    <row r="1768" spans="1:21" x14ac:dyDescent="0.25">
      <c r="A1768" s="537" t="s">
        <v>33</v>
      </c>
      <c r="B1768" s="537"/>
      <c r="C1768" s="537"/>
      <c r="D1768" s="537"/>
      <c r="E1768" s="537"/>
      <c r="F1768" s="184">
        <f>SUM(F1767+K1767+P1767)</f>
        <v>11515.533333333333</v>
      </c>
      <c r="G1768" s="537" t="s">
        <v>39</v>
      </c>
      <c r="H1768" s="537"/>
      <c r="I1768" s="537"/>
      <c r="J1768" s="537"/>
      <c r="K1768" s="184">
        <f>SUM(F1767+K1767+P1767+U1767)</f>
        <v>11515.533333333333</v>
      </c>
      <c r="L1768" s="537" t="s">
        <v>40</v>
      </c>
      <c r="M1768" s="537"/>
      <c r="N1768" s="537"/>
      <c r="O1768" s="537"/>
      <c r="P1768" s="184">
        <f>SUM(K1768*0.15)</f>
        <v>1727.33</v>
      </c>
      <c r="Q1768" s="537" t="s">
        <v>41</v>
      </c>
      <c r="R1768" s="537"/>
      <c r="S1768" s="537"/>
      <c r="T1768" s="537"/>
      <c r="U1768" s="223">
        <f>SUM(K1768+P1768)</f>
        <v>13242.863333333333</v>
      </c>
    </row>
    <row r="1769" spans="1:21" x14ac:dyDescent="0.25">
      <c r="Q1769" s="537" t="s">
        <v>42</v>
      </c>
      <c r="R1769" s="537"/>
      <c r="S1769" s="537"/>
      <c r="T1769" s="537"/>
      <c r="U1769" s="224">
        <f>ROUND((U1768/10),2)</f>
        <v>1324.29</v>
      </c>
    </row>
    <row r="1770" spans="1:21" x14ac:dyDescent="0.25">
      <c r="A1770" s="544"/>
      <c r="B1770" s="544"/>
      <c r="C1770" s="544"/>
      <c r="D1770" s="544"/>
      <c r="E1770" s="544"/>
      <c r="F1770" s="544"/>
      <c r="G1770" s="544"/>
      <c r="H1770" s="544"/>
      <c r="I1770" s="544"/>
      <c r="J1770" s="544"/>
      <c r="K1770" s="544"/>
      <c r="L1770" s="544"/>
      <c r="M1770" s="544"/>
      <c r="N1770" s="544"/>
      <c r="O1770" s="544"/>
      <c r="P1770" s="544"/>
      <c r="Q1770" s="544"/>
      <c r="R1770" s="544"/>
      <c r="S1770" s="544"/>
      <c r="T1770" s="544"/>
      <c r="U1770" s="544"/>
    </row>
    <row r="1771" spans="1:21" x14ac:dyDescent="0.25">
      <c r="A1771" s="538" t="s">
        <v>12</v>
      </c>
      <c r="B1771" s="538"/>
      <c r="C1771" s="540" t="s">
        <v>673</v>
      </c>
      <c r="D1771" s="540"/>
      <c r="E1771" s="540"/>
      <c r="F1771" s="540"/>
      <c r="G1771" s="540"/>
      <c r="H1771" s="540"/>
      <c r="I1771" s="540"/>
      <c r="J1771" s="540"/>
      <c r="K1771" s="540"/>
      <c r="L1771" s="540"/>
      <c r="M1771" s="540"/>
      <c r="N1771" s="540"/>
      <c r="O1771" s="540"/>
      <c r="P1771" s="540"/>
      <c r="Q1771" s="540"/>
      <c r="R1771" s="540"/>
      <c r="S1771" s="540"/>
      <c r="T1771" s="540"/>
      <c r="U1771" s="541" t="s">
        <v>435</v>
      </c>
    </row>
    <row r="1772" spans="1:21" x14ac:dyDescent="0.25">
      <c r="A1772" s="538"/>
      <c r="B1772" s="538"/>
      <c r="C1772" s="540"/>
      <c r="D1772" s="540"/>
      <c r="E1772" s="540"/>
      <c r="F1772" s="540"/>
      <c r="G1772" s="540"/>
      <c r="H1772" s="540"/>
      <c r="I1772" s="540"/>
      <c r="J1772" s="540"/>
      <c r="K1772" s="540"/>
      <c r="L1772" s="540"/>
      <c r="M1772" s="540"/>
      <c r="N1772" s="540"/>
      <c r="O1772" s="540"/>
      <c r="P1772" s="540"/>
      <c r="Q1772" s="540"/>
      <c r="R1772" s="540"/>
      <c r="S1772" s="540"/>
      <c r="T1772" s="540"/>
      <c r="U1772" s="541"/>
    </row>
    <row r="1773" spans="1:21" x14ac:dyDescent="0.25">
      <c r="A1773" s="539" t="s">
        <v>643</v>
      </c>
      <c r="B1773" s="539"/>
      <c r="C1773" s="540"/>
      <c r="D1773" s="540"/>
      <c r="E1773" s="540"/>
      <c r="F1773" s="540"/>
      <c r="G1773" s="540"/>
      <c r="H1773" s="540"/>
      <c r="I1773" s="540"/>
      <c r="J1773" s="540"/>
      <c r="K1773" s="540"/>
      <c r="L1773" s="540"/>
      <c r="M1773" s="540"/>
      <c r="N1773" s="540"/>
      <c r="O1773" s="540"/>
      <c r="P1773" s="540"/>
      <c r="Q1773" s="540"/>
      <c r="R1773" s="540"/>
      <c r="S1773" s="540"/>
      <c r="T1773" s="540"/>
      <c r="U1773" s="541"/>
    </row>
    <row r="1774" spans="1:21" x14ac:dyDescent="0.25">
      <c r="A1774" s="542" t="s">
        <v>16</v>
      </c>
      <c r="B1774" s="543" t="s">
        <v>18</v>
      </c>
      <c r="C1774" s="543"/>
      <c r="D1774" s="543"/>
      <c r="E1774" s="543"/>
      <c r="F1774" s="543"/>
      <c r="G1774" s="543" t="s">
        <v>24</v>
      </c>
      <c r="H1774" s="543"/>
      <c r="I1774" s="543"/>
      <c r="J1774" s="543"/>
      <c r="K1774" s="543"/>
      <c r="L1774" s="543" t="s">
        <v>25</v>
      </c>
      <c r="M1774" s="543"/>
      <c r="N1774" s="543"/>
      <c r="O1774" s="543"/>
      <c r="P1774" s="543"/>
      <c r="Q1774" s="543" t="s">
        <v>26</v>
      </c>
      <c r="R1774" s="543"/>
      <c r="S1774" s="543"/>
      <c r="T1774" s="543"/>
      <c r="U1774" s="543"/>
    </row>
    <row r="1775" spans="1:21" x14ac:dyDescent="0.25">
      <c r="A1775" s="542"/>
      <c r="B1775" s="182" t="s">
        <v>19</v>
      </c>
      <c r="C1775" s="182" t="s">
        <v>20</v>
      </c>
      <c r="D1775" s="182" t="s">
        <v>21</v>
      </c>
      <c r="E1775" s="182" t="s">
        <v>22</v>
      </c>
      <c r="F1775" s="182" t="s">
        <v>23</v>
      </c>
      <c r="G1775" s="182" t="s">
        <v>19</v>
      </c>
      <c r="H1775" s="216" t="s">
        <v>20</v>
      </c>
      <c r="I1775" s="182" t="s">
        <v>21</v>
      </c>
      <c r="J1775" s="182" t="s">
        <v>22</v>
      </c>
      <c r="K1775" s="182" t="s">
        <v>23</v>
      </c>
      <c r="L1775" s="182" t="s">
        <v>19</v>
      </c>
      <c r="M1775" s="182" t="s">
        <v>20</v>
      </c>
      <c r="N1775" s="182" t="s">
        <v>21</v>
      </c>
      <c r="O1775" s="182" t="s">
        <v>22</v>
      </c>
      <c r="P1775" s="182" t="s">
        <v>23</v>
      </c>
      <c r="Q1775" s="182" t="s">
        <v>19</v>
      </c>
      <c r="R1775" s="182" t="s">
        <v>20</v>
      </c>
      <c r="S1775" s="182" t="s">
        <v>21</v>
      </c>
      <c r="T1775" s="182" t="s">
        <v>22</v>
      </c>
      <c r="U1775" s="211" t="s">
        <v>23</v>
      </c>
    </row>
    <row r="1776" spans="1:21" x14ac:dyDescent="0.25">
      <c r="A1776" s="183" t="s">
        <v>674</v>
      </c>
      <c r="B1776" s="182" t="s">
        <v>47</v>
      </c>
      <c r="C1776" s="182" t="s">
        <v>28</v>
      </c>
      <c r="D1776" s="182">
        <v>1.25</v>
      </c>
      <c r="E1776" s="182">
        <f>skilled</f>
        <v>1245</v>
      </c>
      <c r="F1776" s="184">
        <f>(D1776*E1776)</f>
        <v>1556.25</v>
      </c>
      <c r="G1776" s="182" t="s">
        <v>670</v>
      </c>
      <c r="H1776" s="216"/>
    </row>
    <row r="1777" spans="1:21" x14ac:dyDescent="0.25">
      <c r="B1777" s="182" t="s">
        <v>29</v>
      </c>
      <c r="C1777" s="182" t="s">
        <v>28</v>
      </c>
      <c r="D1777" s="182">
        <v>2.5</v>
      </c>
      <c r="E1777" s="182">
        <f>unskilled</f>
        <v>935</v>
      </c>
      <c r="F1777" s="184">
        <f>(D1777*E1777)</f>
        <v>2337.5</v>
      </c>
      <c r="G1777" s="182" t="s">
        <v>651</v>
      </c>
      <c r="H1777" s="216" t="s">
        <v>144</v>
      </c>
      <c r="I1777" s="188">
        <f>530/40</f>
        <v>13.25</v>
      </c>
      <c r="J1777" s="182">
        <f>adopted_rate_ms_plate</f>
        <v>0</v>
      </c>
      <c r="K1777" s="182">
        <f>(I1777*J1777)</f>
        <v>0</v>
      </c>
    </row>
    <row r="1778" spans="1:21" ht="31.5" x14ac:dyDescent="0.25">
      <c r="G1778" s="182" t="s">
        <v>654</v>
      </c>
      <c r="H1778" s="216" t="s">
        <v>144</v>
      </c>
      <c r="I1778" s="188">
        <f>3.56/35</f>
        <v>0.10171428571428572</v>
      </c>
      <c r="J1778" s="182">
        <f>adopted_rate_nuts_bolts</f>
        <v>195</v>
      </c>
      <c r="K1778" s="182">
        <f>(I1778*J1778)</f>
        <v>19.834285714285713</v>
      </c>
    </row>
    <row r="1779" spans="1:21" x14ac:dyDescent="0.25">
      <c r="A1779" s="537" t="s">
        <v>30</v>
      </c>
      <c r="B1779" s="537"/>
      <c r="C1779" s="537"/>
      <c r="D1779" s="537"/>
      <c r="E1779" s="537"/>
      <c r="F1779" s="184">
        <f>SUM(F1775:F1778)</f>
        <v>3893.75</v>
      </c>
      <c r="G1779" s="537" t="s">
        <v>31</v>
      </c>
      <c r="H1779" s="537"/>
      <c r="I1779" s="537"/>
      <c r="J1779" s="537"/>
      <c r="K1779" s="184">
        <f>SUM(K1775:K1778)</f>
        <v>19.834285714285713</v>
      </c>
      <c r="L1779" s="537" t="s">
        <v>32</v>
      </c>
      <c r="M1779" s="537"/>
      <c r="N1779" s="537"/>
      <c r="O1779" s="537"/>
      <c r="P1779" s="184">
        <f>SUM(P1775:P1778)</f>
        <v>0</v>
      </c>
      <c r="Q1779" s="537" t="s">
        <v>38</v>
      </c>
      <c r="R1779" s="537"/>
      <c r="S1779" s="537"/>
      <c r="T1779" s="537"/>
      <c r="U1779" s="223">
        <f>SUM(U1775:U1778)</f>
        <v>0</v>
      </c>
    </row>
    <row r="1780" spans="1:21" x14ac:dyDescent="0.25">
      <c r="A1780" s="537" t="s">
        <v>33</v>
      </c>
      <c r="B1780" s="537"/>
      <c r="C1780" s="537"/>
      <c r="D1780" s="537"/>
      <c r="E1780" s="537"/>
      <c r="F1780" s="184">
        <f>SUM(F1779+K1779+P1779)</f>
        <v>3913.5842857142857</v>
      </c>
      <c r="G1780" s="537" t="s">
        <v>39</v>
      </c>
      <c r="H1780" s="537"/>
      <c r="I1780" s="537"/>
      <c r="J1780" s="537"/>
      <c r="K1780" s="184">
        <f>SUM(F1779+K1779+P1779+U1779)</f>
        <v>3913.5842857142857</v>
      </c>
      <c r="L1780" s="537" t="s">
        <v>40</v>
      </c>
      <c r="M1780" s="537"/>
      <c r="N1780" s="537"/>
      <c r="O1780" s="537"/>
      <c r="P1780" s="184">
        <f>SUM(K1780*0.15)</f>
        <v>587.03764285714283</v>
      </c>
      <c r="Q1780" s="537" t="s">
        <v>41</v>
      </c>
      <c r="R1780" s="537"/>
      <c r="S1780" s="537"/>
      <c r="T1780" s="537"/>
      <c r="U1780" s="223">
        <f>SUM(K1780+P1780)</f>
        <v>4500.6219285714287</v>
      </c>
    </row>
    <row r="1781" spans="1:21" x14ac:dyDescent="0.25">
      <c r="Q1781" s="537" t="s">
        <v>42</v>
      </c>
      <c r="R1781" s="537"/>
      <c r="S1781" s="537"/>
      <c r="T1781" s="537"/>
      <c r="U1781" s="224">
        <f>ROUND((U1780/10),2)</f>
        <v>450.06</v>
      </c>
    </row>
    <row r="1782" spans="1:21" x14ac:dyDescent="0.25">
      <c r="A1782" s="544"/>
      <c r="B1782" s="544"/>
      <c r="C1782" s="544"/>
      <c r="D1782" s="544"/>
      <c r="E1782" s="544"/>
      <c r="F1782" s="544"/>
      <c r="G1782" s="544"/>
      <c r="H1782" s="544"/>
      <c r="I1782" s="544"/>
      <c r="J1782" s="544"/>
      <c r="K1782" s="544"/>
      <c r="L1782" s="544"/>
      <c r="M1782" s="544"/>
      <c r="N1782" s="544"/>
      <c r="O1782" s="544"/>
      <c r="P1782" s="544"/>
      <c r="Q1782" s="544"/>
      <c r="R1782" s="544"/>
      <c r="S1782" s="544"/>
      <c r="T1782" s="544"/>
      <c r="U1782" s="544"/>
    </row>
    <row r="1783" spans="1:21" x14ac:dyDescent="0.25">
      <c r="A1783" s="538" t="s">
        <v>12</v>
      </c>
      <c r="B1783" s="538"/>
      <c r="C1783" s="540" t="s">
        <v>676</v>
      </c>
      <c r="D1783" s="540"/>
      <c r="E1783" s="540"/>
      <c r="F1783" s="540"/>
      <c r="G1783" s="540"/>
      <c r="H1783" s="540"/>
      <c r="I1783" s="540"/>
      <c r="J1783" s="540"/>
      <c r="K1783" s="540"/>
      <c r="L1783" s="540"/>
      <c r="M1783" s="540"/>
      <c r="N1783" s="540"/>
      <c r="O1783" s="540"/>
      <c r="P1783" s="540"/>
      <c r="Q1783" s="540"/>
      <c r="R1783" s="540"/>
      <c r="S1783" s="540"/>
      <c r="T1783" s="540"/>
      <c r="U1783" s="541" t="s">
        <v>435</v>
      </c>
    </row>
    <row r="1784" spans="1:21" x14ac:dyDescent="0.25">
      <c r="A1784" s="538"/>
      <c r="B1784" s="538"/>
      <c r="C1784" s="540"/>
      <c r="D1784" s="540"/>
      <c r="E1784" s="540"/>
      <c r="F1784" s="540"/>
      <c r="G1784" s="540"/>
      <c r="H1784" s="540"/>
      <c r="I1784" s="540"/>
      <c r="J1784" s="540"/>
      <c r="K1784" s="540"/>
      <c r="L1784" s="540"/>
      <c r="M1784" s="540"/>
      <c r="N1784" s="540"/>
      <c r="O1784" s="540"/>
      <c r="P1784" s="540"/>
      <c r="Q1784" s="540"/>
      <c r="R1784" s="540"/>
      <c r="S1784" s="540"/>
      <c r="T1784" s="540"/>
      <c r="U1784" s="541"/>
    </row>
    <row r="1785" spans="1:21" x14ac:dyDescent="0.25">
      <c r="A1785" s="539" t="s">
        <v>675</v>
      </c>
      <c r="B1785" s="539"/>
      <c r="C1785" s="540"/>
      <c r="D1785" s="540"/>
      <c r="E1785" s="540"/>
      <c r="F1785" s="540"/>
      <c r="G1785" s="540"/>
      <c r="H1785" s="540"/>
      <c r="I1785" s="540"/>
      <c r="J1785" s="540"/>
      <c r="K1785" s="540"/>
      <c r="L1785" s="540"/>
      <c r="M1785" s="540"/>
      <c r="N1785" s="540"/>
      <c r="O1785" s="540"/>
      <c r="P1785" s="540"/>
      <c r="Q1785" s="540"/>
      <c r="R1785" s="540"/>
      <c r="S1785" s="540"/>
      <c r="T1785" s="540"/>
      <c r="U1785" s="541"/>
    </row>
    <row r="1786" spans="1:21" x14ac:dyDescent="0.25">
      <c r="A1786" s="542" t="s">
        <v>16</v>
      </c>
      <c r="B1786" s="543" t="s">
        <v>18</v>
      </c>
      <c r="C1786" s="543"/>
      <c r="D1786" s="543"/>
      <c r="E1786" s="543"/>
      <c r="F1786" s="543"/>
      <c r="G1786" s="543" t="s">
        <v>24</v>
      </c>
      <c r="H1786" s="543"/>
      <c r="I1786" s="543"/>
      <c r="J1786" s="543"/>
      <c r="K1786" s="543"/>
      <c r="L1786" s="543" t="s">
        <v>25</v>
      </c>
      <c r="M1786" s="543"/>
      <c r="N1786" s="543"/>
      <c r="O1786" s="543"/>
      <c r="P1786" s="543"/>
      <c r="Q1786" s="543" t="s">
        <v>26</v>
      </c>
      <c r="R1786" s="543"/>
      <c r="S1786" s="543"/>
      <c r="T1786" s="543"/>
      <c r="U1786" s="543"/>
    </row>
    <row r="1787" spans="1:21" x14ac:dyDescent="0.25">
      <c r="A1787" s="542"/>
      <c r="B1787" s="182" t="s">
        <v>19</v>
      </c>
      <c r="C1787" s="182" t="s">
        <v>20</v>
      </c>
      <c r="D1787" s="182" t="s">
        <v>21</v>
      </c>
      <c r="E1787" s="182" t="s">
        <v>22</v>
      </c>
      <c r="F1787" s="182" t="s">
        <v>23</v>
      </c>
      <c r="G1787" s="182" t="s">
        <v>19</v>
      </c>
      <c r="H1787" s="216" t="s">
        <v>20</v>
      </c>
      <c r="I1787" s="182" t="s">
        <v>21</v>
      </c>
      <c r="J1787" s="182" t="s">
        <v>22</v>
      </c>
      <c r="K1787" s="182" t="s">
        <v>23</v>
      </c>
      <c r="L1787" s="182" t="s">
        <v>19</v>
      </c>
      <c r="M1787" s="182" t="s">
        <v>20</v>
      </c>
      <c r="N1787" s="182" t="s">
        <v>21</v>
      </c>
      <c r="O1787" s="182" t="s">
        <v>22</v>
      </c>
      <c r="P1787" s="182" t="s">
        <v>23</v>
      </c>
      <c r="Q1787" s="182" t="s">
        <v>19</v>
      </c>
      <c r="R1787" s="182" t="s">
        <v>20</v>
      </c>
      <c r="S1787" s="182" t="s">
        <v>21</v>
      </c>
      <c r="T1787" s="182" t="s">
        <v>22</v>
      </c>
      <c r="U1787" s="211" t="s">
        <v>23</v>
      </c>
    </row>
    <row r="1788" spans="1:21" ht="31.5" x14ac:dyDescent="0.25">
      <c r="A1788" s="183" t="s">
        <v>677</v>
      </c>
      <c r="B1788" s="182" t="s">
        <v>47</v>
      </c>
      <c r="C1788" s="182" t="s">
        <v>28</v>
      </c>
      <c r="D1788" s="182">
        <v>8</v>
      </c>
      <c r="E1788" s="182">
        <f>skilled</f>
        <v>1245</v>
      </c>
      <c r="F1788" s="184">
        <f>(D1788*E1788)</f>
        <v>9960</v>
      </c>
      <c r="G1788" s="182" t="s">
        <v>678</v>
      </c>
      <c r="H1788" s="216" t="s">
        <v>84</v>
      </c>
      <c r="I1788" s="188">
        <f>0.8/8</f>
        <v>0.1</v>
      </c>
      <c r="J1788" s="182">
        <f>adopted_rate_sal_wood</f>
        <v>54695</v>
      </c>
      <c r="K1788" s="182">
        <f>(I1788*J1788)</f>
        <v>5469.5</v>
      </c>
    </row>
    <row r="1789" spans="1:21" x14ac:dyDescent="0.25">
      <c r="B1789" s="182" t="s">
        <v>29</v>
      </c>
      <c r="C1789" s="182" t="s">
        <v>28</v>
      </c>
      <c r="D1789" s="182">
        <v>8</v>
      </c>
      <c r="E1789" s="182">
        <f>unskilled</f>
        <v>935</v>
      </c>
      <c r="F1789" s="184">
        <f>(D1789*E1789)</f>
        <v>7480</v>
      </c>
      <c r="G1789" s="182" t="s">
        <v>648</v>
      </c>
      <c r="H1789" s="216" t="s">
        <v>144</v>
      </c>
      <c r="I1789" s="182">
        <v>2.5</v>
      </c>
      <c r="J1789" s="182">
        <f>adopted_rate_nails_spikes</f>
        <v>132</v>
      </c>
      <c r="K1789" s="182">
        <f>(I1789*J1789)</f>
        <v>330</v>
      </c>
    </row>
    <row r="1790" spans="1:21" x14ac:dyDescent="0.25">
      <c r="A1790" s="537" t="s">
        <v>30</v>
      </c>
      <c r="B1790" s="537"/>
      <c r="C1790" s="537"/>
      <c r="D1790" s="537"/>
      <c r="E1790" s="537"/>
      <c r="F1790" s="184">
        <f>SUM(F1787:F1789)</f>
        <v>17440</v>
      </c>
      <c r="G1790" s="537" t="s">
        <v>31</v>
      </c>
      <c r="H1790" s="537"/>
      <c r="I1790" s="537"/>
      <c r="J1790" s="537"/>
      <c r="K1790" s="184">
        <f>SUM(K1787:K1789)</f>
        <v>5799.5</v>
      </c>
      <c r="L1790" s="537" t="s">
        <v>32</v>
      </c>
      <c r="M1790" s="537"/>
      <c r="N1790" s="537"/>
      <c r="O1790" s="537"/>
      <c r="P1790" s="184">
        <f>SUM(P1787:P1789)</f>
        <v>0</v>
      </c>
      <c r="Q1790" s="537" t="s">
        <v>38</v>
      </c>
      <c r="R1790" s="537"/>
      <c r="S1790" s="537"/>
      <c r="T1790" s="537"/>
      <c r="U1790" s="223">
        <f>SUM(U1787:U1789)</f>
        <v>0</v>
      </c>
    </row>
    <row r="1791" spans="1:21" x14ac:dyDescent="0.25">
      <c r="A1791" s="537" t="s">
        <v>33</v>
      </c>
      <c r="B1791" s="537"/>
      <c r="C1791" s="537"/>
      <c r="D1791" s="537"/>
      <c r="E1791" s="537"/>
      <c r="F1791" s="184">
        <f>SUM(F1790+K1790+P1790)</f>
        <v>23239.5</v>
      </c>
      <c r="G1791" s="537" t="s">
        <v>39</v>
      </c>
      <c r="H1791" s="537"/>
      <c r="I1791" s="537"/>
      <c r="J1791" s="537"/>
      <c r="K1791" s="184">
        <f>SUM(F1790+K1790+P1790+U1790)</f>
        <v>23239.5</v>
      </c>
      <c r="L1791" s="537" t="s">
        <v>40</v>
      </c>
      <c r="M1791" s="537"/>
      <c r="N1791" s="537"/>
      <c r="O1791" s="537"/>
      <c r="P1791" s="184">
        <f>SUM(K1791*0.15)</f>
        <v>3485.9249999999997</v>
      </c>
      <c r="Q1791" s="537" t="s">
        <v>41</v>
      </c>
      <c r="R1791" s="537"/>
      <c r="S1791" s="537"/>
      <c r="T1791" s="537"/>
      <c r="U1791" s="223">
        <f>SUM(K1791+P1791)</f>
        <v>26725.424999999999</v>
      </c>
    </row>
    <row r="1792" spans="1:21" x14ac:dyDescent="0.25">
      <c r="Q1792" s="537" t="s">
        <v>42</v>
      </c>
      <c r="R1792" s="537"/>
      <c r="S1792" s="537"/>
      <c r="T1792" s="537"/>
      <c r="U1792" s="224">
        <f>ROUND((U1791/10),2)</f>
        <v>2672.54</v>
      </c>
    </row>
    <row r="1793" spans="1:21" x14ac:dyDescent="0.25">
      <c r="A1793" s="544"/>
      <c r="B1793" s="544"/>
      <c r="C1793" s="544"/>
      <c r="D1793" s="544"/>
      <c r="E1793" s="544"/>
      <c r="F1793" s="544"/>
      <c r="G1793" s="544"/>
      <c r="H1793" s="544"/>
      <c r="I1793" s="544"/>
      <c r="J1793" s="544"/>
      <c r="K1793" s="544"/>
      <c r="L1793" s="544"/>
      <c r="M1793" s="544"/>
      <c r="N1793" s="544"/>
      <c r="O1793" s="544"/>
      <c r="P1793" s="544"/>
      <c r="Q1793" s="544"/>
      <c r="R1793" s="544"/>
      <c r="S1793" s="544"/>
      <c r="T1793" s="544"/>
      <c r="U1793" s="544"/>
    </row>
    <row r="1794" spans="1:21" x14ac:dyDescent="0.25">
      <c r="A1794" s="538" t="s">
        <v>12</v>
      </c>
      <c r="B1794" s="538"/>
      <c r="C1794" s="540" t="s">
        <v>679</v>
      </c>
      <c r="D1794" s="540"/>
      <c r="E1794" s="540"/>
      <c r="F1794" s="540"/>
      <c r="G1794" s="540"/>
      <c r="H1794" s="540"/>
      <c r="I1794" s="540"/>
      <c r="J1794" s="540"/>
      <c r="K1794" s="540"/>
      <c r="L1794" s="540"/>
      <c r="M1794" s="540"/>
      <c r="N1794" s="540"/>
      <c r="O1794" s="540"/>
      <c r="P1794" s="540"/>
      <c r="Q1794" s="540"/>
      <c r="R1794" s="540"/>
      <c r="S1794" s="540"/>
      <c r="T1794" s="540"/>
      <c r="U1794" s="541" t="s">
        <v>435</v>
      </c>
    </row>
    <row r="1795" spans="1:21" x14ac:dyDescent="0.25">
      <c r="A1795" s="538"/>
      <c r="B1795" s="538"/>
      <c r="C1795" s="540"/>
      <c r="D1795" s="540"/>
      <c r="E1795" s="540"/>
      <c r="F1795" s="540"/>
      <c r="G1795" s="540"/>
      <c r="H1795" s="540"/>
      <c r="I1795" s="540"/>
      <c r="J1795" s="540"/>
      <c r="K1795" s="540"/>
      <c r="L1795" s="540"/>
      <c r="M1795" s="540"/>
      <c r="N1795" s="540"/>
      <c r="O1795" s="540"/>
      <c r="P1795" s="540"/>
      <c r="Q1795" s="540"/>
      <c r="R1795" s="540"/>
      <c r="S1795" s="540"/>
      <c r="T1795" s="540"/>
      <c r="U1795" s="541"/>
    </row>
    <row r="1796" spans="1:21" x14ac:dyDescent="0.25">
      <c r="A1796" s="539" t="s">
        <v>675</v>
      </c>
      <c r="B1796" s="539"/>
      <c r="C1796" s="540"/>
      <c r="D1796" s="540"/>
      <c r="E1796" s="540"/>
      <c r="F1796" s="540"/>
      <c r="G1796" s="540"/>
      <c r="H1796" s="540"/>
      <c r="I1796" s="540"/>
      <c r="J1796" s="540"/>
      <c r="K1796" s="540"/>
      <c r="L1796" s="540"/>
      <c r="M1796" s="540"/>
      <c r="N1796" s="540"/>
      <c r="O1796" s="540"/>
      <c r="P1796" s="540"/>
      <c r="Q1796" s="540"/>
      <c r="R1796" s="540"/>
      <c r="S1796" s="540"/>
      <c r="T1796" s="540"/>
      <c r="U1796" s="541"/>
    </row>
    <row r="1797" spans="1:21" x14ac:dyDescent="0.25">
      <c r="A1797" s="542" t="s">
        <v>16</v>
      </c>
      <c r="B1797" s="543" t="s">
        <v>18</v>
      </c>
      <c r="C1797" s="543"/>
      <c r="D1797" s="543"/>
      <c r="E1797" s="543"/>
      <c r="F1797" s="543"/>
      <c r="G1797" s="543" t="s">
        <v>24</v>
      </c>
      <c r="H1797" s="543"/>
      <c r="I1797" s="543"/>
      <c r="J1797" s="543"/>
      <c r="K1797" s="543"/>
      <c r="L1797" s="543" t="s">
        <v>25</v>
      </c>
      <c r="M1797" s="543"/>
      <c r="N1797" s="543"/>
      <c r="O1797" s="543"/>
      <c r="P1797" s="543"/>
      <c r="Q1797" s="543" t="s">
        <v>26</v>
      </c>
      <c r="R1797" s="543"/>
      <c r="S1797" s="543"/>
      <c r="T1797" s="543"/>
      <c r="U1797" s="543"/>
    </row>
    <row r="1798" spans="1:21" x14ac:dyDescent="0.25">
      <c r="A1798" s="542"/>
      <c r="B1798" s="182" t="s">
        <v>19</v>
      </c>
      <c r="C1798" s="182" t="s">
        <v>20</v>
      </c>
      <c r="D1798" s="182" t="s">
        <v>21</v>
      </c>
      <c r="E1798" s="182" t="s">
        <v>22</v>
      </c>
      <c r="F1798" s="182" t="s">
        <v>23</v>
      </c>
      <c r="G1798" s="182" t="s">
        <v>19</v>
      </c>
      <c r="H1798" s="216" t="s">
        <v>20</v>
      </c>
      <c r="I1798" s="182" t="s">
        <v>21</v>
      </c>
      <c r="J1798" s="182" t="s">
        <v>22</v>
      </c>
      <c r="K1798" s="182" t="s">
        <v>23</v>
      </c>
      <c r="L1798" s="182" t="s">
        <v>19</v>
      </c>
      <c r="M1798" s="182" t="s">
        <v>20</v>
      </c>
      <c r="N1798" s="182" t="s">
        <v>21</v>
      </c>
      <c r="O1798" s="182" t="s">
        <v>22</v>
      </c>
      <c r="P1798" s="182" t="s">
        <v>23</v>
      </c>
      <c r="Q1798" s="182" t="s">
        <v>19</v>
      </c>
      <c r="R1798" s="182" t="s">
        <v>20</v>
      </c>
      <c r="S1798" s="182" t="s">
        <v>21</v>
      </c>
      <c r="T1798" s="182" t="s">
        <v>22</v>
      </c>
      <c r="U1798" s="211" t="s">
        <v>23</v>
      </c>
    </row>
    <row r="1799" spans="1:21" ht="31.5" x14ac:dyDescent="0.25">
      <c r="A1799" s="183" t="s">
        <v>680</v>
      </c>
      <c r="B1799" s="182" t="s">
        <v>47</v>
      </c>
      <c r="C1799" s="182" t="s">
        <v>28</v>
      </c>
      <c r="D1799" s="182">
        <v>16</v>
      </c>
      <c r="E1799" s="182">
        <f>skilled</f>
        <v>1245</v>
      </c>
      <c r="F1799" s="184">
        <f>(D1799*E1799)</f>
        <v>19920</v>
      </c>
      <c r="G1799" s="182" t="s">
        <v>678</v>
      </c>
      <c r="H1799" s="216" t="s">
        <v>84</v>
      </c>
      <c r="I1799" s="188">
        <f>1.4/8</f>
        <v>0.17499999999999999</v>
      </c>
      <c r="J1799" s="182">
        <f>adopted_rate_sal_wood</f>
        <v>54695</v>
      </c>
      <c r="K1799" s="182">
        <f>(I1799*J1799)</f>
        <v>9571.625</v>
      </c>
    </row>
    <row r="1800" spans="1:21" x14ac:dyDescent="0.25">
      <c r="B1800" s="182" t="s">
        <v>29</v>
      </c>
      <c r="C1800" s="182" t="s">
        <v>28</v>
      </c>
      <c r="D1800" s="182">
        <v>18</v>
      </c>
      <c r="E1800" s="182">
        <f>unskilled</f>
        <v>935</v>
      </c>
      <c r="F1800" s="184">
        <f>(D1800*E1800)</f>
        <v>16830</v>
      </c>
      <c r="G1800" s="182" t="s">
        <v>648</v>
      </c>
      <c r="H1800" s="216" t="s">
        <v>144</v>
      </c>
      <c r="I1800" s="182">
        <v>4</v>
      </c>
      <c r="J1800" s="182">
        <f>adopted_rate_nails_spikes</f>
        <v>132</v>
      </c>
      <c r="K1800" s="182">
        <f>(I1800*J1800)</f>
        <v>528</v>
      </c>
    </row>
    <row r="1801" spans="1:21" x14ac:dyDescent="0.25">
      <c r="A1801" s="537" t="s">
        <v>30</v>
      </c>
      <c r="B1801" s="537"/>
      <c r="C1801" s="537"/>
      <c r="D1801" s="537"/>
      <c r="E1801" s="537"/>
      <c r="F1801" s="184">
        <f>SUM(F1798:F1800)</f>
        <v>36750</v>
      </c>
      <c r="G1801" s="537" t="s">
        <v>31</v>
      </c>
      <c r="H1801" s="537"/>
      <c r="I1801" s="537"/>
      <c r="J1801" s="537"/>
      <c r="K1801" s="184">
        <f>SUM(K1798:K1800)</f>
        <v>10099.625</v>
      </c>
      <c r="L1801" s="537" t="s">
        <v>32</v>
      </c>
      <c r="M1801" s="537"/>
      <c r="N1801" s="537"/>
      <c r="O1801" s="537"/>
      <c r="P1801" s="184">
        <f>SUM(P1798:P1800)</f>
        <v>0</v>
      </c>
      <c r="Q1801" s="537" t="s">
        <v>38</v>
      </c>
      <c r="R1801" s="537"/>
      <c r="S1801" s="537"/>
      <c r="T1801" s="537"/>
      <c r="U1801" s="223">
        <f>SUM(U1798:U1800)</f>
        <v>0</v>
      </c>
    </row>
    <row r="1802" spans="1:21" x14ac:dyDescent="0.25">
      <c r="A1802" s="537" t="s">
        <v>33</v>
      </c>
      <c r="B1802" s="537"/>
      <c r="C1802" s="537"/>
      <c r="D1802" s="537"/>
      <c r="E1802" s="537"/>
      <c r="F1802" s="184">
        <f>SUM(F1801+K1801+P1801)</f>
        <v>46849.625</v>
      </c>
      <c r="G1802" s="537" t="s">
        <v>39</v>
      </c>
      <c r="H1802" s="537"/>
      <c r="I1802" s="537"/>
      <c r="J1802" s="537"/>
      <c r="K1802" s="184">
        <f>SUM(F1801+K1801+P1801+U1801)</f>
        <v>46849.625</v>
      </c>
      <c r="L1802" s="537" t="s">
        <v>40</v>
      </c>
      <c r="M1802" s="537"/>
      <c r="N1802" s="537"/>
      <c r="O1802" s="537"/>
      <c r="P1802" s="184">
        <f>SUM(K1802*0.15)</f>
        <v>7027.4437499999995</v>
      </c>
      <c r="Q1802" s="537" t="s">
        <v>41</v>
      </c>
      <c r="R1802" s="537"/>
      <c r="S1802" s="537"/>
      <c r="T1802" s="537"/>
      <c r="U1802" s="223">
        <f>SUM(K1802+P1802)</f>
        <v>53877.068749999999</v>
      </c>
    </row>
    <row r="1803" spans="1:21" x14ac:dyDescent="0.25">
      <c r="Q1803" s="537" t="s">
        <v>42</v>
      </c>
      <c r="R1803" s="537"/>
      <c r="S1803" s="537"/>
      <c r="T1803" s="537"/>
      <c r="U1803" s="224">
        <f>ROUND((U1802/10),2)</f>
        <v>5387.71</v>
      </c>
    </row>
    <row r="1804" spans="1:21" x14ac:dyDescent="0.25">
      <c r="A1804" s="544"/>
      <c r="B1804" s="544"/>
      <c r="C1804" s="544"/>
      <c r="D1804" s="544"/>
      <c r="E1804" s="544"/>
      <c r="F1804" s="544"/>
      <c r="G1804" s="544"/>
      <c r="H1804" s="544"/>
      <c r="I1804" s="544"/>
      <c r="J1804" s="544"/>
      <c r="K1804" s="544"/>
      <c r="L1804" s="544"/>
      <c r="M1804" s="544"/>
      <c r="N1804" s="544"/>
      <c r="O1804" s="544"/>
      <c r="P1804" s="544"/>
      <c r="Q1804" s="544"/>
      <c r="R1804" s="544"/>
      <c r="S1804" s="544"/>
      <c r="T1804" s="544"/>
      <c r="U1804" s="544"/>
    </row>
    <row r="1805" spans="1:21" x14ac:dyDescent="0.25">
      <c r="A1805" s="538" t="s">
        <v>12</v>
      </c>
      <c r="B1805" s="538"/>
      <c r="C1805" s="540" t="s">
        <v>681</v>
      </c>
      <c r="D1805" s="540"/>
      <c r="E1805" s="540"/>
      <c r="F1805" s="540"/>
      <c r="G1805" s="540"/>
      <c r="H1805" s="540"/>
      <c r="I1805" s="540"/>
      <c r="J1805" s="540"/>
      <c r="K1805" s="540"/>
      <c r="L1805" s="540"/>
      <c r="M1805" s="540"/>
      <c r="N1805" s="540"/>
      <c r="O1805" s="540"/>
      <c r="P1805" s="540"/>
      <c r="Q1805" s="540"/>
      <c r="R1805" s="540"/>
      <c r="S1805" s="540"/>
      <c r="T1805" s="540"/>
      <c r="U1805" s="541" t="s">
        <v>435</v>
      </c>
    </row>
    <row r="1806" spans="1:21" x14ac:dyDescent="0.25">
      <c r="A1806" s="538"/>
      <c r="B1806" s="538"/>
      <c r="C1806" s="540"/>
      <c r="D1806" s="540"/>
      <c r="E1806" s="540"/>
      <c r="F1806" s="540"/>
      <c r="G1806" s="540"/>
      <c r="H1806" s="540"/>
      <c r="I1806" s="540"/>
      <c r="J1806" s="540"/>
      <c r="K1806" s="540"/>
      <c r="L1806" s="540"/>
      <c r="M1806" s="540"/>
      <c r="N1806" s="540"/>
      <c r="O1806" s="540"/>
      <c r="P1806" s="540"/>
      <c r="Q1806" s="540"/>
      <c r="R1806" s="540"/>
      <c r="S1806" s="540"/>
      <c r="T1806" s="540"/>
      <c r="U1806" s="541"/>
    </row>
    <row r="1807" spans="1:21" x14ac:dyDescent="0.25">
      <c r="A1807" s="539" t="s">
        <v>675</v>
      </c>
      <c r="B1807" s="539"/>
      <c r="C1807" s="540"/>
      <c r="D1807" s="540"/>
      <c r="E1807" s="540"/>
      <c r="F1807" s="540"/>
      <c r="G1807" s="540"/>
      <c r="H1807" s="540"/>
      <c r="I1807" s="540"/>
      <c r="J1807" s="540"/>
      <c r="K1807" s="540"/>
      <c r="L1807" s="540"/>
      <c r="M1807" s="540"/>
      <c r="N1807" s="540"/>
      <c r="O1807" s="540"/>
      <c r="P1807" s="540"/>
      <c r="Q1807" s="540"/>
      <c r="R1807" s="540"/>
      <c r="S1807" s="540"/>
      <c r="T1807" s="540"/>
      <c r="U1807" s="541"/>
    </row>
    <row r="1808" spans="1:21" x14ac:dyDescent="0.25">
      <c r="A1808" s="542" t="s">
        <v>16</v>
      </c>
      <c r="B1808" s="543" t="s">
        <v>18</v>
      </c>
      <c r="C1808" s="543"/>
      <c r="D1808" s="543"/>
      <c r="E1808" s="543"/>
      <c r="F1808" s="543"/>
      <c r="G1808" s="543" t="s">
        <v>24</v>
      </c>
      <c r="H1808" s="543"/>
      <c r="I1808" s="543"/>
      <c r="J1808" s="543"/>
      <c r="K1808" s="543"/>
      <c r="L1808" s="543" t="s">
        <v>25</v>
      </c>
      <c r="M1808" s="543"/>
      <c r="N1808" s="543"/>
      <c r="O1808" s="543"/>
      <c r="P1808" s="543"/>
      <c r="Q1808" s="543" t="s">
        <v>26</v>
      </c>
      <c r="R1808" s="543"/>
      <c r="S1808" s="543"/>
      <c r="T1808" s="543"/>
      <c r="U1808" s="543"/>
    </row>
    <row r="1809" spans="1:21" x14ac:dyDescent="0.25">
      <c r="A1809" s="542"/>
      <c r="B1809" s="182" t="s">
        <v>19</v>
      </c>
      <c r="C1809" s="182" t="s">
        <v>20</v>
      </c>
      <c r="D1809" s="182" t="s">
        <v>21</v>
      </c>
      <c r="E1809" s="182" t="s">
        <v>22</v>
      </c>
      <c r="F1809" s="182" t="s">
        <v>23</v>
      </c>
      <c r="G1809" s="182" t="s">
        <v>19</v>
      </c>
      <c r="H1809" s="216" t="s">
        <v>20</v>
      </c>
      <c r="I1809" s="182" t="s">
        <v>21</v>
      </c>
      <c r="J1809" s="182" t="s">
        <v>22</v>
      </c>
      <c r="K1809" s="182" t="s">
        <v>23</v>
      </c>
      <c r="L1809" s="182" t="s">
        <v>19</v>
      </c>
      <c r="M1809" s="182" t="s">
        <v>20</v>
      </c>
      <c r="N1809" s="182" t="s">
        <v>21</v>
      </c>
      <c r="O1809" s="182" t="s">
        <v>22</v>
      </c>
      <c r="P1809" s="182" t="s">
        <v>23</v>
      </c>
      <c r="Q1809" s="182" t="s">
        <v>19</v>
      </c>
      <c r="R1809" s="182" t="s">
        <v>20</v>
      </c>
      <c r="S1809" s="182" t="s">
        <v>21</v>
      </c>
      <c r="T1809" s="182" t="s">
        <v>22</v>
      </c>
      <c r="U1809" s="211" t="s">
        <v>23</v>
      </c>
    </row>
    <row r="1810" spans="1:21" ht="31.5" x14ac:dyDescent="0.25">
      <c r="A1810" s="183" t="s">
        <v>682</v>
      </c>
      <c r="B1810" s="182" t="s">
        <v>47</v>
      </c>
      <c r="C1810" s="182" t="s">
        <v>28</v>
      </c>
      <c r="D1810" s="182">
        <v>24</v>
      </c>
      <c r="E1810" s="182">
        <f>skilled</f>
        <v>1245</v>
      </c>
      <c r="F1810" s="184">
        <f>(D1810*E1810)</f>
        <v>29880</v>
      </c>
      <c r="G1810" s="182" t="s">
        <v>678</v>
      </c>
      <c r="H1810" s="216" t="s">
        <v>84</v>
      </c>
      <c r="I1810" s="188">
        <f>1.9/8</f>
        <v>0.23749999999999999</v>
      </c>
      <c r="J1810" s="182">
        <f>adopted_rate_sal_wood</f>
        <v>54695</v>
      </c>
      <c r="K1810" s="182">
        <f>(I1810*J1810)</f>
        <v>12990.0625</v>
      </c>
    </row>
    <row r="1811" spans="1:21" x14ac:dyDescent="0.25">
      <c r="B1811" s="182" t="s">
        <v>29</v>
      </c>
      <c r="C1811" s="182" t="s">
        <v>28</v>
      </c>
      <c r="D1811" s="182">
        <v>28</v>
      </c>
      <c r="E1811" s="182">
        <f>unskilled</f>
        <v>935</v>
      </c>
      <c r="F1811" s="184">
        <f>(D1811*E1811)</f>
        <v>26180</v>
      </c>
      <c r="G1811" s="182" t="s">
        <v>648</v>
      </c>
      <c r="H1811" s="216" t="s">
        <v>144</v>
      </c>
      <c r="I1811" s="182">
        <v>5.5</v>
      </c>
      <c r="J1811" s="182">
        <f>adopted_rate_nails_spikes</f>
        <v>132</v>
      </c>
      <c r="K1811" s="182">
        <f>(I1811*J1811)</f>
        <v>726</v>
      </c>
    </row>
    <row r="1812" spans="1:21" x14ac:dyDescent="0.25">
      <c r="A1812" s="537" t="s">
        <v>30</v>
      </c>
      <c r="B1812" s="537"/>
      <c r="C1812" s="537"/>
      <c r="D1812" s="537"/>
      <c r="E1812" s="537"/>
      <c r="F1812" s="184">
        <f>SUM(F1809:F1811)</f>
        <v>56060</v>
      </c>
      <c r="G1812" s="537" t="s">
        <v>31</v>
      </c>
      <c r="H1812" s="537"/>
      <c r="I1812" s="537"/>
      <c r="J1812" s="537"/>
      <c r="K1812" s="184">
        <f>SUM(K1809:K1811)</f>
        <v>13716.0625</v>
      </c>
      <c r="L1812" s="537" t="s">
        <v>32</v>
      </c>
      <c r="M1812" s="537"/>
      <c r="N1812" s="537"/>
      <c r="O1812" s="537"/>
      <c r="P1812" s="184">
        <f>SUM(P1809:P1811)</f>
        <v>0</v>
      </c>
      <c r="Q1812" s="537" t="s">
        <v>38</v>
      </c>
      <c r="R1812" s="537"/>
      <c r="S1812" s="537"/>
      <c r="T1812" s="537"/>
      <c r="U1812" s="223">
        <f>SUM(U1809:U1811)</f>
        <v>0</v>
      </c>
    </row>
    <row r="1813" spans="1:21" x14ac:dyDescent="0.25">
      <c r="A1813" s="537" t="s">
        <v>33</v>
      </c>
      <c r="B1813" s="537"/>
      <c r="C1813" s="537"/>
      <c r="D1813" s="537"/>
      <c r="E1813" s="537"/>
      <c r="F1813" s="184">
        <f>SUM(F1812+K1812+P1812)</f>
        <v>69776.0625</v>
      </c>
      <c r="G1813" s="537" t="s">
        <v>39</v>
      </c>
      <c r="H1813" s="537"/>
      <c r="I1813" s="537"/>
      <c r="J1813" s="537"/>
      <c r="K1813" s="184">
        <f>SUM(F1812+K1812+P1812+U1812)</f>
        <v>69776.0625</v>
      </c>
      <c r="L1813" s="537" t="s">
        <v>40</v>
      </c>
      <c r="M1813" s="537"/>
      <c r="N1813" s="537"/>
      <c r="O1813" s="537"/>
      <c r="P1813" s="184">
        <f>SUM(K1813*0.15)</f>
        <v>10466.409374999999</v>
      </c>
      <c r="Q1813" s="537" t="s">
        <v>41</v>
      </c>
      <c r="R1813" s="537"/>
      <c r="S1813" s="537"/>
      <c r="T1813" s="537"/>
      <c r="U1813" s="223">
        <f>SUM(K1813+P1813)</f>
        <v>80242.471875000003</v>
      </c>
    </row>
    <row r="1814" spans="1:21" x14ac:dyDescent="0.25">
      <c r="Q1814" s="537" t="s">
        <v>42</v>
      </c>
      <c r="R1814" s="537"/>
      <c r="S1814" s="537"/>
      <c r="T1814" s="537"/>
      <c r="U1814" s="224">
        <f>ROUND((U1813/10),2)</f>
        <v>8024.25</v>
      </c>
    </row>
    <row r="1815" spans="1:21" x14ac:dyDescent="0.25">
      <c r="A1815" s="544"/>
      <c r="B1815" s="544"/>
      <c r="C1815" s="544"/>
      <c r="D1815" s="544"/>
      <c r="E1815" s="544"/>
      <c r="F1815" s="544"/>
      <c r="G1815" s="544"/>
      <c r="H1815" s="544"/>
      <c r="I1815" s="544"/>
      <c r="J1815" s="544"/>
      <c r="K1815" s="544"/>
      <c r="L1815" s="544"/>
      <c r="M1815" s="544"/>
      <c r="N1815" s="544"/>
      <c r="O1815" s="544"/>
      <c r="P1815" s="544"/>
      <c r="Q1815" s="544"/>
      <c r="R1815" s="544"/>
      <c r="S1815" s="544"/>
      <c r="T1815" s="544"/>
      <c r="U1815" s="544"/>
    </row>
    <row r="1816" spans="1:21" x14ac:dyDescent="0.25">
      <c r="A1816" s="538" t="s">
        <v>12</v>
      </c>
      <c r="B1816" s="538"/>
      <c r="C1816" s="540" t="s">
        <v>683</v>
      </c>
      <c r="D1816" s="540"/>
      <c r="E1816" s="540"/>
      <c r="F1816" s="540"/>
      <c r="G1816" s="540"/>
      <c r="H1816" s="540"/>
      <c r="I1816" s="540"/>
      <c r="J1816" s="540"/>
      <c r="K1816" s="540"/>
      <c r="L1816" s="540"/>
      <c r="M1816" s="540"/>
      <c r="N1816" s="540"/>
      <c r="O1816" s="540"/>
      <c r="P1816" s="540"/>
      <c r="Q1816" s="540"/>
      <c r="R1816" s="540"/>
      <c r="S1816" s="540"/>
      <c r="T1816" s="540"/>
      <c r="U1816" s="541" t="s">
        <v>435</v>
      </c>
    </row>
    <row r="1817" spans="1:21" x14ac:dyDescent="0.25">
      <c r="A1817" s="538"/>
      <c r="B1817" s="538"/>
      <c r="C1817" s="540"/>
      <c r="D1817" s="540"/>
      <c r="E1817" s="540"/>
      <c r="F1817" s="540"/>
      <c r="G1817" s="540"/>
      <c r="H1817" s="540"/>
      <c r="I1817" s="540"/>
      <c r="J1817" s="540"/>
      <c r="K1817" s="540"/>
      <c r="L1817" s="540"/>
      <c r="M1817" s="540"/>
      <c r="N1817" s="540"/>
      <c r="O1817" s="540"/>
      <c r="P1817" s="540"/>
      <c r="Q1817" s="540"/>
      <c r="R1817" s="540"/>
      <c r="S1817" s="540"/>
      <c r="T1817" s="540"/>
      <c r="U1817" s="541"/>
    </row>
    <row r="1818" spans="1:21" x14ac:dyDescent="0.25">
      <c r="A1818" s="539" t="s">
        <v>675</v>
      </c>
      <c r="B1818" s="539"/>
      <c r="C1818" s="540"/>
      <c r="D1818" s="540"/>
      <c r="E1818" s="540"/>
      <c r="F1818" s="540"/>
      <c r="G1818" s="540"/>
      <c r="H1818" s="540"/>
      <c r="I1818" s="540"/>
      <c r="J1818" s="540"/>
      <c r="K1818" s="540"/>
      <c r="L1818" s="540"/>
      <c r="M1818" s="540"/>
      <c r="N1818" s="540"/>
      <c r="O1818" s="540"/>
      <c r="P1818" s="540"/>
      <c r="Q1818" s="540"/>
      <c r="R1818" s="540"/>
      <c r="S1818" s="540"/>
      <c r="T1818" s="540"/>
      <c r="U1818" s="541"/>
    </row>
    <row r="1819" spans="1:21" x14ac:dyDescent="0.25">
      <c r="A1819" s="542" t="s">
        <v>16</v>
      </c>
      <c r="B1819" s="543" t="s">
        <v>18</v>
      </c>
      <c r="C1819" s="543"/>
      <c r="D1819" s="543"/>
      <c r="E1819" s="543"/>
      <c r="F1819" s="543"/>
      <c r="G1819" s="543" t="s">
        <v>24</v>
      </c>
      <c r="H1819" s="543"/>
      <c r="I1819" s="543"/>
      <c r="J1819" s="543"/>
      <c r="K1819" s="543"/>
      <c r="L1819" s="543" t="s">
        <v>25</v>
      </c>
      <c r="M1819" s="543"/>
      <c r="N1819" s="543"/>
      <c r="O1819" s="543"/>
      <c r="P1819" s="543"/>
      <c r="Q1819" s="543" t="s">
        <v>26</v>
      </c>
      <c r="R1819" s="543"/>
      <c r="S1819" s="543"/>
      <c r="T1819" s="543"/>
      <c r="U1819" s="543"/>
    </row>
    <row r="1820" spans="1:21" x14ac:dyDescent="0.25">
      <c r="A1820" s="542"/>
      <c r="B1820" s="182" t="s">
        <v>19</v>
      </c>
      <c r="C1820" s="182" t="s">
        <v>20</v>
      </c>
      <c r="D1820" s="182" t="s">
        <v>21</v>
      </c>
      <c r="E1820" s="182" t="s">
        <v>22</v>
      </c>
      <c r="F1820" s="182" t="s">
        <v>23</v>
      </c>
      <c r="G1820" s="182" t="s">
        <v>19</v>
      </c>
      <c r="H1820" s="216" t="s">
        <v>20</v>
      </c>
      <c r="I1820" s="182" t="s">
        <v>21</v>
      </c>
      <c r="J1820" s="182" t="s">
        <v>22</v>
      </c>
      <c r="K1820" s="182" t="s">
        <v>23</v>
      </c>
      <c r="L1820" s="182" t="s">
        <v>19</v>
      </c>
      <c r="M1820" s="182" t="s">
        <v>20</v>
      </c>
      <c r="N1820" s="182" t="s">
        <v>21</v>
      </c>
      <c r="O1820" s="182" t="s">
        <v>22</v>
      </c>
      <c r="P1820" s="182" t="s">
        <v>23</v>
      </c>
      <c r="Q1820" s="182" t="s">
        <v>19</v>
      </c>
      <c r="R1820" s="182" t="s">
        <v>20</v>
      </c>
      <c r="S1820" s="182" t="s">
        <v>21</v>
      </c>
      <c r="T1820" s="182" t="s">
        <v>22</v>
      </c>
      <c r="U1820" s="211" t="s">
        <v>23</v>
      </c>
    </row>
    <row r="1821" spans="1:21" ht="31.5" x14ac:dyDescent="0.25">
      <c r="A1821" s="183" t="s">
        <v>684</v>
      </c>
      <c r="B1821" s="182" t="s">
        <v>47</v>
      </c>
      <c r="C1821" s="182" t="s">
        <v>28</v>
      </c>
      <c r="D1821" s="182">
        <v>8</v>
      </c>
      <c r="E1821" s="182">
        <f>skilled</f>
        <v>1245</v>
      </c>
      <c r="F1821" s="184">
        <f>(D1821*E1821)</f>
        <v>9960</v>
      </c>
      <c r="G1821" s="182" t="s">
        <v>652</v>
      </c>
      <c r="H1821" s="216" t="s">
        <v>463</v>
      </c>
      <c r="I1821" s="188">
        <f>42/60</f>
        <v>0.7</v>
      </c>
      <c r="J1821" s="182">
        <f>adopted_rate_ms_pipes_dia_40mm</f>
        <v>964</v>
      </c>
      <c r="K1821" s="182">
        <f>(I1821*J1821)</f>
        <v>674.8</v>
      </c>
    </row>
    <row r="1822" spans="1:21" x14ac:dyDescent="0.25">
      <c r="B1822" s="182" t="s">
        <v>29</v>
      </c>
      <c r="C1822" s="182" t="s">
        <v>28</v>
      </c>
      <c r="D1822" s="182">
        <v>14</v>
      </c>
      <c r="E1822" s="182">
        <f>unskilled</f>
        <v>935</v>
      </c>
      <c r="F1822" s="184">
        <f>(D1822*E1822)</f>
        <v>13090</v>
      </c>
      <c r="G1822" s="182" t="s">
        <v>653</v>
      </c>
      <c r="H1822" s="216" t="s">
        <v>49</v>
      </c>
      <c r="I1822" s="188">
        <f>24/40</f>
        <v>0.6</v>
      </c>
      <c r="J1822" s="182">
        <f>adopted_rate_clamps</f>
        <v>0</v>
      </c>
      <c r="K1822" s="182">
        <f>(I1822*J1822)</f>
        <v>0</v>
      </c>
    </row>
    <row r="1823" spans="1:21" ht="31.5" x14ac:dyDescent="0.25">
      <c r="G1823" s="182" t="s">
        <v>654</v>
      </c>
      <c r="H1823" s="216" t="s">
        <v>144</v>
      </c>
      <c r="I1823" s="182">
        <v>3.56</v>
      </c>
      <c r="J1823" s="182">
        <f>adopted_rate_nuts_bolts</f>
        <v>195</v>
      </c>
      <c r="K1823" s="182">
        <f>(I1823*J1823)</f>
        <v>694.2</v>
      </c>
    </row>
    <row r="1824" spans="1:21" x14ac:dyDescent="0.25">
      <c r="A1824" s="537" t="s">
        <v>30</v>
      </c>
      <c r="B1824" s="537"/>
      <c r="C1824" s="537"/>
      <c r="D1824" s="537"/>
      <c r="E1824" s="537"/>
      <c r="F1824" s="184">
        <f>SUM(F1820:F1823)</f>
        <v>23050</v>
      </c>
      <c r="G1824" s="537" t="s">
        <v>31</v>
      </c>
      <c r="H1824" s="537"/>
      <c r="I1824" s="537"/>
      <c r="J1824" s="537"/>
      <c r="K1824" s="184">
        <f>SUM(K1820:K1823)</f>
        <v>1369</v>
      </c>
      <c r="L1824" s="537" t="s">
        <v>32</v>
      </c>
      <c r="M1824" s="537"/>
      <c r="N1824" s="537"/>
      <c r="O1824" s="537"/>
      <c r="P1824" s="184">
        <f>SUM(P1820:P1823)</f>
        <v>0</v>
      </c>
      <c r="Q1824" s="537" t="s">
        <v>38</v>
      </c>
      <c r="R1824" s="537"/>
      <c r="S1824" s="537"/>
      <c r="T1824" s="537"/>
      <c r="U1824" s="223">
        <f>SUM(U1820:U1823)</f>
        <v>0</v>
      </c>
    </row>
    <row r="1825" spans="1:21" x14ac:dyDescent="0.25">
      <c r="A1825" s="537" t="s">
        <v>33</v>
      </c>
      <c r="B1825" s="537"/>
      <c r="C1825" s="537"/>
      <c r="D1825" s="537"/>
      <c r="E1825" s="537"/>
      <c r="F1825" s="184">
        <f>SUM(F1824+K1824+P1824)</f>
        <v>24419</v>
      </c>
      <c r="G1825" s="537" t="s">
        <v>39</v>
      </c>
      <c r="H1825" s="537"/>
      <c r="I1825" s="537"/>
      <c r="J1825" s="537"/>
      <c r="K1825" s="184">
        <f>SUM(F1824+K1824+P1824+U1824)</f>
        <v>24419</v>
      </c>
      <c r="L1825" s="537" t="s">
        <v>40</v>
      </c>
      <c r="M1825" s="537"/>
      <c r="N1825" s="537"/>
      <c r="O1825" s="537"/>
      <c r="P1825" s="184">
        <f>SUM(K1825*0.15)</f>
        <v>3662.85</v>
      </c>
      <c r="Q1825" s="537" t="s">
        <v>41</v>
      </c>
      <c r="R1825" s="537"/>
      <c r="S1825" s="537"/>
      <c r="T1825" s="537"/>
      <c r="U1825" s="223">
        <f>SUM(K1825+P1825)</f>
        <v>28081.85</v>
      </c>
    </row>
    <row r="1826" spans="1:21" x14ac:dyDescent="0.25">
      <c r="Q1826" s="537" t="s">
        <v>42</v>
      </c>
      <c r="R1826" s="537"/>
      <c r="S1826" s="537"/>
      <c r="T1826" s="537"/>
      <c r="U1826" s="224">
        <f>ROUND((U1825/10),2)</f>
        <v>2808.19</v>
      </c>
    </row>
    <row r="1827" spans="1:21" x14ac:dyDescent="0.25">
      <c r="A1827" s="544"/>
      <c r="B1827" s="544"/>
      <c r="C1827" s="544"/>
      <c r="D1827" s="544"/>
      <c r="E1827" s="544"/>
      <c r="F1827" s="544"/>
      <c r="G1827" s="544"/>
      <c r="H1827" s="544"/>
      <c r="I1827" s="544"/>
      <c r="J1827" s="544"/>
      <c r="K1827" s="544"/>
      <c r="L1827" s="544"/>
      <c r="M1827" s="544"/>
      <c r="N1827" s="544"/>
      <c r="O1827" s="544"/>
      <c r="P1827" s="544"/>
      <c r="Q1827" s="544"/>
      <c r="R1827" s="544"/>
      <c r="S1827" s="544"/>
      <c r="T1827" s="544"/>
      <c r="U1827" s="544"/>
    </row>
    <row r="1828" spans="1:21" x14ac:dyDescent="0.25">
      <c r="A1828" s="538" t="s">
        <v>12</v>
      </c>
      <c r="B1828" s="538"/>
      <c r="C1828" s="540" t="s">
        <v>685</v>
      </c>
      <c r="D1828" s="540"/>
      <c r="E1828" s="540"/>
      <c r="F1828" s="540"/>
      <c r="G1828" s="540"/>
      <c r="H1828" s="540"/>
      <c r="I1828" s="540"/>
      <c r="J1828" s="540"/>
      <c r="K1828" s="540"/>
      <c r="L1828" s="540"/>
      <c r="M1828" s="540"/>
      <c r="N1828" s="540"/>
      <c r="O1828" s="540"/>
      <c r="P1828" s="540"/>
      <c r="Q1828" s="540"/>
      <c r="R1828" s="540"/>
      <c r="S1828" s="540"/>
      <c r="T1828" s="540"/>
      <c r="U1828" s="541" t="s">
        <v>435</v>
      </c>
    </row>
    <row r="1829" spans="1:21" x14ac:dyDescent="0.25">
      <c r="A1829" s="538"/>
      <c r="B1829" s="538"/>
      <c r="C1829" s="540"/>
      <c r="D1829" s="540"/>
      <c r="E1829" s="540"/>
      <c r="F1829" s="540"/>
      <c r="G1829" s="540"/>
      <c r="H1829" s="540"/>
      <c r="I1829" s="540"/>
      <c r="J1829" s="540"/>
      <c r="K1829" s="540"/>
      <c r="L1829" s="540"/>
      <c r="M1829" s="540"/>
      <c r="N1829" s="540"/>
      <c r="O1829" s="540"/>
      <c r="P1829" s="540"/>
      <c r="Q1829" s="540"/>
      <c r="R1829" s="540"/>
      <c r="S1829" s="540"/>
      <c r="T1829" s="540"/>
      <c r="U1829" s="541"/>
    </row>
    <row r="1830" spans="1:21" x14ac:dyDescent="0.25">
      <c r="A1830" s="539" t="s">
        <v>675</v>
      </c>
      <c r="B1830" s="539"/>
      <c r="C1830" s="540"/>
      <c r="D1830" s="540"/>
      <c r="E1830" s="540"/>
      <c r="F1830" s="540"/>
      <c r="G1830" s="540"/>
      <c r="H1830" s="540"/>
      <c r="I1830" s="540"/>
      <c r="J1830" s="540"/>
      <c r="K1830" s="540"/>
      <c r="L1830" s="540"/>
      <c r="M1830" s="540"/>
      <c r="N1830" s="540"/>
      <c r="O1830" s="540"/>
      <c r="P1830" s="540"/>
      <c r="Q1830" s="540"/>
      <c r="R1830" s="540"/>
      <c r="S1830" s="540"/>
      <c r="T1830" s="540"/>
      <c r="U1830" s="541"/>
    </row>
    <row r="1831" spans="1:21" x14ac:dyDescent="0.25">
      <c r="A1831" s="542" t="s">
        <v>16</v>
      </c>
      <c r="B1831" s="543" t="s">
        <v>18</v>
      </c>
      <c r="C1831" s="543"/>
      <c r="D1831" s="543"/>
      <c r="E1831" s="543"/>
      <c r="F1831" s="543"/>
      <c r="G1831" s="543" t="s">
        <v>24</v>
      </c>
      <c r="H1831" s="543"/>
      <c r="I1831" s="543"/>
      <c r="J1831" s="543"/>
      <c r="K1831" s="543"/>
      <c r="L1831" s="543" t="s">
        <v>25</v>
      </c>
      <c r="M1831" s="543"/>
      <c r="N1831" s="543"/>
      <c r="O1831" s="543"/>
      <c r="P1831" s="543"/>
      <c r="Q1831" s="543" t="s">
        <v>26</v>
      </c>
      <c r="R1831" s="543"/>
      <c r="S1831" s="543"/>
      <c r="T1831" s="543"/>
      <c r="U1831" s="543"/>
    </row>
    <row r="1832" spans="1:21" x14ac:dyDescent="0.25">
      <c r="A1832" s="542"/>
      <c r="B1832" s="182" t="s">
        <v>19</v>
      </c>
      <c r="C1832" s="182" t="s">
        <v>20</v>
      </c>
      <c r="D1832" s="182" t="s">
        <v>21</v>
      </c>
      <c r="E1832" s="182" t="s">
        <v>22</v>
      </c>
      <c r="F1832" s="182" t="s">
        <v>23</v>
      </c>
      <c r="G1832" s="182" t="s">
        <v>19</v>
      </c>
      <c r="H1832" s="216" t="s">
        <v>20</v>
      </c>
      <c r="I1832" s="182" t="s">
        <v>21</v>
      </c>
      <c r="J1832" s="182" t="s">
        <v>22</v>
      </c>
      <c r="K1832" s="182" t="s">
        <v>23</v>
      </c>
      <c r="L1832" s="182" t="s">
        <v>19</v>
      </c>
      <c r="M1832" s="182" t="s">
        <v>20</v>
      </c>
      <c r="N1832" s="182" t="s">
        <v>21</v>
      </c>
      <c r="O1832" s="182" t="s">
        <v>22</v>
      </c>
      <c r="P1832" s="182" t="s">
        <v>23</v>
      </c>
      <c r="Q1832" s="182" t="s">
        <v>19</v>
      </c>
      <c r="R1832" s="182" t="s">
        <v>20</v>
      </c>
      <c r="S1832" s="182" t="s">
        <v>21</v>
      </c>
      <c r="T1832" s="182" t="s">
        <v>22</v>
      </c>
      <c r="U1832" s="211" t="s">
        <v>23</v>
      </c>
    </row>
    <row r="1833" spans="1:21" ht="31.5" x14ac:dyDescent="0.25">
      <c r="A1833" s="183" t="s">
        <v>686</v>
      </c>
      <c r="B1833" s="182" t="s">
        <v>47</v>
      </c>
      <c r="C1833" s="182" t="s">
        <v>28</v>
      </c>
      <c r="D1833" s="182">
        <v>4</v>
      </c>
      <c r="E1833" s="182">
        <f>skilled</f>
        <v>1245</v>
      </c>
      <c r="F1833" s="184">
        <f>(D1833*E1833)</f>
        <v>4980</v>
      </c>
      <c r="G1833" s="182" t="s">
        <v>687</v>
      </c>
      <c r="H1833" s="216" t="s">
        <v>463</v>
      </c>
      <c r="I1833" s="188">
        <f>240/60</f>
        <v>4</v>
      </c>
      <c r="J1833" s="182">
        <f>adopted_rate_ms_pipes_dia_40mm</f>
        <v>964</v>
      </c>
      <c r="K1833" s="182">
        <f>(I1833*J1833)</f>
        <v>3856</v>
      </c>
    </row>
    <row r="1834" spans="1:21" x14ac:dyDescent="0.25">
      <c r="B1834" s="182" t="s">
        <v>29</v>
      </c>
      <c r="C1834" s="182" t="s">
        <v>28</v>
      </c>
      <c r="D1834" s="182">
        <v>6</v>
      </c>
      <c r="E1834" s="182">
        <f>unskilled</f>
        <v>935</v>
      </c>
      <c r="F1834" s="184">
        <f>(D1834*E1834)</f>
        <v>5610</v>
      </c>
      <c r="G1834" s="182" t="s">
        <v>653</v>
      </c>
      <c r="H1834" s="216" t="s">
        <v>49</v>
      </c>
      <c r="I1834" s="188">
        <f>137/40</f>
        <v>3.4249999999999998</v>
      </c>
      <c r="J1834" s="182">
        <f>adopted_rate_clamps</f>
        <v>0</v>
      </c>
      <c r="K1834" s="182">
        <f>(I1834*J1834)</f>
        <v>0</v>
      </c>
    </row>
    <row r="1835" spans="1:21" ht="31.5" x14ac:dyDescent="0.25">
      <c r="G1835" s="182" t="s">
        <v>654</v>
      </c>
      <c r="H1835" s="216" t="s">
        <v>144</v>
      </c>
      <c r="I1835" s="182">
        <v>3.56</v>
      </c>
      <c r="J1835" s="182">
        <f>adopted_rate_nuts_bolts</f>
        <v>195</v>
      </c>
      <c r="K1835" s="182">
        <f>(I1835*J1835)</f>
        <v>694.2</v>
      </c>
    </row>
    <row r="1836" spans="1:21" x14ac:dyDescent="0.25">
      <c r="A1836" s="537" t="s">
        <v>30</v>
      </c>
      <c r="B1836" s="537"/>
      <c r="C1836" s="537"/>
      <c r="D1836" s="537"/>
      <c r="E1836" s="537"/>
      <c r="F1836" s="184">
        <f>SUM(F1832:F1835)</f>
        <v>10590</v>
      </c>
      <c r="G1836" s="537" t="s">
        <v>31</v>
      </c>
      <c r="H1836" s="537"/>
      <c r="I1836" s="537"/>
      <c r="J1836" s="537"/>
      <c r="K1836" s="184">
        <f>SUM(K1832:K1835)</f>
        <v>4550.2</v>
      </c>
      <c r="L1836" s="537" t="s">
        <v>32</v>
      </c>
      <c r="M1836" s="537"/>
      <c r="N1836" s="537"/>
      <c r="O1836" s="537"/>
      <c r="P1836" s="184">
        <f>SUM(P1832:P1835)</f>
        <v>0</v>
      </c>
      <c r="Q1836" s="537" t="s">
        <v>38</v>
      </c>
      <c r="R1836" s="537"/>
      <c r="S1836" s="537"/>
      <c r="T1836" s="537"/>
      <c r="U1836" s="223">
        <f>SUM(U1832:U1835)</f>
        <v>0</v>
      </c>
    </row>
    <row r="1837" spans="1:21" x14ac:dyDescent="0.25">
      <c r="A1837" s="537" t="s">
        <v>33</v>
      </c>
      <c r="B1837" s="537"/>
      <c r="C1837" s="537"/>
      <c r="D1837" s="537"/>
      <c r="E1837" s="537"/>
      <c r="F1837" s="184">
        <f>SUM(F1836+K1836+P1836)</f>
        <v>15140.2</v>
      </c>
      <c r="G1837" s="537" t="s">
        <v>39</v>
      </c>
      <c r="H1837" s="537"/>
      <c r="I1837" s="537"/>
      <c r="J1837" s="537"/>
      <c r="K1837" s="184">
        <f>SUM(F1836+K1836+P1836+U1836)</f>
        <v>15140.2</v>
      </c>
      <c r="L1837" s="537" t="s">
        <v>40</v>
      </c>
      <c r="M1837" s="537"/>
      <c r="N1837" s="537"/>
      <c r="O1837" s="537"/>
      <c r="P1837" s="184">
        <f>SUM(K1837*0.15)</f>
        <v>2271.0300000000002</v>
      </c>
      <c r="Q1837" s="537" t="s">
        <v>41</v>
      </c>
      <c r="R1837" s="537"/>
      <c r="S1837" s="537"/>
      <c r="T1837" s="537"/>
      <c r="U1837" s="223">
        <f>SUM(K1837+P1837)</f>
        <v>17411.23</v>
      </c>
    </row>
    <row r="1838" spans="1:21" x14ac:dyDescent="0.25">
      <c r="Q1838" s="537" t="s">
        <v>42</v>
      </c>
      <c r="R1838" s="537"/>
      <c r="S1838" s="537"/>
      <c r="T1838" s="537"/>
      <c r="U1838" s="224">
        <f>ROUND((U1837/10),2)</f>
        <v>1741.12</v>
      </c>
    </row>
    <row r="1839" spans="1:21" x14ac:dyDescent="0.25">
      <c r="A1839" s="544"/>
      <c r="B1839" s="544"/>
      <c r="C1839" s="544"/>
      <c r="D1839" s="544"/>
      <c r="E1839" s="544"/>
      <c r="F1839" s="544"/>
      <c r="G1839" s="544"/>
      <c r="H1839" s="544"/>
      <c r="I1839" s="544"/>
      <c r="J1839" s="544"/>
      <c r="K1839" s="544"/>
      <c r="L1839" s="544"/>
      <c r="M1839" s="544"/>
      <c r="N1839" s="544"/>
      <c r="O1839" s="544"/>
      <c r="P1839" s="544"/>
      <c r="Q1839" s="544"/>
      <c r="R1839" s="544"/>
      <c r="S1839" s="544"/>
      <c r="T1839" s="544"/>
      <c r="U1839" s="544"/>
    </row>
    <row r="1840" spans="1:21" x14ac:dyDescent="0.25">
      <c r="A1840" s="538" t="s">
        <v>12</v>
      </c>
      <c r="B1840" s="538"/>
      <c r="C1840" s="540" t="s">
        <v>688</v>
      </c>
      <c r="D1840" s="540"/>
      <c r="E1840" s="540"/>
      <c r="F1840" s="540"/>
      <c r="G1840" s="540"/>
      <c r="H1840" s="540"/>
      <c r="I1840" s="540"/>
      <c r="J1840" s="540"/>
      <c r="K1840" s="540"/>
      <c r="L1840" s="540"/>
      <c r="M1840" s="540"/>
      <c r="N1840" s="540"/>
      <c r="O1840" s="540"/>
      <c r="P1840" s="540"/>
      <c r="Q1840" s="540"/>
      <c r="R1840" s="540"/>
      <c r="S1840" s="540"/>
      <c r="T1840" s="540"/>
      <c r="U1840" s="541" t="s">
        <v>435</v>
      </c>
    </row>
    <row r="1841" spans="1:21" x14ac:dyDescent="0.25">
      <c r="A1841" s="538"/>
      <c r="B1841" s="538"/>
      <c r="C1841" s="540"/>
      <c r="D1841" s="540"/>
      <c r="E1841" s="540"/>
      <c r="F1841" s="540"/>
      <c r="G1841" s="540"/>
      <c r="H1841" s="540"/>
      <c r="I1841" s="540"/>
      <c r="J1841" s="540"/>
      <c r="K1841" s="540"/>
      <c r="L1841" s="540"/>
      <c r="M1841" s="540"/>
      <c r="N1841" s="540"/>
      <c r="O1841" s="540"/>
      <c r="P1841" s="540"/>
      <c r="Q1841" s="540"/>
      <c r="R1841" s="540"/>
      <c r="S1841" s="540"/>
      <c r="T1841" s="540"/>
      <c r="U1841" s="541"/>
    </row>
    <row r="1842" spans="1:21" x14ac:dyDescent="0.25">
      <c r="A1842" s="539" t="s">
        <v>675</v>
      </c>
      <c r="B1842" s="539"/>
      <c r="C1842" s="540"/>
      <c r="D1842" s="540"/>
      <c r="E1842" s="540"/>
      <c r="F1842" s="540"/>
      <c r="G1842" s="540"/>
      <c r="H1842" s="540"/>
      <c r="I1842" s="540"/>
      <c r="J1842" s="540"/>
      <c r="K1842" s="540"/>
      <c r="L1842" s="540"/>
      <c r="M1842" s="540"/>
      <c r="N1842" s="540"/>
      <c r="O1842" s="540"/>
      <c r="P1842" s="540"/>
      <c r="Q1842" s="540"/>
      <c r="R1842" s="540"/>
      <c r="S1842" s="540"/>
      <c r="T1842" s="540"/>
      <c r="U1842" s="541"/>
    </row>
    <row r="1843" spans="1:21" x14ac:dyDescent="0.25">
      <c r="A1843" s="542" t="s">
        <v>16</v>
      </c>
      <c r="B1843" s="543" t="s">
        <v>18</v>
      </c>
      <c r="C1843" s="543"/>
      <c r="D1843" s="543"/>
      <c r="E1843" s="543"/>
      <c r="F1843" s="543"/>
      <c r="G1843" s="543" t="s">
        <v>24</v>
      </c>
      <c r="H1843" s="543"/>
      <c r="I1843" s="543"/>
      <c r="J1843" s="543"/>
      <c r="K1843" s="543"/>
      <c r="L1843" s="543" t="s">
        <v>25</v>
      </c>
      <c r="M1843" s="543"/>
      <c r="N1843" s="543"/>
      <c r="O1843" s="543"/>
      <c r="P1843" s="543"/>
      <c r="Q1843" s="543" t="s">
        <v>26</v>
      </c>
      <c r="R1843" s="543"/>
      <c r="S1843" s="543"/>
      <c r="T1843" s="543"/>
      <c r="U1843" s="543"/>
    </row>
    <row r="1844" spans="1:21" x14ac:dyDescent="0.25">
      <c r="A1844" s="542"/>
      <c r="B1844" s="182" t="s">
        <v>19</v>
      </c>
      <c r="C1844" s="182" t="s">
        <v>20</v>
      </c>
      <c r="D1844" s="182" t="s">
        <v>21</v>
      </c>
      <c r="E1844" s="182" t="s">
        <v>22</v>
      </c>
      <c r="F1844" s="182" t="s">
        <v>23</v>
      </c>
      <c r="G1844" s="182" t="s">
        <v>19</v>
      </c>
      <c r="H1844" s="216" t="s">
        <v>20</v>
      </c>
      <c r="I1844" s="182" t="s">
        <v>21</v>
      </c>
      <c r="J1844" s="182" t="s">
        <v>22</v>
      </c>
      <c r="K1844" s="182" t="s">
        <v>23</v>
      </c>
      <c r="L1844" s="182" t="s">
        <v>19</v>
      </c>
      <c r="M1844" s="182" t="s">
        <v>20</v>
      </c>
      <c r="N1844" s="182" t="s">
        <v>21</v>
      </c>
      <c r="O1844" s="182" t="s">
        <v>22</v>
      </c>
      <c r="P1844" s="182" t="s">
        <v>23</v>
      </c>
      <c r="Q1844" s="182" t="s">
        <v>19</v>
      </c>
      <c r="R1844" s="182" t="s">
        <v>20</v>
      </c>
      <c r="S1844" s="182" t="s">
        <v>21</v>
      </c>
      <c r="T1844" s="182" t="s">
        <v>22</v>
      </c>
      <c r="U1844" s="211" t="s">
        <v>23</v>
      </c>
    </row>
    <row r="1845" spans="1:21" ht="31.5" x14ac:dyDescent="0.25">
      <c r="A1845" s="183" t="s">
        <v>689</v>
      </c>
      <c r="B1845" s="182" t="s">
        <v>47</v>
      </c>
      <c r="C1845" s="182" t="s">
        <v>28</v>
      </c>
      <c r="D1845" s="182">
        <v>12</v>
      </c>
      <c r="E1845" s="182">
        <f>skilled</f>
        <v>1245</v>
      </c>
      <c r="F1845" s="184">
        <f>(D1845*E1845)</f>
        <v>14940</v>
      </c>
      <c r="G1845" s="182" t="s">
        <v>652</v>
      </c>
      <c r="H1845" s="216" t="s">
        <v>463</v>
      </c>
      <c r="I1845" s="188">
        <f>570/60</f>
        <v>9.5</v>
      </c>
      <c r="J1845" s="182">
        <f>adopted_rate_ms_pipes_dia_40mm</f>
        <v>964</v>
      </c>
      <c r="K1845" s="182">
        <f>(I1845*J1845)</f>
        <v>9158</v>
      </c>
    </row>
    <row r="1846" spans="1:21" x14ac:dyDescent="0.25">
      <c r="B1846" s="182" t="s">
        <v>29</v>
      </c>
      <c r="C1846" s="182" t="s">
        <v>28</v>
      </c>
      <c r="D1846" s="182">
        <v>20</v>
      </c>
      <c r="E1846" s="182">
        <f>unskilled</f>
        <v>935</v>
      </c>
      <c r="F1846" s="184">
        <f>(D1846*E1846)</f>
        <v>18700</v>
      </c>
      <c r="G1846" s="182" t="s">
        <v>653</v>
      </c>
      <c r="H1846" s="216" t="s">
        <v>49</v>
      </c>
      <c r="I1846" s="188">
        <f>325/40</f>
        <v>8.125</v>
      </c>
      <c r="J1846" s="182">
        <f>adopted_rate_clamps</f>
        <v>0</v>
      </c>
      <c r="K1846" s="182">
        <f>(I1846*J1846)</f>
        <v>0</v>
      </c>
    </row>
    <row r="1847" spans="1:21" ht="31.5" x14ac:dyDescent="0.25">
      <c r="G1847" s="182" t="s">
        <v>654</v>
      </c>
      <c r="H1847" s="216" t="s">
        <v>144</v>
      </c>
      <c r="I1847" s="182">
        <v>3.56</v>
      </c>
      <c r="J1847" s="182">
        <f>adopted_rate_nuts_bolts</f>
        <v>195</v>
      </c>
      <c r="K1847" s="182">
        <f>(I1847*J1847)</f>
        <v>694.2</v>
      </c>
    </row>
    <row r="1848" spans="1:21" x14ac:dyDescent="0.25">
      <c r="A1848" s="537" t="s">
        <v>30</v>
      </c>
      <c r="B1848" s="537"/>
      <c r="C1848" s="537"/>
      <c r="D1848" s="537"/>
      <c r="E1848" s="537"/>
      <c r="F1848" s="184">
        <f>SUM(F1844:F1847)</f>
        <v>33640</v>
      </c>
      <c r="G1848" s="537" t="s">
        <v>31</v>
      </c>
      <c r="H1848" s="537"/>
      <c r="I1848" s="537"/>
      <c r="J1848" s="537"/>
      <c r="K1848" s="184">
        <f>SUM(K1844:K1847)</f>
        <v>9852.2000000000007</v>
      </c>
      <c r="L1848" s="537" t="s">
        <v>32</v>
      </c>
      <c r="M1848" s="537"/>
      <c r="N1848" s="537"/>
      <c r="O1848" s="537"/>
      <c r="P1848" s="184">
        <f>SUM(P1844:P1847)</f>
        <v>0</v>
      </c>
      <c r="Q1848" s="537" t="s">
        <v>38</v>
      </c>
      <c r="R1848" s="537"/>
      <c r="S1848" s="537"/>
      <c r="T1848" s="537"/>
      <c r="U1848" s="223">
        <f>SUM(U1844:U1847)</f>
        <v>0</v>
      </c>
    </row>
    <row r="1849" spans="1:21" x14ac:dyDescent="0.25">
      <c r="A1849" s="537" t="s">
        <v>33</v>
      </c>
      <c r="B1849" s="537"/>
      <c r="C1849" s="537"/>
      <c r="D1849" s="537"/>
      <c r="E1849" s="537"/>
      <c r="F1849" s="184">
        <f>SUM(F1848+K1848+P1848)</f>
        <v>43492.2</v>
      </c>
      <c r="G1849" s="537" t="s">
        <v>39</v>
      </c>
      <c r="H1849" s="537"/>
      <c r="I1849" s="537"/>
      <c r="J1849" s="537"/>
      <c r="K1849" s="184">
        <f>SUM(F1848+K1848+P1848+U1848)</f>
        <v>43492.2</v>
      </c>
      <c r="L1849" s="537" t="s">
        <v>40</v>
      </c>
      <c r="M1849" s="537"/>
      <c r="N1849" s="537"/>
      <c r="O1849" s="537"/>
      <c r="P1849" s="184">
        <f>SUM(K1849*0.15)</f>
        <v>6523.829999999999</v>
      </c>
      <c r="Q1849" s="537" t="s">
        <v>41</v>
      </c>
      <c r="R1849" s="537"/>
      <c r="S1849" s="537"/>
      <c r="T1849" s="537"/>
      <c r="U1849" s="223">
        <f>SUM(K1849+P1849)</f>
        <v>50016.03</v>
      </c>
    </row>
    <row r="1850" spans="1:21" x14ac:dyDescent="0.25">
      <c r="Q1850" s="537" t="s">
        <v>42</v>
      </c>
      <c r="R1850" s="537"/>
      <c r="S1850" s="537"/>
      <c r="T1850" s="537"/>
      <c r="U1850" s="224">
        <f>ROUND((U1849/10),2)</f>
        <v>5001.6000000000004</v>
      </c>
    </row>
    <row r="1851" spans="1:21" x14ac:dyDescent="0.25">
      <c r="A1851" s="544"/>
      <c r="B1851" s="544"/>
      <c r="C1851" s="544"/>
      <c r="D1851" s="544"/>
      <c r="E1851" s="544"/>
      <c r="F1851" s="544"/>
      <c r="G1851" s="544"/>
      <c r="H1851" s="544"/>
      <c r="I1851" s="544"/>
      <c r="J1851" s="544"/>
      <c r="K1851" s="544"/>
      <c r="L1851" s="544"/>
      <c r="M1851" s="544"/>
      <c r="N1851" s="544"/>
      <c r="O1851" s="544"/>
      <c r="P1851" s="544"/>
      <c r="Q1851" s="544"/>
      <c r="R1851" s="544"/>
      <c r="S1851" s="544"/>
      <c r="T1851" s="544"/>
      <c r="U1851" s="544"/>
    </row>
    <row r="1852" spans="1:21" x14ac:dyDescent="0.25">
      <c r="A1852" s="538" t="s">
        <v>12</v>
      </c>
      <c r="B1852" s="538"/>
      <c r="C1852" s="540" t="s">
        <v>690</v>
      </c>
      <c r="D1852" s="540"/>
      <c r="E1852" s="540"/>
      <c r="F1852" s="540"/>
      <c r="G1852" s="540"/>
      <c r="H1852" s="540"/>
      <c r="I1852" s="540"/>
      <c r="J1852" s="540"/>
      <c r="K1852" s="540"/>
      <c r="L1852" s="540"/>
      <c r="M1852" s="540"/>
      <c r="N1852" s="540"/>
      <c r="O1852" s="540"/>
      <c r="P1852" s="540"/>
      <c r="Q1852" s="540"/>
      <c r="R1852" s="540"/>
      <c r="S1852" s="540"/>
      <c r="T1852" s="540"/>
      <c r="U1852" s="541" t="s">
        <v>435</v>
      </c>
    </row>
    <row r="1853" spans="1:21" x14ac:dyDescent="0.25">
      <c r="A1853" s="538"/>
      <c r="B1853" s="538"/>
      <c r="C1853" s="540"/>
      <c r="D1853" s="540"/>
      <c r="E1853" s="540"/>
      <c r="F1853" s="540"/>
      <c r="G1853" s="540"/>
      <c r="H1853" s="540"/>
      <c r="I1853" s="540"/>
      <c r="J1853" s="540"/>
      <c r="K1853" s="540"/>
      <c r="L1853" s="540"/>
      <c r="M1853" s="540"/>
      <c r="N1853" s="540"/>
      <c r="O1853" s="540"/>
      <c r="P1853" s="540"/>
      <c r="Q1853" s="540"/>
      <c r="R1853" s="540"/>
      <c r="S1853" s="540"/>
      <c r="T1853" s="540"/>
      <c r="U1853" s="541"/>
    </row>
    <row r="1854" spans="1:21" x14ac:dyDescent="0.25">
      <c r="A1854" s="539" t="s">
        <v>675</v>
      </c>
      <c r="B1854" s="539"/>
      <c r="C1854" s="540"/>
      <c r="D1854" s="540"/>
      <c r="E1854" s="540"/>
      <c r="F1854" s="540"/>
      <c r="G1854" s="540"/>
      <c r="H1854" s="540"/>
      <c r="I1854" s="540"/>
      <c r="J1854" s="540"/>
      <c r="K1854" s="540"/>
      <c r="L1854" s="540"/>
      <c r="M1854" s="540"/>
      <c r="N1854" s="540"/>
      <c r="O1854" s="540"/>
      <c r="P1854" s="540"/>
      <c r="Q1854" s="540"/>
      <c r="R1854" s="540"/>
      <c r="S1854" s="540"/>
      <c r="T1854" s="540"/>
      <c r="U1854" s="541"/>
    </row>
    <row r="1855" spans="1:21" x14ac:dyDescent="0.25">
      <c r="A1855" s="542" t="s">
        <v>16</v>
      </c>
      <c r="B1855" s="543" t="s">
        <v>18</v>
      </c>
      <c r="C1855" s="543"/>
      <c r="D1855" s="543"/>
      <c r="E1855" s="543"/>
      <c r="F1855" s="543"/>
      <c r="G1855" s="543" t="s">
        <v>24</v>
      </c>
      <c r="H1855" s="543"/>
      <c r="I1855" s="543"/>
      <c r="J1855" s="543"/>
      <c r="K1855" s="543"/>
      <c r="L1855" s="543" t="s">
        <v>25</v>
      </c>
      <c r="M1855" s="543"/>
      <c r="N1855" s="543"/>
      <c r="O1855" s="543"/>
      <c r="P1855" s="543"/>
      <c r="Q1855" s="543" t="s">
        <v>26</v>
      </c>
      <c r="R1855" s="543"/>
      <c r="S1855" s="543"/>
      <c r="T1855" s="543"/>
      <c r="U1855" s="543"/>
    </row>
    <row r="1856" spans="1:21" x14ac:dyDescent="0.25">
      <c r="A1856" s="542"/>
      <c r="B1856" s="182" t="s">
        <v>19</v>
      </c>
      <c r="C1856" s="182" t="s">
        <v>20</v>
      </c>
      <c r="D1856" s="182" t="s">
        <v>21</v>
      </c>
      <c r="E1856" s="182" t="s">
        <v>22</v>
      </c>
      <c r="F1856" s="182" t="s">
        <v>23</v>
      </c>
      <c r="G1856" s="182" t="s">
        <v>19</v>
      </c>
      <c r="H1856" s="216" t="s">
        <v>20</v>
      </c>
      <c r="I1856" s="182" t="s">
        <v>21</v>
      </c>
      <c r="J1856" s="182" t="s">
        <v>22</v>
      </c>
      <c r="K1856" s="182" t="s">
        <v>23</v>
      </c>
      <c r="L1856" s="182" t="s">
        <v>19</v>
      </c>
      <c r="M1856" s="182" t="s">
        <v>20</v>
      </c>
      <c r="N1856" s="182" t="s">
        <v>21</v>
      </c>
      <c r="O1856" s="182" t="s">
        <v>22</v>
      </c>
      <c r="P1856" s="182" t="s">
        <v>23</v>
      </c>
      <c r="Q1856" s="182" t="s">
        <v>19</v>
      </c>
      <c r="R1856" s="182" t="s">
        <v>20</v>
      </c>
      <c r="S1856" s="182" t="s">
        <v>21</v>
      </c>
      <c r="T1856" s="182" t="s">
        <v>22</v>
      </c>
      <c r="U1856" s="211" t="s">
        <v>23</v>
      </c>
    </row>
    <row r="1857" spans="1:21" ht="63" x14ac:dyDescent="0.25">
      <c r="A1857" s="183" t="s">
        <v>691</v>
      </c>
      <c r="G1857" s="182" t="s">
        <v>692</v>
      </c>
      <c r="H1857" s="216"/>
    </row>
    <row r="1858" spans="1:21" x14ac:dyDescent="0.25">
      <c r="A1858" s="537" t="s">
        <v>30</v>
      </c>
      <c r="B1858" s="537"/>
      <c r="C1858" s="537"/>
      <c r="D1858" s="537"/>
      <c r="E1858" s="537"/>
      <c r="F1858" s="184">
        <f>SUM(F1856:F1857)</f>
        <v>0</v>
      </c>
      <c r="G1858" s="537" t="s">
        <v>31</v>
      </c>
      <c r="H1858" s="537"/>
      <c r="I1858" s="537"/>
      <c r="J1858" s="537"/>
      <c r="K1858" s="184">
        <f>SUM(K1856:K1857)</f>
        <v>0</v>
      </c>
      <c r="L1858" s="537" t="s">
        <v>32</v>
      </c>
      <c r="M1858" s="537"/>
      <c r="N1858" s="537"/>
      <c r="O1858" s="537"/>
      <c r="P1858" s="184">
        <f>SUM(P1856:P1857)</f>
        <v>0</v>
      </c>
      <c r="Q1858" s="537" t="s">
        <v>38</v>
      </c>
      <c r="R1858" s="537"/>
      <c r="S1858" s="537"/>
      <c r="T1858" s="537"/>
      <c r="U1858" s="223">
        <f>SUM(U1856:U1857)</f>
        <v>0</v>
      </c>
    </row>
    <row r="1859" spans="1:21" x14ac:dyDescent="0.25">
      <c r="A1859" s="537" t="s">
        <v>33</v>
      </c>
      <c r="B1859" s="537"/>
      <c r="C1859" s="537"/>
      <c r="D1859" s="537"/>
      <c r="E1859" s="537"/>
      <c r="F1859" s="184">
        <f>SUM(F1858+K1858+P1858)</f>
        <v>0</v>
      </c>
      <c r="G1859" s="537" t="s">
        <v>39</v>
      </c>
      <c r="H1859" s="537"/>
      <c r="I1859" s="537"/>
      <c r="J1859" s="537"/>
      <c r="K1859" s="184">
        <f>SUM(F1858+K1858+P1858+U1858)</f>
        <v>0</v>
      </c>
      <c r="L1859" s="537" t="s">
        <v>40</v>
      </c>
      <c r="M1859" s="537"/>
      <c r="N1859" s="537"/>
      <c r="O1859" s="537"/>
      <c r="P1859" s="184">
        <f>SUM(K1859*0.15)</f>
        <v>0</v>
      </c>
      <c r="Q1859" s="537" t="s">
        <v>41</v>
      </c>
      <c r="R1859" s="537"/>
      <c r="S1859" s="537"/>
      <c r="T1859" s="537"/>
      <c r="U1859" s="223">
        <f>SUM(K1859+P1859)</f>
        <v>0</v>
      </c>
    </row>
    <row r="1860" spans="1:21" x14ac:dyDescent="0.25">
      <c r="Q1860" s="537" t="s">
        <v>42</v>
      </c>
      <c r="R1860" s="537"/>
      <c r="S1860" s="537"/>
      <c r="T1860" s="537"/>
      <c r="U1860" s="224">
        <f>ROUND((U1859/10),2)</f>
        <v>0</v>
      </c>
    </row>
    <row r="1861" spans="1:21" x14ac:dyDescent="0.25">
      <c r="A1861" s="544"/>
      <c r="B1861" s="544"/>
      <c r="C1861" s="544"/>
      <c r="D1861" s="544"/>
      <c r="E1861" s="544"/>
      <c r="F1861" s="544"/>
      <c r="G1861" s="544"/>
      <c r="H1861" s="544"/>
      <c r="I1861" s="544"/>
      <c r="J1861" s="544"/>
      <c r="K1861" s="544"/>
      <c r="L1861" s="544"/>
      <c r="M1861" s="544"/>
      <c r="N1861" s="544"/>
      <c r="O1861" s="544"/>
      <c r="P1861" s="544"/>
      <c r="Q1861" s="544"/>
      <c r="R1861" s="544"/>
      <c r="S1861" s="544"/>
      <c r="T1861" s="544"/>
      <c r="U1861" s="544"/>
    </row>
    <row r="1862" spans="1:21" x14ac:dyDescent="0.25">
      <c r="A1862" s="538" t="s">
        <v>12</v>
      </c>
      <c r="B1862" s="538"/>
      <c r="C1862" s="540" t="s">
        <v>693</v>
      </c>
      <c r="D1862" s="540"/>
      <c r="E1862" s="540"/>
      <c r="F1862" s="540"/>
      <c r="G1862" s="540"/>
      <c r="H1862" s="540"/>
      <c r="I1862" s="540"/>
      <c r="J1862" s="540"/>
      <c r="K1862" s="540"/>
      <c r="L1862" s="540"/>
      <c r="M1862" s="540"/>
      <c r="N1862" s="540"/>
      <c r="O1862" s="540"/>
      <c r="P1862" s="540"/>
      <c r="Q1862" s="540"/>
      <c r="R1862" s="540"/>
      <c r="S1862" s="540"/>
      <c r="T1862" s="540"/>
      <c r="U1862" s="541" t="s">
        <v>435</v>
      </c>
    </row>
    <row r="1863" spans="1:21" x14ac:dyDescent="0.25">
      <c r="A1863" s="538"/>
      <c r="B1863" s="538"/>
      <c r="C1863" s="540"/>
      <c r="D1863" s="540"/>
      <c r="E1863" s="540"/>
      <c r="F1863" s="540"/>
      <c r="G1863" s="540"/>
      <c r="H1863" s="540"/>
      <c r="I1863" s="540"/>
      <c r="J1863" s="540"/>
      <c r="K1863" s="540"/>
      <c r="L1863" s="540"/>
      <c r="M1863" s="540"/>
      <c r="N1863" s="540"/>
      <c r="O1863" s="540"/>
      <c r="P1863" s="540"/>
      <c r="Q1863" s="540"/>
      <c r="R1863" s="540"/>
      <c r="S1863" s="540"/>
      <c r="T1863" s="540"/>
      <c r="U1863" s="541"/>
    </row>
    <row r="1864" spans="1:21" x14ac:dyDescent="0.25">
      <c r="A1864" s="539" t="s">
        <v>675</v>
      </c>
      <c r="B1864" s="539"/>
      <c r="C1864" s="540"/>
      <c r="D1864" s="540"/>
      <c r="E1864" s="540"/>
      <c r="F1864" s="540"/>
      <c r="G1864" s="540"/>
      <c r="H1864" s="540"/>
      <c r="I1864" s="540"/>
      <c r="J1864" s="540"/>
      <c r="K1864" s="540"/>
      <c r="L1864" s="540"/>
      <c r="M1864" s="540"/>
      <c r="N1864" s="540"/>
      <c r="O1864" s="540"/>
      <c r="P1864" s="540"/>
      <c r="Q1864" s="540"/>
      <c r="R1864" s="540"/>
      <c r="S1864" s="540"/>
      <c r="T1864" s="540"/>
      <c r="U1864" s="541"/>
    </row>
    <row r="1865" spans="1:21" x14ac:dyDescent="0.25">
      <c r="A1865" s="542" t="s">
        <v>16</v>
      </c>
      <c r="B1865" s="543" t="s">
        <v>18</v>
      </c>
      <c r="C1865" s="543"/>
      <c r="D1865" s="543"/>
      <c r="E1865" s="543"/>
      <c r="F1865" s="543"/>
      <c r="G1865" s="543" t="s">
        <v>24</v>
      </c>
      <c r="H1865" s="543"/>
      <c r="I1865" s="543"/>
      <c r="J1865" s="543"/>
      <c r="K1865" s="543"/>
      <c r="L1865" s="543" t="s">
        <v>25</v>
      </c>
      <c r="M1865" s="543"/>
      <c r="N1865" s="543"/>
      <c r="O1865" s="543"/>
      <c r="P1865" s="543"/>
      <c r="Q1865" s="543" t="s">
        <v>26</v>
      </c>
      <c r="R1865" s="543"/>
      <c r="S1865" s="543"/>
      <c r="T1865" s="543"/>
      <c r="U1865" s="543"/>
    </row>
    <row r="1866" spans="1:21" x14ac:dyDescent="0.25">
      <c r="A1866" s="542"/>
      <c r="B1866" s="182" t="s">
        <v>19</v>
      </c>
      <c r="C1866" s="182" t="s">
        <v>20</v>
      </c>
      <c r="D1866" s="182" t="s">
        <v>21</v>
      </c>
      <c r="E1866" s="182" t="s">
        <v>22</v>
      </c>
      <c r="F1866" s="182" t="s">
        <v>23</v>
      </c>
      <c r="G1866" s="182" t="s">
        <v>19</v>
      </c>
      <c r="H1866" s="216" t="s">
        <v>20</v>
      </c>
      <c r="I1866" s="182" t="s">
        <v>21</v>
      </c>
      <c r="J1866" s="182" t="s">
        <v>22</v>
      </c>
      <c r="K1866" s="182" t="s">
        <v>23</v>
      </c>
      <c r="L1866" s="182" t="s">
        <v>19</v>
      </c>
      <c r="M1866" s="182" t="s">
        <v>20</v>
      </c>
      <c r="N1866" s="182" t="s">
        <v>21</v>
      </c>
      <c r="O1866" s="182" t="s">
        <v>22</v>
      </c>
      <c r="P1866" s="182" t="s">
        <v>23</v>
      </c>
      <c r="Q1866" s="182" t="s">
        <v>19</v>
      </c>
      <c r="R1866" s="182" t="s">
        <v>20</v>
      </c>
      <c r="S1866" s="182" t="s">
        <v>21</v>
      </c>
      <c r="T1866" s="182" t="s">
        <v>22</v>
      </c>
      <c r="U1866" s="211" t="s">
        <v>23</v>
      </c>
    </row>
    <row r="1867" spans="1:21" x14ac:dyDescent="0.25">
      <c r="A1867" s="183" t="s">
        <v>694</v>
      </c>
      <c r="B1867" s="182" t="s">
        <v>47</v>
      </c>
      <c r="C1867" s="182" t="s">
        <v>28</v>
      </c>
      <c r="D1867" s="182">
        <v>14</v>
      </c>
      <c r="E1867" s="182">
        <f>skilled</f>
        <v>1245</v>
      </c>
      <c r="F1867" s="184">
        <f>(D1867*E1867)</f>
        <v>17430</v>
      </c>
      <c r="G1867" s="182" t="s">
        <v>678</v>
      </c>
      <c r="H1867" s="216" t="s">
        <v>84</v>
      </c>
      <c r="I1867" s="188">
        <f>2/8</f>
        <v>0.25</v>
      </c>
      <c r="J1867" s="182">
        <f>adopted_rate_sal_wood</f>
        <v>54695</v>
      </c>
      <c r="K1867" s="182">
        <f>(I1867*J1867)</f>
        <v>13673.75</v>
      </c>
    </row>
    <row r="1868" spans="1:21" x14ac:dyDescent="0.25">
      <c r="B1868" s="182" t="s">
        <v>29</v>
      </c>
      <c r="C1868" s="182" t="s">
        <v>28</v>
      </c>
      <c r="D1868" s="182">
        <v>14</v>
      </c>
      <c r="E1868" s="182">
        <f>unskilled</f>
        <v>935</v>
      </c>
      <c r="F1868" s="184">
        <f>(D1868*E1868)</f>
        <v>13090</v>
      </c>
      <c r="G1868" s="182" t="s">
        <v>648</v>
      </c>
      <c r="H1868" s="216" t="s">
        <v>144</v>
      </c>
      <c r="I1868" s="182">
        <v>6</v>
      </c>
      <c r="J1868" s="182">
        <f>adopted_rate_nails_spikes</f>
        <v>132</v>
      </c>
      <c r="K1868" s="182">
        <f>(I1868*J1868)</f>
        <v>792</v>
      </c>
    </row>
    <row r="1869" spans="1:21" x14ac:dyDescent="0.25">
      <c r="A1869" s="537" t="s">
        <v>30</v>
      </c>
      <c r="B1869" s="537"/>
      <c r="C1869" s="537"/>
      <c r="D1869" s="537"/>
      <c r="E1869" s="537"/>
      <c r="F1869" s="184">
        <f>SUM(F1866:F1868)</f>
        <v>30520</v>
      </c>
      <c r="G1869" s="537" t="s">
        <v>31</v>
      </c>
      <c r="H1869" s="537"/>
      <c r="I1869" s="537"/>
      <c r="J1869" s="537"/>
      <c r="K1869" s="184">
        <f>SUM(K1866:K1868)</f>
        <v>14465.75</v>
      </c>
      <c r="L1869" s="537" t="s">
        <v>32</v>
      </c>
      <c r="M1869" s="537"/>
      <c r="N1869" s="537"/>
      <c r="O1869" s="537"/>
      <c r="P1869" s="184">
        <f>SUM(P1866:P1868)</f>
        <v>0</v>
      </c>
      <c r="Q1869" s="537" t="s">
        <v>38</v>
      </c>
      <c r="R1869" s="537"/>
      <c r="S1869" s="537"/>
      <c r="T1869" s="537"/>
      <c r="U1869" s="223">
        <f>SUM(U1866:U1868)</f>
        <v>0</v>
      </c>
    </row>
    <row r="1870" spans="1:21" x14ac:dyDescent="0.25">
      <c r="A1870" s="537" t="s">
        <v>33</v>
      </c>
      <c r="B1870" s="537"/>
      <c r="C1870" s="537"/>
      <c r="D1870" s="537"/>
      <c r="E1870" s="537"/>
      <c r="F1870" s="184">
        <f>SUM(F1869+K1869+P1869)</f>
        <v>44985.75</v>
      </c>
      <c r="G1870" s="537" t="s">
        <v>39</v>
      </c>
      <c r="H1870" s="537"/>
      <c r="I1870" s="537"/>
      <c r="J1870" s="537"/>
      <c r="K1870" s="184">
        <f>SUM(F1869+K1869+P1869+U1869)</f>
        <v>44985.75</v>
      </c>
      <c r="L1870" s="537" t="s">
        <v>40</v>
      </c>
      <c r="M1870" s="537"/>
      <c r="N1870" s="537"/>
      <c r="O1870" s="537"/>
      <c r="P1870" s="184">
        <f>SUM(K1870*0.15)</f>
        <v>6747.8625000000002</v>
      </c>
      <c r="Q1870" s="537" t="s">
        <v>41</v>
      </c>
      <c r="R1870" s="537"/>
      <c r="S1870" s="537"/>
      <c r="T1870" s="537"/>
      <c r="U1870" s="223">
        <f>SUM(K1870+P1870)</f>
        <v>51733.612500000003</v>
      </c>
    </row>
    <row r="1871" spans="1:21" x14ac:dyDescent="0.25">
      <c r="Q1871" s="537" t="s">
        <v>42</v>
      </c>
      <c r="R1871" s="537"/>
      <c r="S1871" s="537"/>
      <c r="T1871" s="537"/>
      <c r="U1871" s="224">
        <f>ROUND((U1870/10),2)</f>
        <v>5173.3599999999997</v>
      </c>
    </row>
    <row r="1872" spans="1:21" x14ac:dyDescent="0.25">
      <c r="A1872" s="544"/>
      <c r="B1872" s="544"/>
      <c r="C1872" s="544"/>
      <c r="D1872" s="544"/>
      <c r="E1872" s="544"/>
      <c r="F1872" s="544"/>
      <c r="G1872" s="544"/>
      <c r="H1872" s="544"/>
      <c r="I1872" s="544"/>
      <c r="J1872" s="544"/>
      <c r="K1872" s="544"/>
      <c r="L1872" s="544"/>
      <c r="M1872" s="544"/>
      <c r="N1872" s="544"/>
      <c r="O1872" s="544"/>
      <c r="P1872" s="544"/>
      <c r="Q1872" s="544"/>
      <c r="R1872" s="544"/>
      <c r="S1872" s="544"/>
      <c r="T1872" s="544"/>
      <c r="U1872" s="544"/>
    </row>
    <row r="1873" spans="1:21" x14ac:dyDescent="0.25">
      <c r="A1873" s="538" t="s">
        <v>12</v>
      </c>
      <c r="B1873" s="538"/>
      <c r="C1873" s="540" t="s">
        <v>695</v>
      </c>
      <c r="D1873" s="540"/>
      <c r="E1873" s="540"/>
      <c r="F1873" s="540"/>
      <c r="G1873" s="540"/>
      <c r="H1873" s="540"/>
      <c r="I1873" s="540"/>
      <c r="J1873" s="540"/>
      <c r="K1873" s="540"/>
      <c r="L1873" s="540"/>
      <c r="M1873" s="540"/>
      <c r="N1873" s="540"/>
      <c r="O1873" s="540"/>
      <c r="P1873" s="540"/>
      <c r="Q1873" s="540"/>
      <c r="R1873" s="540"/>
      <c r="S1873" s="540"/>
      <c r="T1873" s="540"/>
      <c r="U1873" s="541" t="s">
        <v>435</v>
      </c>
    </row>
    <row r="1874" spans="1:21" x14ac:dyDescent="0.25">
      <c r="A1874" s="538"/>
      <c r="B1874" s="538"/>
      <c r="C1874" s="540"/>
      <c r="D1874" s="540"/>
      <c r="E1874" s="540"/>
      <c r="F1874" s="540"/>
      <c r="G1874" s="540"/>
      <c r="H1874" s="540"/>
      <c r="I1874" s="540"/>
      <c r="J1874" s="540"/>
      <c r="K1874" s="540"/>
      <c r="L1874" s="540"/>
      <c r="M1874" s="540"/>
      <c r="N1874" s="540"/>
      <c r="O1874" s="540"/>
      <c r="P1874" s="540"/>
      <c r="Q1874" s="540"/>
      <c r="R1874" s="540"/>
      <c r="S1874" s="540"/>
      <c r="T1874" s="540"/>
      <c r="U1874" s="541"/>
    </row>
    <row r="1875" spans="1:21" x14ac:dyDescent="0.25">
      <c r="A1875" s="539" t="s">
        <v>675</v>
      </c>
      <c r="B1875" s="539"/>
      <c r="C1875" s="540"/>
      <c r="D1875" s="540"/>
      <c r="E1875" s="540"/>
      <c r="F1875" s="540"/>
      <c r="G1875" s="540"/>
      <c r="H1875" s="540"/>
      <c r="I1875" s="540"/>
      <c r="J1875" s="540"/>
      <c r="K1875" s="540"/>
      <c r="L1875" s="540"/>
      <c r="M1875" s="540"/>
      <c r="N1875" s="540"/>
      <c r="O1875" s="540"/>
      <c r="P1875" s="540"/>
      <c r="Q1875" s="540"/>
      <c r="R1875" s="540"/>
      <c r="S1875" s="540"/>
      <c r="T1875" s="540"/>
      <c r="U1875" s="541"/>
    </row>
    <row r="1876" spans="1:21" x14ac:dyDescent="0.25">
      <c r="A1876" s="542" t="s">
        <v>16</v>
      </c>
      <c r="B1876" s="543" t="s">
        <v>18</v>
      </c>
      <c r="C1876" s="543"/>
      <c r="D1876" s="543"/>
      <c r="E1876" s="543"/>
      <c r="F1876" s="543"/>
      <c r="G1876" s="543" t="s">
        <v>24</v>
      </c>
      <c r="H1876" s="543"/>
      <c r="I1876" s="543"/>
      <c r="J1876" s="543"/>
      <c r="K1876" s="543"/>
      <c r="L1876" s="543" t="s">
        <v>25</v>
      </c>
      <c r="M1876" s="543"/>
      <c r="N1876" s="543"/>
      <c r="O1876" s="543"/>
      <c r="P1876" s="543"/>
      <c r="Q1876" s="543" t="s">
        <v>26</v>
      </c>
      <c r="R1876" s="543"/>
      <c r="S1876" s="543"/>
      <c r="T1876" s="543"/>
      <c r="U1876" s="543"/>
    </row>
    <row r="1877" spans="1:21" x14ac:dyDescent="0.25">
      <c r="A1877" s="542"/>
      <c r="B1877" s="182" t="s">
        <v>19</v>
      </c>
      <c r="C1877" s="182" t="s">
        <v>20</v>
      </c>
      <c r="D1877" s="182" t="s">
        <v>21</v>
      </c>
      <c r="E1877" s="182" t="s">
        <v>22</v>
      </c>
      <c r="F1877" s="182" t="s">
        <v>23</v>
      </c>
      <c r="G1877" s="182" t="s">
        <v>19</v>
      </c>
      <c r="H1877" s="216" t="s">
        <v>20</v>
      </c>
      <c r="I1877" s="182" t="s">
        <v>21</v>
      </c>
      <c r="J1877" s="182" t="s">
        <v>22</v>
      </c>
      <c r="K1877" s="182" t="s">
        <v>23</v>
      </c>
      <c r="L1877" s="182" t="s">
        <v>19</v>
      </c>
      <c r="M1877" s="182" t="s">
        <v>20</v>
      </c>
      <c r="N1877" s="182" t="s">
        <v>21</v>
      </c>
      <c r="O1877" s="182" t="s">
        <v>22</v>
      </c>
      <c r="P1877" s="182" t="s">
        <v>23</v>
      </c>
      <c r="Q1877" s="182" t="s">
        <v>19</v>
      </c>
      <c r="R1877" s="182" t="s">
        <v>20</v>
      </c>
      <c r="S1877" s="182" t="s">
        <v>21</v>
      </c>
      <c r="T1877" s="182" t="s">
        <v>22</v>
      </c>
      <c r="U1877" s="211" t="s">
        <v>23</v>
      </c>
    </row>
    <row r="1878" spans="1:21" ht="31.5" x14ac:dyDescent="0.25">
      <c r="A1878" s="183" t="s">
        <v>696</v>
      </c>
      <c r="B1878" s="182" t="s">
        <v>47</v>
      </c>
      <c r="C1878" s="182" t="s">
        <v>28</v>
      </c>
      <c r="D1878" s="182">
        <v>28</v>
      </c>
      <c r="E1878" s="182">
        <f>skilled</f>
        <v>1245</v>
      </c>
      <c r="F1878" s="184">
        <f>(D1878*E1878)</f>
        <v>34860</v>
      </c>
      <c r="G1878" s="182" t="s">
        <v>678</v>
      </c>
      <c r="H1878" s="216" t="s">
        <v>84</v>
      </c>
      <c r="I1878" s="188">
        <f>4/8</f>
        <v>0.5</v>
      </c>
      <c r="J1878" s="182">
        <f>adopted_rate_sal_wood</f>
        <v>54695</v>
      </c>
      <c r="K1878" s="182">
        <f>(I1878*J1878)</f>
        <v>27347.5</v>
      </c>
    </row>
    <row r="1879" spans="1:21" x14ac:dyDescent="0.25">
      <c r="B1879" s="182" t="s">
        <v>29</v>
      </c>
      <c r="C1879" s="182" t="s">
        <v>28</v>
      </c>
      <c r="D1879" s="182">
        <v>32</v>
      </c>
      <c r="E1879" s="182">
        <f>unskilled</f>
        <v>935</v>
      </c>
      <c r="F1879" s="184">
        <f>(D1879*E1879)</f>
        <v>29920</v>
      </c>
      <c r="G1879" s="182" t="s">
        <v>648</v>
      </c>
      <c r="H1879" s="216" t="s">
        <v>144</v>
      </c>
      <c r="I1879" s="182">
        <v>12</v>
      </c>
      <c r="J1879" s="182">
        <f>adopted_rate_nails_spikes</f>
        <v>132</v>
      </c>
      <c r="K1879" s="182">
        <f>(I1879*J1879)</f>
        <v>1584</v>
      </c>
    </row>
    <row r="1880" spans="1:21" x14ac:dyDescent="0.25">
      <c r="A1880" s="537" t="s">
        <v>30</v>
      </c>
      <c r="B1880" s="537"/>
      <c r="C1880" s="537"/>
      <c r="D1880" s="537"/>
      <c r="E1880" s="537"/>
      <c r="F1880" s="184">
        <f>SUM(F1877:F1879)</f>
        <v>64780</v>
      </c>
      <c r="G1880" s="537" t="s">
        <v>31</v>
      </c>
      <c r="H1880" s="537"/>
      <c r="I1880" s="537"/>
      <c r="J1880" s="537"/>
      <c r="K1880" s="184">
        <f>SUM(K1877:K1879)</f>
        <v>28931.5</v>
      </c>
      <c r="L1880" s="537" t="s">
        <v>32</v>
      </c>
      <c r="M1880" s="537"/>
      <c r="N1880" s="537"/>
      <c r="O1880" s="537"/>
      <c r="P1880" s="184">
        <f>SUM(P1877:P1879)</f>
        <v>0</v>
      </c>
      <c r="Q1880" s="537" t="s">
        <v>38</v>
      </c>
      <c r="R1880" s="537"/>
      <c r="S1880" s="537"/>
      <c r="T1880" s="537"/>
      <c r="U1880" s="223">
        <f>SUM(U1877:U1879)</f>
        <v>0</v>
      </c>
    </row>
    <row r="1881" spans="1:21" x14ac:dyDescent="0.25">
      <c r="A1881" s="537" t="s">
        <v>33</v>
      </c>
      <c r="B1881" s="537"/>
      <c r="C1881" s="537"/>
      <c r="D1881" s="537"/>
      <c r="E1881" s="537"/>
      <c r="F1881" s="184">
        <f>SUM(F1880+K1880+P1880)</f>
        <v>93711.5</v>
      </c>
      <c r="G1881" s="537" t="s">
        <v>39</v>
      </c>
      <c r="H1881" s="537"/>
      <c r="I1881" s="537"/>
      <c r="J1881" s="537"/>
      <c r="K1881" s="184">
        <f>SUM(F1880+K1880+P1880+U1880)</f>
        <v>93711.5</v>
      </c>
      <c r="L1881" s="537" t="s">
        <v>40</v>
      </c>
      <c r="M1881" s="537"/>
      <c r="N1881" s="537"/>
      <c r="O1881" s="537"/>
      <c r="P1881" s="184">
        <f>SUM(K1881*0.15)</f>
        <v>14056.725</v>
      </c>
      <c r="Q1881" s="537" t="s">
        <v>41</v>
      </c>
      <c r="R1881" s="537"/>
      <c r="S1881" s="537"/>
      <c r="T1881" s="537"/>
      <c r="U1881" s="223">
        <f>SUM(K1881+P1881)</f>
        <v>107768.22500000001</v>
      </c>
    </row>
    <row r="1882" spans="1:21" x14ac:dyDescent="0.25">
      <c r="Q1882" s="537" t="s">
        <v>42</v>
      </c>
      <c r="R1882" s="537"/>
      <c r="S1882" s="537"/>
      <c r="T1882" s="537"/>
      <c r="U1882" s="224">
        <f>ROUND((U1881/10),2)</f>
        <v>10776.82</v>
      </c>
    </row>
    <row r="1883" spans="1:21" x14ac:dyDescent="0.25">
      <c r="A1883" s="544"/>
      <c r="B1883" s="544"/>
      <c r="C1883" s="544"/>
      <c r="D1883" s="544"/>
      <c r="E1883" s="544"/>
      <c r="F1883" s="544"/>
      <c r="G1883" s="544"/>
      <c r="H1883" s="544"/>
      <c r="I1883" s="544"/>
      <c r="J1883" s="544"/>
      <c r="K1883" s="544"/>
      <c r="L1883" s="544"/>
      <c r="M1883" s="544"/>
      <c r="N1883" s="544"/>
      <c r="O1883" s="544"/>
      <c r="P1883" s="544"/>
      <c r="Q1883" s="544"/>
      <c r="R1883" s="544"/>
      <c r="S1883" s="544"/>
      <c r="T1883" s="544"/>
      <c r="U1883" s="544"/>
    </row>
    <row r="1884" spans="1:21" x14ac:dyDescent="0.25">
      <c r="A1884" s="538" t="s">
        <v>12</v>
      </c>
      <c r="B1884" s="538"/>
      <c r="C1884" s="540" t="s">
        <v>697</v>
      </c>
      <c r="D1884" s="540"/>
      <c r="E1884" s="540"/>
      <c r="F1884" s="540"/>
      <c r="G1884" s="540"/>
      <c r="H1884" s="540"/>
      <c r="I1884" s="540"/>
      <c r="J1884" s="540"/>
      <c r="K1884" s="540"/>
      <c r="L1884" s="540"/>
      <c r="M1884" s="540"/>
      <c r="N1884" s="540"/>
      <c r="O1884" s="540"/>
      <c r="P1884" s="540"/>
      <c r="Q1884" s="540"/>
      <c r="R1884" s="540"/>
      <c r="S1884" s="540"/>
      <c r="T1884" s="540"/>
      <c r="U1884" s="541" t="s">
        <v>435</v>
      </c>
    </row>
    <row r="1885" spans="1:21" x14ac:dyDescent="0.25">
      <c r="A1885" s="538"/>
      <c r="B1885" s="538"/>
      <c r="C1885" s="540"/>
      <c r="D1885" s="540"/>
      <c r="E1885" s="540"/>
      <c r="F1885" s="540"/>
      <c r="G1885" s="540"/>
      <c r="H1885" s="540"/>
      <c r="I1885" s="540"/>
      <c r="J1885" s="540"/>
      <c r="K1885" s="540"/>
      <c r="L1885" s="540"/>
      <c r="M1885" s="540"/>
      <c r="N1885" s="540"/>
      <c r="O1885" s="540"/>
      <c r="P1885" s="540"/>
      <c r="Q1885" s="540"/>
      <c r="R1885" s="540"/>
      <c r="S1885" s="540"/>
      <c r="T1885" s="540"/>
      <c r="U1885" s="541"/>
    </row>
    <row r="1886" spans="1:21" x14ac:dyDescent="0.25">
      <c r="A1886" s="539" t="s">
        <v>675</v>
      </c>
      <c r="B1886" s="539"/>
      <c r="C1886" s="540"/>
      <c r="D1886" s="540"/>
      <c r="E1886" s="540"/>
      <c r="F1886" s="540"/>
      <c r="G1886" s="540"/>
      <c r="H1886" s="540"/>
      <c r="I1886" s="540"/>
      <c r="J1886" s="540"/>
      <c r="K1886" s="540"/>
      <c r="L1886" s="540"/>
      <c r="M1886" s="540"/>
      <c r="N1886" s="540"/>
      <c r="O1886" s="540"/>
      <c r="P1886" s="540"/>
      <c r="Q1886" s="540"/>
      <c r="R1886" s="540"/>
      <c r="S1886" s="540"/>
      <c r="T1886" s="540"/>
      <c r="U1886" s="541"/>
    </row>
    <row r="1887" spans="1:21" x14ac:dyDescent="0.25">
      <c r="A1887" s="542" t="s">
        <v>16</v>
      </c>
      <c r="B1887" s="543" t="s">
        <v>18</v>
      </c>
      <c r="C1887" s="543"/>
      <c r="D1887" s="543"/>
      <c r="E1887" s="543"/>
      <c r="F1887" s="543"/>
      <c r="G1887" s="543" t="s">
        <v>24</v>
      </c>
      <c r="H1887" s="543"/>
      <c r="I1887" s="543"/>
      <c r="J1887" s="543"/>
      <c r="K1887" s="543"/>
      <c r="L1887" s="543" t="s">
        <v>25</v>
      </c>
      <c r="M1887" s="543"/>
      <c r="N1887" s="543"/>
      <c r="O1887" s="543"/>
      <c r="P1887" s="543"/>
      <c r="Q1887" s="543" t="s">
        <v>26</v>
      </c>
      <c r="R1887" s="543"/>
      <c r="S1887" s="543"/>
      <c r="T1887" s="543"/>
      <c r="U1887" s="543"/>
    </row>
    <row r="1888" spans="1:21" x14ac:dyDescent="0.25">
      <c r="A1888" s="542"/>
      <c r="B1888" s="182" t="s">
        <v>19</v>
      </c>
      <c r="C1888" s="182" t="s">
        <v>20</v>
      </c>
      <c r="D1888" s="182" t="s">
        <v>21</v>
      </c>
      <c r="E1888" s="182" t="s">
        <v>22</v>
      </c>
      <c r="F1888" s="182" t="s">
        <v>23</v>
      </c>
      <c r="G1888" s="182" t="s">
        <v>19</v>
      </c>
      <c r="H1888" s="216" t="s">
        <v>20</v>
      </c>
      <c r="I1888" s="182" t="s">
        <v>21</v>
      </c>
      <c r="J1888" s="182" t="s">
        <v>22</v>
      </c>
      <c r="K1888" s="182" t="s">
        <v>23</v>
      </c>
      <c r="L1888" s="182" t="s">
        <v>19</v>
      </c>
      <c r="M1888" s="182" t="s">
        <v>20</v>
      </c>
      <c r="N1888" s="182" t="s">
        <v>21</v>
      </c>
      <c r="O1888" s="182" t="s">
        <v>22</v>
      </c>
      <c r="P1888" s="182" t="s">
        <v>23</v>
      </c>
      <c r="Q1888" s="182" t="s">
        <v>19</v>
      </c>
      <c r="R1888" s="182" t="s">
        <v>20</v>
      </c>
      <c r="S1888" s="182" t="s">
        <v>21</v>
      </c>
      <c r="T1888" s="182" t="s">
        <v>22</v>
      </c>
      <c r="U1888" s="211" t="s">
        <v>23</v>
      </c>
    </row>
    <row r="1889" spans="1:21" ht="31.5" x14ac:dyDescent="0.25">
      <c r="A1889" s="183" t="s">
        <v>698</v>
      </c>
      <c r="B1889" s="182" t="s">
        <v>47</v>
      </c>
      <c r="C1889" s="182" t="s">
        <v>28</v>
      </c>
      <c r="D1889" s="182">
        <v>40</v>
      </c>
      <c r="E1889" s="182">
        <f>skilled</f>
        <v>1245</v>
      </c>
      <c r="F1889" s="184">
        <f>(D1889*E1889)</f>
        <v>49800</v>
      </c>
      <c r="G1889" s="182" t="s">
        <v>678</v>
      </c>
      <c r="H1889" s="216" t="s">
        <v>84</v>
      </c>
      <c r="I1889" s="188">
        <f>7/8</f>
        <v>0.875</v>
      </c>
      <c r="J1889" s="182">
        <f>adopted_rate_sal_wood</f>
        <v>54695</v>
      </c>
      <c r="K1889" s="182">
        <f>(I1889*J1889)</f>
        <v>47858.125</v>
      </c>
    </row>
    <row r="1890" spans="1:21" x14ac:dyDescent="0.25">
      <c r="B1890" s="182" t="s">
        <v>29</v>
      </c>
      <c r="C1890" s="182" t="s">
        <v>28</v>
      </c>
      <c r="D1890" s="182">
        <v>50</v>
      </c>
      <c r="E1890" s="182">
        <f>unskilled</f>
        <v>935</v>
      </c>
      <c r="F1890" s="184">
        <f>(D1890*E1890)</f>
        <v>46750</v>
      </c>
      <c r="G1890" s="182" t="s">
        <v>648</v>
      </c>
      <c r="H1890" s="216" t="s">
        <v>144</v>
      </c>
      <c r="I1890" s="182">
        <v>21</v>
      </c>
      <c r="J1890" s="182">
        <f>adopted_rate_nails_spikes</f>
        <v>132</v>
      </c>
      <c r="K1890" s="182">
        <f>(I1890*J1890)</f>
        <v>2772</v>
      </c>
    </row>
    <row r="1891" spans="1:21" x14ac:dyDescent="0.25">
      <c r="A1891" s="537" t="s">
        <v>30</v>
      </c>
      <c r="B1891" s="537"/>
      <c r="C1891" s="537"/>
      <c r="D1891" s="537"/>
      <c r="E1891" s="537"/>
      <c r="F1891" s="184">
        <f>SUM(F1888:F1890)</f>
        <v>96550</v>
      </c>
      <c r="G1891" s="537" t="s">
        <v>31</v>
      </c>
      <c r="H1891" s="537"/>
      <c r="I1891" s="537"/>
      <c r="J1891" s="537"/>
      <c r="K1891" s="184">
        <f>SUM(K1888:K1890)</f>
        <v>50630.125</v>
      </c>
      <c r="L1891" s="537" t="s">
        <v>32</v>
      </c>
      <c r="M1891" s="537"/>
      <c r="N1891" s="537"/>
      <c r="O1891" s="537"/>
      <c r="P1891" s="184">
        <f>SUM(P1888:P1890)</f>
        <v>0</v>
      </c>
      <c r="Q1891" s="537" t="s">
        <v>38</v>
      </c>
      <c r="R1891" s="537"/>
      <c r="S1891" s="537"/>
      <c r="T1891" s="537"/>
      <c r="U1891" s="223">
        <f>SUM(U1888:U1890)</f>
        <v>0</v>
      </c>
    </row>
    <row r="1892" spans="1:21" x14ac:dyDescent="0.25">
      <c r="A1892" s="537" t="s">
        <v>33</v>
      </c>
      <c r="B1892" s="537"/>
      <c r="C1892" s="537"/>
      <c r="D1892" s="537"/>
      <c r="E1892" s="537"/>
      <c r="F1892" s="184">
        <f>SUM(F1891+K1891+P1891)</f>
        <v>147180.125</v>
      </c>
      <c r="G1892" s="537" t="s">
        <v>39</v>
      </c>
      <c r="H1892" s="537"/>
      <c r="I1892" s="537"/>
      <c r="J1892" s="537"/>
      <c r="K1892" s="184">
        <f>SUM(F1891+K1891+P1891+U1891)</f>
        <v>147180.125</v>
      </c>
      <c r="L1892" s="537" t="s">
        <v>40</v>
      </c>
      <c r="M1892" s="537"/>
      <c r="N1892" s="537"/>
      <c r="O1892" s="537"/>
      <c r="P1892" s="184">
        <f>SUM(K1892*0.15)</f>
        <v>22077.018749999999</v>
      </c>
      <c r="Q1892" s="537" t="s">
        <v>41</v>
      </c>
      <c r="R1892" s="537"/>
      <c r="S1892" s="537"/>
      <c r="T1892" s="537"/>
      <c r="U1892" s="223">
        <f>SUM(K1892+P1892)</f>
        <v>169257.14374999999</v>
      </c>
    </row>
    <row r="1893" spans="1:21" x14ac:dyDescent="0.25">
      <c r="Q1893" s="537" t="s">
        <v>42</v>
      </c>
      <c r="R1893" s="537"/>
      <c r="S1893" s="537"/>
      <c r="T1893" s="537"/>
      <c r="U1893" s="224">
        <f>ROUND((U1892/10),2)</f>
        <v>16925.71</v>
      </c>
    </row>
    <row r="1894" spans="1:21" x14ac:dyDescent="0.25">
      <c r="A1894" s="544"/>
      <c r="B1894" s="544"/>
      <c r="C1894" s="544"/>
      <c r="D1894" s="544"/>
      <c r="E1894" s="544"/>
      <c r="F1894" s="544"/>
      <c r="G1894" s="544"/>
      <c r="H1894" s="544"/>
      <c r="I1894" s="544"/>
      <c r="J1894" s="544"/>
      <c r="K1894" s="544"/>
      <c r="L1894" s="544"/>
      <c r="M1894" s="544"/>
      <c r="N1894" s="544"/>
      <c r="O1894" s="544"/>
      <c r="P1894" s="544"/>
      <c r="Q1894" s="544"/>
      <c r="R1894" s="544"/>
      <c r="S1894" s="544"/>
      <c r="T1894" s="544"/>
      <c r="U1894" s="544"/>
    </row>
    <row r="1895" spans="1:21" x14ac:dyDescent="0.25">
      <c r="A1895" s="538" t="s">
        <v>12</v>
      </c>
      <c r="B1895" s="538"/>
      <c r="C1895" s="540" t="s">
        <v>699</v>
      </c>
      <c r="D1895" s="540"/>
      <c r="E1895" s="540"/>
      <c r="F1895" s="540"/>
      <c r="G1895" s="540"/>
      <c r="H1895" s="540"/>
      <c r="I1895" s="540"/>
      <c r="J1895" s="540"/>
      <c r="K1895" s="540"/>
      <c r="L1895" s="540"/>
      <c r="M1895" s="540"/>
      <c r="N1895" s="540"/>
      <c r="O1895" s="540"/>
      <c r="P1895" s="540"/>
      <c r="Q1895" s="540"/>
      <c r="R1895" s="540"/>
      <c r="S1895" s="540"/>
      <c r="T1895" s="540"/>
      <c r="U1895" s="541" t="s">
        <v>435</v>
      </c>
    </row>
    <row r="1896" spans="1:21" x14ac:dyDescent="0.25">
      <c r="A1896" s="538"/>
      <c r="B1896" s="538"/>
      <c r="C1896" s="540"/>
      <c r="D1896" s="540"/>
      <c r="E1896" s="540"/>
      <c r="F1896" s="540"/>
      <c r="G1896" s="540"/>
      <c r="H1896" s="540"/>
      <c r="I1896" s="540"/>
      <c r="J1896" s="540"/>
      <c r="K1896" s="540"/>
      <c r="L1896" s="540"/>
      <c r="M1896" s="540"/>
      <c r="N1896" s="540"/>
      <c r="O1896" s="540"/>
      <c r="P1896" s="540"/>
      <c r="Q1896" s="540"/>
      <c r="R1896" s="540"/>
      <c r="S1896" s="540"/>
      <c r="T1896" s="540"/>
      <c r="U1896" s="541"/>
    </row>
    <row r="1897" spans="1:21" x14ac:dyDescent="0.25">
      <c r="A1897" s="539" t="s">
        <v>675</v>
      </c>
      <c r="B1897" s="539"/>
      <c r="C1897" s="540"/>
      <c r="D1897" s="540"/>
      <c r="E1897" s="540"/>
      <c r="F1897" s="540"/>
      <c r="G1897" s="540"/>
      <c r="H1897" s="540"/>
      <c r="I1897" s="540"/>
      <c r="J1897" s="540"/>
      <c r="K1897" s="540"/>
      <c r="L1897" s="540"/>
      <c r="M1897" s="540"/>
      <c r="N1897" s="540"/>
      <c r="O1897" s="540"/>
      <c r="P1897" s="540"/>
      <c r="Q1897" s="540"/>
      <c r="R1897" s="540"/>
      <c r="S1897" s="540"/>
      <c r="T1897" s="540"/>
      <c r="U1897" s="541"/>
    </row>
    <row r="1898" spans="1:21" x14ac:dyDescent="0.25">
      <c r="A1898" s="542" t="s">
        <v>16</v>
      </c>
      <c r="B1898" s="543" t="s">
        <v>18</v>
      </c>
      <c r="C1898" s="543"/>
      <c r="D1898" s="543"/>
      <c r="E1898" s="543"/>
      <c r="F1898" s="543"/>
      <c r="G1898" s="543" t="s">
        <v>24</v>
      </c>
      <c r="H1898" s="543"/>
      <c r="I1898" s="543"/>
      <c r="J1898" s="543"/>
      <c r="K1898" s="543"/>
      <c r="L1898" s="543" t="s">
        <v>25</v>
      </c>
      <c r="M1898" s="543"/>
      <c r="N1898" s="543"/>
      <c r="O1898" s="543"/>
      <c r="P1898" s="543"/>
      <c r="Q1898" s="543" t="s">
        <v>26</v>
      </c>
      <c r="R1898" s="543"/>
      <c r="S1898" s="543"/>
      <c r="T1898" s="543"/>
      <c r="U1898" s="543"/>
    </row>
    <row r="1899" spans="1:21" x14ac:dyDescent="0.25">
      <c r="A1899" s="542"/>
      <c r="B1899" s="182" t="s">
        <v>19</v>
      </c>
      <c r="C1899" s="182" t="s">
        <v>20</v>
      </c>
      <c r="D1899" s="182" t="s">
        <v>21</v>
      </c>
      <c r="E1899" s="182" t="s">
        <v>22</v>
      </c>
      <c r="F1899" s="182" t="s">
        <v>23</v>
      </c>
      <c r="G1899" s="182" t="s">
        <v>19</v>
      </c>
      <c r="H1899" s="216" t="s">
        <v>20</v>
      </c>
      <c r="I1899" s="182" t="s">
        <v>21</v>
      </c>
      <c r="J1899" s="182" t="s">
        <v>22</v>
      </c>
      <c r="K1899" s="182" t="s">
        <v>23</v>
      </c>
      <c r="L1899" s="182" t="s">
        <v>19</v>
      </c>
      <c r="M1899" s="182" t="s">
        <v>20</v>
      </c>
      <c r="N1899" s="182" t="s">
        <v>21</v>
      </c>
      <c r="O1899" s="182" t="s">
        <v>22</v>
      </c>
      <c r="P1899" s="182" t="s">
        <v>23</v>
      </c>
      <c r="Q1899" s="182" t="s">
        <v>19</v>
      </c>
      <c r="R1899" s="182" t="s">
        <v>20</v>
      </c>
      <c r="S1899" s="182" t="s">
        <v>21</v>
      </c>
      <c r="T1899" s="182" t="s">
        <v>22</v>
      </c>
      <c r="U1899" s="211" t="s">
        <v>23</v>
      </c>
    </row>
    <row r="1900" spans="1:21" ht="31.5" x14ac:dyDescent="0.25">
      <c r="A1900" s="183" t="s">
        <v>700</v>
      </c>
      <c r="B1900" s="182" t="s">
        <v>47</v>
      </c>
      <c r="C1900" s="182" t="s">
        <v>28</v>
      </c>
      <c r="D1900" s="182">
        <v>14</v>
      </c>
      <c r="E1900" s="182">
        <f>skilled</f>
        <v>1245</v>
      </c>
      <c r="F1900" s="184">
        <f>(D1900*E1900)</f>
        <v>17430</v>
      </c>
      <c r="G1900" s="182" t="s">
        <v>652</v>
      </c>
      <c r="H1900" s="216" t="s">
        <v>463</v>
      </c>
      <c r="I1900" s="188">
        <f>600/60</f>
        <v>10</v>
      </c>
      <c r="J1900" s="182">
        <f>adopted_rate_ms_pipes_dia_40mm</f>
        <v>964</v>
      </c>
      <c r="K1900" s="182">
        <f>(I1900*J1900)</f>
        <v>9640</v>
      </c>
    </row>
    <row r="1901" spans="1:21" x14ac:dyDescent="0.25">
      <c r="B1901" s="182" t="s">
        <v>29</v>
      </c>
      <c r="C1901" s="182" t="s">
        <v>28</v>
      </c>
      <c r="D1901" s="182">
        <v>25</v>
      </c>
      <c r="E1901" s="182">
        <f>unskilled</f>
        <v>935</v>
      </c>
      <c r="F1901" s="184">
        <f>(D1901*E1901)</f>
        <v>23375</v>
      </c>
      <c r="G1901" s="182" t="s">
        <v>653</v>
      </c>
      <c r="H1901" s="216" t="s">
        <v>49</v>
      </c>
      <c r="I1901" s="188">
        <f>342/40</f>
        <v>8.5500000000000007</v>
      </c>
      <c r="J1901" s="182">
        <f>adopted_rate_clamps</f>
        <v>0</v>
      </c>
      <c r="K1901" s="182">
        <f>(I1901*J1901)</f>
        <v>0</v>
      </c>
    </row>
    <row r="1902" spans="1:21" ht="31.5" x14ac:dyDescent="0.25">
      <c r="G1902" s="182" t="s">
        <v>654</v>
      </c>
      <c r="H1902" s="216" t="s">
        <v>144</v>
      </c>
      <c r="I1902" s="182">
        <v>3.56</v>
      </c>
      <c r="J1902" s="182">
        <f>adopted_rate_nuts_bolts</f>
        <v>195</v>
      </c>
      <c r="K1902" s="182">
        <f>(I1902*J1902)</f>
        <v>694.2</v>
      </c>
    </row>
    <row r="1903" spans="1:21" x14ac:dyDescent="0.25">
      <c r="A1903" s="537" t="s">
        <v>30</v>
      </c>
      <c r="B1903" s="537"/>
      <c r="C1903" s="537"/>
      <c r="D1903" s="537"/>
      <c r="E1903" s="537"/>
      <c r="F1903" s="184">
        <f>SUM(F1899:F1902)</f>
        <v>40805</v>
      </c>
      <c r="G1903" s="537" t="s">
        <v>31</v>
      </c>
      <c r="H1903" s="537"/>
      <c r="I1903" s="537"/>
      <c r="J1903" s="537"/>
      <c r="K1903" s="184">
        <f>SUM(K1899:K1902)</f>
        <v>10334.200000000001</v>
      </c>
      <c r="L1903" s="537" t="s">
        <v>32</v>
      </c>
      <c r="M1903" s="537"/>
      <c r="N1903" s="537"/>
      <c r="O1903" s="537"/>
      <c r="P1903" s="184">
        <f>SUM(P1899:P1902)</f>
        <v>0</v>
      </c>
      <c r="Q1903" s="537" t="s">
        <v>38</v>
      </c>
      <c r="R1903" s="537"/>
      <c r="S1903" s="537"/>
      <c r="T1903" s="537"/>
      <c r="U1903" s="223">
        <f>SUM(U1899:U1902)</f>
        <v>0</v>
      </c>
    </row>
    <row r="1904" spans="1:21" x14ac:dyDescent="0.25">
      <c r="A1904" s="537" t="s">
        <v>33</v>
      </c>
      <c r="B1904" s="537"/>
      <c r="C1904" s="537"/>
      <c r="D1904" s="537"/>
      <c r="E1904" s="537"/>
      <c r="F1904" s="184">
        <f>SUM(F1903+K1903+P1903)</f>
        <v>51139.199999999997</v>
      </c>
      <c r="G1904" s="537" t="s">
        <v>39</v>
      </c>
      <c r="H1904" s="537"/>
      <c r="I1904" s="537"/>
      <c r="J1904" s="537"/>
      <c r="K1904" s="184">
        <f>SUM(F1903+K1903+P1903+U1903)</f>
        <v>51139.199999999997</v>
      </c>
      <c r="L1904" s="537" t="s">
        <v>40</v>
      </c>
      <c r="M1904" s="537"/>
      <c r="N1904" s="537"/>
      <c r="O1904" s="537"/>
      <c r="P1904" s="184">
        <f>SUM(K1904*0.15)</f>
        <v>7670.8799999999992</v>
      </c>
      <c r="Q1904" s="537" t="s">
        <v>41</v>
      </c>
      <c r="R1904" s="537"/>
      <c r="S1904" s="537"/>
      <c r="T1904" s="537"/>
      <c r="U1904" s="223">
        <f>SUM(K1904+P1904)</f>
        <v>58810.079999999994</v>
      </c>
    </row>
    <row r="1905" spans="1:21" x14ac:dyDescent="0.25">
      <c r="Q1905" s="537" t="s">
        <v>42</v>
      </c>
      <c r="R1905" s="537"/>
      <c r="S1905" s="537"/>
      <c r="T1905" s="537"/>
      <c r="U1905" s="224">
        <f>ROUND((U1904/10),2)</f>
        <v>5881.01</v>
      </c>
    </row>
    <row r="1906" spans="1:21" x14ac:dyDescent="0.25">
      <c r="A1906" s="544"/>
      <c r="B1906" s="544"/>
      <c r="C1906" s="544"/>
      <c r="D1906" s="544"/>
      <c r="E1906" s="544"/>
      <c r="F1906" s="544"/>
      <c r="G1906" s="544"/>
      <c r="H1906" s="544"/>
      <c r="I1906" s="544"/>
      <c r="J1906" s="544"/>
      <c r="K1906" s="544"/>
      <c r="L1906" s="544"/>
      <c r="M1906" s="544"/>
      <c r="N1906" s="544"/>
      <c r="O1906" s="544"/>
      <c r="P1906" s="544"/>
      <c r="Q1906" s="544"/>
      <c r="R1906" s="544"/>
      <c r="S1906" s="544"/>
      <c r="T1906" s="544"/>
      <c r="U1906" s="544"/>
    </row>
    <row r="1907" spans="1:21" x14ac:dyDescent="0.25">
      <c r="A1907" s="538" t="s">
        <v>12</v>
      </c>
      <c r="B1907" s="538"/>
      <c r="C1907" s="540" t="s">
        <v>701</v>
      </c>
      <c r="D1907" s="540"/>
      <c r="E1907" s="540"/>
      <c r="F1907" s="540"/>
      <c r="G1907" s="540"/>
      <c r="H1907" s="540"/>
      <c r="I1907" s="540"/>
      <c r="J1907" s="540"/>
      <c r="K1907" s="540"/>
      <c r="L1907" s="540"/>
      <c r="M1907" s="540"/>
      <c r="N1907" s="540"/>
      <c r="O1907" s="540"/>
      <c r="P1907" s="540"/>
      <c r="Q1907" s="540"/>
      <c r="R1907" s="540"/>
      <c r="S1907" s="540"/>
      <c r="T1907" s="540"/>
      <c r="U1907" s="541" t="s">
        <v>435</v>
      </c>
    </row>
    <row r="1908" spans="1:21" x14ac:dyDescent="0.25">
      <c r="A1908" s="538"/>
      <c r="B1908" s="538"/>
      <c r="C1908" s="540"/>
      <c r="D1908" s="540"/>
      <c r="E1908" s="540"/>
      <c r="F1908" s="540"/>
      <c r="G1908" s="540"/>
      <c r="H1908" s="540"/>
      <c r="I1908" s="540"/>
      <c r="J1908" s="540"/>
      <c r="K1908" s="540"/>
      <c r="L1908" s="540"/>
      <c r="M1908" s="540"/>
      <c r="N1908" s="540"/>
      <c r="O1908" s="540"/>
      <c r="P1908" s="540"/>
      <c r="Q1908" s="540"/>
      <c r="R1908" s="540"/>
      <c r="S1908" s="540"/>
      <c r="T1908" s="540"/>
      <c r="U1908" s="541"/>
    </row>
    <row r="1909" spans="1:21" x14ac:dyDescent="0.25">
      <c r="A1909" s="539" t="s">
        <v>675</v>
      </c>
      <c r="B1909" s="539"/>
      <c r="C1909" s="540"/>
      <c r="D1909" s="540"/>
      <c r="E1909" s="540"/>
      <c r="F1909" s="540"/>
      <c r="G1909" s="540"/>
      <c r="H1909" s="540"/>
      <c r="I1909" s="540"/>
      <c r="J1909" s="540"/>
      <c r="K1909" s="540"/>
      <c r="L1909" s="540"/>
      <c r="M1909" s="540"/>
      <c r="N1909" s="540"/>
      <c r="O1909" s="540"/>
      <c r="P1909" s="540"/>
      <c r="Q1909" s="540"/>
      <c r="R1909" s="540"/>
      <c r="S1909" s="540"/>
      <c r="T1909" s="540"/>
      <c r="U1909" s="541"/>
    </row>
    <row r="1910" spans="1:21" x14ac:dyDescent="0.25">
      <c r="A1910" s="542" t="s">
        <v>16</v>
      </c>
      <c r="B1910" s="543" t="s">
        <v>18</v>
      </c>
      <c r="C1910" s="543"/>
      <c r="D1910" s="543"/>
      <c r="E1910" s="543"/>
      <c r="F1910" s="543"/>
      <c r="G1910" s="543" t="s">
        <v>24</v>
      </c>
      <c r="H1910" s="543"/>
      <c r="I1910" s="543"/>
      <c r="J1910" s="543"/>
      <c r="K1910" s="543"/>
      <c r="L1910" s="543" t="s">
        <v>25</v>
      </c>
      <c r="M1910" s="543"/>
      <c r="N1910" s="543"/>
      <c r="O1910" s="543"/>
      <c r="P1910" s="543"/>
      <c r="Q1910" s="543" t="s">
        <v>26</v>
      </c>
      <c r="R1910" s="543"/>
      <c r="S1910" s="543"/>
      <c r="T1910" s="543"/>
      <c r="U1910" s="543"/>
    </row>
    <row r="1911" spans="1:21" x14ac:dyDescent="0.25">
      <c r="A1911" s="542"/>
      <c r="B1911" s="182" t="s">
        <v>19</v>
      </c>
      <c r="C1911" s="182" t="s">
        <v>20</v>
      </c>
      <c r="D1911" s="182" t="s">
        <v>21</v>
      </c>
      <c r="E1911" s="182" t="s">
        <v>22</v>
      </c>
      <c r="F1911" s="182" t="s">
        <v>23</v>
      </c>
      <c r="G1911" s="182" t="s">
        <v>19</v>
      </c>
      <c r="H1911" s="216" t="s">
        <v>20</v>
      </c>
      <c r="I1911" s="182" t="s">
        <v>21</v>
      </c>
      <c r="J1911" s="182" t="s">
        <v>22</v>
      </c>
      <c r="K1911" s="182" t="s">
        <v>23</v>
      </c>
      <c r="L1911" s="182" t="s">
        <v>19</v>
      </c>
      <c r="M1911" s="182" t="s">
        <v>20</v>
      </c>
      <c r="N1911" s="182" t="s">
        <v>21</v>
      </c>
      <c r="O1911" s="182" t="s">
        <v>22</v>
      </c>
      <c r="P1911" s="182" t="s">
        <v>23</v>
      </c>
      <c r="Q1911" s="182" t="s">
        <v>19</v>
      </c>
      <c r="R1911" s="182" t="s">
        <v>20</v>
      </c>
      <c r="S1911" s="182" t="s">
        <v>21</v>
      </c>
      <c r="T1911" s="182" t="s">
        <v>22</v>
      </c>
      <c r="U1911" s="211" t="s">
        <v>23</v>
      </c>
    </row>
    <row r="1912" spans="1:21" x14ac:dyDescent="0.25">
      <c r="A1912" s="183" t="s">
        <v>702</v>
      </c>
      <c r="B1912" s="182" t="s">
        <v>47</v>
      </c>
      <c r="C1912" s="182" t="s">
        <v>28</v>
      </c>
      <c r="D1912" s="182">
        <v>7</v>
      </c>
      <c r="E1912" s="182">
        <f>skilled</f>
        <v>1245</v>
      </c>
      <c r="F1912" s="184">
        <f>(D1912*E1912)</f>
        <v>8715</v>
      </c>
      <c r="G1912" s="182" t="s">
        <v>687</v>
      </c>
      <c r="H1912" s="216" t="s">
        <v>463</v>
      </c>
      <c r="I1912" s="188">
        <f>300/60</f>
        <v>5</v>
      </c>
      <c r="J1912" s="182">
        <f>adopted_rate_ms_pipes_dia_40mm</f>
        <v>964</v>
      </c>
      <c r="K1912" s="182">
        <f>(I1912*J1912)</f>
        <v>4820</v>
      </c>
    </row>
    <row r="1913" spans="1:21" x14ac:dyDescent="0.25">
      <c r="B1913" s="182" t="s">
        <v>29</v>
      </c>
      <c r="C1913" s="182" t="s">
        <v>28</v>
      </c>
      <c r="D1913" s="182">
        <v>11</v>
      </c>
      <c r="E1913" s="182">
        <f>unskilled</f>
        <v>935</v>
      </c>
      <c r="F1913" s="184">
        <f>(D1913*E1913)</f>
        <v>10285</v>
      </c>
      <c r="G1913" s="182" t="s">
        <v>653</v>
      </c>
      <c r="H1913" s="216" t="s">
        <v>49</v>
      </c>
      <c r="I1913" s="188">
        <f>171/40</f>
        <v>4.2750000000000004</v>
      </c>
      <c r="J1913" s="182">
        <f>adopted_rate_clamps</f>
        <v>0</v>
      </c>
      <c r="K1913" s="182">
        <f>(I1913*J1913)</f>
        <v>0</v>
      </c>
    </row>
    <row r="1914" spans="1:21" ht="31.5" x14ac:dyDescent="0.25">
      <c r="G1914" s="182" t="s">
        <v>654</v>
      </c>
      <c r="H1914" s="216" t="s">
        <v>144</v>
      </c>
      <c r="I1914" s="182">
        <v>3.56</v>
      </c>
      <c r="J1914" s="182">
        <f>adopted_rate_nuts_bolts</f>
        <v>195</v>
      </c>
      <c r="K1914" s="182">
        <f>(I1914*J1914)</f>
        <v>694.2</v>
      </c>
    </row>
    <row r="1915" spans="1:21" x14ac:dyDescent="0.25">
      <c r="A1915" s="537" t="s">
        <v>30</v>
      </c>
      <c r="B1915" s="537"/>
      <c r="C1915" s="537"/>
      <c r="D1915" s="537"/>
      <c r="E1915" s="537"/>
      <c r="F1915" s="184">
        <f>SUM(F1911:F1914)</f>
        <v>19000</v>
      </c>
      <c r="G1915" s="537" t="s">
        <v>31</v>
      </c>
      <c r="H1915" s="537"/>
      <c r="I1915" s="537"/>
      <c r="J1915" s="537"/>
      <c r="K1915" s="184">
        <f>SUM(K1911:K1914)</f>
        <v>5514.2</v>
      </c>
      <c r="L1915" s="537" t="s">
        <v>32</v>
      </c>
      <c r="M1915" s="537"/>
      <c r="N1915" s="537"/>
      <c r="O1915" s="537"/>
      <c r="P1915" s="184">
        <f>SUM(P1911:P1914)</f>
        <v>0</v>
      </c>
      <c r="Q1915" s="537" t="s">
        <v>38</v>
      </c>
      <c r="R1915" s="537"/>
      <c r="S1915" s="537"/>
      <c r="T1915" s="537"/>
      <c r="U1915" s="223">
        <f>SUM(U1911:U1914)</f>
        <v>0</v>
      </c>
    </row>
    <row r="1916" spans="1:21" x14ac:dyDescent="0.25">
      <c r="A1916" s="537" t="s">
        <v>33</v>
      </c>
      <c r="B1916" s="537"/>
      <c r="C1916" s="537"/>
      <c r="D1916" s="537"/>
      <c r="E1916" s="537"/>
      <c r="F1916" s="184">
        <f>SUM(F1915+K1915+P1915)</f>
        <v>24514.2</v>
      </c>
      <c r="G1916" s="537" t="s">
        <v>39</v>
      </c>
      <c r="H1916" s="537"/>
      <c r="I1916" s="537"/>
      <c r="J1916" s="537"/>
      <c r="K1916" s="184">
        <f>SUM(F1915+K1915+P1915+U1915)</f>
        <v>24514.2</v>
      </c>
      <c r="L1916" s="537" t="s">
        <v>40</v>
      </c>
      <c r="M1916" s="537"/>
      <c r="N1916" s="537"/>
      <c r="O1916" s="537"/>
      <c r="P1916" s="184">
        <f>SUM(K1916*0.15)</f>
        <v>3677.13</v>
      </c>
      <c r="Q1916" s="537" t="s">
        <v>41</v>
      </c>
      <c r="R1916" s="537"/>
      <c r="S1916" s="537"/>
      <c r="T1916" s="537"/>
      <c r="U1916" s="223">
        <f>SUM(K1916+P1916)</f>
        <v>28191.33</v>
      </c>
    </row>
    <row r="1917" spans="1:21" x14ac:dyDescent="0.25">
      <c r="Q1917" s="537" t="s">
        <v>42</v>
      </c>
      <c r="R1917" s="537"/>
      <c r="S1917" s="537"/>
      <c r="T1917" s="537"/>
      <c r="U1917" s="224">
        <f>ROUND((U1916/10),2)</f>
        <v>2819.13</v>
      </c>
    </row>
    <row r="1918" spans="1:21" x14ac:dyDescent="0.25">
      <c r="A1918" s="544"/>
      <c r="B1918" s="544"/>
      <c r="C1918" s="544"/>
      <c r="D1918" s="544"/>
      <c r="E1918" s="544"/>
      <c r="F1918" s="544"/>
      <c r="G1918" s="544"/>
      <c r="H1918" s="544"/>
      <c r="I1918" s="544"/>
      <c r="J1918" s="544"/>
      <c r="K1918" s="544"/>
      <c r="L1918" s="544"/>
      <c r="M1918" s="544"/>
      <c r="N1918" s="544"/>
      <c r="O1918" s="544"/>
      <c r="P1918" s="544"/>
      <c r="Q1918" s="544"/>
      <c r="R1918" s="544"/>
      <c r="S1918" s="544"/>
      <c r="T1918" s="544"/>
      <c r="U1918" s="544"/>
    </row>
    <row r="1919" spans="1:21" x14ac:dyDescent="0.25">
      <c r="A1919" s="538" t="s">
        <v>12</v>
      </c>
      <c r="B1919" s="538"/>
      <c r="C1919" s="540" t="s">
        <v>704</v>
      </c>
      <c r="D1919" s="540"/>
      <c r="E1919" s="540"/>
      <c r="F1919" s="540"/>
      <c r="G1919" s="540"/>
      <c r="H1919" s="540"/>
      <c r="I1919" s="540"/>
      <c r="J1919" s="540"/>
      <c r="K1919" s="540"/>
      <c r="L1919" s="540"/>
      <c r="M1919" s="540"/>
      <c r="N1919" s="540"/>
      <c r="O1919" s="540"/>
      <c r="P1919" s="540"/>
      <c r="Q1919" s="540"/>
      <c r="R1919" s="540"/>
      <c r="S1919" s="540"/>
      <c r="T1919" s="540"/>
      <c r="U1919" s="541" t="s">
        <v>705</v>
      </c>
    </row>
    <row r="1920" spans="1:21" x14ac:dyDescent="0.25">
      <c r="A1920" s="538"/>
      <c r="B1920" s="538"/>
      <c r="C1920" s="540"/>
      <c r="D1920" s="540"/>
      <c r="E1920" s="540"/>
      <c r="F1920" s="540"/>
      <c r="G1920" s="540"/>
      <c r="H1920" s="540"/>
      <c r="I1920" s="540"/>
      <c r="J1920" s="540"/>
      <c r="K1920" s="540"/>
      <c r="L1920" s="540"/>
      <c r="M1920" s="540"/>
      <c r="N1920" s="540"/>
      <c r="O1920" s="540"/>
      <c r="P1920" s="540"/>
      <c r="Q1920" s="540"/>
      <c r="R1920" s="540"/>
      <c r="S1920" s="540"/>
      <c r="T1920" s="540"/>
      <c r="U1920" s="541"/>
    </row>
    <row r="1921" spans="1:21" x14ac:dyDescent="0.25">
      <c r="A1921" s="539" t="s">
        <v>703</v>
      </c>
      <c r="B1921" s="539"/>
      <c r="C1921" s="540"/>
      <c r="D1921" s="540"/>
      <c r="E1921" s="540"/>
      <c r="F1921" s="540"/>
      <c r="G1921" s="540"/>
      <c r="H1921" s="540"/>
      <c r="I1921" s="540"/>
      <c r="J1921" s="540"/>
      <c r="K1921" s="540"/>
      <c r="L1921" s="540"/>
      <c r="M1921" s="540"/>
      <c r="N1921" s="540"/>
      <c r="O1921" s="540"/>
      <c r="P1921" s="540"/>
      <c r="Q1921" s="540"/>
      <c r="R1921" s="540"/>
      <c r="S1921" s="540"/>
      <c r="T1921" s="540"/>
      <c r="U1921" s="541"/>
    </row>
    <row r="1922" spans="1:21" x14ac:dyDescent="0.25">
      <c r="A1922" s="542" t="s">
        <v>16</v>
      </c>
      <c r="B1922" s="543" t="s">
        <v>18</v>
      </c>
      <c r="C1922" s="543"/>
      <c r="D1922" s="543"/>
      <c r="E1922" s="543"/>
      <c r="F1922" s="543"/>
      <c r="G1922" s="543" t="s">
        <v>24</v>
      </c>
      <c r="H1922" s="543"/>
      <c r="I1922" s="543"/>
      <c r="J1922" s="543"/>
      <c r="K1922" s="543"/>
      <c r="L1922" s="543" t="s">
        <v>25</v>
      </c>
      <c r="M1922" s="543"/>
      <c r="N1922" s="543"/>
      <c r="O1922" s="543"/>
      <c r="P1922" s="543"/>
      <c r="Q1922" s="543" t="s">
        <v>26</v>
      </c>
      <c r="R1922" s="543"/>
      <c r="S1922" s="543"/>
      <c r="T1922" s="543"/>
      <c r="U1922" s="543"/>
    </row>
    <row r="1923" spans="1:21" x14ac:dyDescent="0.25">
      <c r="A1923" s="542"/>
      <c r="B1923" s="182" t="s">
        <v>19</v>
      </c>
      <c r="C1923" s="182" t="s">
        <v>20</v>
      </c>
      <c r="D1923" s="182" t="s">
        <v>21</v>
      </c>
      <c r="E1923" s="182" t="s">
        <v>22</v>
      </c>
      <c r="F1923" s="182" t="s">
        <v>23</v>
      </c>
      <c r="G1923" s="182" t="s">
        <v>19</v>
      </c>
      <c r="H1923" s="216" t="s">
        <v>20</v>
      </c>
      <c r="I1923" s="182" t="s">
        <v>21</v>
      </c>
      <c r="J1923" s="182" t="s">
        <v>22</v>
      </c>
      <c r="K1923" s="182" t="s">
        <v>23</v>
      </c>
      <c r="L1923" s="182" t="s">
        <v>19</v>
      </c>
      <c r="M1923" s="182" t="s">
        <v>20</v>
      </c>
      <c r="N1923" s="182" t="s">
        <v>21</v>
      </c>
      <c r="O1923" s="182" t="s">
        <v>22</v>
      </c>
      <c r="P1923" s="182" t="s">
        <v>23</v>
      </c>
      <c r="Q1923" s="182" t="s">
        <v>19</v>
      </c>
      <c r="R1923" s="182" t="s">
        <v>20</v>
      </c>
      <c r="S1923" s="182" t="s">
        <v>21</v>
      </c>
      <c r="T1923" s="182" t="s">
        <v>22</v>
      </c>
      <c r="U1923" s="211" t="s">
        <v>23</v>
      </c>
    </row>
    <row r="1924" spans="1:21" ht="94.5" x14ac:dyDescent="0.25">
      <c r="A1924" s="183" t="s">
        <v>706</v>
      </c>
      <c r="B1924" s="182" t="s">
        <v>29</v>
      </c>
      <c r="C1924" s="182" t="s">
        <v>28</v>
      </c>
      <c r="D1924" s="182">
        <v>1</v>
      </c>
      <c r="E1924" s="182">
        <f>unskilled</f>
        <v>935</v>
      </c>
      <c r="F1924" s="184">
        <f>(D1924*E1924)</f>
        <v>935</v>
      </c>
      <c r="G1924" s="182" t="s">
        <v>707</v>
      </c>
      <c r="H1924" s="216" t="s">
        <v>49</v>
      </c>
      <c r="I1924" s="182">
        <v>1</v>
      </c>
      <c r="J1924" s="182">
        <f>adopted_rate_elastomeric_bearing</f>
        <v>35000</v>
      </c>
      <c r="K1924" s="182">
        <f>(I1924*J1924)</f>
        <v>35000</v>
      </c>
    </row>
    <row r="1925" spans="1:21" ht="47.25" x14ac:dyDescent="0.25">
      <c r="B1925" s="182" t="s">
        <v>47</v>
      </c>
      <c r="C1925" s="182" t="s">
        <v>28</v>
      </c>
      <c r="D1925" s="182">
        <v>1</v>
      </c>
      <c r="E1925" s="182">
        <f>skilled</f>
        <v>1245</v>
      </c>
      <c r="F1925" s="184">
        <f>(D1925*E1925)</f>
        <v>1245</v>
      </c>
      <c r="G1925" s="182" t="s">
        <v>708</v>
      </c>
      <c r="H1925" s="216"/>
      <c r="K1925" s="184">
        <f>(K1924*1/100)</f>
        <v>350</v>
      </c>
    </row>
    <row r="1926" spans="1:21" x14ac:dyDescent="0.25">
      <c r="A1926" s="537" t="s">
        <v>30</v>
      </c>
      <c r="B1926" s="537"/>
      <c r="C1926" s="537"/>
      <c r="D1926" s="537"/>
      <c r="E1926" s="537"/>
      <c r="F1926" s="184">
        <f>SUM(F1923:F1925)</f>
        <v>2180</v>
      </c>
      <c r="G1926" s="537" t="s">
        <v>31</v>
      </c>
      <c r="H1926" s="537"/>
      <c r="I1926" s="537"/>
      <c r="J1926" s="537"/>
      <c r="K1926" s="184">
        <f>SUM(K1923:K1925)</f>
        <v>35350</v>
      </c>
      <c r="L1926" s="537" t="s">
        <v>32</v>
      </c>
      <c r="M1926" s="537"/>
      <c r="N1926" s="537"/>
      <c r="O1926" s="537"/>
      <c r="P1926" s="184">
        <f>SUM(P1923:P1925)</f>
        <v>0</v>
      </c>
      <c r="Q1926" s="537" t="s">
        <v>38</v>
      </c>
      <c r="R1926" s="537"/>
      <c r="S1926" s="537"/>
      <c r="T1926" s="537"/>
      <c r="U1926" s="223">
        <f>SUM(U1923:U1925)</f>
        <v>0</v>
      </c>
    </row>
    <row r="1927" spans="1:21" x14ac:dyDescent="0.25">
      <c r="A1927" s="537" t="s">
        <v>33</v>
      </c>
      <c r="B1927" s="537"/>
      <c r="C1927" s="537"/>
      <c r="D1927" s="537"/>
      <c r="E1927" s="537"/>
      <c r="F1927" s="184">
        <f>SUM(F1926+K1926+P1926)</f>
        <v>37530</v>
      </c>
      <c r="G1927" s="537" t="s">
        <v>39</v>
      </c>
      <c r="H1927" s="537"/>
      <c r="I1927" s="537"/>
      <c r="J1927" s="537"/>
      <c r="K1927" s="184">
        <f>SUM(F1926+K1926+P1926+U1926)</f>
        <v>37530</v>
      </c>
      <c r="L1927" s="537" t="s">
        <v>40</v>
      </c>
      <c r="M1927" s="537"/>
      <c r="N1927" s="537"/>
      <c r="O1927" s="537"/>
      <c r="P1927" s="184">
        <f>SUM(K1927*0.15)</f>
        <v>5629.5</v>
      </c>
      <c r="Q1927" s="537" t="s">
        <v>41</v>
      </c>
      <c r="R1927" s="537"/>
      <c r="S1927" s="537"/>
      <c r="T1927" s="537"/>
      <c r="U1927" s="223">
        <f>SUM(K1927+P1927)</f>
        <v>43159.5</v>
      </c>
    </row>
    <row r="1928" spans="1:21" x14ac:dyDescent="0.25">
      <c r="Q1928" s="537" t="s">
        <v>42</v>
      </c>
      <c r="R1928" s="537"/>
      <c r="S1928" s="537"/>
      <c r="T1928" s="537"/>
      <c r="U1928" s="224">
        <f>ROUND((U1927/19.2),2)</f>
        <v>2247.89</v>
      </c>
    </row>
    <row r="1929" spans="1:21" x14ac:dyDescent="0.25">
      <c r="A1929" s="544"/>
      <c r="B1929" s="544"/>
      <c r="C1929" s="544"/>
      <c r="D1929" s="544"/>
      <c r="E1929" s="544"/>
      <c r="F1929" s="544"/>
      <c r="G1929" s="544"/>
      <c r="H1929" s="544"/>
      <c r="I1929" s="544"/>
      <c r="J1929" s="544"/>
      <c r="K1929" s="544"/>
      <c r="L1929" s="544"/>
      <c r="M1929" s="544"/>
      <c r="N1929" s="544"/>
      <c r="O1929" s="544"/>
      <c r="P1929" s="544"/>
      <c r="Q1929" s="544"/>
      <c r="R1929" s="544"/>
      <c r="S1929" s="544"/>
      <c r="T1929" s="544"/>
      <c r="U1929" s="544"/>
    </row>
    <row r="1930" spans="1:21" x14ac:dyDescent="0.25">
      <c r="A1930" s="538" t="s">
        <v>12</v>
      </c>
      <c r="B1930" s="538"/>
      <c r="C1930" s="540" t="s">
        <v>710</v>
      </c>
      <c r="D1930" s="540"/>
      <c r="E1930" s="540"/>
      <c r="F1930" s="540"/>
      <c r="G1930" s="540"/>
      <c r="H1930" s="540"/>
      <c r="I1930" s="540"/>
      <c r="J1930" s="540"/>
      <c r="K1930" s="540"/>
      <c r="L1930" s="540"/>
      <c r="M1930" s="540"/>
      <c r="N1930" s="540"/>
      <c r="O1930" s="540"/>
      <c r="P1930" s="540"/>
      <c r="Q1930" s="540"/>
      <c r="R1930" s="540"/>
      <c r="S1930" s="540"/>
      <c r="T1930" s="540"/>
      <c r="U1930" s="541" t="s">
        <v>711</v>
      </c>
    </row>
    <row r="1931" spans="1:21" x14ac:dyDescent="0.25">
      <c r="A1931" s="538"/>
      <c r="B1931" s="538"/>
      <c r="C1931" s="540"/>
      <c r="D1931" s="540"/>
      <c r="E1931" s="540"/>
      <c r="F1931" s="540"/>
      <c r="G1931" s="540"/>
      <c r="H1931" s="540"/>
      <c r="I1931" s="540"/>
      <c r="J1931" s="540"/>
      <c r="K1931" s="540"/>
      <c r="L1931" s="540"/>
      <c r="M1931" s="540"/>
      <c r="N1931" s="540"/>
      <c r="O1931" s="540"/>
      <c r="P1931" s="540"/>
      <c r="Q1931" s="540"/>
      <c r="R1931" s="540"/>
      <c r="S1931" s="540"/>
      <c r="T1931" s="540"/>
      <c r="U1931" s="541"/>
    </row>
    <row r="1932" spans="1:21" x14ac:dyDescent="0.25">
      <c r="A1932" s="539" t="s">
        <v>709</v>
      </c>
      <c r="B1932" s="539"/>
      <c r="C1932" s="540"/>
      <c r="D1932" s="540"/>
      <c r="E1932" s="540"/>
      <c r="F1932" s="540"/>
      <c r="G1932" s="540"/>
      <c r="H1932" s="540"/>
      <c r="I1932" s="540"/>
      <c r="J1932" s="540"/>
      <c r="K1932" s="540"/>
      <c r="L1932" s="540"/>
      <c r="M1932" s="540"/>
      <c r="N1932" s="540"/>
      <c r="O1932" s="540"/>
      <c r="P1932" s="540"/>
      <c r="Q1932" s="540"/>
      <c r="R1932" s="540"/>
      <c r="S1932" s="540"/>
      <c r="T1932" s="540"/>
      <c r="U1932" s="541"/>
    </row>
    <row r="1933" spans="1:21" x14ac:dyDescent="0.25">
      <c r="A1933" s="542" t="s">
        <v>16</v>
      </c>
      <c r="B1933" s="543" t="s">
        <v>18</v>
      </c>
      <c r="C1933" s="543"/>
      <c r="D1933" s="543"/>
      <c r="E1933" s="543"/>
      <c r="F1933" s="543"/>
      <c r="G1933" s="543" t="s">
        <v>24</v>
      </c>
      <c r="H1933" s="543"/>
      <c r="I1933" s="543"/>
      <c r="J1933" s="543"/>
      <c r="K1933" s="543"/>
      <c r="L1933" s="543" t="s">
        <v>25</v>
      </c>
      <c r="M1933" s="543"/>
      <c r="N1933" s="543"/>
      <c r="O1933" s="543"/>
      <c r="P1933" s="543"/>
      <c r="Q1933" s="543" t="s">
        <v>26</v>
      </c>
      <c r="R1933" s="543"/>
      <c r="S1933" s="543"/>
      <c r="T1933" s="543"/>
      <c r="U1933" s="543"/>
    </row>
    <row r="1934" spans="1:21" x14ac:dyDescent="0.25">
      <c r="A1934" s="542"/>
      <c r="B1934" s="182" t="s">
        <v>19</v>
      </c>
      <c r="C1934" s="182" t="s">
        <v>20</v>
      </c>
      <c r="D1934" s="182" t="s">
        <v>21</v>
      </c>
      <c r="E1934" s="182" t="s">
        <v>22</v>
      </c>
      <c r="F1934" s="182" t="s">
        <v>23</v>
      </c>
      <c r="G1934" s="182" t="s">
        <v>19</v>
      </c>
      <c r="H1934" s="216" t="s">
        <v>20</v>
      </c>
      <c r="I1934" s="182" t="s">
        <v>21</v>
      </c>
      <c r="J1934" s="182" t="s">
        <v>22</v>
      </c>
      <c r="K1934" s="182" t="s">
        <v>23</v>
      </c>
      <c r="L1934" s="182" t="s">
        <v>19</v>
      </c>
      <c r="M1934" s="182" t="s">
        <v>20</v>
      </c>
      <c r="N1934" s="182" t="s">
        <v>21</v>
      </c>
      <c r="O1934" s="182" t="s">
        <v>22</v>
      </c>
      <c r="P1934" s="182" t="s">
        <v>23</v>
      </c>
      <c r="Q1934" s="182" t="s">
        <v>19</v>
      </c>
      <c r="R1934" s="182" t="s">
        <v>20</v>
      </c>
      <c r="S1934" s="182" t="s">
        <v>21</v>
      </c>
      <c r="T1934" s="182" t="s">
        <v>22</v>
      </c>
      <c r="U1934" s="211" t="s">
        <v>23</v>
      </c>
    </row>
    <row r="1935" spans="1:21" ht="78.75" x14ac:dyDescent="0.25">
      <c r="A1935" s="183" t="s">
        <v>712</v>
      </c>
      <c r="B1935" s="182" t="s">
        <v>29</v>
      </c>
      <c r="C1935" s="182" t="s">
        <v>28</v>
      </c>
      <c r="D1935" s="182">
        <v>1</v>
      </c>
      <c r="E1935" s="182">
        <f>unskilled</f>
        <v>935</v>
      </c>
      <c r="F1935" s="184">
        <f>(D1935*E1935)</f>
        <v>935</v>
      </c>
      <c r="G1935" s="182" t="s">
        <v>713</v>
      </c>
      <c r="H1935" s="216" t="s">
        <v>75</v>
      </c>
      <c r="I1935" s="182">
        <v>12</v>
      </c>
      <c r="J1935" s="182">
        <v>19230</v>
      </c>
      <c r="K1935" s="182">
        <f>(I1935*J1935)</f>
        <v>230760</v>
      </c>
    </row>
    <row r="1936" spans="1:21" ht="47.25" x14ac:dyDescent="0.25">
      <c r="B1936" s="182" t="s">
        <v>47</v>
      </c>
      <c r="C1936" s="182" t="s">
        <v>28</v>
      </c>
      <c r="D1936" s="182">
        <v>1</v>
      </c>
      <c r="E1936" s="182">
        <f>skilled</f>
        <v>1245</v>
      </c>
      <c r="F1936" s="184">
        <f>(D1936*E1936)</f>
        <v>1245</v>
      </c>
      <c r="G1936" s="182" t="s">
        <v>714</v>
      </c>
      <c r="H1936" s="216"/>
      <c r="K1936" s="184">
        <f>(SUM(K1935:K1935)*5/100)</f>
        <v>11538</v>
      </c>
    </row>
    <row r="1937" spans="1:21" x14ac:dyDescent="0.25">
      <c r="A1937" s="537" t="s">
        <v>30</v>
      </c>
      <c r="B1937" s="537"/>
      <c r="C1937" s="537"/>
      <c r="D1937" s="537"/>
      <c r="E1937" s="537"/>
      <c r="F1937" s="184">
        <f>SUM(F1934:F1936)</f>
        <v>2180</v>
      </c>
      <c r="G1937" s="537" t="s">
        <v>31</v>
      </c>
      <c r="H1937" s="537"/>
      <c r="I1937" s="537"/>
      <c r="J1937" s="537"/>
      <c r="K1937" s="184">
        <f>SUM(K1934:K1936)</f>
        <v>242298</v>
      </c>
      <c r="L1937" s="537" t="s">
        <v>32</v>
      </c>
      <c r="M1937" s="537"/>
      <c r="N1937" s="537"/>
      <c r="O1937" s="537"/>
      <c r="P1937" s="184">
        <f>SUM(P1934:P1936)</f>
        <v>0</v>
      </c>
      <c r="Q1937" s="537" t="s">
        <v>38</v>
      </c>
      <c r="R1937" s="537"/>
      <c r="S1937" s="537"/>
      <c r="T1937" s="537"/>
      <c r="U1937" s="223">
        <f>SUM(U1934:U1936)</f>
        <v>0</v>
      </c>
    </row>
    <row r="1938" spans="1:21" x14ac:dyDescent="0.25">
      <c r="A1938" s="537" t="s">
        <v>33</v>
      </c>
      <c r="B1938" s="537"/>
      <c r="C1938" s="537"/>
      <c r="D1938" s="537"/>
      <c r="E1938" s="537"/>
      <c r="F1938" s="184">
        <f>SUM(F1937+K1937+P1937)</f>
        <v>244478</v>
      </c>
      <c r="G1938" s="537" t="s">
        <v>39</v>
      </c>
      <c r="H1938" s="537"/>
      <c r="I1938" s="537"/>
      <c r="J1938" s="537"/>
      <c r="K1938" s="184">
        <f>SUM(F1937+K1937+P1937+U1937)</f>
        <v>244478</v>
      </c>
      <c r="L1938" s="537" t="s">
        <v>40</v>
      </c>
      <c r="M1938" s="537"/>
      <c r="N1938" s="537"/>
      <c r="O1938" s="537"/>
      <c r="P1938" s="184">
        <f>SUM(K1938*0.15)</f>
        <v>36671.699999999997</v>
      </c>
      <c r="Q1938" s="537" t="s">
        <v>41</v>
      </c>
      <c r="R1938" s="537"/>
      <c r="S1938" s="537"/>
      <c r="T1938" s="537"/>
      <c r="U1938" s="223">
        <f>SUM(K1938+P1938)</f>
        <v>281149.7</v>
      </c>
    </row>
    <row r="1939" spans="1:21" x14ac:dyDescent="0.25">
      <c r="Q1939" s="537" t="s">
        <v>42</v>
      </c>
      <c r="R1939" s="537"/>
      <c r="S1939" s="537"/>
      <c r="T1939" s="537"/>
      <c r="U1939" s="224">
        <f>ROUND((U1938/12),2)</f>
        <v>23429.14</v>
      </c>
    </row>
    <row r="1940" spans="1:21" x14ac:dyDescent="0.25">
      <c r="A1940" s="544"/>
      <c r="B1940" s="544"/>
      <c r="C1940" s="544"/>
      <c r="D1940" s="544"/>
      <c r="E1940" s="544"/>
      <c r="F1940" s="544"/>
      <c r="G1940" s="544"/>
      <c r="H1940" s="544"/>
      <c r="I1940" s="544"/>
      <c r="J1940" s="544"/>
      <c r="K1940" s="544"/>
      <c r="L1940" s="544"/>
      <c r="M1940" s="544"/>
      <c r="N1940" s="544"/>
      <c r="O1940" s="544"/>
      <c r="P1940" s="544"/>
      <c r="Q1940" s="544"/>
      <c r="R1940" s="544"/>
      <c r="S1940" s="544"/>
      <c r="T1940" s="544"/>
      <c r="U1940" s="544"/>
    </row>
    <row r="1941" spans="1:21" x14ac:dyDescent="0.25">
      <c r="A1941" s="538" t="s">
        <v>12</v>
      </c>
      <c r="B1941" s="538"/>
      <c r="C1941" s="540" t="s">
        <v>715</v>
      </c>
      <c r="D1941" s="540"/>
      <c r="E1941" s="540"/>
      <c r="F1941" s="540"/>
      <c r="G1941" s="540"/>
      <c r="H1941" s="540"/>
      <c r="I1941" s="540"/>
      <c r="J1941" s="540"/>
      <c r="K1941" s="540"/>
      <c r="L1941" s="540"/>
      <c r="M1941" s="540"/>
      <c r="N1941" s="540"/>
      <c r="O1941" s="540"/>
      <c r="P1941" s="540"/>
      <c r="Q1941" s="540"/>
      <c r="R1941" s="540"/>
      <c r="S1941" s="540"/>
      <c r="T1941" s="540"/>
      <c r="U1941" s="541" t="s">
        <v>711</v>
      </c>
    </row>
    <row r="1942" spans="1:21" x14ac:dyDescent="0.25">
      <c r="A1942" s="538"/>
      <c r="B1942" s="538"/>
      <c r="C1942" s="540"/>
      <c r="D1942" s="540"/>
      <c r="E1942" s="540"/>
      <c r="F1942" s="540"/>
      <c r="G1942" s="540"/>
      <c r="H1942" s="540"/>
      <c r="I1942" s="540"/>
      <c r="J1942" s="540"/>
      <c r="K1942" s="540"/>
      <c r="L1942" s="540"/>
      <c r="M1942" s="540"/>
      <c r="N1942" s="540"/>
      <c r="O1942" s="540"/>
      <c r="P1942" s="540"/>
      <c r="Q1942" s="540"/>
      <c r="R1942" s="540"/>
      <c r="S1942" s="540"/>
      <c r="T1942" s="540"/>
      <c r="U1942" s="541"/>
    </row>
    <row r="1943" spans="1:21" x14ac:dyDescent="0.25">
      <c r="A1943" s="539" t="s">
        <v>709</v>
      </c>
      <c r="B1943" s="539"/>
      <c r="C1943" s="540"/>
      <c r="D1943" s="540"/>
      <c r="E1943" s="540"/>
      <c r="F1943" s="540"/>
      <c r="G1943" s="540"/>
      <c r="H1943" s="540"/>
      <c r="I1943" s="540"/>
      <c r="J1943" s="540"/>
      <c r="K1943" s="540"/>
      <c r="L1943" s="540"/>
      <c r="M1943" s="540"/>
      <c r="N1943" s="540"/>
      <c r="O1943" s="540"/>
      <c r="P1943" s="540"/>
      <c r="Q1943" s="540"/>
      <c r="R1943" s="540"/>
      <c r="S1943" s="540"/>
      <c r="T1943" s="540"/>
      <c r="U1943" s="541"/>
    </row>
    <row r="1944" spans="1:21" x14ac:dyDescent="0.25">
      <c r="A1944" s="542" t="s">
        <v>16</v>
      </c>
      <c r="B1944" s="543" t="s">
        <v>18</v>
      </c>
      <c r="C1944" s="543"/>
      <c r="D1944" s="543"/>
      <c r="E1944" s="543"/>
      <c r="F1944" s="543"/>
      <c r="G1944" s="543" t="s">
        <v>24</v>
      </c>
      <c r="H1944" s="543"/>
      <c r="I1944" s="543"/>
      <c r="J1944" s="543"/>
      <c r="K1944" s="543"/>
      <c r="L1944" s="543" t="s">
        <v>25</v>
      </c>
      <c r="M1944" s="543"/>
      <c r="N1944" s="543"/>
      <c r="O1944" s="543"/>
      <c r="P1944" s="543"/>
      <c r="Q1944" s="543" t="s">
        <v>26</v>
      </c>
      <c r="R1944" s="543"/>
      <c r="S1944" s="543"/>
      <c r="T1944" s="543"/>
      <c r="U1944" s="543"/>
    </row>
    <row r="1945" spans="1:21" x14ac:dyDescent="0.25">
      <c r="A1945" s="542"/>
      <c r="B1945" s="182" t="s">
        <v>19</v>
      </c>
      <c r="C1945" s="182" t="s">
        <v>20</v>
      </c>
      <c r="D1945" s="182" t="s">
        <v>21</v>
      </c>
      <c r="E1945" s="182" t="s">
        <v>22</v>
      </c>
      <c r="F1945" s="182" t="s">
        <v>23</v>
      </c>
      <c r="G1945" s="182" t="s">
        <v>19</v>
      </c>
      <c r="H1945" s="216" t="s">
        <v>20</v>
      </c>
      <c r="I1945" s="182" t="s">
        <v>21</v>
      </c>
      <c r="J1945" s="182" t="s">
        <v>22</v>
      </c>
      <c r="K1945" s="182" t="s">
        <v>23</v>
      </c>
      <c r="L1945" s="182" t="s">
        <v>19</v>
      </c>
      <c r="M1945" s="182" t="s">
        <v>20</v>
      </c>
      <c r="N1945" s="182" t="s">
        <v>21</v>
      </c>
      <c r="O1945" s="182" t="s">
        <v>22</v>
      </c>
      <c r="P1945" s="182" t="s">
        <v>23</v>
      </c>
      <c r="Q1945" s="182" t="s">
        <v>19</v>
      </c>
      <c r="R1945" s="182" t="s">
        <v>20</v>
      </c>
      <c r="S1945" s="182" t="s">
        <v>21</v>
      </c>
      <c r="T1945" s="182" t="s">
        <v>22</v>
      </c>
      <c r="U1945" s="211" t="s">
        <v>23</v>
      </c>
    </row>
    <row r="1946" spans="1:21" ht="78.75" x14ac:dyDescent="0.25">
      <c r="A1946" s="183" t="s">
        <v>716</v>
      </c>
      <c r="B1946" s="182" t="s">
        <v>29</v>
      </c>
      <c r="C1946" s="182" t="s">
        <v>28</v>
      </c>
      <c r="D1946" s="182">
        <v>1</v>
      </c>
      <c r="E1946" s="182">
        <f>unskilled</f>
        <v>935</v>
      </c>
      <c r="F1946" s="184">
        <f>(D1946*E1946)</f>
        <v>935</v>
      </c>
      <c r="G1946" s="182" t="s">
        <v>717</v>
      </c>
      <c r="H1946" s="216" t="s">
        <v>75</v>
      </c>
      <c r="I1946" s="182">
        <v>12</v>
      </c>
      <c r="J1946" s="182">
        <f>adopted_rate_strip_or_box_seal_expansion_joint</f>
        <v>11000</v>
      </c>
      <c r="K1946" s="182">
        <f>(I1946*J1946)</f>
        <v>132000</v>
      </c>
    </row>
    <row r="1947" spans="1:21" ht="47.25" x14ac:dyDescent="0.25">
      <c r="B1947" s="182" t="s">
        <v>47</v>
      </c>
      <c r="C1947" s="182" t="s">
        <v>28</v>
      </c>
      <c r="D1947" s="182">
        <v>1</v>
      </c>
      <c r="E1947" s="182">
        <f>skilled</f>
        <v>1245</v>
      </c>
      <c r="F1947" s="184">
        <f>(D1947*E1947)</f>
        <v>1245</v>
      </c>
      <c r="G1947" s="182" t="s">
        <v>714</v>
      </c>
      <c r="H1947" s="216"/>
    </row>
    <row r="1948" spans="1:21" x14ac:dyDescent="0.25">
      <c r="A1948" s="537" t="s">
        <v>30</v>
      </c>
      <c r="B1948" s="537"/>
      <c r="C1948" s="537"/>
      <c r="D1948" s="537"/>
      <c r="E1948" s="537"/>
      <c r="F1948" s="184">
        <f>SUM(F1945:F1947)</f>
        <v>2180</v>
      </c>
      <c r="G1948" s="537" t="s">
        <v>31</v>
      </c>
      <c r="H1948" s="537"/>
      <c r="I1948" s="537"/>
      <c r="J1948" s="537"/>
      <c r="K1948" s="184">
        <f>SUM(K1945:K1947)</f>
        <v>132000</v>
      </c>
      <c r="L1948" s="537" t="s">
        <v>32</v>
      </c>
      <c r="M1948" s="537"/>
      <c r="N1948" s="537"/>
      <c r="O1948" s="537"/>
      <c r="P1948" s="184">
        <f>SUM(P1945:P1947)</f>
        <v>0</v>
      </c>
      <c r="Q1948" s="537" t="s">
        <v>38</v>
      </c>
      <c r="R1948" s="537"/>
      <c r="S1948" s="537"/>
      <c r="T1948" s="537"/>
      <c r="U1948" s="223">
        <f>SUM(U1945:U1947)</f>
        <v>0</v>
      </c>
    </row>
    <row r="1949" spans="1:21" x14ac:dyDescent="0.25">
      <c r="A1949" s="537" t="s">
        <v>33</v>
      </c>
      <c r="B1949" s="537"/>
      <c r="C1949" s="537"/>
      <c r="D1949" s="537"/>
      <c r="E1949" s="537"/>
      <c r="F1949" s="184">
        <f>SUM(F1948+K1948+P1948)</f>
        <v>134180</v>
      </c>
      <c r="G1949" s="537" t="s">
        <v>39</v>
      </c>
      <c r="H1949" s="537"/>
      <c r="I1949" s="537"/>
      <c r="J1949" s="537"/>
      <c r="K1949" s="184">
        <f>SUM(F1948+K1948+P1948+U1948)</f>
        <v>134180</v>
      </c>
      <c r="L1949" s="537" t="s">
        <v>40</v>
      </c>
      <c r="M1949" s="537"/>
      <c r="N1949" s="537"/>
      <c r="O1949" s="537"/>
      <c r="P1949" s="184">
        <f>SUM(K1949*0.15)</f>
        <v>20127</v>
      </c>
      <c r="Q1949" s="537" t="s">
        <v>41</v>
      </c>
      <c r="R1949" s="537"/>
      <c r="S1949" s="537"/>
      <c r="T1949" s="537"/>
      <c r="U1949" s="223">
        <f>SUM(K1949+P1949)</f>
        <v>154307</v>
      </c>
    </row>
    <row r="1950" spans="1:21" x14ac:dyDescent="0.25">
      <c r="Q1950" s="537" t="s">
        <v>42</v>
      </c>
      <c r="R1950" s="537"/>
      <c r="S1950" s="537"/>
      <c r="T1950" s="537"/>
      <c r="U1950" s="224">
        <f>ROUND((U1949/12),2)</f>
        <v>12858.92</v>
      </c>
    </row>
    <row r="1951" spans="1:21" x14ac:dyDescent="0.25">
      <c r="A1951" s="544"/>
      <c r="B1951" s="544"/>
      <c r="C1951" s="544"/>
      <c r="D1951" s="544"/>
      <c r="E1951" s="544"/>
      <c r="F1951" s="544"/>
      <c r="G1951" s="544"/>
      <c r="H1951" s="544"/>
      <c r="I1951" s="544"/>
      <c r="J1951" s="544"/>
      <c r="K1951" s="544"/>
      <c r="L1951" s="544"/>
      <c r="M1951" s="544"/>
      <c r="N1951" s="544"/>
      <c r="O1951" s="544"/>
      <c r="P1951" s="544"/>
      <c r="Q1951" s="544"/>
      <c r="R1951" s="544"/>
      <c r="S1951" s="544"/>
      <c r="T1951" s="544"/>
      <c r="U1951" s="544"/>
    </row>
    <row r="1952" spans="1:21" x14ac:dyDescent="0.25">
      <c r="A1952" s="538" t="s">
        <v>12</v>
      </c>
      <c r="B1952" s="538"/>
      <c r="C1952" s="540" t="s">
        <v>718</v>
      </c>
      <c r="D1952" s="540"/>
      <c r="E1952" s="540"/>
      <c r="F1952" s="540"/>
      <c r="G1952" s="540"/>
      <c r="H1952" s="540"/>
      <c r="I1952" s="540"/>
      <c r="J1952" s="540"/>
      <c r="K1952" s="540"/>
      <c r="L1952" s="540"/>
      <c r="M1952" s="540"/>
      <c r="N1952" s="540"/>
      <c r="O1952" s="540"/>
      <c r="P1952" s="540"/>
      <c r="Q1952" s="540"/>
      <c r="R1952" s="540"/>
      <c r="S1952" s="540"/>
      <c r="T1952" s="540"/>
      <c r="U1952" s="541" t="s">
        <v>711</v>
      </c>
    </row>
    <row r="1953" spans="1:21" x14ac:dyDescent="0.25">
      <c r="A1953" s="538"/>
      <c r="B1953" s="538"/>
      <c r="C1953" s="540"/>
      <c r="D1953" s="540"/>
      <c r="E1953" s="540"/>
      <c r="F1953" s="540"/>
      <c r="G1953" s="540"/>
      <c r="H1953" s="540"/>
      <c r="I1953" s="540"/>
      <c r="J1953" s="540"/>
      <c r="K1953" s="540"/>
      <c r="L1953" s="540"/>
      <c r="M1953" s="540"/>
      <c r="N1953" s="540"/>
      <c r="O1953" s="540"/>
      <c r="P1953" s="540"/>
      <c r="Q1953" s="540"/>
      <c r="R1953" s="540"/>
      <c r="S1953" s="540"/>
      <c r="T1953" s="540"/>
      <c r="U1953" s="541"/>
    </row>
    <row r="1954" spans="1:21" x14ac:dyDescent="0.25">
      <c r="A1954" s="539" t="s">
        <v>709</v>
      </c>
      <c r="B1954" s="539"/>
      <c r="C1954" s="540"/>
      <c r="D1954" s="540"/>
      <c r="E1954" s="540"/>
      <c r="F1954" s="540"/>
      <c r="G1954" s="540"/>
      <c r="H1954" s="540"/>
      <c r="I1954" s="540"/>
      <c r="J1954" s="540"/>
      <c r="K1954" s="540"/>
      <c r="L1954" s="540"/>
      <c r="M1954" s="540"/>
      <c r="N1954" s="540"/>
      <c r="O1954" s="540"/>
      <c r="P1954" s="540"/>
      <c r="Q1954" s="540"/>
      <c r="R1954" s="540"/>
      <c r="S1954" s="540"/>
      <c r="T1954" s="540"/>
      <c r="U1954" s="541"/>
    </row>
    <row r="1955" spans="1:21" x14ac:dyDescent="0.25">
      <c r="A1955" s="542" t="s">
        <v>16</v>
      </c>
      <c r="B1955" s="543" t="s">
        <v>18</v>
      </c>
      <c r="C1955" s="543"/>
      <c r="D1955" s="543"/>
      <c r="E1955" s="543"/>
      <c r="F1955" s="543"/>
      <c r="G1955" s="543" t="s">
        <v>24</v>
      </c>
      <c r="H1955" s="543"/>
      <c r="I1955" s="543"/>
      <c r="J1955" s="543"/>
      <c r="K1955" s="543"/>
      <c r="L1955" s="543" t="s">
        <v>25</v>
      </c>
      <c r="M1955" s="543"/>
      <c r="N1955" s="543"/>
      <c r="O1955" s="543"/>
      <c r="P1955" s="543"/>
      <c r="Q1955" s="543" t="s">
        <v>26</v>
      </c>
      <c r="R1955" s="543"/>
      <c r="S1955" s="543"/>
      <c r="T1955" s="543"/>
      <c r="U1955" s="543"/>
    </row>
    <row r="1956" spans="1:21" x14ac:dyDescent="0.25">
      <c r="A1956" s="542"/>
      <c r="B1956" s="182" t="s">
        <v>19</v>
      </c>
      <c r="C1956" s="182" t="s">
        <v>20</v>
      </c>
      <c r="D1956" s="182" t="s">
        <v>21</v>
      </c>
      <c r="E1956" s="182" t="s">
        <v>22</v>
      </c>
      <c r="F1956" s="182" t="s">
        <v>23</v>
      </c>
      <c r="G1956" s="182" t="s">
        <v>19</v>
      </c>
      <c r="H1956" s="216" t="s">
        <v>20</v>
      </c>
      <c r="I1956" s="182" t="s">
        <v>21</v>
      </c>
      <c r="J1956" s="182" t="s">
        <v>22</v>
      </c>
      <c r="K1956" s="182" t="s">
        <v>23</v>
      </c>
      <c r="L1956" s="182" t="s">
        <v>19</v>
      </c>
      <c r="M1956" s="182" t="s">
        <v>20</v>
      </c>
      <c r="N1956" s="182" t="s">
        <v>21</v>
      </c>
      <c r="O1956" s="182" t="s">
        <v>22</v>
      </c>
      <c r="P1956" s="182" t="s">
        <v>23</v>
      </c>
      <c r="Q1956" s="182" t="s">
        <v>19</v>
      </c>
      <c r="R1956" s="182" t="s">
        <v>20</v>
      </c>
      <c r="S1956" s="182" t="s">
        <v>21</v>
      </c>
      <c r="T1956" s="182" t="s">
        <v>22</v>
      </c>
      <c r="U1956" s="211" t="s">
        <v>23</v>
      </c>
    </row>
    <row r="1957" spans="1:21" ht="31.5" x14ac:dyDescent="0.25">
      <c r="A1957" s="183" t="s">
        <v>719</v>
      </c>
      <c r="B1957" s="182" t="s">
        <v>29</v>
      </c>
      <c r="C1957" s="182" t="s">
        <v>28</v>
      </c>
      <c r="D1957" s="182">
        <v>1</v>
      </c>
      <c r="E1957" s="182">
        <f>unskilled</f>
        <v>935</v>
      </c>
      <c r="F1957" s="184">
        <f>(D1957*E1957)</f>
        <v>935</v>
      </c>
      <c r="G1957" s="182" t="s">
        <v>720</v>
      </c>
      <c r="H1957" s="216" t="s">
        <v>144</v>
      </c>
      <c r="I1957" s="182">
        <v>446</v>
      </c>
      <c r="J1957" s="182">
        <f>adopted_rate_galvanized_angle_section_100_100_mm</f>
        <v>0</v>
      </c>
      <c r="K1957" s="182">
        <f>(I1957*J1957)</f>
        <v>0</v>
      </c>
    </row>
    <row r="1958" spans="1:21" ht="47.25" x14ac:dyDescent="0.25">
      <c r="B1958" s="182" t="s">
        <v>47</v>
      </c>
      <c r="C1958" s="182" t="s">
        <v>28</v>
      </c>
      <c r="D1958" s="182">
        <v>1</v>
      </c>
      <c r="E1958" s="182">
        <f>skilled</f>
        <v>1245</v>
      </c>
      <c r="F1958" s="184">
        <f>(D1958*E1958)</f>
        <v>1245</v>
      </c>
      <c r="G1958" s="182" t="s">
        <v>721</v>
      </c>
      <c r="H1958" s="216"/>
      <c r="K1958" s="182">
        <v>0</v>
      </c>
    </row>
    <row r="1959" spans="1:21" ht="78.75" x14ac:dyDescent="0.25">
      <c r="G1959" s="182" t="s">
        <v>722</v>
      </c>
      <c r="H1959" s="216" t="s">
        <v>75</v>
      </c>
      <c r="I1959" s="182">
        <v>12</v>
      </c>
      <c r="J1959" s="182">
        <f>adopted_rate_preformed_continuous_chloroprene_elastomer</f>
        <v>0</v>
      </c>
      <c r="K1959" s="182">
        <f>(I1959*J1959)</f>
        <v>0</v>
      </c>
    </row>
    <row r="1960" spans="1:21" ht="47.25" x14ac:dyDescent="0.25">
      <c r="G1960" s="182" t="s">
        <v>723</v>
      </c>
      <c r="H1960" s="216"/>
      <c r="K1960" s="184">
        <f>(K1959*1/100)</f>
        <v>0</v>
      </c>
    </row>
    <row r="1961" spans="1:21" x14ac:dyDescent="0.25">
      <c r="A1961" s="537" t="s">
        <v>30</v>
      </c>
      <c r="B1961" s="537"/>
      <c r="C1961" s="537"/>
      <c r="D1961" s="537"/>
      <c r="E1961" s="537"/>
      <c r="F1961" s="184">
        <f>SUM(F1956:F1960)</f>
        <v>2180</v>
      </c>
      <c r="G1961" s="537" t="s">
        <v>31</v>
      </c>
      <c r="H1961" s="537"/>
      <c r="I1961" s="537"/>
      <c r="J1961" s="537"/>
      <c r="K1961" s="184">
        <f>SUM(K1956:K1960)</f>
        <v>0</v>
      </c>
      <c r="L1961" s="537" t="s">
        <v>32</v>
      </c>
      <c r="M1961" s="537"/>
      <c r="N1961" s="537"/>
      <c r="O1961" s="537"/>
      <c r="P1961" s="184">
        <f>SUM(P1956:P1960)</f>
        <v>0</v>
      </c>
      <c r="Q1961" s="537" t="s">
        <v>38</v>
      </c>
      <c r="R1961" s="537"/>
      <c r="S1961" s="537"/>
      <c r="T1961" s="537"/>
      <c r="U1961" s="223">
        <f>SUM(U1956:U1960)</f>
        <v>0</v>
      </c>
    </row>
    <row r="1962" spans="1:21" x14ac:dyDescent="0.25">
      <c r="A1962" s="537" t="s">
        <v>33</v>
      </c>
      <c r="B1962" s="537"/>
      <c r="C1962" s="537"/>
      <c r="D1962" s="537"/>
      <c r="E1962" s="537"/>
      <c r="F1962" s="184">
        <f>SUM(F1961+K1961+P1961)</f>
        <v>2180</v>
      </c>
      <c r="G1962" s="537" t="s">
        <v>39</v>
      </c>
      <c r="H1962" s="537"/>
      <c r="I1962" s="537"/>
      <c r="J1962" s="537"/>
      <c r="K1962" s="184">
        <f>SUM(F1961+K1961+P1961+U1961)</f>
        <v>2180</v>
      </c>
      <c r="L1962" s="537" t="s">
        <v>40</v>
      </c>
      <c r="M1962" s="537"/>
      <c r="N1962" s="537"/>
      <c r="O1962" s="537"/>
      <c r="P1962" s="184">
        <f>SUM(K1962*0.15)</f>
        <v>327</v>
      </c>
      <c r="Q1962" s="537" t="s">
        <v>41</v>
      </c>
      <c r="R1962" s="537"/>
      <c r="S1962" s="537"/>
      <c r="T1962" s="537"/>
      <c r="U1962" s="223">
        <f>SUM(K1962+P1962)</f>
        <v>2507</v>
      </c>
    </row>
    <row r="1963" spans="1:21" x14ac:dyDescent="0.25">
      <c r="Q1963" s="537" t="s">
        <v>42</v>
      </c>
      <c r="R1963" s="537"/>
      <c r="S1963" s="537"/>
      <c r="T1963" s="537"/>
      <c r="U1963" s="224">
        <f>ROUND((U1962/12),2)</f>
        <v>208.92</v>
      </c>
    </row>
    <row r="1964" spans="1:21" x14ac:dyDescent="0.25">
      <c r="A1964" s="544"/>
      <c r="B1964" s="544"/>
      <c r="C1964" s="544"/>
      <c r="D1964" s="544"/>
      <c r="E1964" s="544"/>
      <c r="F1964" s="544"/>
      <c r="G1964" s="544"/>
      <c r="H1964" s="544"/>
      <c r="I1964" s="544"/>
      <c r="J1964" s="544"/>
      <c r="K1964" s="544"/>
      <c r="L1964" s="544"/>
      <c r="M1964" s="544"/>
      <c r="N1964" s="544"/>
      <c r="O1964" s="544"/>
      <c r="P1964" s="544"/>
      <c r="Q1964" s="544"/>
      <c r="R1964" s="544"/>
      <c r="S1964" s="544"/>
      <c r="T1964" s="544"/>
      <c r="U1964" s="544"/>
    </row>
    <row r="1965" spans="1:21" x14ac:dyDescent="0.25">
      <c r="A1965" s="538" t="s">
        <v>12</v>
      </c>
      <c r="B1965" s="538"/>
      <c r="C1965" s="540" t="s">
        <v>725</v>
      </c>
      <c r="D1965" s="540"/>
      <c r="E1965" s="540"/>
      <c r="F1965" s="540"/>
      <c r="G1965" s="540"/>
      <c r="H1965" s="540"/>
      <c r="I1965" s="540"/>
      <c r="J1965" s="540"/>
      <c r="K1965" s="540"/>
      <c r="L1965" s="540"/>
      <c r="M1965" s="540"/>
      <c r="N1965" s="540"/>
      <c r="O1965" s="540"/>
      <c r="P1965" s="540"/>
      <c r="Q1965" s="540"/>
      <c r="R1965" s="540"/>
      <c r="S1965" s="540"/>
      <c r="T1965" s="540"/>
      <c r="U1965" s="541" t="s">
        <v>726</v>
      </c>
    </row>
    <row r="1966" spans="1:21" x14ac:dyDescent="0.25">
      <c r="A1966" s="538"/>
      <c r="B1966" s="538"/>
      <c r="C1966" s="540"/>
      <c r="D1966" s="540"/>
      <c r="E1966" s="540"/>
      <c r="F1966" s="540"/>
      <c r="G1966" s="540"/>
      <c r="H1966" s="540"/>
      <c r="I1966" s="540"/>
      <c r="J1966" s="540"/>
      <c r="K1966" s="540"/>
      <c r="L1966" s="540"/>
      <c r="M1966" s="540"/>
      <c r="N1966" s="540"/>
      <c r="O1966" s="540"/>
      <c r="P1966" s="540"/>
      <c r="Q1966" s="540"/>
      <c r="R1966" s="540"/>
      <c r="S1966" s="540"/>
      <c r="T1966" s="540"/>
      <c r="U1966" s="541"/>
    </row>
    <row r="1967" spans="1:21" x14ac:dyDescent="0.25">
      <c r="A1967" s="539" t="s">
        <v>724</v>
      </c>
      <c r="B1967" s="539"/>
      <c r="C1967" s="540"/>
      <c r="D1967" s="540"/>
      <c r="E1967" s="540"/>
      <c r="F1967" s="540"/>
      <c r="G1967" s="540"/>
      <c r="H1967" s="540"/>
      <c r="I1967" s="540"/>
      <c r="J1967" s="540"/>
      <c r="K1967" s="540"/>
      <c r="L1967" s="540"/>
      <c r="M1967" s="540"/>
      <c r="N1967" s="540"/>
      <c r="O1967" s="540"/>
      <c r="P1967" s="540"/>
      <c r="Q1967" s="540"/>
      <c r="R1967" s="540"/>
      <c r="S1967" s="540"/>
      <c r="T1967" s="540"/>
      <c r="U1967" s="541"/>
    </row>
    <row r="1968" spans="1:21" x14ac:dyDescent="0.25">
      <c r="A1968" s="542" t="s">
        <v>16</v>
      </c>
      <c r="B1968" s="543" t="s">
        <v>18</v>
      </c>
      <c r="C1968" s="543"/>
      <c r="D1968" s="543"/>
      <c r="E1968" s="543"/>
      <c r="F1968" s="543"/>
      <c r="G1968" s="543" t="s">
        <v>24</v>
      </c>
      <c r="H1968" s="543"/>
      <c r="I1968" s="543"/>
      <c r="J1968" s="543"/>
      <c r="K1968" s="543"/>
      <c r="L1968" s="543" t="s">
        <v>25</v>
      </c>
      <c r="M1968" s="543"/>
      <c r="N1968" s="543"/>
      <c r="O1968" s="543"/>
      <c r="P1968" s="543"/>
      <c r="Q1968" s="543" t="s">
        <v>26</v>
      </c>
      <c r="R1968" s="543"/>
      <c r="S1968" s="543"/>
      <c r="T1968" s="543"/>
      <c r="U1968" s="543"/>
    </row>
    <row r="1969" spans="1:21" x14ac:dyDescent="0.25">
      <c r="A1969" s="542"/>
      <c r="B1969" s="182" t="s">
        <v>19</v>
      </c>
      <c r="C1969" s="182" t="s">
        <v>20</v>
      </c>
      <c r="D1969" s="182" t="s">
        <v>21</v>
      </c>
      <c r="E1969" s="182" t="s">
        <v>22</v>
      </c>
      <c r="F1969" s="182" t="s">
        <v>23</v>
      </c>
      <c r="G1969" s="182" t="s">
        <v>19</v>
      </c>
      <c r="H1969" s="216" t="s">
        <v>20</v>
      </c>
      <c r="I1969" s="182" t="s">
        <v>21</v>
      </c>
      <c r="J1969" s="182" t="s">
        <v>22</v>
      </c>
      <c r="K1969" s="182" t="s">
        <v>23</v>
      </c>
      <c r="L1969" s="182" t="s">
        <v>19</v>
      </c>
      <c r="M1969" s="182" t="s">
        <v>20</v>
      </c>
      <c r="N1969" s="182" t="s">
        <v>21</v>
      </c>
      <c r="O1969" s="182" t="s">
        <v>22</v>
      </c>
      <c r="P1969" s="182" t="s">
        <v>23</v>
      </c>
      <c r="Q1969" s="182" t="s">
        <v>19</v>
      </c>
      <c r="R1969" s="182" t="s">
        <v>20</v>
      </c>
      <c r="S1969" s="182" t="s">
        <v>21</v>
      </c>
      <c r="T1969" s="182" t="s">
        <v>22</v>
      </c>
      <c r="U1969" s="211" t="s">
        <v>23</v>
      </c>
    </row>
    <row r="1970" spans="1:21" x14ac:dyDescent="0.25">
      <c r="A1970" s="183" t="s">
        <v>727</v>
      </c>
      <c r="B1970" s="182" t="s">
        <v>47</v>
      </c>
      <c r="C1970" s="182" t="s">
        <v>28</v>
      </c>
      <c r="D1970" s="182">
        <v>2</v>
      </c>
      <c r="E1970" s="182">
        <f>skilled</f>
        <v>1245</v>
      </c>
      <c r="F1970" s="184">
        <f>(D1970*E1970)</f>
        <v>2490</v>
      </c>
      <c r="G1970" s="182" t="s">
        <v>728</v>
      </c>
      <c r="H1970" s="216" t="s">
        <v>84</v>
      </c>
      <c r="I1970" s="182">
        <v>13.5</v>
      </c>
      <c r="J1970" s="182">
        <f>adopted_rate_aggregate_20_40_mm</f>
        <v>3175.2000000000003</v>
      </c>
      <c r="K1970" s="182">
        <f>(I1970*J1970)</f>
        <v>42865.200000000004</v>
      </c>
      <c r="L1970" s="182" t="s">
        <v>276</v>
      </c>
      <c r="M1970" s="182" t="s">
        <v>58</v>
      </c>
      <c r="N1970" s="182">
        <v>6</v>
      </c>
      <c r="O1970" s="182">
        <f>concrete_mixer</f>
        <v>296</v>
      </c>
      <c r="P1970" s="184">
        <f>(N1970*O1970)</f>
        <v>1776</v>
      </c>
    </row>
    <row r="1971" spans="1:21" x14ac:dyDescent="0.25">
      <c r="B1971" s="182" t="s">
        <v>29</v>
      </c>
      <c r="C1971" s="182" t="s">
        <v>28</v>
      </c>
      <c r="D1971" s="182">
        <v>22</v>
      </c>
      <c r="E1971" s="182">
        <f>unskilled</f>
        <v>935</v>
      </c>
      <c r="F1971" s="184">
        <f>(D1971*E1971)</f>
        <v>20570</v>
      </c>
      <c r="G1971" s="182" t="s">
        <v>430</v>
      </c>
      <c r="H1971" s="216" t="s">
        <v>84</v>
      </c>
      <c r="I1971" s="182">
        <v>6.75</v>
      </c>
      <c r="J1971" s="182">
        <f>adopted_rate_sand</f>
        <v>3175.2000000000003</v>
      </c>
      <c r="K1971" s="182">
        <f>(I1971*J1971)</f>
        <v>21432.600000000002</v>
      </c>
      <c r="L1971" s="182" t="s">
        <v>76</v>
      </c>
      <c r="M1971" s="182" t="s">
        <v>58</v>
      </c>
      <c r="N1971" s="182">
        <v>6</v>
      </c>
      <c r="O1971" s="182">
        <f>generator</f>
        <v>855</v>
      </c>
      <c r="P1971" s="184">
        <f>(N1971*O1971)</f>
        <v>5130</v>
      </c>
    </row>
    <row r="1972" spans="1:21" x14ac:dyDescent="0.25">
      <c r="G1972" s="182" t="s">
        <v>85</v>
      </c>
      <c r="H1972" s="216" t="s">
        <v>35</v>
      </c>
      <c r="I1972" s="182">
        <v>3.45</v>
      </c>
      <c r="J1972" s="182">
        <f>adopted_rate_cement</f>
        <v>13031</v>
      </c>
      <c r="K1972" s="182">
        <f>(I1972*J1972)</f>
        <v>44956.950000000004</v>
      </c>
    </row>
    <row r="1973" spans="1:21" x14ac:dyDescent="0.25">
      <c r="G1973" s="182" t="s">
        <v>171</v>
      </c>
      <c r="H1973" s="216" t="s">
        <v>172</v>
      </c>
      <c r="I1973" s="182">
        <v>2</v>
      </c>
      <c r="J1973" s="182">
        <f>adopted_rate_water</f>
        <v>310</v>
      </c>
      <c r="K1973" s="182">
        <f>(I1973*J1973)</f>
        <v>620</v>
      </c>
    </row>
    <row r="1974" spans="1:21" x14ac:dyDescent="0.25">
      <c r="A1974" s="537" t="s">
        <v>30</v>
      </c>
      <c r="B1974" s="537"/>
      <c r="C1974" s="537"/>
      <c r="D1974" s="537"/>
      <c r="E1974" s="537"/>
      <c r="F1974" s="184">
        <f>SUM(F1969:F1973)</f>
        <v>23060</v>
      </c>
      <c r="G1974" s="537" t="s">
        <v>31</v>
      </c>
      <c r="H1974" s="537"/>
      <c r="I1974" s="537"/>
      <c r="J1974" s="537"/>
      <c r="K1974" s="184">
        <f>SUM(K1969:K1973)</f>
        <v>109874.75</v>
      </c>
      <c r="L1974" s="537" t="s">
        <v>32</v>
      </c>
      <c r="M1974" s="537"/>
      <c r="N1974" s="537"/>
      <c r="O1974" s="537"/>
      <c r="P1974" s="184">
        <f>SUM(P1969:P1973)</f>
        <v>6906</v>
      </c>
      <c r="Q1974" s="537" t="s">
        <v>38</v>
      </c>
      <c r="R1974" s="537"/>
      <c r="S1974" s="537"/>
      <c r="T1974" s="537"/>
      <c r="U1974" s="223">
        <f>SUM(U1969:U1973)</f>
        <v>0</v>
      </c>
    </row>
    <row r="1975" spans="1:21" x14ac:dyDescent="0.25">
      <c r="A1975" s="537" t="s">
        <v>33</v>
      </c>
      <c r="B1975" s="537"/>
      <c r="C1975" s="537"/>
      <c r="D1975" s="537"/>
      <c r="E1975" s="537"/>
      <c r="F1975" s="184">
        <f>SUM(F1974+K1974+P1974)</f>
        <v>139840.75</v>
      </c>
      <c r="G1975" s="537" t="s">
        <v>39</v>
      </c>
      <c r="H1975" s="537"/>
      <c r="I1975" s="537"/>
      <c r="J1975" s="537"/>
      <c r="K1975" s="184">
        <f>SUM(F1974+K1974+P1974+U1974)</f>
        <v>139840.75</v>
      </c>
      <c r="L1975" s="537" t="s">
        <v>40</v>
      </c>
      <c r="M1975" s="537"/>
      <c r="N1975" s="537"/>
      <c r="O1975" s="537"/>
      <c r="P1975" s="184">
        <f>SUM(K1975*0.15)</f>
        <v>20976.112499999999</v>
      </c>
      <c r="Q1975" s="537" t="s">
        <v>41</v>
      </c>
      <c r="R1975" s="537"/>
      <c r="S1975" s="537"/>
      <c r="T1975" s="537"/>
      <c r="U1975" s="223">
        <f>SUM(K1975+P1975)</f>
        <v>160816.86249999999</v>
      </c>
    </row>
    <row r="1976" spans="1:21" x14ac:dyDescent="0.25">
      <c r="Q1976" s="537" t="s">
        <v>42</v>
      </c>
      <c r="R1976" s="537"/>
      <c r="S1976" s="537"/>
      <c r="T1976" s="537"/>
      <c r="U1976" s="224">
        <f>ROUND((U1975/15),2)</f>
        <v>10721.12</v>
      </c>
    </row>
    <row r="1977" spans="1:21" x14ac:dyDescent="0.25">
      <c r="A1977" s="544"/>
      <c r="B1977" s="544"/>
      <c r="C1977" s="544"/>
      <c r="D1977" s="544"/>
      <c r="E1977" s="544"/>
      <c r="F1977" s="544"/>
      <c r="G1977" s="544"/>
      <c r="H1977" s="544"/>
      <c r="I1977" s="544"/>
      <c r="J1977" s="544"/>
      <c r="K1977" s="544"/>
      <c r="L1977" s="544"/>
      <c r="M1977" s="544"/>
      <c r="N1977" s="544"/>
      <c r="O1977" s="544"/>
      <c r="P1977" s="544"/>
      <c r="Q1977" s="544"/>
      <c r="R1977" s="544"/>
      <c r="S1977" s="544"/>
      <c r="T1977" s="544"/>
      <c r="U1977" s="544"/>
    </row>
    <row r="1978" spans="1:21" x14ac:dyDescent="0.25">
      <c r="A1978" s="538" t="s">
        <v>12</v>
      </c>
      <c r="B1978" s="538"/>
      <c r="C1978" s="540" t="s">
        <v>729</v>
      </c>
      <c r="D1978" s="540"/>
      <c r="E1978" s="540"/>
      <c r="F1978" s="540"/>
      <c r="G1978" s="540"/>
      <c r="H1978" s="540"/>
      <c r="I1978" s="540"/>
      <c r="J1978" s="540"/>
      <c r="K1978" s="540"/>
      <c r="L1978" s="540"/>
      <c r="M1978" s="540"/>
      <c r="N1978" s="540"/>
      <c r="O1978" s="540"/>
      <c r="P1978" s="540"/>
      <c r="Q1978" s="540"/>
      <c r="R1978" s="540"/>
      <c r="S1978" s="540"/>
      <c r="T1978" s="540"/>
      <c r="U1978" s="541" t="s">
        <v>726</v>
      </c>
    </row>
    <row r="1979" spans="1:21" x14ac:dyDescent="0.25">
      <c r="A1979" s="538"/>
      <c r="B1979" s="538"/>
      <c r="C1979" s="540"/>
      <c r="D1979" s="540"/>
      <c r="E1979" s="540"/>
      <c r="F1979" s="540"/>
      <c r="G1979" s="540"/>
      <c r="H1979" s="540"/>
      <c r="I1979" s="540"/>
      <c r="J1979" s="540"/>
      <c r="K1979" s="540"/>
      <c r="L1979" s="540"/>
      <c r="M1979" s="540"/>
      <c r="N1979" s="540"/>
      <c r="O1979" s="540"/>
      <c r="P1979" s="540"/>
      <c r="Q1979" s="540"/>
      <c r="R1979" s="540"/>
      <c r="S1979" s="540"/>
      <c r="T1979" s="540"/>
      <c r="U1979" s="541"/>
    </row>
    <row r="1980" spans="1:21" x14ac:dyDescent="0.25">
      <c r="A1980" s="539" t="s">
        <v>724</v>
      </c>
      <c r="B1980" s="539"/>
      <c r="C1980" s="540"/>
      <c r="D1980" s="540"/>
      <c r="E1980" s="540"/>
      <c r="F1980" s="540"/>
      <c r="G1980" s="540"/>
      <c r="H1980" s="540"/>
      <c r="I1980" s="540"/>
      <c r="J1980" s="540"/>
      <c r="K1980" s="540"/>
      <c r="L1980" s="540"/>
      <c r="M1980" s="540"/>
      <c r="N1980" s="540"/>
      <c r="O1980" s="540"/>
      <c r="P1980" s="540"/>
      <c r="Q1980" s="540"/>
      <c r="R1980" s="540"/>
      <c r="S1980" s="540"/>
      <c r="T1980" s="540"/>
      <c r="U1980" s="541"/>
    </row>
    <row r="1981" spans="1:21" x14ac:dyDescent="0.25">
      <c r="A1981" s="542" t="s">
        <v>16</v>
      </c>
      <c r="B1981" s="543" t="s">
        <v>18</v>
      </c>
      <c r="C1981" s="543"/>
      <c r="D1981" s="543"/>
      <c r="E1981" s="543"/>
      <c r="F1981" s="543"/>
      <c r="G1981" s="543" t="s">
        <v>24</v>
      </c>
      <c r="H1981" s="543"/>
      <c r="I1981" s="543"/>
      <c r="J1981" s="543"/>
      <c r="K1981" s="543"/>
      <c r="L1981" s="543" t="s">
        <v>25</v>
      </c>
      <c r="M1981" s="543"/>
      <c r="N1981" s="543"/>
      <c r="O1981" s="543"/>
      <c r="P1981" s="543"/>
      <c r="Q1981" s="543" t="s">
        <v>26</v>
      </c>
      <c r="R1981" s="543"/>
      <c r="S1981" s="543"/>
      <c r="T1981" s="543"/>
      <c r="U1981" s="543"/>
    </row>
    <row r="1982" spans="1:21" x14ac:dyDescent="0.25">
      <c r="A1982" s="542"/>
      <c r="B1982" s="182" t="s">
        <v>19</v>
      </c>
      <c r="C1982" s="182" t="s">
        <v>20</v>
      </c>
      <c r="D1982" s="182" t="s">
        <v>21</v>
      </c>
      <c r="E1982" s="182" t="s">
        <v>22</v>
      </c>
      <c r="F1982" s="182" t="s">
        <v>23</v>
      </c>
      <c r="G1982" s="182" t="s">
        <v>19</v>
      </c>
      <c r="H1982" s="216" t="s">
        <v>20</v>
      </c>
      <c r="I1982" s="182" t="s">
        <v>21</v>
      </c>
      <c r="J1982" s="182" t="s">
        <v>22</v>
      </c>
      <c r="K1982" s="182" t="s">
        <v>23</v>
      </c>
      <c r="L1982" s="182" t="s">
        <v>19</v>
      </c>
      <c r="M1982" s="182" t="s">
        <v>20</v>
      </c>
      <c r="N1982" s="182" t="s">
        <v>21</v>
      </c>
      <c r="O1982" s="182" t="s">
        <v>22</v>
      </c>
      <c r="P1982" s="182" t="s">
        <v>23</v>
      </c>
      <c r="Q1982" s="182" t="s">
        <v>19</v>
      </c>
      <c r="R1982" s="182" t="s">
        <v>20</v>
      </c>
      <c r="S1982" s="182" t="s">
        <v>21</v>
      </c>
      <c r="T1982" s="182" t="s">
        <v>22</v>
      </c>
      <c r="U1982" s="211" t="s">
        <v>23</v>
      </c>
    </row>
    <row r="1983" spans="1:21" x14ac:dyDescent="0.25">
      <c r="A1983" s="183" t="s">
        <v>730</v>
      </c>
      <c r="B1983" s="182" t="s">
        <v>47</v>
      </c>
      <c r="C1983" s="182" t="s">
        <v>28</v>
      </c>
      <c r="D1983" s="182">
        <v>3</v>
      </c>
      <c r="E1983" s="182">
        <f>skilled</f>
        <v>1245</v>
      </c>
      <c r="F1983" s="184">
        <f>(D1983*E1983)</f>
        <v>3735</v>
      </c>
      <c r="G1983" s="182" t="s">
        <v>728</v>
      </c>
      <c r="H1983" s="216" t="s">
        <v>84</v>
      </c>
      <c r="I1983" s="182">
        <v>13.5</v>
      </c>
      <c r="J1983" s="182">
        <f>adopted_rate_aggregate_20_40_mm</f>
        <v>3175.2000000000003</v>
      </c>
      <c r="K1983" s="182">
        <f>(I1983*J1983)</f>
        <v>42865.200000000004</v>
      </c>
    </row>
    <row r="1984" spans="1:21" x14ac:dyDescent="0.25">
      <c r="B1984" s="182" t="s">
        <v>29</v>
      </c>
      <c r="C1984" s="182" t="s">
        <v>28</v>
      </c>
      <c r="D1984" s="182">
        <v>33</v>
      </c>
      <c r="E1984" s="182">
        <f>unskilled</f>
        <v>935</v>
      </c>
      <c r="F1984" s="184">
        <f>(D1984*E1984)</f>
        <v>30855</v>
      </c>
      <c r="G1984" s="182" t="s">
        <v>430</v>
      </c>
      <c r="H1984" s="216" t="s">
        <v>84</v>
      </c>
      <c r="I1984" s="182">
        <v>6.75</v>
      </c>
      <c r="J1984" s="182">
        <f>adopted_rate_sand</f>
        <v>3175.2000000000003</v>
      </c>
      <c r="K1984" s="182">
        <f>(I1984*J1984)</f>
        <v>21432.600000000002</v>
      </c>
    </row>
    <row r="1985" spans="1:21" x14ac:dyDescent="0.25">
      <c r="G1985" s="182" t="s">
        <v>85</v>
      </c>
      <c r="H1985" s="216" t="s">
        <v>35</v>
      </c>
      <c r="I1985" s="182">
        <v>3.45</v>
      </c>
      <c r="J1985" s="182">
        <f>adopted_rate_cement</f>
        <v>13031</v>
      </c>
      <c r="K1985" s="182">
        <f>(I1985*J1985)</f>
        <v>44956.950000000004</v>
      </c>
    </row>
    <row r="1986" spans="1:21" x14ac:dyDescent="0.25">
      <c r="G1986" s="182" t="s">
        <v>171</v>
      </c>
      <c r="H1986" s="216" t="s">
        <v>172</v>
      </c>
      <c r="I1986" s="182">
        <v>2</v>
      </c>
      <c r="J1986" s="182">
        <f>adopted_rate_water</f>
        <v>310</v>
      </c>
      <c r="K1986" s="182">
        <f>(I1986*J1986)</f>
        <v>620</v>
      </c>
    </row>
    <row r="1987" spans="1:21" x14ac:dyDescent="0.25">
      <c r="A1987" s="537" t="s">
        <v>30</v>
      </c>
      <c r="B1987" s="537"/>
      <c r="C1987" s="537"/>
      <c r="D1987" s="537"/>
      <c r="E1987" s="537"/>
      <c r="F1987" s="184">
        <f>SUM(F1982:F1986)</f>
        <v>34590</v>
      </c>
      <c r="G1987" s="537" t="s">
        <v>31</v>
      </c>
      <c r="H1987" s="537"/>
      <c r="I1987" s="537"/>
      <c r="J1987" s="537"/>
      <c r="K1987" s="184">
        <f>SUM(K1982:K1986)</f>
        <v>109874.75</v>
      </c>
      <c r="L1987" s="537" t="s">
        <v>32</v>
      </c>
      <c r="M1987" s="537"/>
      <c r="N1987" s="537"/>
      <c r="O1987" s="537"/>
      <c r="P1987" s="184">
        <f>SUM(P1982:P1986)</f>
        <v>0</v>
      </c>
      <c r="Q1987" s="537" t="s">
        <v>38</v>
      </c>
      <c r="R1987" s="537"/>
      <c r="S1987" s="537"/>
      <c r="T1987" s="537"/>
      <c r="U1987" s="223">
        <f>SUM(U1982:U1986)</f>
        <v>0</v>
      </c>
    </row>
    <row r="1988" spans="1:21" x14ac:dyDescent="0.25">
      <c r="A1988" s="537" t="s">
        <v>33</v>
      </c>
      <c r="B1988" s="537"/>
      <c r="C1988" s="537"/>
      <c r="D1988" s="537"/>
      <c r="E1988" s="537"/>
      <c r="F1988" s="184">
        <f>SUM(F1987+K1987+P1987)</f>
        <v>144464.75</v>
      </c>
      <c r="G1988" s="537" t="s">
        <v>39</v>
      </c>
      <c r="H1988" s="537"/>
      <c r="I1988" s="537"/>
      <c r="J1988" s="537"/>
      <c r="K1988" s="184">
        <f>SUM(F1987+K1987+P1987+U1987)</f>
        <v>144464.75</v>
      </c>
      <c r="L1988" s="537" t="s">
        <v>40</v>
      </c>
      <c r="M1988" s="537"/>
      <c r="N1988" s="537"/>
      <c r="O1988" s="537"/>
      <c r="P1988" s="184">
        <f>SUM(K1988*0.15)</f>
        <v>21669.712499999998</v>
      </c>
      <c r="Q1988" s="537" t="s">
        <v>41</v>
      </c>
      <c r="R1988" s="537"/>
      <c r="S1988" s="537"/>
      <c r="T1988" s="537"/>
      <c r="U1988" s="223">
        <f>SUM(K1988+P1988)</f>
        <v>166134.46249999999</v>
      </c>
    </row>
    <row r="1989" spans="1:21" x14ac:dyDescent="0.25">
      <c r="Q1989" s="537" t="s">
        <v>42</v>
      </c>
      <c r="R1989" s="537"/>
      <c r="S1989" s="537"/>
      <c r="T1989" s="537"/>
      <c r="U1989" s="224">
        <f>ROUND((U1988/15),2)</f>
        <v>11075.63</v>
      </c>
    </row>
    <row r="1990" spans="1:21" x14ac:dyDescent="0.25">
      <c r="A1990" s="544"/>
      <c r="B1990" s="544"/>
      <c r="C1990" s="544"/>
      <c r="D1990" s="544"/>
      <c r="E1990" s="544"/>
      <c r="F1990" s="544"/>
      <c r="G1990" s="544"/>
      <c r="H1990" s="544"/>
      <c r="I1990" s="544"/>
      <c r="J1990" s="544"/>
      <c r="K1990" s="544"/>
      <c r="L1990" s="544"/>
      <c r="M1990" s="544"/>
      <c r="N1990" s="544"/>
      <c r="O1990" s="544"/>
      <c r="P1990" s="544"/>
      <c r="Q1990" s="544"/>
      <c r="R1990" s="544"/>
      <c r="S1990" s="544"/>
      <c r="T1990" s="544"/>
      <c r="U1990" s="544"/>
    </row>
    <row r="1991" spans="1:21" x14ac:dyDescent="0.25">
      <c r="A1991" s="538" t="s">
        <v>12</v>
      </c>
      <c r="B1991" s="538"/>
      <c r="C1991" s="540" t="s">
        <v>731</v>
      </c>
      <c r="D1991" s="540"/>
      <c r="E1991" s="540"/>
      <c r="F1991" s="540"/>
      <c r="G1991" s="540"/>
      <c r="H1991" s="540"/>
      <c r="I1991" s="540"/>
      <c r="J1991" s="540"/>
      <c r="K1991" s="540"/>
      <c r="L1991" s="540"/>
      <c r="M1991" s="540"/>
      <c r="N1991" s="540"/>
      <c r="O1991" s="540"/>
      <c r="P1991" s="540"/>
      <c r="Q1991" s="540"/>
      <c r="R1991" s="540"/>
      <c r="S1991" s="540"/>
      <c r="T1991" s="540"/>
      <c r="U1991" s="541" t="s">
        <v>726</v>
      </c>
    </row>
    <row r="1992" spans="1:21" x14ac:dyDescent="0.25">
      <c r="A1992" s="538"/>
      <c r="B1992" s="538"/>
      <c r="C1992" s="540"/>
      <c r="D1992" s="540"/>
      <c r="E1992" s="540"/>
      <c r="F1992" s="540"/>
      <c r="G1992" s="540"/>
      <c r="H1992" s="540"/>
      <c r="I1992" s="540"/>
      <c r="J1992" s="540"/>
      <c r="K1992" s="540"/>
      <c r="L1992" s="540"/>
      <c r="M1992" s="540"/>
      <c r="N1992" s="540"/>
      <c r="O1992" s="540"/>
      <c r="P1992" s="540"/>
      <c r="Q1992" s="540"/>
      <c r="R1992" s="540"/>
      <c r="S1992" s="540"/>
      <c r="T1992" s="540"/>
      <c r="U1992" s="541"/>
    </row>
    <row r="1993" spans="1:21" x14ac:dyDescent="0.25">
      <c r="A1993" s="539" t="s">
        <v>724</v>
      </c>
      <c r="B1993" s="539"/>
      <c r="C1993" s="540"/>
      <c r="D1993" s="540"/>
      <c r="E1993" s="540"/>
      <c r="F1993" s="540"/>
      <c r="G1993" s="540"/>
      <c r="H1993" s="540"/>
      <c r="I1993" s="540"/>
      <c r="J1993" s="540"/>
      <c r="K1993" s="540"/>
      <c r="L1993" s="540"/>
      <c r="M1993" s="540"/>
      <c r="N1993" s="540"/>
      <c r="O1993" s="540"/>
      <c r="P1993" s="540"/>
      <c r="Q1993" s="540"/>
      <c r="R1993" s="540"/>
      <c r="S1993" s="540"/>
      <c r="T1993" s="540"/>
      <c r="U1993" s="541"/>
    </row>
    <row r="1994" spans="1:21" x14ac:dyDescent="0.25">
      <c r="A1994" s="542" t="s">
        <v>16</v>
      </c>
      <c r="B1994" s="543" t="s">
        <v>18</v>
      </c>
      <c r="C1994" s="543"/>
      <c r="D1994" s="543"/>
      <c r="E1994" s="543"/>
      <c r="F1994" s="543"/>
      <c r="G1994" s="543" t="s">
        <v>24</v>
      </c>
      <c r="H1994" s="543"/>
      <c r="I1994" s="543"/>
      <c r="J1994" s="543"/>
      <c r="K1994" s="543"/>
      <c r="L1994" s="543" t="s">
        <v>25</v>
      </c>
      <c r="M1994" s="543"/>
      <c r="N1994" s="543"/>
      <c r="O1994" s="543"/>
      <c r="P1994" s="543"/>
      <c r="Q1994" s="543" t="s">
        <v>26</v>
      </c>
      <c r="R1994" s="543"/>
      <c r="S1994" s="543"/>
      <c r="T1994" s="543"/>
      <c r="U1994" s="543"/>
    </row>
    <row r="1995" spans="1:21" x14ac:dyDescent="0.25">
      <c r="A1995" s="542"/>
      <c r="B1995" s="182" t="s">
        <v>19</v>
      </c>
      <c r="C1995" s="182" t="s">
        <v>20</v>
      </c>
      <c r="D1995" s="182" t="s">
        <v>21</v>
      </c>
      <c r="E1995" s="182" t="s">
        <v>22</v>
      </c>
      <c r="F1995" s="182" t="s">
        <v>23</v>
      </c>
      <c r="G1995" s="182" t="s">
        <v>19</v>
      </c>
      <c r="H1995" s="216" t="s">
        <v>20</v>
      </c>
      <c r="I1995" s="182" t="s">
        <v>21</v>
      </c>
      <c r="J1995" s="182" t="s">
        <v>22</v>
      </c>
      <c r="K1995" s="182" t="s">
        <v>23</v>
      </c>
      <c r="L1995" s="182" t="s">
        <v>19</v>
      </c>
      <c r="M1995" s="182" t="s">
        <v>20</v>
      </c>
      <c r="N1995" s="182" t="s">
        <v>21</v>
      </c>
      <c r="O1995" s="182" t="s">
        <v>22</v>
      </c>
      <c r="P1995" s="182" t="s">
        <v>23</v>
      </c>
      <c r="Q1995" s="182" t="s">
        <v>19</v>
      </c>
      <c r="R1995" s="182" t="s">
        <v>20</v>
      </c>
      <c r="S1995" s="182" t="s">
        <v>21</v>
      </c>
      <c r="T1995" s="182" t="s">
        <v>22</v>
      </c>
      <c r="U1995" s="211" t="s">
        <v>23</v>
      </c>
    </row>
    <row r="1996" spans="1:21" ht="78.75" x14ac:dyDescent="0.25">
      <c r="A1996" s="183" t="s">
        <v>732</v>
      </c>
      <c r="B1996" s="182" t="s">
        <v>47</v>
      </c>
      <c r="C1996" s="182" t="s">
        <v>28</v>
      </c>
      <c r="D1996" s="182">
        <v>3</v>
      </c>
      <c r="E1996" s="182">
        <f>skilled</f>
        <v>1245</v>
      </c>
      <c r="F1996" s="184">
        <f>(D1996*E1996)</f>
        <v>3735</v>
      </c>
      <c r="G1996" s="182" t="s">
        <v>85</v>
      </c>
      <c r="H1996" s="216" t="s">
        <v>35</v>
      </c>
      <c r="I1996" s="182">
        <v>4.13</v>
      </c>
      <c r="J1996" s="182">
        <f>adopted_rate_cement</f>
        <v>13031</v>
      </c>
      <c r="K1996" s="182">
        <f t="shared" ref="K1996:K2001" si="7">(I1996*J1996)</f>
        <v>53818.03</v>
      </c>
      <c r="L1996" s="182" t="s">
        <v>276</v>
      </c>
      <c r="M1996" s="182" t="s">
        <v>58</v>
      </c>
      <c r="N1996" s="182">
        <v>6</v>
      </c>
      <c r="O1996" s="182">
        <f>concrete_mixer</f>
        <v>296</v>
      </c>
      <c r="P1996" s="184">
        <f>(N1996*O1996)</f>
        <v>1776</v>
      </c>
      <c r="Q1996" s="182" t="s">
        <v>735</v>
      </c>
      <c r="R1996" s="182"/>
      <c r="U1996" s="223">
        <f>F2003*4/100</f>
        <v>6325.65</v>
      </c>
    </row>
    <row r="1997" spans="1:21" x14ac:dyDescent="0.25">
      <c r="B1997" s="182" t="s">
        <v>29</v>
      </c>
      <c r="C1997" s="182" t="s">
        <v>28</v>
      </c>
      <c r="D1997" s="182">
        <v>30</v>
      </c>
      <c r="E1997" s="182">
        <f>unskilled</f>
        <v>935</v>
      </c>
      <c r="F1997" s="184">
        <f>(D1997*E1997)</f>
        <v>28050</v>
      </c>
      <c r="G1997" s="182" t="s">
        <v>430</v>
      </c>
      <c r="H1997" s="216" t="s">
        <v>84</v>
      </c>
      <c r="I1997" s="182">
        <v>6.75</v>
      </c>
      <c r="J1997" s="182">
        <f>adopted_rate_sand</f>
        <v>3175.2000000000003</v>
      </c>
      <c r="K1997" s="182">
        <f t="shared" si="7"/>
        <v>21432.600000000002</v>
      </c>
      <c r="L1997" s="182" t="s">
        <v>76</v>
      </c>
      <c r="M1997" s="182" t="s">
        <v>58</v>
      </c>
      <c r="N1997" s="182">
        <v>6</v>
      </c>
      <c r="O1997" s="182">
        <f>generator</f>
        <v>855</v>
      </c>
      <c r="P1997" s="184">
        <f>(N1997*O1997)</f>
        <v>5130</v>
      </c>
    </row>
    <row r="1998" spans="1:21" x14ac:dyDescent="0.25">
      <c r="G1998" s="182" t="s">
        <v>728</v>
      </c>
      <c r="H1998" s="216" t="s">
        <v>84</v>
      </c>
      <c r="I1998" s="182">
        <v>8.1</v>
      </c>
      <c r="J1998" s="182">
        <f>adopted_rate_aggregate_20_40_mm</f>
        <v>3175.2000000000003</v>
      </c>
      <c r="K1998" s="182">
        <f t="shared" si="7"/>
        <v>25719.120000000003</v>
      </c>
    </row>
    <row r="1999" spans="1:21" x14ac:dyDescent="0.25">
      <c r="G1999" s="182" t="s">
        <v>733</v>
      </c>
      <c r="H1999" s="216" t="s">
        <v>84</v>
      </c>
      <c r="I1999" s="182">
        <v>4.05</v>
      </c>
      <c r="J1999" s="182">
        <f>adopted_rate_aggregate_10_20_mm</f>
        <v>3351.6</v>
      </c>
      <c r="K1999" s="182">
        <f t="shared" si="7"/>
        <v>13573.98</v>
      </c>
    </row>
    <row r="2000" spans="1:21" x14ac:dyDescent="0.25">
      <c r="G2000" s="182" t="s">
        <v>734</v>
      </c>
      <c r="H2000" s="216" t="s">
        <v>84</v>
      </c>
      <c r="I2000" s="182">
        <v>1.35</v>
      </c>
      <c r="J2000" s="182">
        <f>adopted_rate_aggregate_10_mm</f>
        <v>3175.2000000000003</v>
      </c>
      <c r="K2000" s="182">
        <f t="shared" si="7"/>
        <v>4286.5200000000004</v>
      </c>
    </row>
    <row r="2001" spans="1:21" x14ac:dyDescent="0.25">
      <c r="G2001" s="182" t="s">
        <v>171</v>
      </c>
      <c r="H2001" s="216" t="s">
        <v>172</v>
      </c>
      <c r="I2001" s="182">
        <v>2</v>
      </c>
      <c r="J2001" s="182">
        <f>adopted_rate_water</f>
        <v>310</v>
      </c>
      <c r="K2001" s="182">
        <f t="shared" si="7"/>
        <v>620</v>
      </c>
    </row>
    <row r="2002" spans="1:21" x14ac:dyDescent="0.25">
      <c r="A2002" s="537" t="s">
        <v>30</v>
      </c>
      <c r="B2002" s="537"/>
      <c r="C2002" s="537"/>
      <c r="D2002" s="537"/>
      <c r="E2002" s="537"/>
      <c r="F2002" s="184">
        <f>SUM(F1995:F2001)</f>
        <v>31785</v>
      </c>
      <c r="G2002" s="537" t="s">
        <v>31</v>
      </c>
      <c r="H2002" s="537"/>
      <c r="I2002" s="537"/>
      <c r="J2002" s="537"/>
      <c r="K2002" s="184">
        <f>SUM(K1995:K2001)</f>
        <v>119450.25</v>
      </c>
      <c r="L2002" s="537" t="s">
        <v>32</v>
      </c>
      <c r="M2002" s="537"/>
      <c r="N2002" s="537"/>
      <c r="O2002" s="537"/>
      <c r="P2002" s="184">
        <f>SUM(P1995:P2001)</f>
        <v>6906</v>
      </c>
      <c r="Q2002" s="537" t="s">
        <v>38</v>
      </c>
      <c r="R2002" s="537"/>
      <c r="S2002" s="537"/>
      <c r="T2002" s="537"/>
      <c r="U2002" s="223">
        <f>SUM(U1995:U2001)</f>
        <v>6325.65</v>
      </c>
    </row>
    <row r="2003" spans="1:21" x14ac:dyDescent="0.25">
      <c r="A2003" s="537" t="s">
        <v>33</v>
      </c>
      <c r="B2003" s="537"/>
      <c r="C2003" s="537"/>
      <c r="D2003" s="537"/>
      <c r="E2003" s="537"/>
      <c r="F2003" s="184">
        <f>SUM(F2002+K2002+P2002)</f>
        <v>158141.25</v>
      </c>
      <c r="G2003" s="537" t="s">
        <v>39</v>
      </c>
      <c r="H2003" s="537"/>
      <c r="I2003" s="537"/>
      <c r="J2003" s="537"/>
      <c r="K2003" s="184">
        <f>SUM(F2002+K2002+P2002+U2002)</f>
        <v>164466.9</v>
      </c>
      <c r="L2003" s="537" t="s">
        <v>40</v>
      </c>
      <c r="M2003" s="537"/>
      <c r="N2003" s="537"/>
      <c r="O2003" s="537"/>
      <c r="P2003" s="184">
        <f>SUM(K2003*0.15)</f>
        <v>24670.035</v>
      </c>
      <c r="Q2003" s="537" t="s">
        <v>41</v>
      </c>
      <c r="R2003" s="537"/>
      <c r="S2003" s="537"/>
      <c r="T2003" s="537"/>
      <c r="U2003" s="223">
        <f>SUM(K2003+P2003)</f>
        <v>189136.935</v>
      </c>
    </row>
    <row r="2004" spans="1:21" x14ac:dyDescent="0.25">
      <c r="Q2004" s="537" t="s">
        <v>42</v>
      </c>
      <c r="R2004" s="537"/>
      <c r="S2004" s="537"/>
      <c r="T2004" s="537"/>
      <c r="U2004" s="224">
        <f>ROUND((U2003/15),2)</f>
        <v>12609.13</v>
      </c>
    </row>
    <row r="2005" spans="1:21" x14ac:dyDescent="0.25">
      <c r="A2005" s="544"/>
      <c r="B2005" s="544"/>
      <c r="C2005" s="544"/>
      <c r="D2005" s="544"/>
      <c r="E2005" s="544"/>
      <c r="F2005" s="544"/>
      <c r="G2005" s="544"/>
      <c r="H2005" s="544"/>
      <c r="I2005" s="544"/>
      <c r="J2005" s="544"/>
      <c r="K2005" s="544"/>
      <c r="L2005" s="544"/>
      <c r="M2005" s="544"/>
      <c r="N2005" s="544"/>
      <c r="O2005" s="544"/>
      <c r="P2005" s="544"/>
      <c r="Q2005" s="544"/>
      <c r="R2005" s="544"/>
      <c r="S2005" s="544"/>
      <c r="T2005" s="544"/>
      <c r="U2005" s="544"/>
    </row>
    <row r="2006" spans="1:21" x14ac:dyDescent="0.25">
      <c r="A2006" s="538" t="s">
        <v>12</v>
      </c>
      <c r="B2006" s="538"/>
      <c r="C2006" s="540" t="s">
        <v>736</v>
      </c>
      <c r="D2006" s="540"/>
      <c r="E2006" s="540"/>
      <c r="F2006" s="540"/>
      <c r="G2006" s="540"/>
      <c r="H2006" s="540"/>
      <c r="I2006" s="540"/>
      <c r="J2006" s="540"/>
      <c r="K2006" s="540"/>
      <c r="L2006" s="540"/>
      <c r="M2006" s="540"/>
      <c r="N2006" s="540"/>
      <c r="O2006" s="540"/>
      <c r="P2006" s="540"/>
      <c r="Q2006" s="540"/>
      <c r="R2006" s="540"/>
      <c r="S2006" s="540"/>
      <c r="T2006" s="540"/>
      <c r="U2006" s="541" t="s">
        <v>726</v>
      </c>
    </row>
    <row r="2007" spans="1:21" x14ac:dyDescent="0.25">
      <c r="A2007" s="538"/>
      <c r="B2007" s="538"/>
      <c r="C2007" s="540"/>
      <c r="D2007" s="540"/>
      <c r="E2007" s="540"/>
      <c r="F2007" s="540"/>
      <c r="G2007" s="540"/>
      <c r="H2007" s="540"/>
      <c r="I2007" s="540"/>
      <c r="J2007" s="540"/>
      <c r="K2007" s="540"/>
      <c r="L2007" s="540"/>
      <c r="M2007" s="540"/>
      <c r="N2007" s="540"/>
      <c r="O2007" s="540"/>
      <c r="P2007" s="540"/>
      <c r="Q2007" s="540"/>
      <c r="R2007" s="540"/>
      <c r="S2007" s="540"/>
      <c r="T2007" s="540"/>
      <c r="U2007" s="541"/>
    </row>
    <row r="2008" spans="1:21" x14ac:dyDescent="0.25">
      <c r="A2008" s="539" t="s">
        <v>724</v>
      </c>
      <c r="B2008" s="539"/>
      <c r="C2008" s="540"/>
      <c r="D2008" s="540"/>
      <c r="E2008" s="540"/>
      <c r="F2008" s="540"/>
      <c r="G2008" s="540"/>
      <c r="H2008" s="540"/>
      <c r="I2008" s="540"/>
      <c r="J2008" s="540"/>
      <c r="K2008" s="540"/>
      <c r="L2008" s="540"/>
      <c r="M2008" s="540"/>
      <c r="N2008" s="540"/>
      <c r="O2008" s="540"/>
      <c r="P2008" s="540"/>
      <c r="Q2008" s="540"/>
      <c r="R2008" s="540"/>
      <c r="S2008" s="540"/>
      <c r="T2008" s="540"/>
      <c r="U2008" s="541"/>
    </row>
    <row r="2009" spans="1:21" x14ac:dyDescent="0.25">
      <c r="A2009" s="542" t="s">
        <v>16</v>
      </c>
      <c r="B2009" s="543" t="s">
        <v>18</v>
      </c>
      <c r="C2009" s="543"/>
      <c r="D2009" s="543"/>
      <c r="E2009" s="543"/>
      <c r="F2009" s="543"/>
      <c r="G2009" s="543" t="s">
        <v>24</v>
      </c>
      <c r="H2009" s="543"/>
      <c r="I2009" s="543"/>
      <c r="J2009" s="543"/>
      <c r="K2009" s="543"/>
      <c r="L2009" s="543" t="s">
        <v>25</v>
      </c>
      <c r="M2009" s="543"/>
      <c r="N2009" s="543"/>
      <c r="O2009" s="543"/>
      <c r="P2009" s="543"/>
      <c r="Q2009" s="543" t="s">
        <v>26</v>
      </c>
      <c r="R2009" s="543"/>
      <c r="S2009" s="543"/>
      <c r="T2009" s="543"/>
      <c r="U2009" s="543"/>
    </row>
    <row r="2010" spans="1:21" x14ac:dyDescent="0.25">
      <c r="A2010" s="542"/>
      <c r="B2010" s="182" t="s">
        <v>19</v>
      </c>
      <c r="C2010" s="182" t="s">
        <v>20</v>
      </c>
      <c r="D2010" s="182" t="s">
        <v>21</v>
      </c>
      <c r="E2010" s="182" t="s">
        <v>22</v>
      </c>
      <c r="F2010" s="182" t="s">
        <v>23</v>
      </c>
      <c r="G2010" s="182" t="s">
        <v>19</v>
      </c>
      <c r="H2010" s="216" t="s">
        <v>20</v>
      </c>
      <c r="I2010" s="182" t="s">
        <v>21</v>
      </c>
      <c r="J2010" s="182" t="s">
        <v>22</v>
      </c>
      <c r="K2010" s="182" t="s">
        <v>23</v>
      </c>
      <c r="L2010" s="182" t="s">
        <v>19</v>
      </c>
      <c r="M2010" s="182" t="s">
        <v>20</v>
      </c>
      <c r="N2010" s="182" t="s">
        <v>21</v>
      </c>
      <c r="O2010" s="182" t="s">
        <v>22</v>
      </c>
      <c r="P2010" s="182" t="s">
        <v>23</v>
      </c>
      <c r="Q2010" s="182" t="s">
        <v>19</v>
      </c>
      <c r="R2010" s="182" t="s">
        <v>20</v>
      </c>
      <c r="S2010" s="182" t="s">
        <v>21</v>
      </c>
      <c r="T2010" s="182" t="s">
        <v>22</v>
      </c>
      <c r="U2010" s="211" t="s">
        <v>23</v>
      </c>
    </row>
    <row r="2011" spans="1:21" ht="31.5" x14ac:dyDescent="0.25">
      <c r="A2011" s="183" t="s">
        <v>737</v>
      </c>
      <c r="B2011" s="182" t="s">
        <v>47</v>
      </c>
      <c r="C2011" s="182" t="s">
        <v>28</v>
      </c>
      <c r="D2011" s="182">
        <v>4.5</v>
      </c>
      <c r="E2011" s="182">
        <f>skilled</f>
        <v>1245</v>
      </c>
      <c r="F2011" s="184">
        <f>(D2011*E2011)</f>
        <v>5602.5</v>
      </c>
      <c r="G2011" s="182" t="s">
        <v>85</v>
      </c>
      <c r="H2011" s="216" t="s">
        <v>35</v>
      </c>
      <c r="I2011" s="182">
        <v>4.13</v>
      </c>
      <c r="J2011" s="182">
        <f>adopted_rate_cement</f>
        <v>13031</v>
      </c>
      <c r="K2011" s="182">
        <f t="shared" ref="K2011:K2016" si="8">(I2011*J2011)</f>
        <v>53818.03</v>
      </c>
      <c r="Q2011" s="615" t="s">
        <v>735</v>
      </c>
      <c r="R2011" s="182"/>
      <c r="U2011" s="223">
        <f>F2018*4/100</f>
        <v>6685.11</v>
      </c>
    </row>
    <row r="2012" spans="1:21" x14ac:dyDescent="0.25">
      <c r="B2012" s="182" t="s">
        <v>29</v>
      </c>
      <c r="C2012" s="182" t="s">
        <v>28</v>
      </c>
      <c r="D2012" s="182">
        <v>45</v>
      </c>
      <c r="E2012" s="182">
        <f>unskilled</f>
        <v>935</v>
      </c>
      <c r="F2012" s="184">
        <f>(D2012*E2012)</f>
        <v>42075</v>
      </c>
      <c r="G2012" s="182" t="s">
        <v>430</v>
      </c>
      <c r="H2012" s="216" t="s">
        <v>84</v>
      </c>
      <c r="I2012" s="182">
        <v>6.75</v>
      </c>
      <c r="J2012" s="182">
        <f>adopted_rate_sand</f>
        <v>3175.2000000000003</v>
      </c>
      <c r="K2012" s="182">
        <f t="shared" si="8"/>
        <v>21432.600000000002</v>
      </c>
      <c r="Q2012" s="616"/>
    </row>
    <row r="2013" spans="1:21" x14ac:dyDescent="0.25">
      <c r="G2013" s="182" t="s">
        <v>728</v>
      </c>
      <c r="H2013" s="216" t="s">
        <v>84</v>
      </c>
      <c r="I2013" s="182">
        <v>8.1</v>
      </c>
      <c r="J2013" s="182">
        <f>adopted_rate_aggregate_20_40_mm</f>
        <v>3175.2000000000003</v>
      </c>
      <c r="K2013" s="182">
        <f t="shared" si="8"/>
        <v>25719.120000000003</v>
      </c>
      <c r="Q2013" s="616"/>
    </row>
    <row r="2014" spans="1:21" x14ac:dyDescent="0.25">
      <c r="G2014" s="182" t="s">
        <v>733</v>
      </c>
      <c r="H2014" s="216" t="s">
        <v>84</v>
      </c>
      <c r="I2014" s="182">
        <v>4.05</v>
      </c>
      <c r="J2014" s="182">
        <f>adopted_rate_aggregate_10_20_mm</f>
        <v>3351.6</v>
      </c>
      <c r="K2014" s="182">
        <f t="shared" si="8"/>
        <v>13573.98</v>
      </c>
      <c r="Q2014" s="616"/>
    </row>
    <row r="2015" spans="1:21" x14ac:dyDescent="0.25">
      <c r="G2015" s="182" t="s">
        <v>734</v>
      </c>
      <c r="H2015" s="216" t="s">
        <v>84</v>
      </c>
      <c r="I2015" s="182">
        <v>1.35</v>
      </c>
      <c r="J2015" s="182">
        <f>adopted_rate_aggregate_10_mm</f>
        <v>3175.2000000000003</v>
      </c>
      <c r="K2015" s="182">
        <f t="shared" si="8"/>
        <v>4286.5200000000004</v>
      </c>
      <c r="Q2015" s="616"/>
    </row>
    <row r="2016" spans="1:21" x14ac:dyDescent="0.25">
      <c r="G2016" s="182" t="s">
        <v>171</v>
      </c>
      <c r="H2016" s="216" t="s">
        <v>172</v>
      </c>
      <c r="I2016" s="182">
        <v>2</v>
      </c>
      <c r="J2016" s="182">
        <f>adopted_rate_water</f>
        <v>310</v>
      </c>
      <c r="K2016" s="182">
        <f t="shared" si="8"/>
        <v>620</v>
      </c>
      <c r="Q2016" s="617"/>
    </row>
    <row r="2017" spans="1:21" x14ac:dyDescent="0.25">
      <c r="A2017" s="537" t="s">
        <v>30</v>
      </c>
      <c r="B2017" s="537"/>
      <c r="C2017" s="537"/>
      <c r="D2017" s="537"/>
      <c r="E2017" s="537"/>
      <c r="F2017" s="184">
        <f>SUM(F2010:F2016)</f>
        <v>47677.5</v>
      </c>
      <c r="G2017" s="537" t="s">
        <v>31</v>
      </c>
      <c r="H2017" s="537"/>
      <c r="I2017" s="537"/>
      <c r="J2017" s="537"/>
      <c r="K2017" s="184">
        <f>SUM(K2010:K2016)</f>
        <v>119450.25</v>
      </c>
      <c r="L2017" s="537" t="s">
        <v>32</v>
      </c>
      <c r="M2017" s="537"/>
      <c r="N2017" s="537"/>
      <c r="O2017" s="537"/>
      <c r="P2017" s="184">
        <f>SUM(P2010:P2016)</f>
        <v>0</v>
      </c>
      <c r="Q2017" s="537" t="s">
        <v>38</v>
      </c>
      <c r="R2017" s="537"/>
      <c r="S2017" s="537"/>
      <c r="T2017" s="537"/>
      <c r="U2017" s="223">
        <f>SUM(U2010:U2016)</f>
        <v>6685.11</v>
      </c>
    </row>
    <row r="2018" spans="1:21" x14ac:dyDescent="0.25">
      <c r="A2018" s="537" t="s">
        <v>33</v>
      </c>
      <c r="B2018" s="537"/>
      <c r="C2018" s="537"/>
      <c r="D2018" s="537"/>
      <c r="E2018" s="537"/>
      <c r="F2018" s="184">
        <f>SUM(F2017+K2017+P2017)</f>
        <v>167127.75</v>
      </c>
      <c r="G2018" s="537" t="s">
        <v>39</v>
      </c>
      <c r="H2018" s="537"/>
      <c r="I2018" s="537"/>
      <c r="J2018" s="537"/>
      <c r="K2018" s="184">
        <f>SUM(F2017+K2017+P2017+U2017)</f>
        <v>173812.86</v>
      </c>
      <c r="L2018" s="537" t="s">
        <v>40</v>
      </c>
      <c r="M2018" s="537"/>
      <c r="N2018" s="537"/>
      <c r="O2018" s="537"/>
      <c r="P2018" s="184">
        <f>SUM(K2018*0.15)</f>
        <v>26071.928999999996</v>
      </c>
      <c r="Q2018" s="537" t="s">
        <v>41</v>
      </c>
      <c r="R2018" s="537"/>
      <c r="S2018" s="537"/>
      <c r="T2018" s="537"/>
      <c r="U2018" s="223">
        <f>SUM(K2018+P2018)</f>
        <v>199884.78899999999</v>
      </c>
    </row>
    <row r="2019" spans="1:21" x14ac:dyDescent="0.25">
      <c r="Q2019" s="537" t="s">
        <v>42</v>
      </c>
      <c r="R2019" s="537"/>
      <c r="S2019" s="537"/>
      <c r="T2019" s="537"/>
      <c r="U2019" s="224">
        <f>ROUND((U2018/15),2)</f>
        <v>13325.65</v>
      </c>
    </row>
    <row r="2020" spans="1:21" x14ac:dyDescent="0.25">
      <c r="A2020" s="544"/>
      <c r="B2020" s="544"/>
      <c r="C2020" s="544"/>
      <c r="D2020" s="544"/>
      <c r="E2020" s="544"/>
      <c r="F2020" s="544"/>
      <c r="G2020" s="544"/>
      <c r="H2020" s="544"/>
      <c r="I2020" s="544"/>
      <c r="J2020" s="544"/>
      <c r="K2020" s="544"/>
      <c r="L2020" s="544"/>
      <c r="M2020" s="544"/>
      <c r="N2020" s="544"/>
      <c r="O2020" s="544"/>
      <c r="P2020" s="544"/>
      <c r="Q2020" s="544"/>
      <c r="R2020" s="544"/>
      <c r="S2020" s="544"/>
      <c r="T2020" s="544"/>
      <c r="U2020" s="544"/>
    </row>
    <row r="2021" spans="1:21" x14ac:dyDescent="0.25">
      <c r="A2021" s="538" t="s">
        <v>12</v>
      </c>
      <c r="B2021" s="538"/>
      <c r="C2021" s="540" t="s">
        <v>738</v>
      </c>
      <c r="D2021" s="540"/>
      <c r="E2021" s="540"/>
      <c r="F2021" s="540"/>
      <c r="G2021" s="540"/>
      <c r="H2021" s="540"/>
      <c r="I2021" s="540"/>
      <c r="J2021" s="540"/>
      <c r="K2021" s="540"/>
      <c r="L2021" s="540"/>
      <c r="M2021" s="540"/>
      <c r="N2021" s="540"/>
      <c r="O2021" s="540"/>
      <c r="P2021" s="540"/>
      <c r="Q2021" s="540"/>
      <c r="R2021" s="540"/>
      <c r="S2021" s="540"/>
      <c r="T2021" s="540"/>
      <c r="U2021" s="541" t="s">
        <v>726</v>
      </c>
    </row>
    <row r="2022" spans="1:21" x14ac:dyDescent="0.25">
      <c r="A2022" s="538"/>
      <c r="B2022" s="538"/>
      <c r="C2022" s="540"/>
      <c r="D2022" s="540"/>
      <c r="E2022" s="540"/>
      <c r="F2022" s="540"/>
      <c r="G2022" s="540"/>
      <c r="H2022" s="540"/>
      <c r="I2022" s="540"/>
      <c r="J2022" s="540"/>
      <c r="K2022" s="540"/>
      <c r="L2022" s="540"/>
      <c r="M2022" s="540"/>
      <c r="N2022" s="540"/>
      <c r="O2022" s="540"/>
      <c r="P2022" s="540"/>
      <c r="Q2022" s="540"/>
      <c r="R2022" s="540"/>
      <c r="S2022" s="540"/>
      <c r="T2022" s="540"/>
      <c r="U2022" s="541"/>
    </row>
    <row r="2023" spans="1:21" x14ac:dyDescent="0.25">
      <c r="A2023" s="539" t="s">
        <v>724</v>
      </c>
      <c r="B2023" s="539"/>
      <c r="C2023" s="540"/>
      <c r="D2023" s="540"/>
      <c r="E2023" s="540"/>
      <c r="F2023" s="540"/>
      <c r="G2023" s="540"/>
      <c r="H2023" s="540"/>
      <c r="I2023" s="540"/>
      <c r="J2023" s="540"/>
      <c r="K2023" s="540"/>
      <c r="L2023" s="540"/>
      <c r="M2023" s="540"/>
      <c r="N2023" s="540"/>
      <c r="O2023" s="540"/>
      <c r="P2023" s="540"/>
      <c r="Q2023" s="540"/>
      <c r="R2023" s="540"/>
      <c r="S2023" s="540"/>
      <c r="T2023" s="540"/>
      <c r="U2023" s="541"/>
    </row>
    <row r="2024" spans="1:21" x14ac:dyDescent="0.25">
      <c r="A2024" s="542" t="s">
        <v>16</v>
      </c>
      <c r="B2024" s="543" t="s">
        <v>18</v>
      </c>
      <c r="C2024" s="543"/>
      <c r="D2024" s="543"/>
      <c r="E2024" s="543"/>
      <c r="F2024" s="543"/>
      <c r="G2024" s="543" t="s">
        <v>24</v>
      </c>
      <c r="H2024" s="543"/>
      <c r="I2024" s="543"/>
      <c r="J2024" s="543"/>
      <c r="K2024" s="543"/>
      <c r="L2024" s="543" t="s">
        <v>25</v>
      </c>
      <c r="M2024" s="543"/>
      <c r="N2024" s="543"/>
      <c r="O2024" s="543"/>
      <c r="P2024" s="543"/>
      <c r="Q2024" s="543" t="s">
        <v>26</v>
      </c>
      <c r="R2024" s="543"/>
      <c r="S2024" s="543"/>
      <c r="T2024" s="543"/>
      <c r="U2024" s="543"/>
    </row>
    <row r="2025" spans="1:21" x14ac:dyDescent="0.25">
      <c r="A2025" s="542"/>
      <c r="B2025" s="182" t="s">
        <v>19</v>
      </c>
      <c r="C2025" s="182" t="s">
        <v>20</v>
      </c>
      <c r="D2025" s="182" t="s">
        <v>21</v>
      </c>
      <c r="E2025" s="182" t="s">
        <v>22</v>
      </c>
      <c r="F2025" s="182" t="s">
        <v>23</v>
      </c>
      <c r="G2025" s="182" t="s">
        <v>19</v>
      </c>
      <c r="H2025" s="216" t="s">
        <v>20</v>
      </c>
      <c r="I2025" s="182" t="s">
        <v>21</v>
      </c>
      <c r="J2025" s="182" t="s">
        <v>22</v>
      </c>
      <c r="K2025" s="182" t="s">
        <v>23</v>
      </c>
      <c r="L2025" s="182" t="s">
        <v>19</v>
      </c>
      <c r="M2025" s="182" t="s">
        <v>20</v>
      </c>
      <c r="N2025" s="182" t="s">
        <v>21</v>
      </c>
      <c r="O2025" s="182" t="s">
        <v>22</v>
      </c>
      <c r="P2025" s="182" t="s">
        <v>23</v>
      </c>
      <c r="Q2025" s="182" t="s">
        <v>19</v>
      </c>
      <c r="R2025" s="182" t="s">
        <v>20</v>
      </c>
      <c r="S2025" s="182" t="s">
        <v>21</v>
      </c>
      <c r="T2025" s="182" t="s">
        <v>22</v>
      </c>
      <c r="U2025" s="211" t="s">
        <v>23</v>
      </c>
    </row>
    <row r="2026" spans="1:21" ht="78.75" x14ac:dyDescent="0.25">
      <c r="A2026" s="183" t="s">
        <v>739</v>
      </c>
      <c r="B2026" s="182" t="s">
        <v>47</v>
      </c>
      <c r="C2026" s="182" t="s">
        <v>28</v>
      </c>
      <c r="D2026" s="182">
        <v>3</v>
      </c>
      <c r="E2026" s="182">
        <f>skilled</f>
        <v>1245</v>
      </c>
      <c r="F2026" s="184">
        <f>(D2026*E2026)</f>
        <v>3735</v>
      </c>
      <c r="G2026" s="182" t="s">
        <v>85</v>
      </c>
      <c r="H2026" s="216" t="s">
        <v>35</v>
      </c>
      <c r="I2026" s="182">
        <v>5.16</v>
      </c>
      <c r="J2026" s="182">
        <f>adopted_rate_cement</f>
        <v>13031</v>
      </c>
      <c r="K2026" s="182">
        <f t="shared" ref="K2026:K2031" si="9">(I2026*J2026)</f>
        <v>67239.960000000006</v>
      </c>
      <c r="L2026" s="182" t="s">
        <v>276</v>
      </c>
      <c r="M2026" s="182" t="s">
        <v>58</v>
      </c>
      <c r="N2026" s="182">
        <v>6</v>
      </c>
      <c r="O2026" s="182">
        <f>concrete_mixer</f>
        <v>296</v>
      </c>
      <c r="P2026" s="184">
        <f>(N2026*O2026)</f>
        <v>1776</v>
      </c>
      <c r="Q2026" s="182" t="s">
        <v>735</v>
      </c>
      <c r="R2026" s="182"/>
      <c r="U2026" s="223">
        <f>F2033*4/100</f>
        <v>6878.2528000000002</v>
      </c>
    </row>
    <row r="2027" spans="1:21" x14ac:dyDescent="0.25">
      <c r="B2027" s="182" t="s">
        <v>29</v>
      </c>
      <c r="C2027" s="182" t="s">
        <v>28</v>
      </c>
      <c r="D2027" s="182">
        <v>30</v>
      </c>
      <c r="E2027" s="182">
        <f>unskilled</f>
        <v>935</v>
      </c>
      <c r="F2027" s="184">
        <f>(D2027*E2027)</f>
        <v>28050</v>
      </c>
      <c r="G2027" s="182" t="s">
        <v>430</v>
      </c>
      <c r="H2027" s="216" t="s">
        <v>84</v>
      </c>
      <c r="I2027" s="182">
        <v>6.75</v>
      </c>
      <c r="J2027" s="182">
        <f>adopted_rate_sand</f>
        <v>3175.2000000000003</v>
      </c>
      <c r="K2027" s="182">
        <f t="shared" si="9"/>
        <v>21432.600000000002</v>
      </c>
      <c r="L2027" s="182" t="s">
        <v>76</v>
      </c>
      <c r="M2027" s="182" t="s">
        <v>58</v>
      </c>
      <c r="N2027" s="182">
        <v>6</v>
      </c>
      <c r="O2027" s="182">
        <f>generator</f>
        <v>855</v>
      </c>
      <c r="P2027" s="184">
        <f>(N2027*O2027)</f>
        <v>5130</v>
      </c>
    </row>
    <row r="2028" spans="1:21" x14ac:dyDescent="0.25">
      <c r="G2028" s="182" t="s">
        <v>728</v>
      </c>
      <c r="H2028" s="216" t="s">
        <v>84</v>
      </c>
      <c r="I2028" s="182">
        <v>5.4</v>
      </c>
      <c r="J2028" s="182">
        <f>adopted_rate_aggregate_20_40_mm</f>
        <v>3175.2000000000003</v>
      </c>
      <c r="K2028" s="182">
        <f t="shared" si="9"/>
        <v>17146.080000000002</v>
      </c>
    </row>
    <row r="2029" spans="1:21" x14ac:dyDescent="0.25">
      <c r="G2029" s="182" t="s">
        <v>733</v>
      </c>
      <c r="H2029" s="216" t="s">
        <v>84</v>
      </c>
      <c r="I2029" s="182">
        <v>5.4</v>
      </c>
      <c r="J2029" s="182">
        <f>adopted_rate_aggregate_10_20_mm</f>
        <v>3351.6</v>
      </c>
      <c r="K2029" s="182">
        <f t="shared" si="9"/>
        <v>18098.64</v>
      </c>
    </row>
    <row r="2030" spans="1:21" x14ac:dyDescent="0.25">
      <c r="G2030" s="182" t="s">
        <v>734</v>
      </c>
      <c r="H2030" s="216" t="s">
        <v>84</v>
      </c>
      <c r="I2030" s="182">
        <v>2.7</v>
      </c>
      <c r="J2030" s="182">
        <f>adopted_rate_aggregate_10_mm</f>
        <v>3175.2000000000003</v>
      </c>
      <c r="K2030" s="182">
        <f t="shared" si="9"/>
        <v>8573.0400000000009</v>
      </c>
    </row>
    <row r="2031" spans="1:21" x14ac:dyDescent="0.25">
      <c r="G2031" s="182" t="s">
        <v>171</v>
      </c>
      <c r="H2031" s="216" t="s">
        <v>172</v>
      </c>
      <c r="I2031" s="182">
        <v>2.5</v>
      </c>
      <c r="J2031" s="182">
        <f>adopted_rate_water</f>
        <v>310</v>
      </c>
      <c r="K2031" s="182">
        <f t="shared" si="9"/>
        <v>775</v>
      </c>
    </row>
    <row r="2032" spans="1:21" x14ac:dyDescent="0.25">
      <c r="A2032" s="537" t="s">
        <v>30</v>
      </c>
      <c r="B2032" s="537"/>
      <c r="C2032" s="537"/>
      <c r="D2032" s="537"/>
      <c r="E2032" s="537"/>
      <c r="F2032" s="184">
        <f>SUM(F2025:F2031)</f>
        <v>31785</v>
      </c>
      <c r="G2032" s="537" t="s">
        <v>31</v>
      </c>
      <c r="H2032" s="537"/>
      <c r="I2032" s="537"/>
      <c r="J2032" s="537"/>
      <c r="K2032" s="184">
        <f>SUM(K2025:K2031)</f>
        <v>133265.32</v>
      </c>
      <c r="L2032" s="537" t="s">
        <v>32</v>
      </c>
      <c r="M2032" s="537"/>
      <c r="N2032" s="537"/>
      <c r="O2032" s="537"/>
      <c r="P2032" s="184">
        <f>SUM(P2025:P2031)</f>
        <v>6906</v>
      </c>
      <c r="Q2032" s="537" t="s">
        <v>38</v>
      </c>
      <c r="R2032" s="537"/>
      <c r="S2032" s="537"/>
      <c r="T2032" s="537"/>
      <c r="U2032" s="223">
        <f>SUM(U2025:U2031)</f>
        <v>6878.2528000000002</v>
      </c>
    </row>
    <row r="2033" spans="1:21" x14ac:dyDescent="0.25">
      <c r="A2033" s="537" t="s">
        <v>33</v>
      </c>
      <c r="B2033" s="537"/>
      <c r="C2033" s="537"/>
      <c r="D2033" s="537"/>
      <c r="E2033" s="537"/>
      <c r="F2033" s="184">
        <f>SUM(F2032+K2032+P2032)</f>
        <v>171956.32</v>
      </c>
      <c r="G2033" s="537" t="s">
        <v>39</v>
      </c>
      <c r="H2033" s="537"/>
      <c r="I2033" s="537"/>
      <c r="J2033" s="537"/>
      <c r="K2033" s="184">
        <f>SUM(F2032+K2032+P2032+U2032)</f>
        <v>178834.57279999999</v>
      </c>
      <c r="L2033" s="537" t="s">
        <v>40</v>
      </c>
      <c r="M2033" s="537"/>
      <c r="N2033" s="537"/>
      <c r="O2033" s="537"/>
      <c r="P2033" s="184">
        <f>SUM(K2033*0.15)</f>
        <v>26825.18592</v>
      </c>
      <c r="Q2033" s="537" t="s">
        <v>41</v>
      </c>
      <c r="R2033" s="537"/>
      <c r="S2033" s="537"/>
      <c r="T2033" s="537"/>
      <c r="U2033" s="223">
        <f>SUM(K2033+P2033)</f>
        <v>205659.75871999998</v>
      </c>
    </row>
    <row r="2034" spans="1:21" x14ac:dyDescent="0.25">
      <c r="Q2034" s="537" t="s">
        <v>42</v>
      </c>
      <c r="R2034" s="537"/>
      <c r="S2034" s="537"/>
      <c r="T2034" s="537"/>
      <c r="U2034" s="224">
        <f>ROUND((U2033/15),2)</f>
        <v>13710.65</v>
      </c>
    </row>
    <row r="2035" spans="1:21" x14ac:dyDescent="0.25">
      <c r="A2035" s="544"/>
      <c r="B2035" s="544"/>
      <c r="C2035" s="544"/>
      <c r="D2035" s="544"/>
      <c r="E2035" s="544"/>
      <c r="F2035" s="544"/>
      <c r="G2035" s="544"/>
      <c r="H2035" s="544"/>
      <c r="I2035" s="544"/>
      <c r="J2035" s="544"/>
      <c r="K2035" s="544"/>
      <c r="L2035" s="544"/>
      <c r="M2035" s="544"/>
      <c r="N2035" s="544"/>
      <c r="O2035" s="544"/>
      <c r="P2035" s="544"/>
      <c r="Q2035" s="544"/>
      <c r="R2035" s="544"/>
      <c r="S2035" s="544"/>
      <c r="T2035" s="544"/>
      <c r="U2035" s="544"/>
    </row>
    <row r="2036" spans="1:21" x14ac:dyDescent="0.25">
      <c r="A2036" s="538" t="s">
        <v>12</v>
      </c>
      <c r="B2036" s="538"/>
      <c r="C2036" s="540" t="s">
        <v>740</v>
      </c>
      <c r="D2036" s="540"/>
      <c r="E2036" s="540"/>
      <c r="F2036" s="540"/>
      <c r="G2036" s="540"/>
      <c r="H2036" s="540"/>
      <c r="I2036" s="540"/>
      <c r="J2036" s="540"/>
      <c r="K2036" s="540"/>
      <c r="L2036" s="540"/>
      <c r="M2036" s="540"/>
      <c r="N2036" s="540"/>
      <c r="O2036" s="540"/>
      <c r="P2036" s="540"/>
      <c r="Q2036" s="540"/>
      <c r="R2036" s="540"/>
      <c r="S2036" s="540"/>
      <c r="T2036" s="540"/>
      <c r="U2036" s="541" t="s">
        <v>726</v>
      </c>
    </row>
    <row r="2037" spans="1:21" x14ac:dyDescent="0.25">
      <c r="A2037" s="538"/>
      <c r="B2037" s="538"/>
      <c r="C2037" s="540"/>
      <c r="D2037" s="540"/>
      <c r="E2037" s="540"/>
      <c r="F2037" s="540"/>
      <c r="G2037" s="540"/>
      <c r="H2037" s="540"/>
      <c r="I2037" s="540"/>
      <c r="J2037" s="540"/>
      <c r="K2037" s="540"/>
      <c r="L2037" s="540"/>
      <c r="M2037" s="540"/>
      <c r="N2037" s="540"/>
      <c r="O2037" s="540"/>
      <c r="P2037" s="540"/>
      <c r="Q2037" s="540"/>
      <c r="R2037" s="540"/>
      <c r="S2037" s="540"/>
      <c r="T2037" s="540"/>
      <c r="U2037" s="541"/>
    </row>
    <row r="2038" spans="1:21" x14ac:dyDescent="0.25">
      <c r="A2038" s="539" t="s">
        <v>724</v>
      </c>
      <c r="B2038" s="539"/>
      <c r="C2038" s="540"/>
      <c r="D2038" s="540"/>
      <c r="E2038" s="540"/>
      <c r="F2038" s="540"/>
      <c r="G2038" s="540"/>
      <c r="H2038" s="540"/>
      <c r="I2038" s="540"/>
      <c r="J2038" s="540"/>
      <c r="K2038" s="540"/>
      <c r="L2038" s="540"/>
      <c r="M2038" s="540"/>
      <c r="N2038" s="540"/>
      <c r="O2038" s="540"/>
      <c r="P2038" s="540"/>
      <c r="Q2038" s="540"/>
      <c r="R2038" s="540"/>
      <c r="S2038" s="540"/>
      <c r="T2038" s="540"/>
      <c r="U2038" s="541"/>
    </row>
    <row r="2039" spans="1:21" x14ac:dyDescent="0.25">
      <c r="A2039" s="542" t="s">
        <v>16</v>
      </c>
      <c r="B2039" s="543" t="s">
        <v>18</v>
      </c>
      <c r="C2039" s="543"/>
      <c r="D2039" s="543"/>
      <c r="E2039" s="543"/>
      <c r="F2039" s="543"/>
      <c r="G2039" s="543" t="s">
        <v>24</v>
      </c>
      <c r="H2039" s="543"/>
      <c r="I2039" s="543"/>
      <c r="J2039" s="543"/>
      <c r="K2039" s="543"/>
      <c r="L2039" s="543" t="s">
        <v>25</v>
      </c>
      <c r="M2039" s="543"/>
      <c r="N2039" s="543"/>
      <c r="O2039" s="543"/>
      <c r="P2039" s="543"/>
      <c r="Q2039" s="543" t="s">
        <v>26</v>
      </c>
      <c r="R2039" s="543"/>
      <c r="S2039" s="543"/>
      <c r="T2039" s="543"/>
      <c r="U2039" s="543"/>
    </row>
    <row r="2040" spans="1:21" x14ac:dyDescent="0.25">
      <c r="A2040" s="542"/>
      <c r="B2040" s="182" t="s">
        <v>19</v>
      </c>
      <c r="C2040" s="182" t="s">
        <v>20</v>
      </c>
      <c r="D2040" s="182" t="s">
        <v>21</v>
      </c>
      <c r="E2040" s="182" t="s">
        <v>22</v>
      </c>
      <c r="F2040" s="182" t="s">
        <v>23</v>
      </c>
      <c r="G2040" s="182" t="s">
        <v>19</v>
      </c>
      <c r="H2040" s="216" t="s">
        <v>20</v>
      </c>
      <c r="I2040" s="182" t="s">
        <v>21</v>
      </c>
      <c r="J2040" s="182" t="s">
        <v>22</v>
      </c>
      <c r="K2040" s="182" t="s">
        <v>23</v>
      </c>
      <c r="L2040" s="182" t="s">
        <v>19</v>
      </c>
      <c r="M2040" s="182" t="s">
        <v>20</v>
      </c>
      <c r="N2040" s="182" t="s">
        <v>21</v>
      </c>
      <c r="O2040" s="182" t="s">
        <v>22</v>
      </c>
      <c r="P2040" s="182" t="s">
        <v>23</v>
      </c>
      <c r="Q2040" s="182" t="s">
        <v>19</v>
      </c>
      <c r="R2040" s="182" t="s">
        <v>20</v>
      </c>
      <c r="S2040" s="182" t="s">
        <v>21</v>
      </c>
      <c r="T2040" s="182" t="s">
        <v>22</v>
      </c>
      <c r="U2040" s="211" t="s">
        <v>23</v>
      </c>
    </row>
    <row r="2041" spans="1:21" ht="31.5" x14ac:dyDescent="0.25">
      <c r="A2041" s="183" t="s">
        <v>741</v>
      </c>
      <c r="B2041" s="182" t="s">
        <v>47</v>
      </c>
      <c r="C2041" s="182" t="s">
        <v>28</v>
      </c>
      <c r="D2041" s="182">
        <v>3</v>
      </c>
      <c r="E2041" s="182">
        <f>skilled</f>
        <v>1245</v>
      </c>
      <c r="F2041" s="184">
        <f>(D2041*E2041)</f>
        <v>3735</v>
      </c>
      <c r="G2041" s="182" t="s">
        <v>85</v>
      </c>
      <c r="H2041" s="216" t="s">
        <v>35</v>
      </c>
      <c r="I2041" s="182">
        <v>5.21</v>
      </c>
      <c r="J2041" s="182">
        <f>adopted_rate_cement</f>
        <v>13031</v>
      </c>
      <c r="K2041" s="182">
        <f>(I2041*J2041)</f>
        <v>67891.509999999995</v>
      </c>
      <c r="L2041" s="182" t="s">
        <v>276</v>
      </c>
      <c r="M2041" s="182" t="s">
        <v>58</v>
      </c>
      <c r="N2041" s="182">
        <v>6</v>
      </c>
      <c r="O2041" s="182">
        <f>concrete_mixer</f>
        <v>296</v>
      </c>
      <c r="P2041" s="184">
        <f>(N2041*O2041)</f>
        <v>1776</v>
      </c>
      <c r="Q2041" s="182" t="s">
        <v>742</v>
      </c>
      <c r="R2041" s="182"/>
      <c r="U2041" s="223">
        <f>F2047*4/100</f>
        <v>6923.3660000000009</v>
      </c>
    </row>
    <row r="2042" spans="1:21" x14ac:dyDescent="0.25">
      <c r="B2042" s="182" t="s">
        <v>29</v>
      </c>
      <c r="C2042" s="182" t="s">
        <v>28</v>
      </c>
      <c r="D2042" s="182">
        <v>30</v>
      </c>
      <c r="E2042" s="182">
        <f>unskilled</f>
        <v>935</v>
      </c>
      <c r="F2042" s="184">
        <f>(D2042*E2042)</f>
        <v>28050</v>
      </c>
      <c r="G2042" s="182" t="s">
        <v>430</v>
      </c>
      <c r="H2042" s="216" t="s">
        <v>84</v>
      </c>
      <c r="I2042" s="182">
        <v>6.75</v>
      </c>
      <c r="J2042" s="182">
        <f>adopted_rate_sand</f>
        <v>3175.2000000000003</v>
      </c>
      <c r="K2042" s="182">
        <f>(I2042*J2042)</f>
        <v>21432.600000000002</v>
      </c>
      <c r="L2042" s="182" t="s">
        <v>76</v>
      </c>
      <c r="M2042" s="182" t="s">
        <v>58</v>
      </c>
      <c r="N2042" s="182">
        <v>6</v>
      </c>
      <c r="O2042" s="182">
        <f>generator</f>
        <v>855</v>
      </c>
      <c r="P2042" s="184">
        <f>(N2042*O2042)</f>
        <v>5130</v>
      </c>
    </row>
    <row r="2043" spans="1:21" x14ac:dyDescent="0.25">
      <c r="G2043" s="182" t="s">
        <v>733</v>
      </c>
      <c r="H2043" s="216" t="s">
        <v>84</v>
      </c>
      <c r="I2043" s="182">
        <v>8.1</v>
      </c>
      <c r="J2043" s="182">
        <f>adopted_rate_aggregate_10_20_mm</f>
        <v>3351.6</v>
      </c>
      <c r="K2043" s="182">
        <f>(I2043*J2043)</f>
        <v>27147.96</v>
      </c>
    </row>
    <row r="2044" spans="1:21" x14ac:dyDescent="0.25">
      <c r="G2044" s="182" t="s">
        <v>734</v>
      </c>
      <c r="H2044" s="216" t="s">
        <v>84</v>
      </c>
      <c r="I2044" s="182">
        <v>5.4</v>
      </c>
      <c r="J2044" s="182">
        <f>adopted_rate_aggregate_10_mm</f>
        <v>3175.2000000000003</v>
      </c>
      <c r="K2044" s="182">
        <f>(I2044*J2044)</f>
        <v>17146.080000000002</v>
      </c>
    </row>
    <row r="2045" spans="1:21" x14ac:dyDescent="0.25">
      <c r="G2045" s="182" t="s">
        <v>171</v>
      </c>
      <c r="H2045" s="216" t="s">
        <v>172</v>
      </c>
      <c r="I2045" s="182">
        <v>2.5</v>
      </c>
      <c r="J2045" s="182">
        <f>adopted_rate_water</f>
        <v>310</v>
      </c>
      <c r="K2045" s="182">
        <f>(I2045*J2045)</f>
        <v>775</v>
      </c>
    </row>
    <row r="2046" spans="1:21" x14ac:dyDescent="0.25">
      <c r="A2046" s="537" t="s">
        <v>30</v>
      </c>
      <c r="B2046" s="537"/>
      <c r="C2046" s="537"/>
      <c r="D2046" s="537"/>
      <c r="E2046" s="537"/>
      <c r="F2046" s="184">
        <f>SUM(F2040:F2045)</f>
        <v>31785</v>
      </c>
      <c r="G2046" s="537" t="s">
        <v>31</v>
      </c>
      <c r="H2046" s="537"/>
      <c r="I2046" s="537"/>
      <c r="J2046" s="537"/>
      <c r="K2046" s="184">
        <f>SUM(K2040:K2045)</f>
        <v>134393.15000000002</v>
      </c>
      <c r="L2046" s="537" t="s">
        <v>32</v>
      </c>
      <c r="M2046" s="537"/>
      <c r="N2046" s="537"/>
      <c r="O2046" s="537"/>
      <c r="P2046" s="184">
        <f>SUM(P2040:P2045)</f>
        <v>6906</v>
      </c>
      <c r="Q2046" s="537" t="s">
        <v>38</v>
      </c>
      <c r="R2046" s="537"/>
      <c r="S2046" s="537"/>
      <c r="T2046" s="537"/>
      <c r="U2046" s="223">
        <f>SUM(U2040:U2045)</f>
        <v>6923.3660000000009</v>
      </c>
    </row>
    <row r="2047" spans="1:21" x14ac:dyDescent="0.25">
      <c r="A2047" s="537" t="s">
        <v>33</v>
      </c>
      <c r="B2047" s="537"/>
      <c r="C2047" s="537"/>
      <c r="D2047" s="537"/>
      <c r="E2047" s="537"/>
      <c r="F2047" s="184">
        <f>SUM(F2046+K2046+P2046)</f>
        <v>173084.15000000002</v>
      </c>
      <c r="G2047" s="537" t="s">
        <v>39</v>
      </c>
      <c r="H2047" s="537"/>
      <c r="I2047" s="537"/>
      <c r="J2047" s="537"/>
      <c r="K2047" s="184">
        <f>SUM(F2046+K2046+P2046+U2046)</f>
        <v>180007.51600000003</v>
      </c>
      <c r="L2047" s="537" t="s">
        <v>40</v>
      </c>
      <c r="M2047" s="537"/>
      <c r="N2047" s="537"/>
      <c r="O2047" s="537"/>
      <c r="P2047" s="184">
        <f>SUM(K2047*0.15)</f>
        <v>27001.127400000005</v>
      </c>
      <c r="Q2047" s="537" t="s">
        <v>41</v>
      </c>
      <c r="R2047" s="537"/>
      <c r="S2047" s="537"/>
      <c r="T2047" s="537"/>
      <c r="U2047" s="223">
        <f>SUM(K2047+P2047)</f>
        <v>207008.64340000003</v>
      </c>
    </row>
    <row r="2048" spans="1:21" x14ac:dyDescent="0.25">
      <c r="Q2048" s="537" t="s">
        <v>42</v>
      </c>
      <c r="R2048" s="537"/>
      <c r="S2048" s="537"/>
      <c r="T2048" s="537"/>
      <c r="U2048" s="224">
        <f>ROUND((U2047/15),2)</f>
        <v>13800.58</v>
      </c>
    </row>
    <row r="2049" spans="1:21" x14ac:dyDescent="0.25">
      <c r="A2049" s="544"/>
      <c r="B2049" s="544"/>
      <c r="C2049" s="544"/>
      <c r="D2049" s="544"/>
      <c r="E2049" s="544"/>
      <c r="F2049" s="544"/>
      <c r="G2049" s="544"/>
      <c r="H2049" s="544"/>
      <c r="I2049" s="544"/>
      <c r="J2049" s="544"/>
      <c r="K2049" s="544"/>
      <c r="L2049" s="544"/>
      <c r="M2049" s="544"/>
      <c r="N2049" s="544"/>
      <c r="O2049" s="544"/>
      <c r="P2049" s="544"/>
      <c r="Q2049" s="544"/>
      <c r="R2049" s="544"/>
      <c r="S2049" s="544"/>
      <c r="T2049" s="544"/>
      <c r="U2049" s="544"/>
    </row>
    <row r="2050" spans="1:21" x14ac:dyDescent="0.25">
      <c r="A2050" s="538" t="s">
        <v>12</v>
      </c>
      <c r="B2050" s="538"/>
      <c r="C2050" s="540" t="s">
        <v>743</v>
      </c>
      <c r="D2050" s="540"/>
      <c r="E2050" s="540"/>
      <c r="F2050" s="540"/>
      <c r="G2050" s="540"/>
      <c r="H2050" s="540"/>
      <c r="I2050" s="540"/>
      <c r="J2050" s="540"/>
      <c r="K2050" s="540"/>
      <c r="L2050" s="540"/>
      <c r="M2050" s="540"/>
      <c r="N2050" s="540"/>
      <c r="O2050" s="540"/>
      <c r="P2050" s="540"/>
      <c r="Q2050" s="540"/>
      <c r="R2050" s="540"/>
      <c r="S2050" s="540"/>
      <c r="T2050" s="540"/>
      <c r="U2050" s="541" t="s">
        <v>726</v>
      </c>
    </row>
    <row r="2051" spans="1:21" x14ac:dyDescent="0.25">
      <c r="A2051" s="538"/>
      <c r="B2051" s="538"/>
      <c r="C2051" s="540"/>
      <c r="D2051" s="540"/>
      <c r="E2051" s="540"/>
      <c r="F2051" s="540"/>
      <c r="G2051" s="540"/>
      <c r="H2051" s="540"/>
      <c r="I2051" s="540"/>
      <c r="J2051" s="540"/>
      <c r="K2051" s="540"/>
      <c r="L2051" s="540"/>
      <c r="M2051" s="540"/>
      <c r="N2051" s="540"/>
      <c r="O2051" s="540"/>
      <c r="P2051" s="540"/>
      <c r="Q2051" s="540"/>
      <c r="R2051" s="540"/>
      <c r="S2051" s="540"/>
      <c r="T2051" s="540"/>
      <c r="U2051" s="541"/>
    </row>
    <row r="2052" spans="1:21" x14ac:dyDescent="0.25">
      <c r="A2052" s="539" t="s">
        <v>724</v>
      </c>
      <c r="B2052" s="539"/>
      <c r="C2052" s="540"/>
      <c r="D2052" s="540"/>
      <c r="E2052" s="540"/>
      <c r="F2052" s="540"/>
      <c r="G2052" s="540"/>
      <c r="H2052" s="540"/>
      <c r="I2052" s="540"/>
      <c r="J2052" s="540"/>
      <c r="K2052" s="540"/>
      <c r="L2052" s="540"/>
      <c r="M2052" s="540"/>
      <c r="N2052" s="540"/>
      <c r="O2052" s="540"/>
      <c r="P2052" s="540"/>
      <c r="Q2052" s="540"/>
      <c r="R2052" s="540"/>
      <c r="S2052" s="540"/>
      <c r="T2052" s="540"/>
      <c r="U2052" s="541"/>
    </row>
    <row r="2053" spans="1:21" x14ac:dyDescent="0.25">
      <c r="A2053" s="542" t="s">
        <v>16</v>
      </c>
      <c r="B2053" s="543" t="s">
        <v>18</v>
      </c>
      <c r="C2053" s="543"/>
      <c r="D2053" s="543"/>
      <c r="E2053" s="543"/>
      <c r="F2053" s="543"/>
      <c r="G2053" s="543" t="s">
        <v>24</v>
      </c>
      <c r="H2053" s="543"/>
      <c r="I2053" s="543"/>
      <c r="J2053" s="543"/>
      <c r="K2053" s="543"/>
      <c r="L2053" s="543" t="s">
        <v>25</v>
      </c>
      <c r="M2053" s="543"/>
      <c r="N2053" s="543"/>
      <c r="O2053" s="543"/>
      <c r="P2053" s="543"/>
      <c r="Q2053" s="543" t="s">
        <v>26</v>
      </c>
      <c r="R2053" s="543"/>
      <c r="S2053" s="543"/>
      <c r="T2053" s="543"/>
      <c r="U2053" s="543"/>
    </row>
    <row r="2054" spans="1:21" x14ac:dyDescent="0.25">
      <c r="A2054" s="542"/>
      <c r="B2054" s="182" t="s">
        <v>19</v>
      </c>
      <c r="C2054" s="182" t="s">
        <v>20</v>
      </c>
      <c r="D2054" s="182" t="s">
        <v>21</v>
      </c>
      <c r="E2054" s="182" t="s">
        <v>22</v>
      </c>
      <c r="F2054" s="182" t="s">
        <v>23</v>
      </c>
      <c r="G2054" s="182" t="s">
        <v>19</v>
      </c>
      <c r="H2054" s="216" t="s">
        <v>20</v>
      </c>
      <c r="I2054" s="182" t="s">
        <v>21</v>
      </c>
      <c r="J2054" s="182" t="s">
        <v>22</v>
      </c>
      <c r="K2054" s="182" t="s">
        <v>23</v>
      </c>
      <c r="L2054" s="182" t="s">
        <v>19</v>
      </c>
      <c r="M2054" s="182" t="s">
        <v>20</v>
      </c>
      <c r="N2054" s="182" t="s">
        <v>21</v>
      </c>
      <c r="O2054" s="182" t="s">
        <v>22</v>
      </c>
      <c r="P2054" s="182" t="s">
        <v>23</v>
      </c>
      <c r="Q2054" s="182" t="s">
        <v>19</v>
      </c>
      <c r="R2054" s="182" t="s">
        <v>20</v>
      </c>
      <c r="S2054" s="182" t="s">
        <v>21</v>
      </c>
      <c r="T2054" s="182" t="s">
        <v>22</v>
      </c>
      <c r="U2054" s="211" t="s">
        <v>23</v>
      </c>
    </row>
    <row r="2055" spans="1:21" ht="31.5" x14ac:dyDescent="0.25">
      <c r="A2055" s="183" t="s">
        <v>744</v>
      </c>
      <c r="B2055" s="182" t="s">
        <v>47</v>
      </c>
      <c r="C2055" s="182" t="s">
        <v>28</v>
      </c>
      <c r="D2055" s="182">
        <v>3</v>
      </c>
      <c r="E2055" s="182">
        <f>skilled</f>
        <v>1245</v>
      </c>
      <c r="F2055" s="184">
        <f>(D2055*E2055)</f>
        <v>3735</v>
      </c>
      <c r="G2055" s="182" t="s">
        <v>85</v>
      </c>
      <c r="H2055" s="216" t="s">
        <v>35</v>
      </c>
      <c r="I2055" s="182">
        <v>5.99</v>
      </c>
      <c r="J2055" s="182">
        <f>adopted_rate_cement</f>
        <v>13031</v>
      </c>
      <c r="K2055" s="182">
        <f t="shared" ref="K2055:K2061" si="10">(I2055*J2055)</f>
        <v>78055.69</v>
      </c>
      <c r="L2055" s="182" t="s">
        <v>276</v>
      </c>
      <c r="M2055" s="182" t="s">
        <v>58</v>
      </c>
      <c r="N2055" s="182">
        <v>6</v>
      </c>
      <c r="O2055" s="182">
        <f>concrete_mixer</f>
        <v>296</v>
      </c>
      <c r="P2055" s="184">
        <f>(N2055*O2055)</f>
        <v>1776</v>
      </c>
      <c r="Q2055" s="182" t="s">
        <v>746</v>
      </c>
      <c r="R2055" s="182"/>
      <c r="U2055" s="223">
        <f>F2063*3.75/100</f>
        <v>7098.7653750000009</v>
      </c>
    </row>
    <row r="2056" spans="1:21" x14ac:dyDescent="0.25">
      <c r="B2056" s="182" t="s">
        <v>29</v>
      </c>
      <c r="C2056" s="182" t="s">
        <v>28</v>
      </c>
      <c r="D2056" s="182">
        <v>30</v>
      </c>
      <c r="E2056" s="182">
        <f>unskilled</f>
        <v>935</v>
      </c>
      <c r="F2056" s="184">
        <f>(D2056*E2056)</f>
        <v>28050</v>
      </c>
      <c r="G2056" s="182" t="s">
        <v>430</v>
      </c>
      <c r="H2056" s="216" t="s">
        <v>84</v>
      </c>
      <c r="I2056" s="182">
        <v>6.75</v>
      </c>
      <c r="J2056" s="182">
        <f>adopted_rate_sand</f>
        <v>3175.2000000000003</v>
      </c>
      <c r="K2056" s="182">
        <f t="shared" si="10"/>
        <v>21432.600000000002</v>
      </c>
      <c r="L2056" s="182" t="s">
        <v>76</v>
      </c>
      <c r="M2056" s="182" t="s">
        <v>58</v>
      </c>
      <c r="N2056" s="182">
        <v>6</v>
      </c>
      <c r="O2056" s="182">
        <f>generator</f>
        <v>855</v>
      </c>
      <c r="P2056" s="184">
        <f>(N2056*O2056)</f>
        <v>5130</v>
      </c>
    </row>
    <row r="2057" spans="1:21" x14ac:dyDescent="0.25">
      <c r="G2057" s="182" t="s">
        <v>728</v>
      </c>
      <c r="H2057" s="216" t="s">
        <v>84</v>
      </c>
      <c r="I2057" s="182">
        <v>5.4</v>
      </c>
      <c r="J2057" s="182">
        <f>adopted_rate_aggregate_20_40_mm</f>
        <v>3175.2000000000003</v>
      </c>
      <c r="K2057" s="182">
        <f t="shared" si="10"/>
        <v>17146.080000000002</v>
      </c>
    </row>
    <row r="2058" spans="1:21" x14ac:dyDescent="0.25">
      <c r="G2058" s="182" t="s">
        <v>733</v>
      </c>
      <c r="H2058" s="216" t="s">
        <v>84</v>
      </c>
      <c r="I2058" s="182">
        <v>5.4</v>
      </c>
      <c r="J2058" s="182">
        <f>adopted_rate_aggregate_10_20_mm</f>
        <v>3351.6</v>
      </c>
      <c r="K2058" s="182">
        <f t="shared" si="10"/>
        <v>18098.64</v>
      </c>
    </row>
    <row r="2059" spans="1:21" x14ac:dyDescent="0.25">
      <c r="G2059" s="182" t="s">
        <v>734</v>
      </c>
      <c r="H2059" s="216" t="s">
        <v>84</v>
      </c>
      <c r="I2059" s="182">
        <v>2.7</v>
      </c>
      <c r="J2059" s="182">
        <f>adopted_rate_aggregate_10_mm</f>
        <v>3175.2000000000003</v>
      </c>
      <c r="K2059" s="182">
        <f t="shared" si="10"/>
        <v>8573.0400000000009</v>
      </c>
    </row>
    <row r="2060" spans="1:21" x14ac:dyDescent="0.25">
      <c r="G2060" s="182" t="s">
        <v>171</v>
      </c>
      <c r="H2060" s="216" t="s">
        <v>172</v>
      </c>
      <c r="I2060" s="182">
        <v>3</v>
      </c>
      <c r="J2060" s="182">
        <f>adopted_rate_water</f>
        <v>310</v>
      </c>
      <c r="K2060" s="182">
        <f t="shared" si="10"/>
        <v>930</v>
      </c>
    </row>
    <row r="2061" spans="1:21" x14ac:dyDescent="0.25">
      <c r="G2061" s="182" t="s">
        <v>745</v>
      </c>
      <c r="H2061" s="216" t="s">
        <v>37</v>
      </c>
      <c r="I2061" s="182">
        <v>23.96</v>
      </c>
      <c r="J2061" s="182">
        <f>adopted_rate_admixture</f>
        <v>266</v>
      </c>
      <c r="K2061" s="182">
        <f t="shared" si="10"/>
        <v>6373.3600000000006</v>
      </c>
    </row>
    <row r="2062" spans="1:21" x14ac:dyDescent="0.25">
      <c r="A2062" s="537" t="s">
        <v>30</v>
      </c>
      <c r="B2062" s="537"/>
      <c r="C2062" s="537"/>
      <c r="D2062" s="537"/>
      <c r="E2062" s="537"/>
      <c r="F2062" s="184">
        <f>SUM(F2054:F2061)</f>
        <v>31785</v>
      </c>
      <c r="G2062" s="537" t="s">
        <v>31</v>
      </c>
      <c r="H2062" s="537"/>
      <c r="I2062" s="537"/>
      <c r="J2062" s="537"/>
      <c r="K2062" s="184">
        <f>SUM(K2054:K2061)</f>
        <v>150609.41000000003</v>
      </c>
      <c r="L2062" s="537" t="s">
        <v>32</v>
      </c>
      <c r="M2062" s="537"/>
      <c r="N2062" s="537"/>
      <c r="O2062" s="537"/>
      <c r="P2062" s="184">
        <f>SUM(P2054:P2061)</f>
        <v>6906</v>
      </c>
      <c r="Q2062" s="537" t="s">
        <v>38</v>
      </c>
      <c r="R2062" s="537"/>
      <c r="S2062" s="537"/>
      <c r="T2062" s="537"/>
      <c r="U2062" s="223">
        <f>SUM(U2054:U2061)</f>
        <v>7098.7653750000009</v>
      </c>
    </row>
    <row r="2063" spans="1:21" x14ac:dyDescent="0.25">
      <c r="A2063" s="537" t="s">
        <v>33</v>
      </c>
      <c r="B2063" s="537"/>
      <c r="C2063" s="537"/>
      <c r="D2063" s="537"/>
      <c r="E2063" s="537"/>
      <c r="F2063" s="184">
        <f>SUM(F2062+K2062+P2062)</f>
        <v>189300.41000000003</v>
      </c>
      <c r="G2063" s="537" t="s">
        <v>39</v>
      </c>
      <c r="H2063" s="537"/>
      <c r="I2063" s="537"/>
      <c r="J2063" s="537"/>
      <c r="K2063" s="184">
        <f>SUM(F2062+K2062+P2062+U2062)</f>
        <v>196399.17537500002</v>
      </c>
      <c r="L2063" s="537" t="s">
        <v>40</v>
      </c>
      <c r="M2063" s="537"/>
      <c r="N2063" s="537"/>
      <c r="O2063" s="537"/>
      <c r="P2063" s="184">
        <f>SUM(K2063*0.15)</f>
        <v>29459.876306250004</v>
      </c>
      <c r="Q2063" s="537" t="s">
        <v>41</v>
      </c>
      <c r="R2063" s="537"/>
      <c r="S2063" s="537"/>
      <c r="T2063" s="537"/>
      <c r="U2063" s="223">
        <f>SUM(K2063+P2063)</f>
        <v>225859.05168125001</v>
      </c>
    </row>
    <row r="2064" spans="1:21" x14ac:dyDescent="0.25">
      <c r="Q2064" s="537" t="s">
        <v>42</v>
      </c>
      <c r="R2064" s="537"/>
      <c r="S2064" s="537"/>
      <c r="T2064" s="537"/>
      <c r="U2064" s="224">
        <f>ROUND((U2063/15),2)</f>
        <v>15057.27</v>
      </c>
    </row>
    <row r="2065" spans="1:21" x14ac:dyDescent="0.25">
      <c r="A2065" s="544"/>
      <c r="B2065" s="544"/>
      <c r="C2065" s="544"/>
      <c r="D2065" s="544"/>
      <c r="E2065" s="544"/>
      <c r="F2065" s="544"/>
      <c r="G2065" s="544"/>
      <c r="H2065" s="544"/>
      <c r="I2065" s="544"/>
      <c r="J2065" s="544"/>
      <c r="K2065" s="544"/>
      <c r="L2065" s="544"/>
      <c r="M2065" s="544"/>
      <c r="N2065" s="544"/>
      <c r="O2065" s="544"/>
      <c r="P2065" s="544"/>
      <c r="Q2065" s="544"/>
      <c r="R2065" s="544"/>
      <c r="S2065" s="544"/>
      <c r="T2065" s="544"/>
      <c r="U2065" s="544"/>
    </row>
    <row r="2066" spans="1:21" x14ac:dyDescent="0.25">
      <c r="A2066" s="538" t="s">
        <v>12</v>
      </c>
      <c r="B2066" s="538"/>
      <c r="C2066" s="540" t="s">
        <v>747</v>
      </c>
      <c r="D2066" s="540"/>
      <c r="E2066" s="540"/>
      <c r="F2066" s="540"/>
      <c r="G2066" s="540"/>
      <c r="H2066" s="540"/>
      <c r="I2066" s="540"/>
      <c r="J2066" s="540"/>
      <c r="K2066" s="540"/>
      <c r="L2066" s="540"/>
      <c r="M2066" s="540"/>
      <c r="N2066" s="540"/>
      <c r="O2066" s="540"/>
      <c r="P2066" s="540"/>
      <c r="Q2066" s="540"/>
      <c r="R2066" s="540"/>
      <c r="S2066" s="540"/>
      <c r="T2066" s="540"/>
      <c r="U2066" s="541" t="s">
        <v>726</v>
      </c>
    </row>
    <row r="2067" spans="1:21" x14ac:dyDescent="0.25">
      <c r="A2067" s="538"/>
      <c r="B2067" s="538"/>
      <c r="C2067" s="540"/>
      <c r="D2067" s="540"/>
      <c r="E2067" s="540"/>
      <c r="F2067" s="540"/>
      <c r="G2067" s="540"/>
      <c r="H2067" s="540"/>
      <c r="I2067" s="540"/>
      <c r="J2067" s="540"/>
      <c r="K2067" s="540"/>
      <c r="L2067" s="540"/>
      <c r="M2067" s="540"/>
      <c r="N2067" s="540"/>
      <c r="O2067" s="540"/>
      <c r="P2067" s="540"/>
      <c r="Q2067" s="540"/>
      <c r="R2067" s="540"/>
      <c r="S2067" s="540"/>
      <c r="T2067" s="540"/>
      <c r="U2067" s="541"/>
    </row>
    <row r="2068" spans="1:21" x14ac:dyDescent="0.25">
      <c r="A2068" s="539" t="s">
        <v>724</v>
      </c>
      <c r="B2068" s="539"/>
      <c r="C2068" s="540"/>
      <c r="D2068" s="540"/>
      <c r="E2068" s="540"/>
      <c r="F2068" s="540"/>
      <c r="G2068" s="540"/>
      <c r="H2068" s="540"/>
      <c r="I2068" s="540"/>
      <c r="J2068" s="540"/>
      <c r="K2068" s="540"/>
      <c r="L2068" s="540"/>
      <c r="M2068" s="540"/>
      <c r="N2068" s="540"/>
      <c r="O2068" s="540"/>
      <c r="P2068" s="540"/>
      <c r="Q2068" s="540"/>
      <c r="R2068" s="540"/>
      <c r="S2068" s="540"/>
      <c r="T2068" s="540"/>
      <c r="U2068" s="541"/>
    </row>
    <row r="2069" spans="1:21" x14ac:dyDescent="0.25">
      <c r="A2069" s="542" t="s">
        <v>16</v>
      </c>
      <c r="B2069" s="543" t="s">
        <v>18</v>
      </c>
      <c r="C2069" s="543"/>
      <c r="D2069" s="543"/>
      <c r="E2069" s="543"/>
      <c r="F2069" s="543"/>
      <c r="G2069" s="543" t="s">
        <v>24</v>
      </c>
      <c r="H2069" s="543"/>
      <c r="I2069" s="543"/>
      <c r="J2069" s="543"/>
      <c r="K2069" s="543"/>
      <c r="L2069" s="543" t="s">
        <v>25</v>
      </c>
      <c r="M2069" s="543"/>
      <c r="N2069" s="543"/>
      <c r="O2069" s="543"/>
      <c r="P2069" s="543"/>
      <c r="Q2069" s="543" t="s">
        <v>26</v>
      </c>
      <c r="R2069" s="543"/>
      <c r="S2069" s="543"/>
      <c r="T2069" s="543"/>
      <c r="U2069" s="543"/>
    </row>
    <row r="2070" spans="1:21" x14ac:dyDescent="0.25">
      <c r="A2070" s="542"/>
      <c r="B2070" s="182" t="s">
        <v>19</v>
      </c>
      <c r="C2070" s="182" t="s">
        <v>20</v>
      </c>
      <c r="D2070" s="182" t="s">
        <v>21</v>
      </c>
      <c r="E2070" s="182" t="s">
        <v>22</v>
      </c>
      <c r="F2070" s="182" t="s">
        <v>23</v>
      </c>
      <c r="G2070" s="182" t="s">
        <v>19</v>
      </c>
      <c r="H2070" s="216" t="s">
        <v>20</v>
      </c>
      <c r="I2070" s="182" t="s">
        <v>21</v>
      </c>
      <c r="J2070" s="182" t="s">
        <v>22</v>
      </c>
      <c r="K2070" s="182" t="s">
        <v>23</v>
      </c>
      <c r="L2070" s="182" t="s">
        <v>19</v>
      </c>
      <c r="M2070" s="182" t="s">
        <v>20</v>
      </c>
      <c r="N2070" s="182" t="s">
        <v>21</v>
      </c>
      <c r="O2070" s="182" t="s">
        <v>22</v>
      </c>
      <c r="P2070" s="182" t="s">
        <v>23</v>
      </c>
      <c r="Q2070" s="182" t="s">
        <v>19</v>
      </c>
      <c r="R2070" s="182" t="s">
        <v>20</v>
      </c>
      <c r="S2070" s="182" t="s">
        <v>21</v>
      </c>
      <c r="T2070" s="182" t="s">
        <v>22</v>
      </c>
      <c r="U2070" s="211" t="s">
        <v>23</v>
      </c>
    </row>
    <row r="2071" spans="1:21" ht="31.5" x14ac:dyDescent="0.25">
      <c r="A2071" s="183" t="s">
        <v>748</v>
      </c>
      <c r="B2071" s="182" t="s">
        <v>47</v>
      </c>
      <c r="C2071" s="182" t="s">
        <v>28</v>
      </c>
      <c r="D2071" s="182">
        <v>3</v>
      </c>
      <c r="E2071" s="182">
        <f>skilled</f>
        <v>1245</v>
      </c>
      <c r="F2071" s="184">
        <f>(D2071*E2071)</f>
        <v>3735</v>
      </c>
      <c r="G2071" s="182" t="s">
        <v>85</v>
      </c>
      <c r="H2071" s="216" t="s">
        <v>35</v>
      </c>
      <c r="I2071" s="182">
        <v>6.05</v>
      </c>
      <c r="J2071" s="182">
        <f>adopted_rate_cement</f>
        <v>13031</v>
      </c>
      <c r="K2071" s="182">
        <f t="shared" ref="K2071:K2076" si="11">(I2071*J2071)</f>
        <v>78837.55</v>
      </c>
      <c r="L2071" s="182" t="s">
        <v>276</v>
      </c>
      <c r="M2071" s="182" t="s">
        <v>58</v>
      </c>
      <c r="N2071" s="182">
        <v>6</v>
      </c>
      <c r="O2071" s="182">
        <f>concrete_mixer</f>
        <v>296</v>
      </c>
      <c r="P2071" s="184">
        <f>(N2071*O2071)</f>
        <v>1776</v>
      </c>
      <c r="Q2071" s="182" t="s">
        <v>749</v>
      </c>
      <c r="R2071" s="182"/>
      <c r="U2071" s="223">
        <f>F2078*4/100</f>
        <v>7624.8956000000007</v>
      </c>
    </row>
    <row r="2072" spans="1:21" x14ac:dyDescent="0.25">
      <c r="B2072" s="182" t="s">
        <v>29</v>
      </c>
      <c r="C2072" s="182" t="s">
        <v>28</v>
      </c>
      <c r="D2072" s="182">
        <v>30</v>
      </c>
      <c r="E2072" s="182">
        <f>unskilled</f>
        <v>935</v>
      </c>
      <c r="F2072" s="184">
        <f>(D2072*E2072)</f>
        <v>28050</v>
      </c>
      <c r="G2072" s="182" t="s">
        <v>430</v>
      </c>
      <c r="H2072" s="216" t="s">
        <v>84</v>
      </c>
      <c r="I2072" s="182">
        <v>6.75</v>
      </c>
      <c r="J2072" s="182">
        <f>adopted_rate_sand</f>
        <v>3175.2000000000003</v>
      </c>
      <c r="K2072" s="182">
        <f t="shared" si="11"/>
        <v>21432.600000000002</v>
      </c>
      <c r="L2072" s="182" t="s">
        <v>76</v>
      </c>
      <c r="M2072" s="182" t="s">
        <v>58</v>
      </c>
      <c r="N2072" s="182">
        <v>6</v>
      </c>
      <c r="O2072" s="182">
        <f>generator</f>
        <v>855</v>
      </c>
      <c r="P2072" s="184">
        <f>(N2072*O2072)</f>
        <v>5130</v>
      </c>
    </row>
    <row r="2073" spans="1:21" x14ac:dyDescent="0.25">
      <c r="G2073" s="182" t="s">
        <v>733</v>
      </c>
      <c r="H2073" s="216" t="s">
        <v>84</v>
      </c>
      <c r="I2073" s="182">
        <v>8.1</v>
      </c>
      <c r="J2073" s="182">
        <f>adopted_rate_aggregate_10_20_mm</f>
        <v>3351.6</v>
      </c>
      <c r="K2073" s="182">
        <f t="shared" si="11"/>
        <v>27147.96</v>
      </c>
    </row>
    <row r="2074" spans="1:21" x14ac:dyDescent="0.25">
      <c r="G2074" s="182" t="s">
        <v>734</v>
      </c>
      <c r="H2074" s="216" t="s">
        <v>84</v>
      </c>
      <c r="I2074" s="182">
        <v>5.4</v>
      </c>
      <c r="J2074" s="182">
        <f>adopted_rate_aggregate_10_mm</f>
        <v>3175.2000000000003</v>
      </c>
      <c r="K2074" s="182">
        <f t="shared" si="11"/>
        <v>17146.080000000002</v>
      </c>
    </row>
    <row r="2075" spans="1:21" x14ac:dyDescent="0.25">
      <c r="G2075" s="182" t="s">
        <v>171</v>
      </c>
      <c r="H2075" s="216" t="s">
        <v>172</v>
      </c>
      <c r="I2075" s="182">
        <v>3</v>
      </c>
      <c r="J2075" s="182">
        <f>adopted_rate_water</f>
        <v>310</v>
      </c>
      <c r="K2075" s="182">
        <f t="shared" si="11"/>
        <v>930</v>
      </c>
    </row>
    <row r="2076" spans="1:21" x14ac:dyDescent="0.25">
      <c r="G2076" s="182" t="s">
        <v>745</v>
      </c>
      <c r="H2076" s="216" t="s">
        <v>144</v>
      </c>
      <c r="I2076" s="182">
        <v>24.2</v>
      </c>
      <c r="J2076" s="182">
        <f>adopted_rate_admixture</f>
        <v>266</v>
      </c>
      <c r="K2076" s="182">
        <f t="shared" si="11"/>
        <v>6437.2</v>
      </c>
    </row>
    <row r="2077" spans="1:21" x14ac:dyDescent="0.25">
      <c r="A2077" s="537" t="s">
        <v>30</v>
      </c>
      <c r="B2077" s="537"/>
      <c r="C2077" s="537"/>
      <c r="D2077" s="537"/>
      <c r="E2077" s="537"/>
      <c r="F2077" s="184">
        <f>SUM(F2070:F2076)</f>
        <v>31785</v>
      </c>
      <c r="G2077" s="537" t="s">
        <v>31</v>
      </c>
      <c r="H2077" s="537"/>
      <c r="I2077" s="537"/>
      <c r="J2077" s="537"/>
      <c r="K2077" s="184">
        <f>SUM(K2070:K2076)</f>
        <v>151931.39000000001</v>
      </c>
      <c r="L2077" s="537" t="s">
        <v>32</v>
      </c>
      <c r="M2077" s="537"/>
      <c r="N2077" s="537"/>
      <c r="O2077" s="537"/>
      <c r="P2077" s="184">
        <f>SUM(P2070:P2076)</f>
        <v>6906</v>
      </c>
      <c r="Q2077" s="537" t="s">
        <v>38</v>
      </c>
      <c r="R2077" s="537"/>
      <c r="S2077" s="537"/>
      <c r="T2077" s="537"/>
      <c r="U2077" s="223">
        <f>SUM(U2070:U2076)</f>
        <v>7624.8956000000007</v>
      </c>
    </row>
    <row r="2078" spans="1:21" x14ac:dyDescent="0.25">
      <c r="A2078" s="537" t="s">
        <v>33</v>
      </c>
      <c r="B2078" s="537"/>
      <c r="C2078" s="537"/>
      <c r="D2078" s="537"/>
      <c r="E2078" s="537"/>
      <c r="F2078" s="184">
        <f>SUM(F2077+K2077+P2077)</f>
        <v>190622.39</v>
      </c>
      <c r="G2078" s="537" t="s">
        <v>39</v>
      </c>
      <c r="H2078" s="537"/>
      <c r="I2078" s="537"/>
      <c r="J2078" s="537"/>
      <c r="K2078" s="184">
        <f>SUM(F2077+K2077+P2077+U2077)</f>
        <v>198247.2856</v>
      </c>
      <c r="L2078" s="537" t="s">
        <v>40</v>
      </c>
      <c r="M2078" s="537"/>
      <c r="N2078" s="537"/>
      <c r="O2078" s="537"/>
      <c r="P2078" s="184">
        <f>SUM(K2078*0.15)</f>
        <v>29737.092839999998</v>
      </c>
      <c r="Q2078" s="537" t="s">
        <v>41</v>
      </c>
      <c r="R2078" s="537"/>
      <c r="S2078" s="537"/>
      <c r="T2078" s="537"/>
      <c r="U2078" s="223">
        <f>SUM(K2078+P2078)</f>
        <v>227984.37844</v>
      </c>
    </row>
    <row r="2079" spans="1:21" x14ac:dyDescent="0.25">
      <c r="Q2079" s="537" t="s">
        <v>42</v>
      </c>
      <c r="R2079" s="537"/>
      <c r="S2079" s="537"/>
      <c r="T2079" s="537"/>
      <c r="U2079" s="224">
        <f>ROUND((U2078/15),2)</f>
        <v>15198.96</v>
      </c>
    </row>
    <row r="2080" spans="1:21" x14ac:dyDescent="0.25">
      <c r="A2080" s="544"/>
      <c r="B2080" s="544"/>
      <c r="C2080" s="544"/>
      <c r="D2080" s="544"/>
      <c r="E2080" s="544"/>
      <c r="F2080" s="544"/>
      <c r="G2080" s="544"/>
      <c r="H2080" s="544"/>
      <c r="I2080" s="544"/>
      <c r="J2080" s="544"/>
      <c r="K2080" s="544"/>
      <c r="L2080" s="544"/>
      <c r="M2080" s="544"/>
      <c r="N2080" s="544"/>
      <c r="O2080" s="544"/>
      <c r="P2080" s="544"/>
      <c r="Q2080" s="544"/>
      <c r="R2080" s="544"/>
      <c r="S2080" s="544"/>
      <c r="T2080" s="544"/>
      <c r="U2080" s="544"/>
    </row>
    <row r="2081" spans="1:21" x14ac:dyDescent="0.25">
      <c r="A2081" s="538" t="s">
        <v>12</v>
      </c>
      <c r="B2081" s="538"/>
      <c r="C2081" s="540" t="s">
        <v>750</v>
      </c>
      <c r="D2081" s="540"/>
      <c r="E2081" s="540"/>
      <c r="F2081" s="540"/>
      <c r="G2081" s="540"/>
      <c r="H2081" s="540"/>
      <c r="I2081" s="540"/>
      <c r="J2081" s="540"/>
      <c r="K2081" s="540"/>
      <c r="L2081" s="540"/>
      <c r="M2081" s="540"/>
      <c r="N2081" s="540"/>
      <c r="O2081" s="540"/>
      <c r="P2081" s="540"/>
      <c r="Q2081" s="540"/>
      <c r="R2081" s="540"/>
      <c r="S2081" s="540"/>
      <c r="T2081" s="540"/>
      <c r="U2081" s="541" t="s">
        <v>726</v>
      </c>
    </row>
    <row r="2082" spans="1:21" x14ac:dyDescent="0.25">
      <c r="A2082" s="538"/>
      <c r="B2082" s="538"/>
      <c r="C2082" s="540"/>
      <c r="D2082" s="540"/>
      <c r="E2082" s="540"/>
      <c r="F2082" s="540"/>
      <c r="G2082" s="540"/>
      <c r="H2082" s="540"/>
      <c r="I2082" s="540"/>
      <c r="J2082" s="540"/>
      <c r="K2082" s="540"/>
      <c r="L2082" s="540"/>
      <c r="M2082" s="540"/>
      <c r="N2082" s="540"/>
      <c r="O2082" s="540"/>
      <c r="P2082" s="540"/>
      <c r="Q2082" s="540"/>
      <c r="R2082" s="540"/>
      <c r="S2082" s="540"/>
      <c r="T2082" s="540"/>
      <c r="U2082" s="541"/>
    </row>
    <row r="2083" spans="1:21" x14ac:dyDescent="0.25">
      <c r="A2083" s="539" t="s">
        <v>724</v>
      </c>
      <c r="B2083" s="539"/>
      <c r="C2083" s="540"/>
      <c r="D2083" s="540"/>
      <c r="E2083" s="540"/>
      <c r="F2083" s="540"/>
      <c r="G2083" s="540"/>
      <c r="H2083" s="540"/>
      <c r="I2083" s="540"/>
      <c r="J2083" s="540"/>
      <c r="K2083" s="540"/>
      <c r="L2083" s="540"/>
      <c r="M2083" s="540"/>
      <c r="N2083" s="540"/>
      <c r="O2083" s="540"/>
      <c r="P2083" s="540"/>
      <c r="Q2083" s="540"/>
      <c r="R2083" s="540"/>
      <c r="S2083" s="540"/>
      <c r="T2083" s="540"/>
      <c r="U2083" s="541"/>
    </row>
    <row r="2084" spans="1:21" x14ac:dyDescent="0.25">
      <c r="A2084" s="542" t="s">
        <v>16</v>
      </c>
      <c r="B2084" s="543" t="s">
        <v>18</v>
      </c>
      <c r="C2084" s="543"/>
      <c r="D2084" s="543"/>
      <c r="E2084" s="543"/>
      <c r="F2084" s="543"/>
      <c r="G2084" s="543" t="s">
        <v>24</v>
      </c>
      <c r="H2084" s="543"/>
      <c r="I2084" s="543"/>
      <c r="J2084" s="543"/>
      <c r="K2084" s="543"/>
      <c r="L2084" s="543" t="s">
        <v>25</v>
      </c>
      <c r="M2084" s="543"/>
      <c r="N2084" s="543"/>
      <c r="O2084" s="543"/>
      <c r="P2084" s="543"/>
      <c r="Q2084" s="543" t="s">
        <v>26</v>
      </c>
      <c r="R2084" s="543"/>
      <c r="S2084" s="543"/>
      <c r="T2084" s="543"/>
      <c r="U2084" s="543"/>
    </row>
    <row r="2085" spans="1:21" x14ac:dyDescent="0.25">
      <c r="A2085" s="542"/>
      <c r="B2085" s="182" t="s">
        <v>19</v>
      </c>
      <c r="C2085" s="182" t="s">
        <v>20</v>
      </c>
      <c r="D2085" s="182" t="s">
        <v>21</v>
      </c>
      <c r="E2085" s="182" t="s">
        <v>22</v>
      </c>
      <c r="F2085" s="182" t="s">
        <v>23</v>
      </c>
      <c r="G2085" s="182" t="s">
        <v>19</v>
      </c>
      <c r="H2085" s="216" t="s">
        <v>20</v>
      </c>
      <c r="I2085" s="182" t="s">
        <v>21</v>
      </c>
      <c r="J2085" s="182" t="s">
        <v>22</v>
      </c>
      <c r="K2085" s="182" t="s">
        <v>23</v>
      </c>
      <c r="L2085" s="182" t="s">
        <v>19</v>
      </c>
      <c r="M2085" s="182" t="s">
        <v>20</v>
      </c>
      <c r="N2085" s="182" t="s">
        <v>21</v>
      </c>
      <c r="O2085" s="182" t="s">
        <v>22</v>
      </c>
      <c r="P2085" s="182" t="s">
        <v>23</v>
      </c>
      <c r="Q2085" s="182" t="s">
        <v>19</v>
      </c>
      <c r="R2085" s="182" t="s">
        <v>20</v>
      </c>
      <c r="S2085" s="182" t="s">
        <v>21</v>
      </c>
      <c r="T2085" s="182" t="s">
        <v>22</v>
      </c>
      <c r="U2085" s="211" t="s">
        <v>23</v>
      </c>
    </row>
    <row r="2086" spans="1:21" ht="78.75" x14ac:dyDescent="0.25">
      <c r="A2086" s="183" t="s">
        <v>751</v>
      </c>
      <c r="B2086" s="182" t="s">
        <v>47</v>
      </c>
      <c r="C2086" s="182" t="s">
        <v>28</v>
      </c>
      <c r="D2086" s="182">
        <v>3</v>
      </c>
      <c r="E2086" s="182">
        <f>skilled</f>
        <v>1245</v>
      </c>
      <c r="F2086" s="184">
        <f>(D2086*E2086)</f>
        <v>3735</v>
      </c>
      <c r="G2086" s="182" t="s">
        <v>85</v>
      </c>
      <c r="H2086" s="216" t="s">
        <v>35</v>
      </c>
      <c r="I2086" s="182">
        <v>6.1</v>
      </c>
      <c r="J2086" s="182">
        <f>adopted_rate_cement</f>
        <v>13031</v>
      </c>
      <c r="K2086" s="182">
        <f t="shared" ref="K2086:K2091" si="12">(I2086*J2086)</f>
        <v>79489.099999999991</v>
      </c>
      <c r="L2086" s="182" t="s">
        <v>276</v>
      </c>
      <c r="M2086" s="182" t="s">
        <v>58</v>
      </c>
      <c r="N2086" s="182">
        <v>6</v>
      </c>
      <c r="O2086" s="182">
        <f>concrete_mixer</f>
        <v>296</v>
      </c>
      <c r="P2086" s="184">
        <f>(N2086*O2086)</f>
        <v>1776</v>
      </c>
      <c r="Q2086" s="182" t="s">
        <v>752</v>
      </c>
      <c r="R2086" s="182"/>
      <c r="U2086" s="223">
        <f>F2093*3.5/100</f>
        <v>6696.4498999999996</v>
      </c>
    </row>
    <row r="2087" spans="1:21" x14ac:dyDescent="0.25">
      <c r="B2087" s="182" t="s">
        <v>29</v>
      </c>
      <c r="C2087" s="182" t="s">
        <v>28</v>
      </c>
      <c r="D2087" s="182">
        <v>30</v>
      </c>
      <c r="E2087" s="182">
        <f>unskilled</f>
        <v>935</v>
      </c>
      <c r="F2087" s="184">
        <f>(D2087*E2087)</f>
        <v>28050</v>
      </c>
      <c r="G2087" s="182" t="s">
        <v>430</v>
      </c>
      <c r="H2087" s="216" t="s">
        <v>84</v>
      </c>
      <c r="I2087" s="182">
        <v>6.75</v>
      </c>
      <c r="J2087" s="182">
        <f>adopted_rate_sand</f>
        <v>3175.2000000000003</v>
      </c>
      <c r="K2087" s="182">
        <f t="shared" si="12"/>
        <v>21432.600000000002</v>
      </c>
      <c r="L2087" s="182" t="s">
        <v>76</v>
      </c>
      <c r="M2087" s="182" t="s">
        <v>58</v>
      </c>
      <c r="N2087" s="182">
        <v>6</v>
      </c>
      <c r="O2087" s="182">
        <f>generator</f>
        <v>855</v>
      </c>
      <c r="P2087" s="184">
        <f>(N2087*O2087)</f>
        <v>5130</v>
      </c>
    </row>
    <row r="2088" spans="1:21" x14ac:dyDescent="0.25">
      <c r="G2088" s="182" t="s">
        <v>733</v>
      </c>
      <c r="H2088" s="216" t="s">
        <v>84</v>
      </c>
      <c r="I2088" s="182">
        <v>8.1</v>
      </c>
      <c r="J2088" s="182">
        <f>adopted_rate_aggregate_10_20_mm</f>
        <v>3351.6</v>
      </c>
      <c r="K2088" s="182">
        <f t="shared" si="12"/>
        <v>27147.96</v>
      </c>
    </row>
    <row r="2089" spans="1:21" x14ac:dyDescent="0.25">
      <c r="G2089" s="182" t="s">
        <v>734</v>
      </c>
      <c r="H2089" s="216" t="s">
        <v>84</v>
      </c>
      <c r="I2089" s="182">
        <v>5.4</v>
      </c>
      <c r="J2089" s="182">
        <f>adopted_rate_aggregate_10_mm</f>
        <v>3175.2000000000003</v>
      </c>
      <c r="K2089" s="182">
        <f t="shared" si="12"/>
        <v>17146.080000000002</v>
      </c>
    </row>
    <row r="2090" spans="1:21" x14ac:dyDescent="0.25">
      <c r="G2090" s="182" t="s">
        <v>171</v>
      </c>
      <c r="H2090" s="216" t="s">
        <v>172</v>
      </c>
      <c r="I2090" s="182">
        <v>3</v>
      </c>
      <c r="J2090" s="182">
        <f>adopted_rate_water</f>
        <v>310</v>
      </c>
      <c r="K2090" s="182">
        <f t="shared" si="12"/>
        <v>930</v>
      </c>
    </row>
    <row r="2091" spans="1:21" x14ac:dyDescent="0.25">
      <c r="G2091" s="182" t="s">
        <v>745</v>
      </c>
      <c r="H2091" s="216" t="s">
        <v>144</v>
      </c>
      <c r="I2091" s="182">
        <v>24.4</v>
      </c>
      <c r="J2091" s="182">
        <f>adopted_rate_admixture</f>
        <v>266</v>
      </c>
      <c r="K2091" s="182">
        <f t="shared" si="12"/>
        <v>6490.4</v>
      </c>
    </row>
    <row r="2092" spans="1:21" x14ac:dyDescent="0.25">
      <c r="A2092" s="537" t="s">
        <v>30</v>
      </c>
      <c r="B2092" s="537"/>
      <c r="C2092" s="537"/>
      <c r="D2092" s="537"/>
      <c r="E2092" s="537"/>
      <c r="F2092" s="184">
        <f>SUM(F2085:F2091)</f>
        <v>31785</v>
      </c>
      <c r="G2092" s="537" t="s">
        <v>31</v>
      </c>
      <c r="H2092" s="537"/>
      <c r="I2092" s="537"/>
      <c r="J2092" s="537"/>
      <c r="K2092" s="184">
        <f>SUM(K2085:K2091)</f>
        <v>152636.13999999998</v>
      </c>
      <c r="L2092" s="537" t="s">
        <v>32</v>
      </c>
      <c r="M2092" s="537"/>
      <c r="N2092" s="537"/>
      <c r="O2092" s="537"/>
      <c r="P2092" s="184">
        <f>SUM(P2085:P2091)</f>
        <v>6906</v>
      </c>
      <c r="Q2092" s="537" t="s">
        <v>38</v>
      </c>
      <c r="R2092" s="537"/>
      <c r="S2092" s="537"/>
      <c r="T2092" s="537"/>
      <c r="U2092" s="223">
        <f>SUM(U2085:U2091)</f>
        <v>6696.4498999999996</v>
      </c>
    </row>
    <row r="2093" spans="1:21" x14ac:dyDescent="0.25">
      <c r="A2093" s="537" t="s">
        <v>33</v>
      </c>
      <c r="B2093" s="537"/>
      <c r="C2093" s="537"/>
      <c r="D2093" s="537"/>
      <c r="E2093" s="537"/>
      <c r="F2093" s="184">
        <f>SUM(F2092+K2092+P2092)</f>
        <v>191327.13999999998</v>
      </c>
      <c r="G2093" s="537" t="s">
        <v>39</v>
      </c>
      <c r="H2093" s="537"/>
      <c r="I2093" s="537"/>
      <c r="J2093" s="537"/>
      <c r="K2093" s="184">
        <f>SUM(F2092+K2092+P2092+U2092)</f>
        <v>198023.58989999999</v>
      </c>
      <c r="L2093" s="537" t="s">
        <v>40</v>
      </c>
      <c r="M2093" s="537"/>
      <c r="N2093" s="537"/>
      <c r="O2093" s="537"/>
      <c r="P2093" s="184">
        <f>SUM(K2093*0.15)</f>
        <v>29703.538484999997</v>
      </c>
      <c r="Q2093" s="537" t="s">
        <v>41</v>
      </c>
      <c r="R2093" s="537"/>
      <c r="S2093" s="537"/>
      <c r="T2093" s="537"/>
      <c r="U2093" s="223">
        <f>SUM(K2093+P2093)</f>
        <v>227727.12838499999</v>
      </c>
    </row>
    <row r="2094" spans="1:21" x14ac:dyDescent="0.25">
      <c r="Q2094" s="537" t="s">
        <v>42</v>
      </c>
      <c r="R2094" s="537"/>
      <c r="S2094" s="537"/>
      <c r="T2094" s="537"/>
      <c r="U2094" s="224">
        <f>ROUND((U2093/15),2)</f>
        <v>15181.81</v>
      </c>
    </row>
    <row r="2095" spans="1:21" x14ac:dyDescent="0.25">
      <c r="A2095" s="544"/>
      <c r="B2095" s="544"/>
      <c r="C2095" s="544"/>
      <c r="D2095" s="544"/>
      <c r="E2095" s="544"/>
      <c r="F2095" s="544"/>
      <c r="G2095" s="544"/>
      <c r="H2095" s="544"/>
      <c r="I2095" s="544"/>
      <c r="J2095" s="544"/>
      <c r="K2095" s="544"/>
      <c r="L2095" s="544"/>
      <c r="M2095" s="544"/>
      <c r="N2095" s="544"/>
      <c r="O2095" s="544"/>
      <c r="P2095" s="544"/>
      <c r="Q2095" s="544"/>
      <c r="R2095" s="544"/>
      <c r="S2095" s="544"/>
      <c r="T2095" s="544"/>
      <c r="U2095" s="544"/>
    </row>
    <row r="2096" spans="1:21" x14ac:dyDescent="0.25">
      <c r="A2096" s="538" t="s">
        <v>12</v>
      </c>
      <c r="B2096" s="538"/>
      <c r="C2096" s="540" t="s">
        <v>753</v>
      </c>
      <c r="D2096" s="540"/>
      <c r="E2096" s="540"/>
      <c r="F2096" s="540"/>
      <c r="G2096" s="540"/>
      <c r="H2096" s="540"/>
      <c r="I2096" s="540"/>
      <c r="J2096" s="540"/>
      <c r="K2096" s="540"/>
      <c r="L2096" s="540"/>
      <c r="M2096" s="540"/>
      <c r="N2096" s="540"/>
      <c r="O2096" s="540"/>
      <c r="P2096" s="540"/>
      <c r="Q2096" s="540"/>
      <c r="R2096" s="540"/>
      <c r="S2096" s="540"/>
      <c r="T2096" s="540"/>
      <c r="U2096" s="541" t="s">
        <v>726</v>
      </c>
    </row>
    <row r="2097" spans="1:21" x14ac:dyDescent="0.25">
      <c r="A2097" s="538"/>
      <c r="B2097" s="538"/>
      <c r="C2097" s="540"/>
      <c r="D2097" s="540"/>
      <c r="E2097" s="540"/>
      <c r="F2097" s="540"/>
      <c r="G2097" s="540"/>
      <c r="H2097" s="540"/>
      <c r="I2097" s="540"/>
      <c r="J2097" s="540"/>
      <c r="K2097" s="540"/>
      <c r="L2097" s="540"/>
      <c r="M2097" s="540"/>
      <c r="N2097" s="540"/>
      <c r="O2097" s="540"/>
      <c r="P2097" s="540"/>
      <c r="Q2097" s="540"/>
      <c r="R2097" s="540"/>
      <c r="S2097" s="540"/>
      <c r="T2097" s="540"/>
      <c r="U2097" s="541"/>
    </row>
    <row r="2098" spans="1:21" x14ac:dyDescent="0.25">
      <c r="A2098" s="539" t="s">
        <v>724</v>
      </c>
      <c r="B2098" s="539"/>
      <c r="C2098" s="540"/>
      <c r="D2098" s="540"/>
      <c r="E2098" s="540"/>
      <c r="F2098" s="540"/>
      <c r="G2098" s="540"/>
      <c r="H2098" s="540"/>
      <c r="I2098" s="540"/>
      <c r="J2098" s="540"/>
      <c r="K2098" s="540"/>
      <c r="L2098" s="540"/>
      <c r="M2098" s="540"/>
      <c r="N2098" s="540"/>
      <c r="O2098" s="540"/>
      <c r="P2098" s="540"/>
      <c r="Q2098" s="540"/>
      <c r="R2098" s="540"/>
      <c r="S2098" s="540"/>
      <c r="T2098" s="540"/>
      <c r="U2098" s="541"/>
    </row>
    <row r="2099" spans="1:21" x14ac:dyDescent="0.25">
      <c r="A2099" s="542" t="s">
        <v>16</v>
      </c>
      <c r="B2099" s="543" t="s">
        <v>18</v>
      </c>
      <c r="C2099" s="543"/>
      <c r="D2099" s="543"/>
      <c r="E2099" s="543"/>
      <c r="F2099" s="543"/>
      <c r="G2099" s="543" t="s">
        <v>24</v>
      </c>
      <c r="H2099" s="543"/>
      <c r="I2099" s="543"/>
      <c r="J2099" s="543"/>
      <c r="K2099" s="543"/>
      <c r="L2099" s="543" t="s">
        <v>25</v>
      </c>
      <c r="M2099" s="543"/>
      <c r="N2099" s="543"/>
      <c r="O2099" s="543"/>
      <c r="P2099" s="543"/>
      <c r="Q2099" s="543" t="s">
        <v>26</v>
      </c>
      <c r="R2099" s="543"/>
      <c r="S2099" s="543"/>
      <c r="T2099" s="543"/>
      <c r="U2099" s="543"/>
    </row>
    <row r="2100" spans="1:21" x14ac:dyDescent="0.25">
      <c r="A2100" s="542"/>
      <c r="B2100" s="182" t="s">
        <v>19</v>
      </c>
      <c r="C2100" s="182" t="s">
        <v>20</v>
      </c>
      <c r="D2100" s="182" t="s">
        <v>21</v>
      </c>
      <c r="E2100" s="182" t="s">
        <v>22</v>
      </c>
      <c r="F2100" s="182" t="s">
        <v>23</v>
      </c>
      <c r="G2100" s="182" t="s">
        <v>19</v>
      </c>
      <c r="H2100" s="216" t="s">
        <v>20</v>
      </c>
      <c r="I2100" s="182" t="s">
        <v>21</v>
      </c>
      <c r="J2100" s="182" t="s">
        <v>22</v>
      </c>
      <c r="K2100" s="182" t="s">
        <v>23</v>
      </c>
      <c r="L2100" s="182" t="s">
        <v>19</v>
      </c>
      <c r="M2100" s="182" t="s">
        <v>20</v>
      </c>
      <c r="N2100" s="182" t="s">
        <v>21</v>
      </c>
      <c r="O2100" s="182" t="s">
        <v>22</v>
      </c>
      <c r="P2100" s="182" t="s">
        <v>23</v>
      </c>
      <c r="Q2100" s="182" t="s">
        <v>19</v>
      </c>
      <c r="R2100" s="182" t="s">
        <v>20</v>
      </c>
      <c r="S2100" s="182" t="s">
        <v>21</v>
      </c>
      <c r="T2100" s="182" t="s">
        <v>22</v>
      </c>
      <c r="U2100" s="211" t="s">
        <v>23</v>
      </c>
    </row>
    <row r="2101" spans="1:21" ht="31.5" x14ac:dyDescent="0.25">
      <c r="A2101" s="183" t="s">
        <v>754</v>
      </c>
      <c r="B2101" s="182" t="s">
        <v>47</v>
      </c>
      <c r="C2101" s="182" t="s">
        <v>28</v>
      </c>
      <c r="D2101" s="182">
        <v>3</v>
      </c>
      <c r="E2101" s="182">
        <f>skilled</f>
        <v>1245</v>
      </c>
      <c r="F2101" s="184">
        <f>(D2101*E2101)</f>
        <v>3735</v>
      </c>
      <c r="G2101" s="182" t="s">
        <v>85</v>
      </c>
      <c r="H2101" s="216" t="s">
        <v>35</v>
      </c>
      <c r="I2101" s="182">
        <v>6.33</v>
      </c>
      <c r="J2101" s="182">
        <f>adopted_rate_cement</f>
        <v>13031</v>
      </c>
      <c r="K2101" s="182">
        <f t="shared" ref="K2101:K2106" si="13">(I2101*J2101)</f>
        <v>82486.23</v>
      </c>
      <c r="L2101" s="182" t="s">
        <v>276</v>
      </c>
      <c r="M2101" s="182" t="s">
        <v>58</v>
      </c>
      <c r="N2101" s="182">
        <v>6</v>
      </c>
      <c r="O2101" s="182">
        <f>concrete_mixer</f>
        <v>296</v>
      </c>
      <c r="P2101" s="184">
        <f>(N2101*O2101)</f>
        <v>1776</v>
      </c>
      <c r="Q2101" s="182" t="s">
        <v>755</v>
      </c>
      <c r="R2101" s="182"/>
      <c r="U2101" s="223">
        <f>F2108*3/100</f>
        <v>5837.0697</v>
      </c>
    </row>
    <row r="2102" spans="1:21" x14ac:dyDescent="0.25">
      <c r="B2102" s="182" t="s">
        <v>29</v>
      </c>
      <c r="C2102" s="182" t="s">
        <v>28</v>
      </c>
      <c r="D2102" s="182">
        <v>30</v>
      </c>
      <c r="E2102" s="182">
        <f>unskilled</f>
        <v>935</v>
      </c>
      <c r="F2102" s="184">
        <f>(D2102*E2102)</f>
        <v>28050</v>
      </c>
      <c r="G2102" s="182" t="s">
        <v>430</v>
      </c>
      <c r="H2102" s="216" t="s">
        <v>84</v>
      </c>
      <c r="I2102" s="182">
        <v>6.75</v>
      </c>
      <c r="J2102" s="182">
        <f>adopted_rate_sand</f>
        <v>3175.2000000000003</v>
      </c>
      <c r="K2102" s="182">
        <f t="shared" si="13"/>
        <v>21432.600000000002</v>
      </c>
      <c r="L2102" s="182" t="s">
        <v>76</v>
      </c>
      <c r="M2102" s="182" t="s">
        <v>58</v>
      </c>
      <c r="N2102" s="182">
        <v>6</v>
      </c>
      <c r="O2102" s="182">
        <f>generator</f>
        <v>855</v>
      </c>
      <c r="P2102" s="184">
        <f>(N2102*O2102)</f>
        <v>5130</v>
      </c>
    </row>
    <row r="2103" spans="1:21" x14ac:dyDescent="0.25">
      <c r="G2103" s="182" t="s">
        <v>733</v>
      </c>
      <c r="H2103" s="216" t="s">
        <v>84</v>
      </c>
      <c r="I2103" s="182">
        <v>8.1</v>
      </c>
      <c r="J2103" s="182">
        <f>adopted_rate_aggregate_10_20_mm</f>
        <v>3351.6</v>
      </c>
      <c r="K2103" s="182">
        <f t="shared" si="13"/>
        <v>27147.96</v>
      </c>
    </row>
    <row r="2104" spans="1:21" x14ac:dyDescent="0.25">
      <c r="G2104" s="182" t="s">
        <v>734</v>
      </c>
      <c r="H2104" s="216" t="s">
        <v>84</v>
      </c>
      <c r="I2104" s="182">
        <v>5.4</v>
      </c>
      <c r="J2104" s="182">
        <f>adopted_rate_aggregate_10_mm</f>
        <v>3175.2000000000003</v>
      </c>
      <c r="K2104" s="182">
        <f t="shared" si="13"/>
        <v>17146.080000000002</v>
      </c>
    </row>
    <row r="2105" spans="1:21" x14ac:dyDescent="0.25">
      <c r="G2105" s="182" t="s">
        <v>171</v>
      </c>
      <c r="H2105" s="216" t="s">
        <v>172</v>
      </c>
      <c r="I2105" s="182">
        <v>3</v>
      </c>
      <c r="J2105" s="182">
        <f>adopted_rate_water</f>
        <v>310</v>
      </c>
      <c r="K2105" s="182">
        <f t="shared" si="13"/>
        <v>930</v>
      </c>
    </row>
    <row r="2106" spans="1:21" x14ac:dyDescent="0.25">
      <c r="G2106" s="182" t="s">
        <v>745</v>
      </c>
      <c r="H2106" s="216" t="s">
        <v>144</v>
      </c>
      <c r="I2106" s="182">
        <v>25.32</v>
      </c>
      <c r="J2106" s="182">
        <f>adopted_rate_admixture</f>
        <v>266</v>
      </c>
      <c r="K2106" s="182">
        <f t="shared" si="13"/>
        <v>6735.12</v>
      </c>
    </row>
    <row r="2107" spans="1:21" x14ac:dyDescent="0.25">
      <c r="A2107" s="537" t="s">
        <v>30</v>
      </c>
      <c r="B2107" s="537"/>
      <c r="C2107" s="537"/>
      <c r="D2107" s="537"/>
      <c r="E2107" s="537"/>
      <c r="F2107" s="184">
        <f>SUM(F2100:F2106)</f>
        <v>31785</v>
      </c>
      <c r="G2107" s="537" t="s">
        <v>31</v>
      </c>
      <c r="H2107" s="537"/>
      <c r="I2107" s="537"/>
      <c r="J2107" s="537"/>
      <c r="K2107" s="184">
        <f>SUM(K2100:K2106)</f>
        <v>155877.99</v>
      </c>
      <c r="L2107" s="537" t="s">
        <v>32</v>
      </c>
      <c r="M2107" s="537"/>
      <c r="N2107" s="537"/>
      <c r="O2107" s="537"/>
      <c r="P2107" s="184">
        <f>SUM(P2100:P2106)</f>
        <v>6906</v>
      </c>
      <c r="Q2107" s="537" t="s">
        <v>38</v>
      </c>
      <c r="R2107" s="537"/>
      <c r="S2107" s="537"/>
      <c r="T2107" s="537"/>
      <c r="U2107" s="223">
        <f>SUM(U2100:U2106)</f>
        <v>5837.0697</v>
      </c>
    </row>
    <row r="2108" spans="1:21" x14ac:dyDescent="0.25">
      <c r="A2108" s="537" t="s">
        <v>33</v>
      </c>
      <c r="B2108" s="537"/>
      <c r="C2108" s="537"/>
      <c r="D2108" s="537"/>
      <c r="E2108" s="537"/>
      <c r="F2108" s="184">
        <f>SUM(F2107+K2107+P2107)</f>
        <v>194568.99</v>
      </c>
      <c r="G2108" s="537" t="s">
        <v>39</v>
      </c>
      <c r="H2108" s="537"/>
      <c r="I2108" s="537"/>
      <c r="J2108" s="537"/>
      <c r="K2108" s="184">
        <f>SUM(F2107+K2107+P2107+U2107)</f>
        <v>200406.05969999998</v>
      </c>
      <c r="L2108" s="537" t="s">
        <v>40</v>
      </c>
      <c r="M2108" s="537"/>
      <c r="N2108" s="537"/>
      <c r="O2108" s="537"/>
      <c r="P2108" s="184">
        <f>SUM(K2108*0.15)</f>
        <v>30060.908954999995</v>
      </c>
      <c r="Q2108" s="537" t="s">
        <v>41</v>
      </c>
      <c r="R2108" s="537"/>
      <c r="S2108" s="537"/>
      <c r="T2108" s="537"/>
      <c r="U2108" s="223">
        <f>SUM(K2108+P2108)</f>
        <v>230466.96865499998</v>
      </c>
    </row>
    <row r="2109" spans="1:21" x14ac:dyDescent="0.25">
      <c r="Q2109" s="537" t="s">
        <v>42</v>
      </c>
      <c r="R2109" s="537"/>
      <c r="S2109" s="537"/>
      <c r="T2109" s="537"/>
      <c r="U2109" s="224">
        <f>ROUND((U2108/15),2)</f>
        <v>15364.46</v>
      </c>
    </row>
    <row r="2110" spans="1:21" x14ac:dyDescent="0.25">
      <c r="A2110" s="544"/>
      <c r="B2110" s="544"/>
      <c r="C2110" s="544"/>
      <c r="D2110" s="544"/>
      <c r="E2110" s="544"/>
      <c r="F2110" s="544"/>
      <c r="G2110" s="544"/>
      <c r="H2110" s="544"/>
      <c r="I2110" s="544"/>
      <c r="J2110" s="544"/>
      <c r="K2110" s="544"/>
      <c r="L2110" s="544"/>
      <c r="M2110" s="544"/>
      <c r="N2110" s="544"/>
      <c r="O2110" s="544"/>
      <c r="P2110" s="544"/>
      <c r="Q2110" s="544"/>
      <c r="R2110" s="544"/>
      <c r="S2110" s="544"/>
      <c r="T2110" s="544"/>
      <c r="U2110" s="544"/>
    </row>
    <row r="2111" spans="1:21" x14ac:dyDescent="0.25">
      <c r="A2111" s="538" t="s">
        <v>12</v>
      </c>
      <c r="B2111" s="538"/>
      <c r="C2111" s="540" t="s">
        <v>756</v>
      </c>
      <c r="D2111" s="540"/>
      <c r="E2111" s="540"/>
      <c r="F2111" s="540"/>
      <c r="G2111" s="540"/>
      <c r="H2111" s="540"/>
      <c r="I2111" s="540"/>
      <c r="J2111" s="540"/>
      <c r="K2111" s="540"/>
      <c r="L2111" s="540"/>
      <c r="M2111" s="540"/>
      <c r="N2111" s="540"/>
      <c r="O2111" s="540"/>
      <c r="P2111" s="540"/>
      <c r="Q2111" s="540"/>
      <c r="R2111" s="540"/>
      <c r="S2111" s="540"/>
      <c r="T2111" s="540"/>
      <c r="U2111" s="541" t="s">
        <v>726</v>
      </c>
    </row>
    <row r="2112" spans="1:21" x14ac:dyDescent="0.25">
      <c r="A2112" s="538"/>
      <c r="B2112" s="538"/>
      <c r="C2112" s="540"/>
      <c r="D2112" s="540"/>
      <c r="E2112" s="540"/>
      <c r="F2112" s="540"/>
      <c r="G2112" s="540"/>
      <c r="H2112" s="540"/>
      <c r="I2112" s="540"/>
      <c r="J2112" s="540"/>
      <c r="K2112" s="540"/>
      <c r="L2112" s="540"/>
      <c r="M2112" s="540"/>
      <c r="N2112" s="540"/>
      <c r="O2112" s="540"/>
      <c r="P2112" s="540"/>
      <c r="Q2112" s="540"/>
      <c r="R2112" s="540"/>
      <c r="S2112" s="540"/>
      <c r="T2112" s="540"/>
      <c r="U2112" s="541"/>
    </row>
    <row r="2113" spans="1:21" x14ac:dyDescent="0.25">
      <c r="A2113" s="539" t="s">
        <v>724</v>
      </c>
      <c r="B2113" s="539"/>
      <c r="C2113" s="540"/>
      <c r="D2113" s="540"/>
      <c r="E2113" s="540"/>
      <c r="F2113" s="540"/>
      <c r="G2113" s="540"/>
      <c r="H2113" s="540"/>
      <c r="I2113" s="540"/>
      <c r="J2113" s="540"/>
      <c r="K2113" s="540"/>
      <c r="L2113" s="540"/>
      <c r="M2113" s="540"/>
      <c r="N2113" s="540"/>
      <c r="O2113" s="540"/>
      <c r="P2113" s="540"/>
      <c r="Q2113" s="540"/>
      <c r="R2113" s="540"/>
      <c r="S2113" s="540"/>
      <c r="T2113" s="540"/>
      <c r="U2113" s="541"/>
    </row>
    <row r="2114" spans="1:21" x14ac:dyDescent="0.25">
      <c r="A2114" s="542" t="s">
        <v>16</v>
      </c>
      <c r="B2114" s="543" t="s">
        <v>18</v>
      </c>
      <c r="C2114" s="543"/>
      <c r="D2114" s="543"/>
      <c r="E2114" s="543"/>
      <c r="F2114" s="543"/>
      <c r="G2114" s="543" t="s">
        <v>24</v>
      </c>
      <c r="H2114" s="543"/>
      <c r="I2114" s="543"/>
      <c r="J2114" s="543"/>
      <c r="K2114" s="543"/>
      <c r="L2114" s="543" t="s">
        <v>25</v>
      </c>
      <c r="M2114" s="543"/>
      <c r="N2114" s="543"/>
      <c r="O2114" s="543"/>
      <c r="P2114" s="543"/>
      <c r="Q2114" s="543" t="s">
        <v>26</v>
      </c>
      <c r="R2114" s="543"/>
      <c r="S2114" s="543"/>
      <c r="T2114" s="543"/>
      <c r="U2114" s="543"/>
    </row>
    <row r="2115" spans="1:21" x14ac:dyDescent="0.25">
      <c r="A2115" s="542"/>
      <c r="B2115" s="182" t="s">
        <v>19</v>
      </c>
      <c r="C2115" s="182" t="s">
        <v>20</v>
      </c>
      <c r="D2115" s="182" t="s">
        <v>21</v>
      </c>
      <c r="E2115" s="182" t="s">
        <v>22</v>
      </c>
      <c r="F2115" s="182" t="s">
        <v>23</v>
      </c>
      <c r="G2115" s="182" t="s">
        <v>19</v>
      </c>
      <c r="H2115" s="216" t="s">
        <v>20</v>
      </c>
      <c r="I2115" s="182" t="s">
        <v>21</v>
      </c>
      <c r="J2115" s="182" t="s">
        <v>22</v>
      </c>
      <c r="K2115" s="182" t="s">
        <v>23</v>
      </c>
      <c r="L2115" s="182" t="s">
        <v>19</v>
      </c>
      <c r="M2115" s="182" t="s">
        <v>20</v>
      </c>
      <c r="N2115" s="182" t="s">
        <v>21</v>
      </c>
      <c r="O2115" s="182" t="s">
        <v>22</v>
      </c>
      <c r="P2115" s="182" t="s">
        <v>23</v>
      </c>
      <c r="Q2115" s="182" t="s">
        <v>19</v>
      </c>
      <c r="R2115" s="182" t="s">
        <v>20</v>
      </c>
      <c r="S2115" s="182" t="s">
        <v>21</v>
      </c>
      <c r="T2115" s="182" t="s">
        <v>22</v>
      </c>
      <c r="U2115" s="211" t="s">
        <v>23</v>
      </c>
    </row>
    <row r="2116" spans="1:21" ht="78.75" x14ac:dyDescent="0.25">
      <c r="A2116" s="183" t="s">
        <v>757</v>
      </c>
      <c r="B2116" s="182" t="s">
        <v>47</v>
      </c>
      <c r="C2116" s="182" t="s">
        <v>28</v>
      </c>
      <c r="D2116" s="182">
        <v>3</v>
      </c>
      <c r="E2116" s="182">
        <f>skilled</f>
        <v>1245</v>
      </c>
      <c r="F2116" s="184">
        <f>(D2116*E2116)</f>
        <v>3735</v>
      </c>
      <c r="G2116" s="182" t="s">
        <v>85</v>
      </c>
      <c r="H2116" s="216" t="s">
        <v>35</v>
      </c>
      <c r="I2116" s="182">
        <v>4.13</v>
      </c>
      <c r="J2116" s="182">
        <f>adopted_rate_cement</f>
        <v>13031</v>
      </c>
      <c r="K2116" s="182">
        <f t="shared" ref="K2116:K2121" si="14">(I2116*J2116)</f>
        <v>53818.03</v>
      </c>
      <c r="L2116" s="182" t="s">
        <v>276</v>
      </c>
      <c r="M2116" s="182" t="s">
        <v>58</v>
      </c>
      <c r="N2116" s="182">
        <v>6</v>
      </c>
      <c r="O2116" s="182">
        <f>concrete_mixer</f>
        <v>296</v>
      </c>
      <c r="P2116" s="184">
        <f>(N2116*O2116)</f>
        <v>1776</v>
      </c>
      <c r="Q2116" s="182" t="s">
        <v>759</v>
      </c>
      <c r="R2116" s="182"/>
      <c r="U2116" s="223">
        <f>F2124*10/100</f>
        <v>15814.125</v>
      </c>
    </row>
    <row r="2117" spans="1:21" x14ac:dyDescent="0.25">
      <c r="B2117" s="182" t="s">
        <v>29</v>
      </c>
      <c r="C2117" s="182" t="s">
        <v>28</v>
      </c>
      <c r="D2117" s="182">
        <v>30</v>
      </c>
      <c r="E2117" s="182">
        <f>unskilled</f>
        <v>935</v>
      </c>
      <c r="F2117" s="184">
        <f>(D2117*E2117)</f>
        <v>28050</v>
      </c>
      <c r="G2117" s="182" t="s">
        <v>430</v>
      </c>
      <c r="H2117" s="216" t="s">
        <v>84</v>
      </c>
      <c r="I2117" s="182">
        <v>6.75</v>
      </c>
      <c r="J2117" s="182">
        <f>adopted_rate_sand</f>
        <v>3175.2000000000003</v>
      </c>
      <c r="K2117" s="182">
        <f t="shared" si="14"/>
        <v>21432.600000000002</v>
      </c>
      <c r="L2117" s="182" t="s">
        <v>76</v>
      </c>
      <c r="M2117" s="182" t="s">
        <v>58</v>
      </c>
      <c r="N2117" s="182">
        <v>6</v>
      </c>
      <c r="O2117" s="182">
        <f>generator</f>
        <v>855</v>
      </c>
      <c r="P2117" s="184">
        <f>(N2117*O2117)</f>
        <v>5130</v>
      </c>
    </row>
    <row r="2118" spans="1:21" x14ac:dyDescent="0.25">
      <c r="G2118" s="182" t="s">
        <v>728</v>
      </c>
      <c r="H2118" s="216" t="s">
        <v>84</v>
      </c>
      <c r="I2118" s="182">
        <v>8.1</v>
      </c>
      <c r="J2118" s="182">
        <f>adopted_rate_aggregate_20_40_mm</f>
        <v>3175.2000000000003</v>
      </c>
      <c r="K2118" s="182">
        <f t="shared" si="14"/>
        <v>25719.120000000003</v>
      </c>
    </row>
    <row r="2119" spans="1:21" x14ac:dyDescent="0.25">
      <c r="G2119" s="182" t="s">
        <v>733</v>
      </c>
      <c r="H2119" s="216" t="s">
        <v>84</v>
      </c>
      <c r="I2119" s="182">
        <v>4.05</v>
      </c>
      <c r="J2119" s="182">
        <f>adopted_rate_aggregate_10_20_mm</f>
        <v>3351.6</v>
      </c>
      <c r="K2119" s="182">
        <f t="shared" si="14"/>
        <v>13573.98</v>
      </c>
    </row>
    <row r="2120" spans="1:21" x14ac:dyDescent="0.25">
      <c r="G2120" s="182" t="s">
        <v>734</v>
      </c>
      <c r="H2120" s="216" t="s">
        <v>84</v>
      </c>
      <c r="I2120" s="182">
        <v>1.35</v>
      </c>
      <c r="J2120" s="182">
        <f>adopted_rate_aggregate_10_mm</f>
        <v>3175.2000000000003</v>
      </c>
      <c r="K2120" s="182">
        <f t="shared" si="14"/>
        <v>4286.5200000000004</v>
      </c>
    </row>
    <row r="2121" spans="1:21" x14ac:dyDescent="0.25">
      <c r="G2121" s="182" t="s">
        <v>171</v>
      </c>
      <c r="H2121" s="216" t="s">
        <v>172</v>
      </c>
      <c r="I2121" s="182">
        <v>2</v>
      </c>
      <c r="J2121" s="182">
        <f>adopted_rate_water</f>
        <v>310</v>
      </c>
      <c r="K2121" s="182">
        <f t="shared" si="14"/>
        <v>620</v>
      </c>
    </row>
    <row r="2122" spans="1:21" ht="31.5" x14ac:dyDescent="0.25">
      <c r="G2122" s="182" t="s">
        <v>758</v>
      </c>
      <c r="H2122" s="216"/>
    </row>
    <row r="2123" spans="1:21" x14ac:dyDescent="0.25">
      <c r="A2123" s="537" t="s">
        <v>30</v>
      </c>
      <c r="B2123" s="537"/>
      <c r="C2123" s="537"/>
      <c r="D2123" s="537"/>
      <c r="E2123" s="537"/>
      <c r="F2123" s="184">
        <f>SUM(F2115:F2122)</f>
        <v>31785</v>
      </c>
      <c r="G2123" s="537" t="s">
        <v>31</v>
      </c>
      <c r="H2123" s="537"/>
      <c r="I2123" s="537"/>
      <c r="J2123" s="537"/>
      <c r="K2123" s="184">
        <f>SUM(K2115:K2122)</f>
        <v>119450.25</v>
      </c>
      <c r="L2123" s="537" t="s">
        <v>32</v>
      </c>
      <c r="M2123" s="537"/>
      <c r="N2123" s="537"/>
      <c r="O2123" s="537"/>
      <c r="P2123" s="184">
        <f>SUM(P2115:P2122)</f>
        <v>6906</v>
      </c>
      <c r="Q2123" s="537" t="s">
        <v>38</v>
      </c>
      <c r="R2123" s="537"/>
      <c r="S2123" s="537"/>
      <c r="T2123" s="537"/>
      <c r="U2123" s="223">
        <f>SUM(U2115:U2122)</f>
        <v>15814.125</v>
      </c>
    </row>
    <row r="2124" spans="1:21" x14ac:dyDescent="0.25">
      <c r="A2124" s="537" t="s">
        <v>33</v>
      </c>
      <c r="B2124" s="537"/>
      <c r="C2124" s="537"/>
      <c r="D2124" s="537"/>
      <c r="E2124" s="537"/>
      <c r="F2124" s="184">
        <f>SUM(F2123+K2123+P2123)</f>
        <v>158141.25</v>
      </c>
      <c r="G2124" s="537" t="s">
        <v>39</v>
      </c>
      <c r="H2124" s="537"/>
      <c r="I2124" s="537"/>
      <c r="J2124" s="537"/>
      <c r="K2124" s="184">
        <f>SUM(F2123+K2123+P2123+U2123)</f>
        <v>173955.375</v>
      </c>
      <c r="L2124" s="537" t="s">
        <v>40</v>
      </c>
      <c r="M2124" s="537"/>
      <c r="N2124" s="537"/>
      <c r="O2124" s="537"/>
      <c r="P2124" s="184">
        <f>SUM(K2124*0.15)</f>
        <v>26093.306249999998</v>
      </c>
      <c r="Q2124" s="537" t="s">
        <v>41</v>
      </c>
      <c r="R2124" s="537"/>
      <c r="S2124" s="537"/>
      <c r="T2124" s="537"/>
      <c r="U2124" s="223">
        <f>SUM(K2124+P2124)</f>
        <v>200048.68124999999</v>
      </c>
    </row>
    <row r="2125" spans="1:21" x14ac:dyDescent="0.25">
      <c r="Q2125" s="537" t="s">
        <v>42</v>
      </c>
      <c r="R2125" s="537"/>
      <c r="S2125" s="537"/>
      <c r="T2125" s="537"/>
      <c r="U2125" s="224">
        <f>ROUND((U2124/15),2)</f>
        <v>13336.58</v>
      </c>
    </row>
    <row r="2126" spans="1:21" x14ac:dyDescent="0.25">
      <c r="A2126" s="544"/>
      <c r="B2126" s="544"/>
      <c r="C2126" s="544"/>
      <c r="D2126" s="544"/>
      <c r="E2126" s="544"/>
      <c r="F2126" s="544"/>
      <c r="G2126" s="544"/>
      <c r="H2126" s="544"/>
      <c r="I2126" s="544"/>
      <c r="J2126" s="544"/>
      <c r="K2126" s="544"/>
      <c r="L2126" s="544"/>
      <c r="M2126" s="544"/>
      <c r="N2126" s="544"/>
      <c r="O2126" s="544"/>
      <c r="P2126" s="544"/>
      <c r="Q2126" s="544"/>
      <c r="R2126" s="544"/>
      <c r="S2126" s="544"/>
      <c r="T2126" s="544"/>
      <c r="U2126" s="544"/>
    </row>
    <row r="2127" spans="1:21" x14ac:dyDescent="0.25">
      <c r="A2127" s="538" t="s">
        <v>12</v>
      </c>
      <c r="B2127" s="538"/>
      <c r="C2127" s="540" t="s">
        <v>760</v>
      </c>
      <c r="D2127" s="540"/>
      <c r="E2127" s="540"/>
      <c r="F2127" s="540"/>
      <c r="G2127" s="540"/>
      <c r="H2127" s="540"/>
      <c r="I2127" s="540"/>
      <c r="J2127" s="540"/>
      <c r="K2127" s="540"/>
      <c r="L2127" s="540"/>
      <c r="M2127" s="540"/>
      <c r="N2127" s="540"/>
      <c r="O2127" s="540"/>
      <c r="P2127" s="540"/>
      <c r="Q2127" s="540"/>
      <c r="R2127" s="540"/>
      <c r="S2127" s="540"/>
      <c r="T2127" s="540"/>
      <c r="U2127" s="541" t="s">
        <v>726</v>
      </c>
    </row>
    <row r="2128" spans="1:21" x14ac:dyDescent="0.25">
      <c r="A2128" s="538"/>
      <c r="B2128" s="538"/>
      <c r="C2128" s="540"/>
      <c r="D2128" s="540"/>
      <c r="E2128" s="540"/>
      <c r="F2128" s="540"/>
      <c r="G2128" s="540"/>
      <c r="H2128" s="540"/>
      <c r="I2128" s="540"/>
      <c r="J2128" s="540"/>
      <c r="K2128" s="540"/>
      <c r="L2128" s="540"/>
      <c r="M2128" s="540"/>
      <c r="N2128" s="540"/>
      <c r="O2128" s="540"/>
      <c r="P2128" s="540"/>
      <c r="Q2128" s="540"/>
      <c r="R2128" s="540"/>
      <c r="S2128" s="540"/>
      <c r="T2128" s="540"/>
      <c r="U2128" s="541"/>
    </row>
    <row r="2129" spans="1:21" x14ac:dyDescent="0.25">
      <c r="A2129" s="539" t="s">
        <v>724</v>
      </c>
      <c r="B2129" s="539"/>
      <c r="C2129" s="540"/>
      <c r="D2129" s="540"/>
      <c r="E2129" s="540"/>
      <c r="F2129" s="540"/>
      <c r="G2129" s="540"/>
      <c r="H2129" s="540"/>
      <c r="I2129" s="540"/>
      <c r="J2129" s="540"/>
      <c r="K2129" s="540"/>
      <c r="L2129" s="540"/>
      <c r="M2129" s="540"/>
      <c r="N2129" s="540"/>
      <c r="O2129" s="540"/>
      <c r="P2129" s="540"/>
      <c r="Q2129" s="540"/>
      <c r="R2129" s="540"/>
      <c r="S2129" s="540"/>
      <c r="T2129" s="540"/>
      <c r="U2129" s="541"/>
    </row>
    <row r="2130" spans="1:21" x14ac:dyDescent="0.25">
      <c r="A2130" s="542" t="s">
        <v>16</v>
      </c>
      <c r="B2130" s="543" t="s">
        <v>18</v>
      </c>
      <c r="C2130" s="543"/>
      <c r="D2130" s="543"/>
      <c r="E2130" s="543"/>
      <c r="F2130" s="543"/>
      <c r="G2130" s="543" t="s">
        <v>24</v>
      </c>
      <c r="H2130" s="543"/>
      <c r="I2130" s="543"/>
      <c r="J2130" s="543"/>
      <c r="K2130" s="543"/>
      <c r="L2130" s="543" t="s">
        <v>25</v>
      </c>
      <c r="M2130" s="543"/>
      <c r="N2130" s="543"/>
      <c r="O2130" s="543"/>
      <c r="P2130" s="543"/>
      <c r="Q2130" s="543" t="s">
        <v>26</v>
      </c>
      <c r="R2130" s="543"/>
      <c r="S2130" s="543"/>
      <c r="T2130" s="543"/>
      <c r="U2130" s="543"/>
    </row>
    <row r="2131" spans="1:21" x14ac:dyDescent="0.25">
      <c r="A2131" s="542"/>
      <c r="B2131" s="182" t="s">
        <v>19</v>
      </c>
      <c r="C2131" s="182" t="s">
        <v>20</v>
      </c>
      <c r="D2131" s="182" t="s">
        <v>21</v>
      </c>
      <c r="E2131" s="182" t="s">
        <v>22</v>
      </c>
      <c r="F2131" s="182" t="s">
        <v>23</v>
      </c>
      <c r="G2131" s="182" t="s">
        <v>19</v>
      </c>
      <c r="H2131" s="216" t="s">
        <v>20</v>
      </c>
      <c r="I2131" s="182" t="s">
        <v>21</v>
      </c>
      <c r="J2131" s="182" t="s">
        <v>22</v>
      </c>
      <c r="K2131" s="182" t="s">
        <v>23</v>
      </c>
      <c r="L2131" s="182" t="s">
        <v>19</v>
      </c>
      <c r="M2131" s="182" t="s">
        <v>20</v>
      </c>
      <c r="N2131" s="182" t="s">
        <v>21</v>
      </c>
      <c r="O2131" s="182" t="s">
        <v>22</v>
      </c>
      <c r="P2131" s="182" t="s">
        <v>23</v>
      </c>
      <c r="Q2131" s="182" t="s">
        <v>19</v>
      </c>
      <c r="R2131" s="182" t="s">
        <v>20</v>
      </c>
      <c r="S2131" s="182" t="s">
        <v>21</v>
      </c>
      <c r="T2131" s="182" t="s">
        <v>22</v>
      </c>
      <c r="U2131" s="211" t="s">
        <v>23</v>
      </c>
    </row>
    <row r="2132" spans="1:21" ht="63" x14ac:dyDescent="0.25">
      <c r="A2132" s="183" t="s">
        <v>761</v>
      </c>
      <c r="B2132" s="182" t="s">
        <v>47</v>
      </c>
      <c r="C2132" s="182" t="s">
        <v>28</v>
      </c>
      <c r="D2132" s="182">
        <v>3</v>
      </c>
      <c r="E2132" s="182">
        <f>skilled</f>
        <v>1245</v>
      </c>
      <c r="F2132" s="184">
        <f>(D2132*E2132)</f>
        <v>3735</v>
      </c>
      <c r="G2132" s="182" t="s">
        <v>85</v>
      </c>
      <c r="H2132" s="216" t="s">
        <v>35</v>
      </c>
      <c r="I2132" s="182">
        <v>5.16</v>
      </c>
      <c r="J2132" s="182">
        <f>adopted_rate_cement</f>
        <v>13031</v>
      </c>
      <c r="K2132" s="182">
        <f t="shared" ref="K2132:K2137" si="15">(I2132*J2132)</f>
        <v>67239.960000000006</v>
      </c>
      <c r="L2132" s="182" t="s">
        <v>276</v>
      </c>
      <c r="M2132" s="182" t="s">
        <v>58</v>
      </c>
      <c r="N2132" s="182">
        <v>6</v>
      </c>
      <c r="O2132" s="182">
        <f>concrete_mixer</f>
        <v>296</v>
      </c>
      <c r="P2132" s="184">
        <f>(N2132*O2132)</f>
        <v>1776</v>
      </c>
      <c r="Q2132" s="182" t="s">
        <v>762</v>
      </c>
      <c r="R2132" s="182"/>
      <c r="U2132" s="223">
        <f>(S2132*T2132)</f>
        <v>0</v>
      </c>
    </row>
    <row r="2133" spans="1:21" x14ac:dyDescent="0.25">
      <c r="B2133" s="182" t="s">
        <v>29</v>
      </c>
      <c r="C2133" s="182" t="s">
        <v>28</v>
      </c>
      <c r="D2133" s="182">
        <v>30</v>
      </c>
      <c r="E2133" s="182">
        <f>unskilled</f>
        <v>935</v>
      </c>
      <c r="F2133" s="184">
        <f>(D2133*E2133)</f>
        <v>28050</v>
      </c>
      <c r="G2133" s="182" t="s">
        <v>430</v>
      </c>
      <c r="H2133" s="216" t="s">
        <v>84</v>
      </c>
      <c r="I2133" s="182">
        <v>6.75</v>
      </c>
      <c r="J2133" s="182">
        <f>adopted_rate_sand</f>
        <v>3175.2000000000003</v>
      </c>
      <c r="K2133" s="182">
        <f t="shared" si="15"/>
        <v>21432.600000000002</v>
      </c>
      <c r="L2133" s="182" t="s">
        <v>76</v>
      </c>
      <c r="M2133" s="182" t="s">
        <v>58</v>
      </c>
      <c r="N2133" s="182">
        <v>6</v>
      </c>
      <c r="O2133" s="182">
        <f>generator</f>
        <v>855</v>
      </c>
      <c r="P2133" s="184">
        <f>(N2133*O2133)</f>
        <v>5130</v>
      </c>
      <c r="Q2133" s="182" t="s">
        <v>763</v>
      </c>
      <c r="R2133" s="182"/>
      <c r="U2133" s="223">
        <f>F2139*10/100</f>
        <v>17195.632000000001</v>
      </c>
    </row>
    <row r="2134" spans="1:21" ht="78.75" x14ac:dyDescent="0.25">
      <c r="G2134" s="182" t="s">
        <v>728</v>
      </c>
      <c r="H2134" s="216" t="s">
        <v>84</v>
      </c>
      <c r="I2134" s="182">
        <v>5.4</v>
      </c>
      <c r="J2134" s="182">
        <f>adopted_rate_aggregate_20_40_mm</f>
        <v>3175.2000000000003</v>
      </c>
      <c r="K2134" s="182">
        <f t="shared" si="15"/>
        <v>17146.080000000002</v>
      </c>
      <c r="Q2134" s="182" t="s">
        <v>759</v>
      </c>
      <c r="R2134" s="182"/>
      <c r="U2134" s="223">
        <f>(S2134*T2134)</f>
        <v>0</v>
      </c>
    </row>
    <row r="2135" spans="1:21" x14ac:dyDescent="0.25">
      <c r="G2135" s="182" t="s">
        <v>733</v>
      </c>
      <c r="H2135" s="216" t="s">
        <v>84</v>
      </c>
      <c r="I2135" s="182">
        <v>5.4</v>
      </c>
      <c r="J2135" s="182">
        <f>adopted_rate_aggregate_10_20_mm</f>
        <v>3351.6</v>
      </c>
      <c r="K2135" s="182">
        <f t="shared" si="15"/>
        <v>18098.64</v>
      </c>
    </row>
    <row r="2136" spans="1:21" x14ac:dyDescent="0.25">
      <c r="G2136" s="182" t="s">
        <v>734</v>
      </c>
      <c r="H2136" s="216" t="s">
        <v>84</v>
      </c>
      <c r="I2136" s="182">
        <v>2.7</v>
      </c>
      <c r="J2136" s="182">
        <f>adopted_rate_aggregate_10_mm</f>
        <v>3175.2000000000003</v>
      </c>
      <c r="K2136" s="182">
        <f t="shared" si="15"/>
        <v>8573.0400000000009</v>
      </c>
    </row>
    <row r="2137" spans="1:21" x14ac:dyDescent="0.25">
      <c r="G2137" s="182" t="s">
        <v>171</v>
      </c>
      <c r="H2137" s="216" t="s">
        <v>172</v>
      </c>
      <c r="I2137" s="182">
        <v>2.5</v>
      </c>
      <c r="J2137" s="182">
        <f>adopted_rate_water</f>
        <v>310</v>
      </c>
      <c r="K2137" s="182">
        <f t="shared" si="15"/>
        <v>775</v>
      </c>
    </row>
    <row r="2138" spans="1:21" x14ac:dyDescent="0.25">
      <c r="A2138" s="537" t="s">
        <v>30</v>
      </c>
      <c r="B2138" s="537"/>
      <c r="C2138" s="537"/>
      <c r="D2138" s="537"/>
      <c r="E2138" s="537"/>
      <c r="F2138" s="184">
        <f>SUM(F2131:F2137)</f>
        <v>31785</v>
      </c>
      <c r="G2138" s="537" t="s">
        <v>31</v>
      </c>
      <c r="H2138" s="537"/>
      <c r="I2138" s="537"/>
      <c r="J2138" s="537"/>
      <c r="K2138" s="184">
        <f>SUM(K2131:K2137)</f>
        <v>133265.32</v>
      </c>
      <c r="L2138" s="537" t="s">
        <v>32</v>
      </c>
      <c r="M2138" s="537"/>
      <c r="N2138" s="537"/>
      <c r="O2138" s="537"/>
      <c r="P2138" s="184">
        <f>SUM(P2131:P2137)</f>
        <v>6906</v>
      </c>
      <c r="Q2138" s="537" t="s">
        <v>38</v>
      </c>
      <c r="R2138" s="537"/>
      <c r="S2138" s="537"/>
      <c r="T2138" s="537"/>
      <c r="U2138" s="223">
        <f>SUM(U2131:U2137)</f>
        <v>17195.632000000001</v>
      </c>
    </row>
    <row r="2139" spans="1:21" x14ac:dyDescent="0.25">
      <c r="A2139" s="537" t="s">
        <v>33</v>
      </c>
      <c r="B2139" s="537"/>
      <c r="C2139" s="537"/>
      <c r="D2139" s="537"/>
      <c r="E2139" s="537"/>
      <c r="F2139" s="184">
        <f>SUM(F2138+K2138+P2138)</f>
        <v>171956.32</v>
      </c>
      <c r="G2139" s="537" t="s">
        <v>39</v>
      </c>
      <c r="H2139" s="537"/>
      <c r="I2139" s="537"/>
      <c r="J2139" s="537"/>
      <c r="K2139" s="184">
        <f>SUM(F2138+K2138+P2138+U2138)</f>
        <v>189151.95200000002</v>
      </c>
      <c r="L2139" s="537" t="s">
        <v>40</v>
      </c>
      <c r="M2139" s="537"/>
      <c r="N2139" s="537"/>
      <c r="O2139" s="537"/>
      <c r="P2139" s="184">
        <f>SUM(K2139*0.15)</f>
        <v>28372.792800000003</v>
      </c>
      <c r="Q2139" s="537" t="s">
        <v>41</v>
      </c>
      <c r="R2139" s="537"/>
      <c r="S2139" s="537"/>
      <c r="T2139" s="537"/>
      <c r="U2139" s="223">
        <f>SUM(K2139+P2139)</f>
        <v>217524.74480000001</v>
      </c>
    </row>
    <row r="2140" spans="1:21" x14ac:dyDescent="0.25">
      <c r="Q2140" s="537" t="s">
        <v>42</v>
      </c>
      <c r="R2140" s="537"/>
      <c r="S2140" s="537"/>
      <c r="T2140" s="537"/>
      <c r="U2140" s="224">
        <f>ROUND((U2139/15),2)</f>
        <v>14501.65</v>
      </c>
    </row>
    <row r="2141" spans="1:21" x14ac:dyDescent="0.25">
      <c r="A2141" s="544"/>
      <c r="B2141" s="544"/>
      <c r="C2141" s="544"/>
      <c r="D2141" s="544"/>
      <c r="E2141" s="544"/>
      <c r="F2141" s="544"/>
      <c r="G2141" s="544"/>
      <c r="H2141" s="544"/>
      <c r="I2141" s="544"/>
      <c r="J2141" s="544"/>
      <c r="K2141" s="544"/>
      <c r="L2141" s="544"/>
      <c r="M2141" s="544"/>
      <c r="N2141" s="544"/>
      <c r="O2141" s="544"/>
      <c r="P2141" s="544"/>
      <c r="Q2141" s="544"/>
      <c r="R2141" s="544"/>
      <c r="S2141" s="544"/>
      <c r="T2141" s="544"/>
      <c r="U2141" s="544"/>
    </row>
    <row r="2142" spans="1:21" x14ac:dyDescent="0.25">
      <c r="A2142" s="538" t="s">
        <v>12</v>
      </c>
      <c r="B2142" s="538"/>
      <c r="C2142" s="540" t="s">
        <v>764</v>
      </c>
      <c r="D2142" s="540"/>
      <c r="E2142" s="540"/>
      <c r="F2142" s="540"/>
      <c r="G2142" s="540"/>
      <c r="H2142" s="540"/>
      <c r="I2142" s="540"/>
      <c r="J2142" s="540"/>
      <c r="K2142" s="540"/>
      <c r="L2142" s="540"/>
      <c r="M2142" s="540"/>
      <c r="N2142" s="540"/>
      <c r="O2142" s="540"/>
      <c r="P2142" s="540"/>
      <c r="Q2142" s="540"/>
      <c r="R2142" s="540"/>
      <c r="S2142" s="540"/>
      <c r="T2142" s="540"/>
      <c r="U2142" s="541" t="s">
        <v>726</v>
      </c>
    </row>
    <row r="2143" spans="1:21" x14ac:dyDescent="0.25">
      <c r="A2143" s="538"/>
      <c r="B2143" s="538"/>
      <c r="C2143" s="540"/>
      <c r="D2143" s="540"/>
      <c r="E2143" s="540"/>
      <c r="F2143" s="540"/>
      <c r="G2143" s="540"/>
      <c r="H2143" s="540"/>
      <c r="I2143" s="540"/>
      <c r="J2143" s="540"/>
      <c r="K2143" s="540"/>
      <c r="L2143" s="540"/>
      <c r="M2143" s="540"/>
      <c r="N2143" s="540"/>
      <c r="O2143" s="540"/>
      <c r="P2143" s="540"/>
      <c r="Q2143" s="540"/>
      <c r="R2143" s="540"/>
      <c r="S2143" s="540"/>
      <c r="T2143" s="540"/>
      <c r="U2143" s="541"/>
    </row>
    <row r="2144" spans="1:21" x14ac:dyDescent="0.25">
      <c r="A2144" s="539" t="s">
        <v>724</v>
      </c>
      <c r="B2144" s="539"/>
      <c r="C2144" s="540"/>
      <c r="D2144" s="540"/>
      <c r="E2144" s="540"/>
      <c r="F2144" s="540"/>
      <c r="G2144" s="540"/>
      <c r="H2144" s="540"/>
      <c r="I2144" s="540"/>
      <c r="J2144" s="540"/>
      <c r="K2144" s="540"/>
      <c r="L2144" s="540"/>
      <c r="M2144" s="540"/>
      <c r="N2144" s="540"/>
      <c r="O2144" s="540"/>
      <c r="P2144" s="540"/>
      <c r="Q2144" s="540"/>
      <c r="R2144" s="540"/>
      <c r="S2144" s="540"/>
      <c r="T2144" s="540"/>
      <c r="U2144" s="541"/>
    </row>
    <row r="2145" spans="1:21" x14ac:dyDescent="0.25">
      <c r="A2145" s="542" t="s">
        <v>16</v>
      </c>
      <c r="B2145" s="543" t="s">
        <v>18</v>
      </c>
      <c r="C2145" s="543"/>
      <c r="D2145" s="543"/>
      <c r="E2145" s="543"/>
      <c r="F2145" s="543"/>
      <c r="G2145" s="543" t="s">
        <v>24</v>
      </c>
      <c r="H2145" s="543"/>
      <c r="I2145" s="543"/>
      <c r="J2145" s="543"/>
      <c r="K2145" s="543"/>
      <c r="L2145" s="543" t="s">
        <v>25</v>
      </c>
      <c r="M2145" s="543"/>
      <c r="N2145" s="543"/>
      <c r="O2145" s="543"/>
      <c r="P2145" s="543"/>
      <c r="Q2145" s="543" t="s">
        <v>26</v>
      </c>
      <c r="R2145" s="543"/>
      <c r="S2145" s="543"/>
      <c r="T2145" s="543"/>
      <c r="U2145" s="543"/>
    </row>
    <row r="2146" spans="1:21" x14ac:dyDescent="0.25">
      <c r="A2146" s="542"/>
      <c r="B2146" s="182" t="s">
        <v>19</v>
      </c>
      <c r="C2146" s="182" t="s">
        <v>20</v>
      </c>
      <c r="D2146" s="182" t="s">
        <v>21</v>
      </c>
      <c r="E2146" s="182" t="s">
        <v>22</v>
      </c>
      <c r="F2146" s="182" t="s">
        <v>23</v>
      </c>
      <c r="G2146" s="182" t="s">
        <v>19</v>
      </c>
      <c r="H2146" s="216" t="s">
        <v>20</v>
      </c>
      <c r="I2146" s="182" t="s">
        <v>21</v>
      </c>
      <c r="J2146" s="182" t="s">
        <v>22</v>
      </c>
      <c r="K2146" s="182" t="s">
        <v>23</v>
      </c>
      <c r="L2146" s="182" t="s">
        <v>19</v>
      </c>
      <c r="M2146" s="182" t="s">
        <v>20</v>
      </c>
      <c r="N2146" s="182" t="s">
        <v>21</v>
      </c>
      <c r="O2146" s="182" t="s">
        <v>22</v>
      </c>
      <c r="P2146" s="182" t="s">
        <v>23</v>
      </c>
      <c r="Q2146" s="182" t="s">
        <v>19</v>
      </c>
      <c r="R2146" s="182" t="s">
        <v>20</v>
      </c>
      <c r="S2146" s="182" t="s">
        <v>21</v>
      </c>
      <c r="T2146" s="182" t="s">
        <v>22</v>
      </c>
      <c r="U2146" s="211" t="s">
        <v>23</v>
      </c>
    </row>
    <row r="2147" spans="1:21" ht="63" x14ac:dyDescent="0.25">
      <c r="A2147" s="183" t="s">
        <v>765</v>
      </c>
      <c r="B2147" s="182" t="s">
        <v>47</v>
      </c>
      <c r="C2147" s="182" t="s">
        <v>28</v>
      </c>
      <c r="D2147" s="182">
        <v>3</v>
      </c>
      <c r="E2147" s="182">
        <f>skilled</f>
        <v>1245</v>
      </c>
      <c r="F2147" s="184">
        <f>(D2147*E2147)</f>
        <v>3735</v>
      </c>
      <c r="G2147" s="182" t="s">
        <v>85</v>
      </c>
      <c r="H2147" s="216" t="s">
        <v>35</v>
      </c>
      <c r="I2147" s="182">
        <v>5.99</v>
      </c>
      <c r="J2147" s="182">
        <f>adopted_rate_cement</f>
        <v>13031</v>
      </c>
      <c r="K2147" s="182">
        <f t="shared" ref="K2147:K2153" si="16">(I2147*J2147)</f>
        <v>78055.69</v>
      </c>
      <c r="L2147" s="182" t="s">
        <v>276</v>
      </c>
      <c r="M2147" s="182" t="s">
        <v>58</v>
      </c>
      <c r="N2147" s="182">
        <v>6</v>
      </c>
      <c r="O2147" s="182">
        <f>concrete_mixer</f>
        <v>296</v>
      </c>
      <c r="P2147" s="184">
        <f>(N2147*O2147)</f>
        <v>1776</v>
      </c>
      <c r="Q2147" s="182" t="s">
        <v>766</v>
      </c>
      <c r="R2147" s="182"/>
      <c r="U2147" s="223">
        <f>(S2147*T2147)</f>
        <v>0</v>
      </c>
    </row>
    <row r="2148" spans="1:21" ht="78.75" x14ac:dyDescent="0.25">
      <c r="B2148" s="182" t="s">
        <v>29</v>
      </c>
      <c r="C2148" s="182" t="s">
        <v>28</v>
      </c>
      <c r="D2148" s="182">
        <v>30</v>
      </c>
      <c r="E2148" s="182">
        <f>unskilled</f>
        <v>935</v>
      </c>
      <c r="F2148" s="184">
        <f>(D2148*E2148)</f>
        <v>28050</v>
      </c>
      <c r="G2148" s="182" t="s">
        <v>430</v>
      </c>
      <c r="H2148" s="216" t="s">
        <v>84</v>
      </c>
      <c r="I2148" s="182">
        <v>6.75</v>
      </c>
      <c r="J2148" s="182">
        <f>adopted_rate_sand</f>
        <v>3175.2000000000003</v>
      </c>
      <c r="K2148" s="182">
        <f t="shared" si="16"/>
        <v>21432.600000000002</v>
      </c>
      <c r="L2148" s="182" t="s">
        <v>76</v>
      </c>
      <c r="M2148" s="182" t="s">
        <v>58</v>
      </c>
      <c r="N2148" s="182">
        <v>6</v>
      </c>
      <c r="O2148" s="182">
        <f>generator</f>
        <v>855</v>
      </c>
      <c r="P2148" s="184">
        <f>(N2148*O2148)</f>
        <v>5130</v>
      </c>
      <c r="Q2148" s="182" t="s">
        <v>759</v>
      </c>
      <c r="R2148" s="182"/>
      <c r="U2148" s="223">
        <f>F2155*10/100</f>
        <v>18930.041000000005</v>
      </c>
    </row>
    <row r="2149" spans="1:21" x14ac:dyDescent="0.25">
      <c r="G2149" s="182" t="s">
        <v>728</v>
      </c>
      <c r="H2149" s="216" t="s">
        <v>84</v>
      </c>
      <c r="I2149" s="182">
        <v>5.4</v>
      </c>
      <c r="J2149" s="182">
        <f>adopted_rate_aggregate_20_40_mm</f>
        <v>3175.2000000000003</v>
      </c>
      <c r="K2149" s="182">
        <f t="shared" si="16"/>
        <v>17146.080000000002</v>
      </c>
    </row>
    <row r="2150" spans="1:21" x14ac:dyDescent="0.25">
      <c r="G2150" s="182" t="s">
        <v>733</v>
      </c>
      <c r="H2150" s="216" t="s">
        <v>84</v>
      </c>
      <c r="I2150" s="182">
        <v>5.4</v>
      </c>
      <c r="J2150" s="182">
        <f>adopted_rate_aggregate_10_20_mm</f>
        <v>3351.6</v>
      </c>
      <c r="K2150" s="182">
        <f t="shared" si="16"/>
        <v>18098.64</v>
      </c>
    </row>
    <row r="2151" spans="1:21" x14ac:dyDescent="0.25">
      <c r="G2151" s="182" t="s">
        <v>734</v>
      </c>
      <c r="H2151" s="216" t="s">
        <v>84</v>
      </c>
      <c r="I2151" s="182">
        <v>2.7</v>
      </c>
      <c r="J2151" s="182">
        <f>adopted_rate_aggregate_10_mm</f>
        <v>3175.2000000000003</v>
      </c>
      <c r="K2151" s="182">
        <f t="shared" si="16"/>
        <v>8573.0400000000009</v>
      </c>
    </row>
    <row r="2152" spans="1:21" x14ac:dyDescent="0.25">
      <c r="G2152" s="182" t="s">
        <v>171</v>
      </c>
      <c r="H2152" s="216" t="s">
        <v>172</v>
      </c>
      <c r="I2152" s="182">
        <v>3</v>
      </c>
      <c r="J2152" s="182">
        <f>adopted_rate_water</f>
        <v>310</v>
      </c>
      <c r="K2152" s="182">
        <f t="shared" si="16"/>
        <v>930</v>
      </c>
    </row>
    <row r="2153" spans="1:21" x14ac:dyDescent="0.25">
      <c r="G2153" s="182" t="s">
        <v>745</v>
      </c>
      <c r="H2153" s="216" t="s">
        <v>37</v>
      </c>
      <c r="I2153" s="182">
        <v>23.96</v>
      </c>
      <c r="J2153" s="182">
        <f>adopted_rate_admixture</f>
        <v>266</v>
      </c>
      <c r="K2153" s="182">
        <f t="shared" si="16"/>
        <v>6373.3600000000006</v>
      </c>
    </row>
    <row r="2154" spans="1:21" x14ac:dyDescent="0.25">
      <c r="A2154" s="537" t="s">
        <v>30</v>
      </c>
      <c r="B2154" s="537"/>
      <c r="C2154" s="537"/>
      <c r="D2154" s="537"/>
      <c r="E2154" s="537"/>
      <c r="F2154" s="184">
        <f>SUM(F2146:F2153)</f>
        <v>31785</v>
      </c>
      <c r="G2154" s="537" t="s">
        <v>31</v>
      </c>
      <c r="H2154" s="537"/>
      <c r="I2154" s="537"/>
      <c r="J2154" s="537"/>
      <c r="K2154" s="184">
        <f>SUM(K2146:K2153)</f>
        <v>150609.41000000003</v>
      </c>
      <c r="L2154" s="537" t="s">
        <v>32</v>
      </c>
      <c r="M2154" s="537"/>
      <c r="N2154" s="537"/>
      <c r="O2154" s="537"/>
      <c r="P2154" s="184">
        <f>SUM(P2146:P2153)</f>
        <v>6906</v>
      </c>
      <c r="Q2154" s="537" t="s">
        <v>38</v>
      </c>
      <c r="R2154" s="537"/>
      <c r="S2154" s="537"/>
      <c r="T2154" s="537"/>
      <c r="U2154" s="223">
        <f>SUM(U2146:U2153)</f>
        <v>18930.041000000005</v>
      </c>
    </row>
    <row r="2155" spans="1:21" x14ac:dyDescent="0.25">
      <c r="A2155" s="537" t="s">
        <v>33</v>
      </c>
      <c r="B2155" s="537"/>
      <c r="C2155" s="537"/>
      <c r="D2155" s="537"/>
      <c r="E2155" s="537"/>
      <c r="F2155" s="184">
        <f>SUM(F2154+K2154+P2154)</f>
        <v>189300.41000000003</v>
      </c>
      <c r="G2155" s="537" t="s">
        <v>39</v>
      </c>
      <c r="H2155" s="537"/>
      <c r="I2155" s="537"/>
      <c r="J2155" s="537"/>
      <c r="K2155" s="184">
        <f>SUM(F2154+K2154+P2154+U2154)</f>
        <v>208230.45100000003</v>
      </c>
      <c r="L2155" s="537" t="s">
        <v>40</v>
      </c>
      <c r="M2155" s="537"/>
      <c r="N2155" s="537"/>
      <c r="O2155" s="537"/>
      <c r="P2155" s="184">
        <f>SUM(K2155*0.15)</f>
        <v>31234.567650000005</v>
      </c>
      <c r="Q2155" s="537" t="s">
        <v>41</v>
      </c>
      <c r="R2155" s="537"/>
      <c r="S2155" s="537"/>
      <c r="T2155" s="537"/>
      <c r="U2155" s="223">
        <f>SUM(K2155+P2155)</f>
        <v>239465.01865000004</v>
      </c>
    </row>
    <row r="2156" spans="1:21" x14ac:dyDescent="0.25">
      <c r="Q2156" s="537" t="s">
        <v>42</v>
      </c>
      <c r="R2156" s="537"/>
      <c r="S2156" s="537"/>
      <c r="T2156" s="537"/>
      <c r="U2156" s="224">
        <f>ROUND((U2155/15),2)</f>
        <v>15964.33</v>
      </c>
    </row>
    <row r="2157" spans="1:21" x14ac:dyDescent="0.25">
      <c r="A2157" s="544"/>
      <c r="B2157" s="544"/>
      <c r="C2157" s="544"/>
      <c r="D2157" s="544"/>
      <c r="E2157" s="544"/>
      <c r="F2157" s="544"/>
      <c r="G2157" s="544"/>
      <c r="H2157" s="544"/>
      <c r="I2157" s="544"/>
      <c r="J2157" s="544"/>
      <c r="K2157" s="544"/>
      <c r="L2157" s="544"/>
      <c r="M2157" s="544"/>
      <c r="N2157" s="544"/>
      <c r="O2157" s="544"/>
      <c r="P2157" s="544"/>
      <c r="Q2157" s="544"/>
      <c r="R2157" s="544"/>
      <c r="S2157" s="544"/>
      <c r="T2157" s="544"/>
      <c r="U2157" s="544"/>
    </row>
    <row r="2158" spans="1:21" x14ac:dyDescent="0.25">
      <c r="A2158" s="538" t="s">
        <v>12</v>
      </c>
      <c r="B2158" s="538"/>
      <c r="C2158" s="540" t="s">
        <v>767</v>
      </c>
      <c r="D2158" s="540"/>
      <c r="E2158" s="540"/>
      <c r="F2158" s="540"/>
      <c r="G2158" s="540"/>
      <c r="H2158" s="540"/>
      <c r="I2158" s="540"/>
      <c r="J2158" s="540"/>
      <c r="K2158" s="540"/>
      <c r="L2158" s="540"/>
      <c r="M2158" s="540"/>
      <c r="N2158" s="540"/>
      <c r="O2158" s="540"/>
      <c r="P2158" s="540"/>
      <c r="Q2158" s="540"/>
      <c r="R2158" s="540"/>
      <c r="S2158" s="540"/>
      <c r="T2158" s="540"/>
      <c r="U2158" s="541" t="s">
        <v>726</v>
      </c>
    </row>
    <row r="2159" spans="1:21" x14ac:dyDescent="0.25">
      <c r="A2159" s="538"/>
      <c r="B2159" s="538"/>
      <c r="C2159" s="540"/>
      <c r="D2159" s="540"/>
      <c r="E2159" s="540"/>
      <c r="F2159" s="540"/>
      <c r="G2159" s="540"/>
      <c r="H2159" s="540"/>
      <c r="I2159" s="540"/>
      <c r="J2159" s="540"/>
      <c r="K2159" s="540"/>
      <c r="L2159" s="540"/>
      <c r="M2159" s="540"/>
      <c r="N2159" s="540"/>
      <c r="O2159" s="540"/>
      <c r="P2159" s="540"/>
      <c r="Q2159" s="540"/>
      <c r="R2159" s="540"/>
      <c r="S2159" s="540"/>
      <c r="T2159" s="540"/>
      <c r="U2159" s="541"/>
    </row>
    <row r="2160" spans="1:21" x14ac:dyDescent="0.25">
      <c r="A2160" s="539" t="s">
        <v>724</v>
      </c>
      <c r="B2160" s="539"/>
      <c r="C2160" s="540"/>
      <c r="D2160" s="540"/>
      <c r="E2160" s="540"/>
      <c r="F2160" s="540"/>
      <c r="G2160" s="540"/>
      <c r="H2160" s="540"/>
      <c r="I2160" s="540"/>
      <c r="J2160" s="540"/>
      <c r="K2160" s="540"/>
      <c r="L2160" s="540"/>
      <c r="M2160" s="540"/>
      <c r="N2160" s="540"/>
      <c r="O2160" s="540"/>
      <c r="P2160" s="540"/>
      <c r="Q2160" s="540"/>
      <c r="R2160" s="540"/>
      <c r="S2160" s="540"/>
      <c r="T2160" s="540"/>
      <c r="U2160" s="541"/>
    </row>
    <row r="2161" spans="1:21" x14ac:dyDescent="0.25">
      <c r="A2161" s="542" t="s">
        <v>16</v>
      </c>
      <c r="B2161" s="543" t="s">
        <v>18</v>
      </c>
      <c r="C2161" s="543"/>
      <c r="D2161" s="543"/>
      <c r="E2161" s="543"/>
      <c r="F2161" s="543"/>
      <c r="G2161" s="543" t="s">
        <v>24</v>
      </c>
      <c r="H2161" s="543"/>
      <c r="I2161" s="543"/>
      <c r="J2161" s="543"/>
      <c r="K2161" s="543"/>
      <c r="L2161" s="543" t="s">
        <v>25</v>
      </c>
      <c r="M2161" s="543"/>
      <c r="N2161" s="543"/>
      <c r="O2161" s="543"/>
      <c r="P2161" s="543"/>
      <c r="Q2161" s="543" t="s">
        <v>26</v>
      </c>
      <c r="R2161" s="543"/>
      <c r="S2161" s="543"/>
      <c r="T2161" s="543"/>
      <c r="U2161" s="543"/>
    </row>
    <row r="2162" spans="1:21" x14ac:dyDescent="0.25">
      <c r="A2162" s="542"/>
      <c r="B2162" s="182" t="s">
        <v>19</v>
      </c>
      <c r="C2162" s="182" t="s">
        <v>20</v>
      </c>
      <c r="D2162" s="182" t="s">
        <v>21</v>
      </c>
      <c r="E2162" s="182" t="s">
        <v>22</v>
      </c>
      <c r="F2162" s="182" t="s">
        <v>23</v>
      </c>
      <c r="G2162" s="182" t="s">
        <v>19</v>
      </c>
      <c r="H2162" s="216" t="s">
        <v>20</v>
      </c>
      <c r="I2162" s="182" t="s">
        <v>21</v>
      </c>
      <c r="J2162" s="182" t="s">
        <v>22</v>
      </c>
      <c r="K2162" s="182" t="s">
        <v>23</v>
      </c>
      <c r="L2162" s="182" t="s">
        <v>19</v>
      </c>
      <c r="M2162" s="182" t="s">
        <v>20</v>
      </c>
      <c r="N2162" s="182" t="s">
        <v>21</v>
      </c>
      <c r="O2162" s="182" t="s">
        <v>22</v>
      </c>
      <c r="P2162" s="182" t="s">
        <v>23</v>
      </c>
      <c r="Q2162" s="182" t="s">
        <v>19</v>
      </c>
      <c r="R2162" s="182" t="s">
        <v>20</v>
      </c>
      <c r="S2162" s="182" t="s">
        <v>21</v>
      </c>
      <c r="T2162" s="182" t="s">
        <v>22</v>
      </c>
      <c r="U2162" s="211" t="s">
        <v>23</v>
      </c>
    </row>
    <row r="2163" spans="1:21" ht="63" x14ac:dyDescent="0.25">
      <c r="A2163" s="183" t="s">
        <v>768</v>
      </c>
      <c r="B2163" s="182" t="s">
        <v>47</v>
      </c>
      <c r="C2163" s="182" t="s">
        <v>28</v>
      </c>
      <c r="D2163" s="182">
        <v>3</v>
      </c>
      <c r="E2163" s="182">
        <f>skilled</f>
        <v>1245</v>
      </c>
      <c r="F2163" s="184">
        <f>(D2163*E2163)</f>
        <v>3735</v>
      </c>
      <c r="G2163" s="182" t="s">
        <v>85</v>
      </c>
      <c r="H2163" s="216" t="s">
        <v>35</v>
      </c>
      <c r="I2163" s="182">
        <v>5.99</v>
      </c>
      <c r="J2163" s="182">
        <f>adopted_rate_cement</f>
        <v>13031</v>
      </c>
      <c r="K2163" s="182">
        <f t="shared" ref="K2163:K2169" si="17">(I2163*J2163)</f>
        <v>78055.69</v>
      </c>
      <c r="L2163" s="182" t="s">
        <v>276</v>
      </c>
      <c r="M2163" s="182" t="s">
        <v>58</v>
      </c>
      <c r="N2163" s="182">
        <v>6</v>
      </c>
      <c r="O2163" s="182">
        <f>concrete_mixer</f>
        <v>296</v>
      </c>
      <c r="P2163" s="184">
        <f>(N2163*O2163)</f>
        <v>1776</v>
      </c>
      <c r="Q2163" s="182" t="s">
        <v>769</v>
      </c>
      <c r="R2163" s="182"/>
      <c r="U2163" s="223">
        <f>(S2163*T2163)</f>
        <v>0</v>
      </c>
    </row>
    <row r="2164" spans="1:21" ht="78.75" x14ac:dyDescent="0.25">
      <c r="B2164" s="182" t="s">
        <v>29</v>
      </c>
      <c r="C2164" s="182" t="s">
        <v>28</v>
      </c>
      <c r="D2164" s="182">
        <v>30</v>
      </c>
      <c r="E2164" s="182">
        <f>unskilled</f>
        <v>935</v>
      </c>
      <c r="F2164" s="184">
        <f>(D2164*E2164)</f>
        <v>28050</v>
      </c>
      <c r="G2164" s="182" t="s">
        <v>430</v>
      </c>
      <c r="H2164" s="216" t="s">
        <v>84</v>
      </c>
      <c r="I2164" s="182">
        <v>6.75</v>
      </c>
      <c r="J2164" s="182">
        <f>adopted_rate_sand</f>
        <v>3175.2000000000003</v>
      </c>
      <c r="K2164" s="182">
        <f t="shared" si="17"/>
        <v>21432.600000000002</v>
      </c>
      <c r="L2164" s="182" t="s">
        <v>76</v>
      </c>
      <c r="M2164" s="182" t="s">
        <v>58</v>
      </c>
      <c r="N2164" s="182">
        <v>6</v>
      </c>
      <c r="O2164" s="182">
        <f>generator</f>
        <v>855</v>
      </c>
      <c r="P2164" s="184">
        <f>(N2164*O2164)</f>
        <v>5130</v>
      </c>
      <c r="Q2164" s="182" t="s">
        <v>770</v>
      </c>
      <c r="R2164" s="182"/>
      <c r="U2164" s="223">
        <f>F2171*12/100</f>
        <v>22716.049200000005</v>
      </c>
    </row>
    <row r="2165" spans="1:21" ht="78.75" x14ac:dyDescent="0.25">
      <c r="G2165" s="182" t="s">
        <v>728</v>
      </c>
      <c r="H2165" s="216" t="s">
        <v>84</v>
      </c>
      <c r="I2165" s="182">
        <v>5.4</v>
      </c>
      <c r="J2165" s="182">
        <f>adopted_rate_aggregate_20_40_mm</f>
        <v>3175.2000000000003</v>
      </c>
      <c r="K2165" s="182">
        <f t="shared" si="17"/>
        <v>17146.080000000002</v>
      </c>
      <c r="Q2165" s="182" t="s">
        <v>771</v>
      </c>
      <c r="R2165" s="182"/>
      <c r="U2165" s="223">
        <f>F2171*2/100</f>
        <v>3786.0082000000007</v>
      </c>
    </row>
    <row r="2166" spans="1:21" x14ac:dyDescent="0.25">
      <c r="G2166" s="182" t="s">
        <v>733</v>
      </c>
      <c r="H2166" s="216" t="s">
        <v>84</v>
      </c>
      <c r="I2166" s="182">
        <v>5.4</v>
      </c>
      <c r="J2166" s="182">
        <f>adopted_rate_aggregate_10_20_mm</f>
        <v>3351.6</v>
      </c>
      <c r="K2166" s="182">
        <f t="shared" si="17"/>
        <v>18098.64</v>
      </c>
    </row>
    <row r="2167" spans="1:21" x14ac:dyDescent="0.25">
      <c r="G2167" s="182" t="s">
        <v>734</v>
      </c>
      <c r="H2167" s="216" t="s">
        <v>84</v>
      </c>
      <c r="I2167" s="182">
        <v>2.7</v>
      </c>
      <c r="J2167" s="182">
        <f>adopted_rate_aggregate_10_mm</f>
        <v>3175.2000000000003</v>
      </c>
      <c r="K2167" s="182">
        <f t="shared" si="17"/>
        <v>8573.0400000000009</v>
      </c>
    </row>
    <row r="2168" spans="1:21" x14ac:dyDescent="0.25">
      <c r="G2168" s="182" t="s">
        <v>171</v>
      </c>
      <c r="H2168" s="216" t="s">
        <v>172</v>
      </c>
      <c r="I2168" s="182">
        <v>3</v>
      </c>
      <c r="J2168" s="182">
        <f>adopted_rate_water</f>
        <v>310</v>
      </c>
      <c r="K2168" s="182">
        <f t="shared" si="17"/>
        <v>930</v>
      </c>
    </row>
    <row r="2169" spans="1:21" x14ac:dyDescent="0.25">
      <c r="G2169" s="182" t="s">
        <v>745</v>
      </c>
      <c r="H2169" s="216" t="s">
        <v>37</v>
      </c>
      <c r="I2169" s="182">
        <v>23.96</v>
      </c>
      <c r="J2169" s="182">
        <f>adopted_rate_admixture</f>
        <v>266</v>
      </c>
      <c r="K2169" s="182">
        <f t="shared" si="17"/>
        <v>6373.3600000000006</v>
      </c>
    </row>
    <row r="2170" spans="1:21" x14ac:dyDescent="0.25">
      <c r="A2170" s="537" t="s">
        <v>30</v>
      </c>
      <c r="B2170" s="537"/>
      <c r="C2170" s="537"/>
      <c r="D2170" s="537"/>
      <c r="E2170" s="537"/>
      <c r="F2170" s="184">
        <f>SUM(F2162:F2169)</f>
        <v>31785</v>
      </c>
      <c r="G2170" s="537" t="s">
        <v>31</v>
      </c>
      <c r="H2170" s="537"/>
      <c r="I2170" s="537"/>
      <c r="J2170" s="537"/>
      <c r="K2170" s="184">
        <f>SUM(K2162:K2169)</f>
        <v>150609.41000000003</v>
      </c>
      <c r="L2170" s="537" t="s">
        <v>32</v>
      </c>
      <c r="M2170" s="537"/>
      <c r="N2170" s="537"/>
      <c r="O2170" s="537"/>
      <c r="P2170" s="184">
        <f>SUM(P2162:P2169)</f>
        <v>6906</v>
      </c>
      <c r="Q2170" s="537" t="s">
        <v>38</v>
      </c>
      <c r="R2170" s="537"/>
      <c r="S2170" s="537"/>
      <c r="T2170" s="537"/>
      <c r="U2170" s="223">
        <f>SUM(U2162:U2169)</f>
        <v>26502.057400000005</v>
      </c>
    </row>
    <row r="2171" spans="1:21" x14ac:dyDescent="0.25">
      <c r="A2171" s="537" t="s">
        <v>33</v>
      </c>
      <c r="B2171" s="537"/>
      <c r="C2171" s="537"/>
      <c r="D2171" s="537"/>
      <c r="E2171" s="537"/>
      <c r="F2171" s="184">
        <f>SUM(F2170+K2170+P2170)</f>
        <v>189300.41000000003</v>
      </c>
      <c r="G2171" s="537" t="s">
        <v>39</v>
      </c>
      <c r="H2171" s="537"/>
      <c r="I2171" s="537"/>
      <c r="J2171" s="537"/>
      <c r="K2171" s="184">
        <f>SUM(F2170+K2170+P2170+U2170)</f>
        <v>215802.46740000002</v>
      </c>
      <c r="L2171" s="537" t="s">
        <v>40</v>
      </c>
      <c r="M2171" s="537"/>
      <c r="N2171" s="537"/>
      <c r="O2171" s="537"/>
      <c r="P2171" s="184">
        <f>SUM(K2171*0.15)</f>
        <v>32370.370110000003</v>
      </c>
      <c r="Q2171" s="537" t="s">
        <v>41</v>
      </c>
      <c r="R2171" s="537"/>
      <c r="S2171" s="537"/>
      <c r="T2171" s="537"/>
      <c r="U2171" s="223">
        <f>SUM(K2171+P2171)</f>
        <v>248172.83751000004</v>
      </c>
    </row>
    <row r="2172" spans="1:21" x14ac:dyDescent="0.25">
      <c r="Q2172" s="537" t="s">
        <v>42</v>
      </c>
      <c r="R2172" s="537"/>
      <c r="S2172" s="537"/>
      <c r="T2172" s="537"/>
      <c r="U2172" s="224">
        <f>ROUND((U2171/15),2)</f>
        <v>16544.86</v>
      </c>
    </row>
    <row r="2173" spans="1:21" x14ac:dyDescent="0.25">
      <c r="A2173" s="544"/>
      <c r="B2173" s="544"/>
      <c r="C2173" s="544"/>
      <c r="D2173" s="544"/>
      <c r="E2173" s="544"/>
      <c r="F2173" s="544"/>
      <c r="G2173" s="544"/>
      <c r="H2173" s="544"/>
      <c r="I2173" s="544"/>
      <c r="J2173" s="544"/>
      <c r="K2173" s="544"/>
      <c r="L2173" s="544"/>
      <c r="M2173" s="544"/>
      <c r="N2173" s="544"/>
      <c r="O2173" s="544"/>
      <c r="P2173" s="544"/>
      <c r="Q2173" s="544"/>
      <c r="R2173" s="544"/>
      <c r="S2173" s="544"/>
      <c r="T2173" s="544"/>
      <c r="U2173" s="544"/>
    </row>
    <row r="2174" spans="1:21" x14ac:dyDescent="0.25">
      <c r="A2174" s="538" t="s">
        <v>12</v>
      </c>
      <c r="B2174" s="538"/>
      <c r="C2174" s="540" t="s">
        <v>772</v>
      </c>
      <c r="D2174" s="540"/>
      <c r="E2174" s="540"/>
      <c r="F2174" s="540"/>
      <c r="G2174" s="540"/>
      <c r="H2174" s="540"/>
      <c r="I2174" s="540"/>
      <c r="J2174" s="540"/>
      <c r="K2174" s="540"/>
      <c r="L2174" s="540"/>
      <c r="M2174" s="540"/>
      <c r="N2174" s="540"/>
      <c r="O2174" s="540"/>
      <c r="P2174" s="540"/>
      <c r="Q2174" s="540"/>
      <c r="R2174" s="540"/>
      <c r="S2174" s="540"/>
      <c r="T2174" s="540"/>
      <c r="U2174" s="541" t="s">
        <v>726</v>
      </c>
    </row>
    <row r="2175" spans="1:21" x14ac:dyDescent="0.25">
      <c r="A2175" s="538"/>
      <c r="B2175" s="538"/>
      <c r="C2175" s="540"/>
      <c r="D2175" s="540"/>
      <c r="E2175" s="540"/>
      <c r="F2175" s="540"/>
      <c r="G2175" s="540"/>
      <c r="H2175" s="540"/>
      <c r="I2175" s="540"/>
      <c r="J2175" s="540"/>
      <c r="K2175" s="540"/>
      <c r="L2175" s="540"/>
      <c r="M2175" s="540"/>
      <c r="N2175" s="540"/>
      <c r="O2175" s="540"/>
      <c r="P2175" s="540"/>
      <c r="Q2175" s="540"/>
      <c r="R2175" s="540"/>
      <c r="S2175" s="540"/>
      <c r="T2175" s="540"/>
      <c r="U2175" s="541"/>
    </row>
    <row r="2176" spans="1:21" x14ac:dyDescent="0.25">
      <c r="A2176" s="539" t="s">
        <v>724</v>
      </c>
      <c r="B2176" s="539"/>
      <c r="C2176" s="540"/>
      <c r="D2176" s="540"/>
      <c r="E2176" s="540"/>
      <c r="F2176" s="540"/>
      <c r="G2176" s="540"/>
      <c r="H2176" s="540"/>
      <c r="I2176" s="540"/>
      <c r="J2176" s="540"/>
      <c r="K2176" s="540"/>
      <c r="L2176" s="540"/>
      <c r="M2176" s="540"/>
      <c r="N2176" s="540"/>
      <c r="O2176" s="540"/>
      <c r="P2176" s="540"/>
      <c r="Q2176" s="540"/>
      <c r="R2176" s="540"/>
      <c r="S2176" s="540"/>
      <c r="T2176" s="540"/>
      <c r="U2176" s="541"/>
    </row>
    <row r="2177" spans="1:21" x14ac:dyDescent="0.25">
      <c r="A2177" s="542" t="s">
        <v>16</v>
      </c>
      <c r="B2177" s="543" t="s">
        <v>18</v>
      </c>
      <c r="C2177" s="543"/>
      <c r="D2177" s="543"/>
      <c r="E2177" s="543"/>
      <c r="F2177" s="543"/>
      <c r="G2177" s="543" t="s">
        <v>24</v>
      </c>
      <c r="H2177" s="543"/>
      <c r="I2177" s="543"/>
      <c r="J2177" s="543"/>
      <c r="K2177" s="543"/>
      <c r="L2177" s="543" t="s">
        <v>25</v>
      </c>
      <c r="M2177" s="543"/>
      <c r="N2177" s="543"/>
      <c r="O2177" s="543"/>
      <c r="P2177" s="543"/>
      <c r="Q2177" s="543" t="s">
        <v>26</v>
      </c>
      <c r="R2177" s="543"/>
      <c r="S2177" s="543"/>
      <c r="T2177" s="543"/>
      <c r="U2177" s="543"/>
    </row>
    <row r="2178" spans="1:21" x14ac:dyDescent="0.25">
      <c r="A2178" s="542"/>
      <c r="B2178" s="182" t="s">
        <v>19</v>
      </c>
      <c r="C2178" s="182" t="s">
        <v>20</v>
      </c>
      <c r="D2178" s="182" t="s">
        <v>21</v>
      </c>
      <c r="E2178" s="182" t="s">
        <v>22</v>
      </c>
      <c r="F2178" s="182" t="s">
        <v>23</v>
      </c>
      <c r="G2178" s="182" t="s">
        <v>19</v>
      </c>
      <c r="H2178" s="216" t="s">
        <v>20</v>
      </c>
      <c r="I2178" s="182" t="s">
        <v>21</v>
      </c>
      <c r="J2178" s="182" t="s">
        <v>22</v>
      </c>
      <c r="K2178" s="182" t="s">
        <v>23</v>
      </c>
      <c r="L2178" s="182" t="s">
        <v>19</v>
      </c>
      <c r="M2178" s="182" t="s">
        <v>20</v>
      </c>
      <c r="N2178" s="182" t="s">
        <v>21</v>
      </c>
      <c r="O2178" s="182" t="s">
        <v>22</v>
      </c>
      <c r="P2178" s="182" t="s">
        <v>23</v>
      </c>
      <c r="Q2178" s="182" t="s">
        <v>19</v>
      </c>
      <c r="R2178" s="182" t="s">
        <v>20</v>
      </c>
      <c r="S2178" s="182" t="s">
        <v>21</v>
      </c>
      <c r="T2178" s="182" t="s">
        <v>22</v>
      </c>
      <c r="U2178" s="211" t="s">
        <v>23</v>
      </c>
    </row>
    <row r="2179" spans="1:21" ht="63" x14ac:dyDescent="0.25">
      <c r="A2179" s="183" t="s">
        <v>773</v>
      </c>
      <c r="B2179" s="182" t="s">
        <v>47</v>
      </c>
      <c r="C2179" s="182" t="s">
        <v>28</v>
      </c>
      <c r="D2179" s="182">
        <v>3</v>
      </c>
      <c r="E2179" s="182">
        <f>skilled</f>
        <v>1245</v>
      </c>
      <c r="F2179" s="184">
        <f>(D2179*E2179)</f>
        <v>3735</v>
      </c>
      <c r="G2179" s="182" t="s">
        <v>85</v>
      </c>
      <c r="H2179" s="216" t="s">
        <v>35</v>
      </c>
      <c r="I2179" s="182">
        <v>5.99</v>
      </c>
      <c r="J2179" s="182">
        <f>adopted_rate_cement</f>
        <v>13031</v>
      </c>
      <c r="K2179" s="182">
        <f t="shared" ref="K2179:K2185" si="18">(I2179*J2179)</f>
        <v>78055.69</v>
      </c>
      <c r="L2179" s="182" t="s">
        <v>276</v>
      </c>
      <c r="M2179" s="182" t="s">
        <v>58</v>
      </c>
      <c r="N2179" s="182">
        <v>6</v>
      </c>
      <c r="O2179" s="182">
        <f>concrete_mixer</f>
        <v>296</v>
      </c>
      <c r="P2179" s="184">
        <f>(N2179*O2179)</f>
        <v>1776</v>
      </c>
      <c r="Q2179" s="182" t="s">
        <v>769</v>
      </c>
      <c r="R2179" s="182"/>
      <c r="U2179" s="223">
        <f>(S2179*T2179)</f>
        <v>0</v>
      </c>
    </row>
    <row r="2180" spans="1:21" ht="78.75" x14ac:dyDescent="0.25">
      <c r="B2180" s="182" t="s">
        <v>29</v>
      </c>
      <c r="C2180" s="182" t="s">
        <v>28</v>
      </c>
      <c r="D2180" s="182">
        <v>30</v>
      </c>
      <c r="E2180" s="182">
        <f>unskilled</f>
        <v>935</v>
      </c>
      <c r="F2180" s="184">
        <f>(D2180*E2180)</f>
        <v>28050</v>
      </c>
      <c r="G2180" s="182" t="s">
        <v>430</v>
      </c>
      <c r="H2180" s="216" t="s">
        <v>84</v>
      </c>
      <c r="I2180" s="182">
        <v>6.75</v>
      </c>
      <c r="J2180" s="182">
        <f>adopted_rate_sand</f>
        <v>3175.2000000000003</v>
      </c>
      <c r="K2180" s="182">
        <f t="shared" si="18"/>
        <v>21432.600000000002</v>
      </c>
      <c r="L2180" s="182" t="s">
        <v>76</v>
      </c>
      <c r="M2180" s="182" t="s">
        <v>58</v>
      </c>
      <c r="N2180" s="182">
        <v>6</v>
      </c>
      <c r="O2180" s="182">
        <f>generator</f>
        <v>855</v>
      </c>
      <c r="P2180" s="184">
        <f>(N2180*O2180)</f>
        <v>5130</v>
      </c>
      <c r="Q2180" s="182" t="s">
        <v>774</v>
      </c>
      <c r="R2180" s="182"/>
      <c r="U2180" s="223">
        <f>F2187*15/100</f>
        <v>28395.061500000003</v>
      </c>
    </row>
    <row r="2181" spans="1:21" ht="78.75" x14ac:dyDescent="0.25">
      <c r="G2181" s="182" t="s">
        <v>728</v>
      </c>
      <c r="H2181" s="216" t="s">
        <v>84</v>
      </c>
      <c r="I2181" s="182">
        <v>5.4</v>
      </c>
      <c r="J2181" s="182">
        <f>adopted_rate_aggregate_20_40_mm</f>
        <v>3175.2000000000003</v>
      </c>
      <c r="K2181" s="182">
        <f t="shared" si="18"/>
        <v>17146.080000000002</v>
      </c>
      <c r="Q2181" s="182" t="s">
        <v>775</v>
      </c>
      <c r="R2181" s="182"/>
      <c r="U2181" s="223">
        <f>F2187*4/100</f>
        <v>7572.0164000000013</v>
      </c>
    </row>
    <row r="2182" spans="1:21" x14ac:dyDescent="0.25">
      <c r="G2182" s="182" t="s">
        <v>733</v>
      </c>
      <c r="H2182" s="216" t="s">
        <v>84</v>
      </c>
      <c r="I2182" s="182">
        <v>5.4</v>
      </c>
      <c r="J2182" s="182">
        <f>adopted_rate_aggregate_10_20_mm</f>
        <v>3351.6</v>
      </c>
      <c r="K2182" s="182">
        <f t="shared" si="18"/>
        <v>18098.64</v>
      </c>
    </row>
    <row r="2183" spans="1:21" x14ac:dyDescent="0.25">
      <c r="G2183" s="182" t="s">
        <v>734</v>
      </c>
      <c r="H2183" s="216" t="s">
        <v>84</v>
      </c>
      <c r="I2183" s="182">
        <v>2.7</v>
      </c>
      <c r="J2183" s="182">
        <f>adopted_rate_aggregate_10_mm</f>
        <v>3175.2000000000003</v>
      </c>
      <c r="K2183" s="182">
        <f t="shared" si="18"/>
        <v>8573.0400000000009</v>
      </c>
    </row>
    <row r="2184" spans="1:21" x14ac:dyDescent="0.25">
      <c r="G2184" s="182" t="s">
        <v>171</v>
      </c>
      <c r="H2184" s="216" t="s">
        <v>172</v>
      </c>
      <c r="I2184" s="182">
        <v>3</v>
      </c>
      <c r="J2184" s="182">
        <f>adopted_rate_water</f>
        <v>310</v>
      </c>
      <c r="K2184" s="182">
        <f t="shared" si="18"/>
        <v>930</v>
      </c>
    </row>
    <row r="2185" spans="1:21" x14ac:dyDescent="0.25">
      <c r="G2185" s="182" t="s">
        <v>745</v>
      </c>
      <c r="H2185" s="216" t="s">
        <v>37</v>
      </c>
      <c r="I2185" s="182">
        <v>23.96</v>
      </c>
      <c r="J2185" s="182">
        <f>adopted_rate_admixture</f>
        <v>266</v>
      </c>
      <c r="K2185" s="182">
        <f t="shared" si="18"/>
        <v>6373.3600000000006</v>
      </c>
    </row>
    <row r="2186" spans="1:21" x14ac:dyDescent="0.25">
      <c r="A2186" s="537" t="s">
        <v>30</v>
      </c>
      <c r="B2186" s="537"/>
      <c r="C2186" s="537"/>
      <c r="D2186" s="537"/>
      <c r="E2186" s="537"/>
      <c r="F2186" s="184">
        <f>SUM(F2178:F2185)</f>
        <v>31785</v>
      </c>
      <c r="G2186" s="537" t="s">
        <v>31</v>
      </c>
      <c r="H2186" s="537"/>
      <c r="I2186" s="537"/>
      <c r="J2186" s="537"/>
      <c r="K2186" s="184">
        <f>SUM(K2178:K2185)</f>
        <v>150609.41000000003</v>
      </c>
      <c r="L2186" s="537" t="s">
        <v>32</v>
      </c>
      <c r="M2186" s="537"/>
      <c r="N2186" s="537"/>
      <c r="O2186" s="537"/>
      <c r="P2186" s="184">
        <f>SUM(P2178:P2185)</f>
        <v>6906</v>
      </c>
      <c r="Q2186" s="537" t="s">
        <v>38</v>
      </c>
      <c r="R2186" s="537"/>
      <c r="S2186" s="537"/>
      <c r="T2186" s="537"/>
      <c r="U2186" s="223">
        <f>SUM(U2178:U2185)</f>
        <v>35967.077900000004</v>
      </c>
    </row>
    <row r="2187" spans="1:21" x14ac:dyDescent="0.25">
      <c r="A2187" s="537" t="s">
        <v>33</v>
      </c>
      <c r="B2187" s="537"/>
      <c r="C2187" s="537"/>
      <c r="D2187" s="537"/>
      <c r="E2187" s="537"/>
      <c r="F2187" s="184">
        <f>SUM(F2186+K2186+P2186)</f>
        <v>189300.41000000003</v>
      </c>
      <c r="G2187" s="537" t="s">
        <v>39</v>
      </c>
      <c r="H2187" s="537"/>
      <c r="I2187" s="537"/>
      <c r="J2187" s="537"/>
      <c r="K2187" s="184">
        <f>SUM(F2186+K2186+P2186+U2186)</f>
        <v>225267.48790000004</v>
      </c>
      <c r="L2187" s="537" t="s">
        <v>40</v>
      </c>
      <c r="M2187" s="537"/>
      <c r="N2187" s="537"/>
      <c r="O2187" s="537"/>
      <c r="P2187" s="184">
        <f>SUM(K2187*0.15)</f>
        <v>33790.123185000004</v>
      </c>
      <c r="Q2187" s="537" t="s">
        <v>41</v>
      </c>
      <c r="R2187" s="537"/>
      <c r="S2187" s="537"/>
      <c r="T2187" s="537"/>
      <c r="U2187" s="223">
        <f>SUM(K2187+P2187)</f>
        <v>259057.61108500004</v>
      </c>
    </row>
    <row r="2188" spans="1:21" x14ac:dyDescent="0.25">
      <c r="Q2188" s="537" t="s">
        <v>42</v>
      </c>
      <c r="R2188" s="537"/>
      <c r="S2188" s="537"/>
      <c r="T2188" s="537"/>
      <c r="U2188" s="224">
        <f>ROUND((U2187/15),2)</f>
        <v>17270.509999999998</v>
      </c>
    </row>
    <row r="2189" spans="1:21" x14ac:dyDescent="0.25">
      <c r="A2189" s="544"/>
      <c r="B2189" s="544"/>
      <c r="C2189" s="544"/>
      <c r="D2189" s="544"/>
      <c r="E2189" s="544"/>
      <c r="F2189" s="544"/>
      <c r="G2189" s="544"/>
      <c r="H2189" s="544"/>
      <c r="I2189" s="544"/>
      <c r="J2189" s="544"/>
      <c r="K2189" s="544"/>
      <c r="L2189" s="544"/>
      <c r="M2189" s="544"/>
      <c r="N2189" s="544"/>
      <c r="O2189" s="544"/>
      <c r="P2189" s="544"/>
      <c r="Q2189" s="544"/>
      <c r="R2189" s="544"/>
      <c r="S2189" s="544"/>
      <c r="T2189" s="544"/>
      <c r="U2189" s="544"/>
    </row>
    <row r="2190" spans="1:21" x14ac:dyDescent="0.25">
      <c r="A2190" s="538" t="s">
        <v>12</v>
      </c>
      <c r="B2190" s="538"/>
      <c r="C2190" s="540" t="s">
        <v>776</v>
      </c>
      <c r="D2190" s="540"/>
      <c r="E2190" s="540"/>
      <c r="F2190" s="540"/>
      <c r="G2190" s="540"/>
      <c r="H2190" s="540"/>
      <c r="I2190" s="540"/>
      <c r="J2190" s="540"/>
      <c r="K2190" s="540"/>
      <c r="L2190" s="540"/>
      <c r="M2190" s="540"/>
      <c r="N2190" s="540"/>
      <c r="O2190" s="540"/>
      <c r="P2190" s="540"/>
      <c r="Q2190" s="540"/>
      <c r="R2190" s="540"/>
      <c r="S2190" s="540"/>
      <c r="T2190" s="540"/>
      <c r="U2190" s="541" t="s">
        <v>726</v>
      </c>
    </row>
    <row r="2191" spans="1:21" x14ac:dyDescent="0.25">
      <c r="A2191" s="538"/>
      <c r="B2191" s="538"/>
      <c r="C2191" s="540"/>
      <c r="D2191" s="540"/>
      <c r="E2191" s="540"/>
      <c r="F2191" s="540"/>
      <c r="G2191" s="540"/>
      <c r="H2191" s="540"/>
      <c r="I2191" s="540"/>
      <c r="J2191" s="540"/>
      <c r="K2191" s="540"/>
      <c r="L2191" s="540"/>
      <c r="M2191" s="540"/>
      <c r="N2191" s="540"/>
      <c r="O2191" s="540"/>
      <c r="P2191" s="540"/>
      <c r="Q2191" s="540"/>
      <c r="R2191" s="540"/>
      <c r="S2191" s="540"/>
      <c r="T2191" s="540"/>
      <c r="U2191" s="541"/>
    </row>
    <row r="2192" spans="1:21" x14ac:dyDescent="0.25">
      <c r="A2192" s="539" t="s">
        <v>724</v>
      </c>
      <c r="B2192" s="539"/>
      <c r="C2192" s="540"/>
      <c r="D2192" s="540"/>
      <c r="E2192" s="540"/>
      <c r="F2192" s="540"/>
      <c r="G2192" s="540"/>
      <c r="H2192" s="540"/>
      <c r="I2192" s="540"/>
      <c r="J2192" s="540"/>
      <c r="K2192" s="540"/>
      <c r="L2192" s="540"/>
      <c r="M2192" s="540"/>
      <c r="N2192" s="540"/>
      <c r="O2192" s="540"/>
      <c r="P2192" s="540"/>
      <c r="Q2192" s="540"/>
      <c r="R2192" s="540"/>
      <c r="S2192" s="540"/>
      <c r="T2192" s="540"/>
      <c r="U2192" s="541"/>
    </row>
    <row r="2193" spans="1:21" x14ac:dyDescent="0.25">
      <c r="A2193" s="542" t="s">
        <v>16</v>
      </c>
      <c r="B2193" s="543" t="s">
        <v>18</v>
      </c>
      <c r="C2193" s="543"/>
      <c r="D2193" s="543"/>
      <c r="E2193" s="543"/>
      <c r="F2193" s="543"/>
      <c r="G2193" s="543" t="s">
        <v>24</v>
      </c>
      <c r="H2193" s="543"/>
      <c r="I2193" s="543"/>
      <c r="J2193" s="543"/>
      <c r="K2193" s="543"/>
      <c r="L2193" s="543" t="s">
        <v>25</v>
      </c>
      <c r="M2193" s="543"/>
      <c r="N2193" s="543"/>
      <c r="O2193" s="543"/>
      <c r="P2193" s="543"/>
      <c r="Q2193" s="543" t="s">
        <v>26</v>
      </c>
      <c r="R2193" s="543"/>
      <c r="S2193" s="543"/>
      <c r="T2193" s="543"/>
      <c r="U2193" s="543"/>
    </row>
    <row r="2194" spans="1:21" x14ac:dyDescent="0.25">
      <c r="A2194" s="542"/>
      <c r="B2194" s="182" t="s">
        <v>19</v>
      </c>
      <c r="C2194" s="182" t="s">
        <v>20</v>
      </c>
      <c r="D2194" s="182" t="s">
        <v>21</v>
      </c>
      <c r="E2194" s="182" t="s">
        <v>22</v>
      </c>
      <c r="F2194" s="182" t="s">
        <v>23</v>
      </c>
      <c r="G2194" s="182" t="s">
        <v>19</v>
      </c>
      <c r="H2194" s="216" t="s">
        <v>20</v>
      </c>
      <c r="I2194" s="182" t="s">
        <v>21</v>
      </c>
      <c r="J2194" s="182" t="s">
        <v>22</v>
      </c>
      <c r="K2194" s="182" t="s">
        <v>23</v>
      </c>
      <c r="L2194" s="182" t="s">
        <v>19</v>
      </c>
      <c r="M2194" s="182" t="s">
        <v>20</v>
      </c>
      <c r="N2194" s="182" t="s">
        <v>21</v>
      </c>
      <c r="O2194" s="182" t="s">
        <v>22</v>
      </c>
      <c r="P2194" s="182" t="s">
        <v>23</v>
      </c>
      <c r="Q2194" s="182" t="s">
        <v>19</v>
      </c>
      <c r="R2194" s="182" t="s">
        <v>20</v>
      </c>
      <c r="S2194" s="182" t="s">
        <v>21</v>
      </c>
      <c r="T2194" s="182" t="s">
        <v>22</v>
      </c>
      <c r="U2194" s="211" t="s">
        <v>23</v>
      </c>
    </row>
    <row r="2195" spans="1:21" ht="63" x14ac:dyDescent="0.25">
      <c r="A2195" s="183" t="s">
        <v>777</v>
      </c>
      <c r="B2195" s="182" t="s">
        <v>47</v>
      </c>
      <c r="C2195" s="182" t="s">
        <v>28</v>
      </c>
      <c r="D2195" s="182">
        <v>3</v>
      </c>
      <c r="E2195" s="182">
        <f>skilled</f>
        <v>1245</v>
      </c>
      <c r="F2195" s="184">
        <f>(D2195*E2195)</f>
        <v>3735</v>
      </c>
      <c r="G2195" s="182" t="s">
        <v>85</v>
      </c>
      <c r="H2195" s="216" t="s">
        <v>35</v>
      </c>
      <c r="I2195" s="182">
        <v>6.08</v>
      </c>
      <c r="J2195" s="182">
        <f>adopted_rate_cement</f>
        <v>13031</v>
      </c>
      <c r="K2195" s="182">
        <f t="shared" ref="K2195:K2201" si="19">(I2195*J2195)</f>
        <v>79228.479999999996</v>
      </c>
      <c r="L2195" s="182" t="s">
        <v>276</v>
      </c>
      <c r="M2195" s="182" t="s">
        <v>58</v>
      </c>
      <c r="N2195" s="182">
        <v>6</v>
      </c>
      <c r="O2195" s="182">
        <f>concrete_mixer</f>
        <v>296</v>
      </c>
      <c r="P2195" s="184">
        <f>(N2195*O2195)</f>
        <v>1776</v>
      </c>
      <c r="Q2195" s="182" t="s">
        <v>778</v>
      </c>
      <c r="R2195" s="182"/>
      <c r="U2195" s="223">
        <f>(S2195*T2195)</f>
        <v>0</v>
      </c>
    </row>
    <row r="2196" spans="1:21" ht="78.75" x14ac:dyDescent="0.25">
      <c r="B2196" s="182" t="s">
        <v>29</v>
      </c>
      <c r="C2196" s="182" t="s">
        <v>28</v>
      </c>
      <c r="D2196" s="182">
        <v>30</v>
      </c>
      <c r="E2196" s="182">
        <f>unskilled</f>
        <v>935</v>
      </c>
      <c r="F2196" s="184">
        <f>(D2196*E2196)</f>
        <v>28050</v>
      </c>
      <c r="G2196" s="182" t="s">
        <v>430</v>
      </c>
      <c r="H2196" s="216" t="s">
        <v>84</v>
      </c>
      <c r="I2196" s="182">
        <v>6.75</v>
      </c>
      <c r="J2196" s="182">
        <f>adopted_rate_sand</f>
        <v>3175.2000000000003</v>
      </c>
      <c r="K2196" s="182">
        <f t="shared" si="19"/>
        <v>21432.600000000002</v>
      </c>
      <c r="L2196" s="182" t="s">
        <v>76</v>
      </c>
      <c r="M2196" s="182" t="s">
        <v>58</v>
      </c>
      <c r="N2196" s="182">
        <v>6</v>
      </c>
      <c r="O2196" s="182">
        <f>generator</f>
        <v>855</v>
      </c>
      <c r="P2196" s="184">
        <f>(N2196*O2196)</f>
        <v>5130</v>
      </c>
      <c r="Q2196" s="182" t="s">
        <v>759</v>
      </c>
      <c r="R2196" s="182"/>
      <c r="U2196" s="223">
        <f>F2203*10/100</f>
        <v>24879.103999999999</v>
      </c>
    </row>
    <row r="2197" spans="1:21" x14ac:dyDescent="0.25">
      <c r="G2197" s="182" t="s">
        <v>728</v>
      </c>
      <c r="H2197" s="216" t="s">
        <v>84</v>
      </c>
      <c r="I2197" s="182">
        <v>5.4</v>
      </c>
      <c r="J2197" s="182">
        <f>adopted_rate_aggregate_20_40_mm</f>
        <v>3175.2000000000003</v>
      </c>
      <c r="K2197" s="182">
        <f t="shared" si="19"/>
        <v>17146.080000000002</v>
      </c>
    </row>
    <row r="2198" spans="1:21" x14ac:dyDescent="0.25">
      <c r="G2198" s="182" t="s">
        <v>733</v>
      </c>
      <c r="H2198" s="216" t="s">
        <v>84</v>
      </c>
      <c r="I2198" s="182">
        <v>5.4</v>
      </c>
      <c r="J2198" s="182">
        <f>adopted_rate_aggregate_10_20_mm</f>
        <v>3351.6</v>
      </c>
      <c r="K2198" s="182">
        <f t="shared" si="19"/>
        <v>18098.64</v>
      </c>
    </row>
    <row r="2199" spans="1:21" x14ac:dyDescent="0.25">
      <c r="G2199" s="182" t="s">
        <v>734</v>
      </c>
      <c r="H2199" s="216" t="s">
        <v>84</v>
      </c>
      <c r="I2199" s="182">
        <v>2.7</v>
      </c>
      <c r="J2199" s="182">
        <f>adopted_rate_aggregate_10_mm</f>
        <v>3175.2000000000003</v>
      </c>
      <c r="K2199" s="182">
        <f t="shared" si="19"/>
        <v>8573.0400000000009</v>
      </c>
    </row>
    <row r="2200" spans="1:21" x14ac:dyDescent="0.25">
      <c r="G2200" s="182" t="s">
        <v>171</v>
      </c>
      <c r="H2200" s="216" t="s">
        <v>172</v>
      </c>
      <c r="I2200" s="182">
        <v>3</v>
      </c>
      <c r="J2200" s="182">
        <f>adopted_rate_water</f>
        <v>310</v>
      </c>
      <c r="K2200" s="182">
        <f t="shared" si="19"/>
        <v>930</v>
      </c>
    </row>
    <row r="2201" spans="1:21" x14ac:dyDescent="0.25">
      <c r="G2201" s="182" t="s">
        <v>745</v>
      </c>
      <c r="H2201" s="216" t="s">
        <v>144</v>
      </c>
      <c r="I2201" s="182">
        <v>243.2</v>
      </c>
      <c r="J2201" s="182">
        <f>adopted_rate_admixture</f>
        <v>266</v>
      </c>
      <c r="K2201" s="182">
        <f t="shared" si="19"/>
        <v>64691.199999999997</v>
      </c>
    </row>
    <row r="2202" spans="1:21" x14ac:dyDescent="0.25">
      <c r="A2202" s="537" t="s">
        <v>30</v>
      </c>
      <c r="B2202" s="537"/>
      <c r="C2202" s="537"/>
      <c r="D2202" s="537"/>
      <c r="E2202" s="537"/>
      <c r="F2202" s="184">
        <f>SUM(F2194:F2201)</f>
        <v>31785</v>
      </c>
      <c r="G2202" s="537" t="s">
        <v>31</v>
      </c>
      <c r="H2202" s="537"/>
      <c r="I2202" s="537"/>
      <c r="J2202" s="537"/>
      <c r="K2202" s="184">
        <f>SUM(K2194:K2201)</f>
        <v>210100.03999999998</v>
      </c>
      <c r="L2202" s="537" t="s">
        <v>32</v>
      </c>
      <c r="M2202" s="537"/>
      <c r="N2202" s="537"/>
      <c r="O2202" s="537"/>
      <c r="P2202" s="184">
        <f>SUM(P2194:P2201)</f>
        <v>6906</v>
      </c>
      <c r="Q2202" s="537" t="s">
        <v>38</v>
      </c>
      <c r="R2202" s="537"/>
      <c r="S2202" s="537"/>
      <c r="T2202" s="537"/>
      <c r="U2202" s="223">
        <f>SUM(U2194:U2201)</f>
        <v>24879.103999999999</v>
      </c>
    </row>
    <row r="2203" spans="1:21" x14ac:dyDescent="0.25">
      <c r="A2203" s="537" t="s">
        <v>33</v>
      </c>
      <c r="B2203" s="537"/>
      <c r="C2203" s="537"/>
      <c r="D2203" s="537"/>
      <c r="E2203" s="537"/>
      <c r="F2203" s="184">
        <f>SUM(F2202+K2202+P2202)</f>
        <v>248791.03999999998</v>
      </c>
      <c r="G2203" s="537" t="s">
        <v>39</v>
      </c>
      <c r="H2203" s="537"/>
      <c r="I2203" s="537"/>
      <c r="J2203" s="537"/>
      <c r="K2203" s="184">
        <f>SUM(F2202+K2202+P2202+U2202)</f>
        <v>273670.14399999997</v>
      </c>
      <c r="L2203" s="537" t="s">
        <v>40</v>
      </c>
      <c r="M2203" s="537"/>
      <c r="N2203" s="537"/>
      <c r="O2203" s="537"/>
      <c r="P2203" s="184">
        <f>SUM(K2203*0.15)</f>
        <v>41050.521599999993</v>
      </c>
      <c r="Q2203" s="537" t="s">
        <v>41</v>
      </c>
      <c r="R2203" s="537"/>
      <c r="S2203" s="537"/>
      <c r="T2203" s="537"/>
      <c r="U2203" s="223">
        <f>SUM(K2203+P2203)</f>
        <v>314720.66559999995</v>
      </c>
    </row>
    <row r="2204" spans="1:21" x14ac:dyDescent="0.25">
      <c r="Q2204" s="537" t="s">
        <v>42</v>
      </c>
      <c r="R2204" s="537"/>
      <c r="S2204" s="537"/>
      <c r="T2204" s="537"/>
      <c r="U2204" s="224">
        <f>ROUND((U2203/15),2)</f>
        <v>20981.38</v>
      </c>
    </row>
    <row r="2205" spans="1:21" x14ac:dyDescent="0.25">
      <c r="A2205" s="544"/>
      <c r="B2205" s="544"/>
      <c r="C2205" s="544"/>
      <c r="D2205" s="544"/>
      <c r="E2205" s="544"/>
      <c r="F2205" s="544"/>
      <c r="G2205" s="544"/>
      <c r="H2205" s="544"/>
      <c r="I2205" s="544"/>
      <c r="J2205" s="544"/>
      <c r="K2205" s="544"/>
      <c r="L2205" s="544"/>
      <c r="M2205" s="544"/>
      <c r="N2205" s="544"/>
      <c r="O2205" s="544"/>
      <c r="P2205" s="544"/>
      <c r="Q2205" s="544"/>
      <c r="R2205" s="544"/>
      <c r="S2205" s="544"/>
      <c r="T2205" s="544"/>
      <c r="U2205" s="544"/>
    </row>
    <row r="2206" spans="1:21" x14ac:dyDescent="0.25">
      <c r="A2206" s="538" t="s">
        <v>12</v>
      </c>
      <c r="B2206" s="538"/>
      <c r="C2206" s="540" t="s">
        <v>779</v>
      </c>
      <c r="D2206" s="540"/>
      <c r="E2206" s="540"/>
      <c r="F2206" s="540"/>
      <c r="G2206" s="540"/>
      <c r="H2206" s="540"/>
      <c r="I2206" s="540"/>
      <c r="J2206" s="540"/>
      <c r="K2206" s="540"/>
      <c r="L2206" s="540"/>
      <c r="M2206" s="540"/>
      <c r="N2206" s="540"/>
      <c r="O2206" s="540"/>
      <c r="P2206" s="540"/>
      <c r="Q2206" s="540"/>
      <c r="R2206" s="540"/>
      <c r="S2206" s="540"/>
      <c r="T2206" s="540"/>
      <c r="U2206" s="541" t="s">
        <v>726</v>
      </c>
    </row>
    <row r="2207" spans="1:21" x14ac:dyDescent="0.25">
      <c r="A2207" s="538"/>
      <c r="B2207" s="538"/>
      <c r="C2207" s="540"/>
      <c r="D2207" s="540"/>
      <c r="E2207" s="540"/>
      <c r="F2207" s="540"/>
      <c r="G2207" s="540"/>
      <c r="H2207" s="540"/>
      <c r="I2207" s="540"/>
      <c r="J2207" s="540"/>
      <c r="K2207" s="540"/>
      <c r="L2207" s="540"/>
      <c r="M2207" s="540"/>
      <c r="N2207" s="540"/>
      <c r="O2207" s="540"/>
      <c r="P2207" s="540"/>
      <c r="Q2207" s="540"/>
      <c r="R2207" s="540"/>
      <c r="S2207" s="540"/>
      <c r="T2207" s="540"/>
      <c r="U2207" s="541"/>
    </row>
    <row r="2208" spans="1:21" x14ac:dyDescent="0.25">
      <c r="A2208" s="539" t="s">
        <v>724</v>
      </c>
      <c r="B2208" s="539"/>
      <c r="C2208" s="540"/>
      <c r="D2208" s="540"/>
      <c r="E2208" s="540"/>
      <c r="F2208" s="540"/>
      <c r="G2208" s="540"/>
      <c r="H2208" s="540"/>
      <c r="I2208" s="540"/>
      <c r="J2208" s="540"/>
      <c r="K2208" s="540"/>
      <c r="L2208" s="540"/>
      <c r="M2208" s="540"/>
      <c r="N2208" s="540"/>
      <c r="O2208" s="540"/>
      <c r="P2208" s="540"/>
      <c r="Q2208" s="540"/>
      <c r="R2208" s="540"/>
      <c r="S2208" s="540"/>
      <c r="T2208" s="540"/>
      <c r="U2208" s="541"/>
    </row>
    <row r="2209" spans="1:21" x14ac:dyDescent="0.25">
      <c r="A2209" s="542" t="s">
        <v>16</v>
      </c>
      <c r="B2209" s="543" t="s">
        <v>18</v>
      </c>
      <c r="C2209" s="543"/>
      <c r="D2209" s="543"/>
      <c r="E2209" s="543"/>
      <c r="F2209" s="543"/>
      <c r="G2209" s="543" t="s">
        <v>24</v>
      </c>
      <c r="H2209" s="543"/>
      <c r="I2209" s="543"/>
      <c r="J2209" s="543"/>
      <c r="K2209" s="543"/>
      <c r="L2209" s="543" t="s">
        <v>25</v>
      </c>
      <c r="M2209" s="543"/>
      <c r="N2209" s="543"/>
      <c r="O2209" s="543"/>
      <c r="P2209" s="543"/>
      <c r="Q2209" s="543" t="s">
        <v>26</v>
      </c>
      <c r="R2209" s="543"/>
      <c r="S2209" s="543"/>
      <c r="T2209" s="543"/>
      <c r="U2209" s="543"/>
    </row>
    <row r="2210" spans="1:21" x14ac:dyDescent="0.25">
      <c r="A2210" s="542"/>
      <c r="B2210" s="182" t="s">
        <v>19</v>
      </c>
      <c r="C2210" s="182" t="s">
        <v>20</v>
      </c>
      <c r="D2210" s="182" t="s">
        <v>21</v>
      </c>
      <c r="E2210" s="182" t="s">
        <v>22</v>
      </c>
      <c r="F2210" s="182" t="s">
        <v>23</v>
      </c>
      <c r="G2210" s="182" t="s">
        <v>19</v>
      </c>
      <c r="H2210" s="216" t="s">
        <v>20</v>
      </c>
      <c r="I2210" s="182" t="s">
        <v>21</v>
      </c>
      <c r="J2210" s="182" t="s">
        <v>22</v>
      </c>
      <c r="K2210" s="182" t="s">
        <v>23</v>
      </c>
      <c r="L2210" s="182" t="s">
        <v>19</v>
      </c>
      <c r="M2210" s="182" t="s">
        <v>20</v>
      </c>
      <c r="N2210" s="182" t="s">
        <v>21</v>
      </c>
      <c r="O2210" s="182" t="s">
        <v>22</v>
      </c>
      <c r="P2210" s="182" t="s">
        <v>23</v>
      </c>
      <c r="Q2210" s="182" t="s">
        <v>19</v>
      </c>
      <c r="R2210" s="182" t="s">
        <v>20</v>
      </c>
      <c r="S2210" s="182" t="s">
        <v>21</v>
      </c>
      <c r="T2210" s="182" t="s">
        <v>22</v>
      </c>
      <c r="U2210" s="211" t="s">
        <v>23</v>
      </c>
    </row>
    <row r="2211" spans="1:21" ht="63" x14ac:dyDescent="0.25">
      <c r="A2211" s="183" t="s">
        <v>780</v>
      </c>
      <c r="B2211" s="182" t="s">
        <v>47</v>
      </c>
      <c r="C2211" s="182" t="s">
        <v>28</v>
      </c>
      <c r="D2211" s="182">
        <v>3</v>
      </c>
      <c r="E2211" s="182">
        <f>skilled</f>
        <v>1245</v>
      </c>
      <c r="F2211" s="184">
        <f>(D2211*E2211)</f>
        <v>3735</v>
      </c>
      <c r="G2211" s="182" t="s">
        <v>85</v>
      </c>
      <c r="H2211" s="216" t="s">
        <v>35</v>
      </c>
      <c r="I2211" s="182">
        <v>6.08</v>
      </c>
      <c r="J2211" s="182">
        <f>adopted_rate_cement</f>
        <v>13031</v>
      </c>
      <c r="K2211" s="182">
        <f t="shared" ref="K2211:K2217" si="20">(I2211*J2211)</f>
        <v>79228.479999999996</v>
      </c>
      <c r="L2211" s="182" t="s">
        <v>276</v>
      </c>
      <c r="M2211" s="182" t="s">
        <v>58</v>
      </c>
      <c r="N2211" s="182">
        <v>6</v>
      </c>
      <c r="O2211" s="182">
        <f>concrete_mixer</f>
        <v>296</v>
      </c>
      <c r="P2211" s="184">
        <f>(N2211*O2211)</f>
        <v>1776</v>
      </c>
      <c r="Q2211" s="182" t="s">
        <v>778</v>
      </c>
      <c r="R2211" s="182"/>
      <c r="U2211" s="223">
        <f>(S2211*T2211)</f>
        <v>0</v>
      </c>
    </row>
    <row r="2212" spans="1:21" ht="78.75" x14ac:dyDescent="0.25">
      <c r="B2212" s="182" t="s">
        <v>29</v>
      </c>
      <c r="C2212" s="182" t="s">
        <v>28</v>
      </c>
      <c r="D2212" s="182">
        <v>30</v>
      </c>
      <c r="E2212" s="182">
        <f>unskilled</f>
        <v>935</v>
      </c>
      <c r="F2212" s="184">
        <f>(D2212*E2212)</f>
        <v>28050</v>
      </c>
      <c r="G2212" s="182" t="s">
        <v>430</v>
      </c>
      <c r="H2212" s="216" t="s">
        <v>84</v>
      </c>
      <c r="I2212" s="182">
        <v>6.75</v>
      </c>
      <c r="J2212" s="182">
        <f>adopted_rate_sand</f>
        <v>3175.2000000000003</v>
      </c>
      <c r="K2212" s="182">
        <f t="shared" si="20"/>
        <v>21432.600000000002</v>
      </c>
      <c r="L2212" s="182" t="s">
        <v>76</v>
      </c>
      <c r="M2212" s="182" t="s">
        <v>58</v>
      </c>
      <c r="N2212" s="182">
        <v>6</v>
      </c>
      <c r="O2212" s="182">
        <f>generator</f>
        <v>855</v>
      </c>
      <c r="P2212" s="184">
        <f>(N2212*O2212)</f>
        <v>5130</v>
      </c>
      <c r="Q2212" s="182" t="s">
        <v>770</v>
      </c>
      <c r="R2212" s="182"/>
      <c r="U2212" s="223">
        <f>F2219*12/100</f>
        <v>29854.924799999993</v>
      </c>
    </row>
    <row r="2213" spans="1:21" ht="78.75" x14ac:dyDescent="0.25">
      <c r="G2213" s="182" t="s">
        <v>728</v>
      </c>
      <c r="H2213" s="216" t="s">
        <v>84</v>
      </c>
      <c r="I2213" s="182">
        <v>5.4</v>
      </c>
      <c r="J2213" s="182">
        <f>adopted_rate_aggregate_20_40_mm</f>
        <v>3175.2000000000003</v>
      </c>
      <c r="K2213" s="182">
        <f t="shared" si="20"/>
        <v>17146.080000000002</v>
      </c>
      <c r="Q2213" s="182" t="s">
        <v>771</v>
      </c>
      <c r="R2213" s="182"/>
      <c r="U2213" s="223">
        <f>F2219*2/100</f>
        <v>4975.8207999999995</v>
      </c>
    </row>
    <row r="2214" spans="1:21" x14ac:dyDescent="0.25">
      <c r="G2214" s="182" t="s">
        <v>733</v>
      </c>
      <c r="H2214" s="216" t="s">
        <v>84</v>
      </c>
      <c r="I2214" s="182">
        <v>5.4</v>
      </c>
      <c r="J2214" s="182">
        <f>adopted_rate_aggregate_10_20_mm</f>
        <v>3351.6</v>
      </c>
      <c r="K2214" s="182">
        <f t="shared" si="20"/>
        <v>18098.64</v>
      </c>
    </row>
    <row r="2215" spans="1:21" x14ac:dyDescent="0.25">
      <c r="G2215" s="182" t="s">
        <v>734</v>
      </c>
      <c r="H2215" s="216" t="s">
        <v>84</v>
      </c>
      <c r="I2215" s="182">
        <v>2.7</v>
      </c>
      <c r="J2215" s="182">
        <f>adopted_rate_aggregate_10_mm</f>
        <v>3175.2000000000003</v>
      </c>
      <c r="K2215" s="182">
        <f t="shared" si="20"/>
        <v>8573.0400000000009</v>
      </c>
    </row>
    <row r="2216" spans="1:21" x14ac:dyDescent="0.25">
      <c r="G2216" s="182" t="s">
        <v>171</v>
      </c>
      <c r="H2216" s="216" t="s">
        <v>172</v>
      </c>
      <c r="I2216" s="182">
        <v>3</v>
      </c>
      <c r="J2216" s="182">
        <f>adopted_rate_water</f>
        <v>310</v>
      </c>
      <c r="K2216" s="182">
        <f t="shared" si="20"/>
        <v>930</v>
      </c>
    </row>
    <row r="2217" spans="1:21" x14ac:dyDescent="0.25">
      <c r="G2217" s="182" t="s">
        <v>745</v>
      </c>
      <c r="H2217" s="216" t="s">
        <v>144</v>
      </c>
      <c r="I2217" s="182">
        <v>243.2</v>
      </c>
      <c r="J2217" s="182">
        <f>adopted_rate_admixture</f>
        <v>266</v>
      </c>
      <c r="K2217" s="182">
        <f t="shared" si="20"/>
        <v>64691.199999999997</v>
      </c>
    </row>
    <row r="2218" spans="1:21" x14ac:dyDescent="0.25">
      <c r="A2218" s="537" t="s">
        <v>30</v>
      </c>
      <c r="B2218" s="537"/>
      <c r="C2218" s="537"/>
      <c r="D2218" s="537"/>
      <c r="E2218" s="537"/>
      <c r="F2218" s="184">
        <f>SUM(F2210:F2217)</f>
        <v>31785</v>
      </c>
      <c r="G2218" s="537" t="s">
        <v>31</v>
      </c>
      <c r="H2218" s="537"/>
      <c r="I2218" s="537"/>
      <c r="J2218" s="537"/>
      <c r="K2218" s="184">
        <f>SUM(K2210:K2217)</f>
        <v>210100.03999999998</v>
      </c>
      <c r="L2218" s="537" t="s">
        <v>32</v>
      </c>
      <c r="M2218" s="537"/>
      <c r="N2218" s="537"/>
      <c r="O2218" s="537"/>
      <c r="P2218" s="184">
        <f>SUM(P2210:P2217)</f>
        <v>6906</v>
      </c>
      <c r="Q2218" s="537" t="s">
        <v>38</v>
      </c>
      <c r="R2218" s="537"/>
      <c r="S2218" s="537"/>
      <c r="T2218" s="537"/>
      <c r="U2218" s="223">
        <f>SUM(U2210:U2217)</f>
        <v>34830.745599999995</v>
      </c>
    </row>
    <row r="2219" spans="1:21" x14ac:dyDescent="0.25">
      <c r="A2219" s="537" t="s">
        <v>33</v>
      </c>
      <c r="B2219" s="537"/>
      <c r="C2219" s="537"/>
      <c r="D2219" s="537"/>
      <c r="E2219" s="537"/>
      <c r="F2219" s="184">
        <f>SUM(F2218+K2218+P2218)</f>
        <v>248791.03999999998</v>
      </c>
      <c r="G2219" s="537" t="s">
        <v>39</v>
      </c>
      <c r="H2219" s="537"/>
      <c r="I2219" s="537"/>
      <c r="J2219" s="537"/>
      <c r="K2219" s="184">
        <f>SUM(F2218+K2218+P2218+U2218)</f>
        <v>283621.78559999994</v>
      </c>
      <c r="L2219" s="537" t="s">
        <v>40</v>
      </c>
      <c r="M2219" s="537"/>
      <c r="N2219" s="537"/>
      <c r="O2219" s="537"/>
      <c r="P2219" s="184">
        <f>SUM(K2219*0.15)</f>
        <v>42543.267839999993</v>
      </c>
      <c r="Q2219" s="537" t="s">
        <v>41</v>
      </c>
      <c r="R2219" s="537"/>
      <c r="S2219" s="537"/>
      <c r="T2219" s="537"/>
      <c r="U2219" s="223">
        <f>SUM(K2219+P2219)</f>
        <v>326165.05343999993</v>
      </c>
    </row>
    <row r="2220" spans="1:21" x14ac:dyDescent="0.25">
      <c r="Q2220" s="537" t="s">
        <v>42</v>
      </c>
      <c r="R2220" s="537"/>
      <c r="S2220" s="537"/>
      <c r="T2220" s="537"/>
      <c r="U2220" s="224">
        <f>ROUND((U2219/15),2)</f>
        <v>21744.34</v>
      </c>
    </row>
    <row r="2221" spans="1:21" x14ac:dyDescent="0.25">
      <c r="A2221" s="544"/>
      <c r="B2221" s="544"/>
      <c r="C2221" s="544"/>
      <c r="D2221" s="544"/>
      <c r="E2221" s="544"/>
      <c r="F2221" s="544"/>
      <c r="G2221" s="544"/>
      <c r="H2221" s="544"/>
      <c r="I2221" s="544"/>
      <c r="J2221" s="544"/>
      <c r="K2221" s="544"/>
      <c r="L2221" s="544"/>
      <c r="M2221" s="544"/>
      <c r="N2221" s="544"/>
      <c r="O2221" s="544"/>
      <c r="P2221" s="544"/>
      <c r="Q2221" s="544"/>
      <c r="R2221" s="544"/>
      <c r="S2221" s="544"/>
      <c r="T2221" s="544"/>
      <c r="U2221" s="544"/>
    </row>
    <row r="2222" spans="1:21" x14ac:dyDescent="0.25">
      <c r="A2222" s="538" t="s">
        <v>12</v>
      </c>
      <c r="B2222" s="538"/>
      <c r="C2222" s="540" t="s">
        <v>781</v>
      </c>
      <c r="D2222" s="540"/>
      <c r="E2222" s="540"/>
      <c r="F2222" s="540"/>
      <c r="G2222" s="540"/>
      <c r="H2222" s="540"/>
      <c r="I2222" s="540"/>
      <c r="J2222" s="540"/>
      <c r="K2222" s="540"/>
      <c r="L2222" s="540"/>
      <c r="M2222" s="540"/>
      <c r="N2222" s="540"/>
      <c r="O2222" s="540"/>
      <c r="P2222" s="540"/>
      <c r="Q2222" s="540"/>
      <c r="R2222" s="540"/>
      <c r="S2222" s="540"/>
      <c r="T2222" s="540"/>
      <c r="U2222" s="541" t="s">
        <v>726</v>
      </c>
    </row>
    <row r="2223" spans="1:21" x14ac:dyDescent="0.25">
      <c r="A2223" s="538"/>
      <c r="B2223" s="538"/>
      <c r="C2223" s="540"/>
      <c r="D2223" s="540"/>
      <c r="E2223" s="540"/>
      <c r="F2223" s="540"/>
      <c r="G2223" s="540"/>
      <c r="H2223" s="540"/>
      <c r="I2223" s="540"/>
      <c r="J2223" s="540"/>
      <c r="K2223" s="540"/>
      <c r="L2223" s="540"/>
      <c r="M2223" s="540"/>
      <c r="N2223" s="540"/>
      <c r="O2223" s="540"/>
      <c r="P2223" s="540"/>
      <c r="Q2223" s="540"/>
      <c r="R2223" s="540"/>
      <c r="S2223" s="540"/>
      <c r="T2223" s="540"/>
      <c r="U2223" s="541"/>
    </row>
    <row r="2224" spans="1:21" x14ac:dyDescent="0.25">
      <c r="A2224" s="539" t="s">
        <v>724</v>
      </c>
      <c r="B2224" s="539"/>
      <c r="C2224" s="540"/>
      <c r="D2224" s="540"/>
      <c r="E2224" s="540"/>
      <c r="F2224" s="540"/>
      <c r="G2224" s="540"/>
      <c r="H2224" s="540"/>
      <c r="I2224" s="540"/>
      <c r="J2224" s="540"/>
      <c r="K2224" s="540"/>
      <c r="L2224" s="540"/>
      <c r="M2224" s="540"/>
      <c r="N2224" s="540"/>
      <c r="O2224" s="540"/>
      <c r="P2224" s="540"/>
      <c r="Q2224" s="540"/>
      <c r="R2224" s="540"/>
      <c r="S2224" s="540"/>
      <c r="T2224" s="540"/>
      <c r="U2224" s="541"/>
    </row>
    <row r="2225" spans="1:21" x14ac:dyDescent="0.25">
      <c r="A2225" s="542" t="s">
        <v>16</v>
      </c>
      <c r="B2225" s="543" t="s">
        <v>18</v>
      </c>
      <c r="C2225" s="543"/>
      <c r="D2225" s="543"/>
      <c r="E2225" s="543"/>
      <c r="F2225" s="543"/>
      <c r="G2225" s="543" t="s">
        <v>24</v>
      </c>
      <c r="H2225" s="543"/>
      <c r="I2225" s="543"/>
      <c r="J2225" s="543"/>
      <c r="K2225" s="543"/>
      <c r="L2225" s="543" t="s">
        <v>25</v>
      </c>
      <c r="M2225" s="543"/>
      <c r="N2225" s="543"/>
      <c r="O2225" s="543"/>
      <c r="P2225" s="543"/>
      <c r="Q2225" s="543" t="s">
        <v>26</v>
      </c>
      <c r="R2225" s="543"/>
      <c r="S2225" s="543"/>
      <c r="T2225" s="543"/>
      <c r="U2225" s="543"/>
    </row>
    <row r="2226" spans="1:21" x14ac:dyDescent="0.25">
      <c r="A2226" s="542"/>
      <c r="B2226" s="182" t="s">
        <v>19</v>
      </c>
      <c r="C2226" s="182" t="s">
        <v>20</v>
      </c>
      <c r="D2226" s="182" t="s">
        <v>21</v>
      </c>
      <c r="E2226" s="182" t="s">
        <v>22</v>
      </c>
      <c r="F2226" s="182" t="s">
        <v>23</v>
      </c>
      <c r="G2226" s="182" t="s">
        <v>19</v>
      </c>
      <c r="H2226" s="216" t="s">
        <v>20</v>
      </c>
      <c r="I2226" s="182" t="s">
        <v>21</v>
      </c>
      <c r="J2226" s="182" t="s">
        <v>22</v>
      </c>
      <c r="K2226" s="182" t="s">
        <v>23</v>
      </c>
      <c r="L2226" s="182" t="s">
        <v>19</v>
      </c>
      <c r="M2226" s="182" t="s">
        <v>20</v>
      </c>
      <c r="N2226" s="182" t="s">
        <v>21</v>
      </c>
      <c r="O2226" s="182" t="s">
        <v>22</v>
      </c>
      <c r="P2226" s="182" t="s">
        <v>23</v>
      </c>
      <c r="Q2226" s="182" t="s">
        <v>19</v>
      </c>
      <c r="R2226" s="182" t="s">
        <v>20</v>
      </c>
      <c r="S2226" s="182" t="s">
        <v>21</v>
      </c>
      <c r="T2226" s="182" t="s">
        <v>22</v>
      </c>
      <c r="U2226" s="211" t="s">
        <v>23</v>
      </c>
    </row>
    <row r="2227" spans="1:21" ht="63" x14ac:dyDescent="0.25">
      <c r="A2227" s="183" t="s">
        <v>782</v>
      </c>
      <c r="B2227" s="182" t="s">
        <v>47</v>
      </c>
      <c r="C2227" s="182" t="s">
        <v>28</v>
      </c>
      <c r="D2227" s="182">
        <v>3</v>
      </c>
      <c r="E2227" s="182">
        <f>skilled</f>
        <v>1245</v>
      </c>
      <c r="F2227" s="184">
        <f>(D2227*E2227)</f>
        <v>3735</v>
      </c>
      <c r="G2227" s="182" t="s">
        <v>85</v>
      </c>
      <c r="H2227" s="216" t="s">
        <v>35</v>
      </c>
      <c r="I2227" s="182">
        <v>6.08</v>
      </c>
      <c r="J2227" s="182">
        <f>adopted_rate_cement</f>
        <v>13031</v>
      </c>
      <c r="K2227" s="182">
        <f t="shared" ref="K2227:K2233" si="21">(I2227*J2227)</f>
        <v>79228.479999999996</v>
      </c>
      <c r="L2227" s="182" t="s">
        <v>276</v>
      </c>
      <c r="M2227" s="182" t="s">
        <v>58</v>
      </c>
      <c r="N2227" s="182">
        <v>6</v>
      </c>
      <c r="O2227" s="182">
        <f>concrete_mixer</f>
        <v>296</v>
      </c>
      <c r="P2227" s="184">
        <f>(N2227*O2227)</f>
        <v>1776</v>
      </c>
      <c r="Q2227" s="182" t="s">
        <v>778</v>
      </c>
      <c r="R2227" s="182"/>
      <c r="U2227" s="223">
        <f>(S2227*T2227)</f>
        <v>0</v>
      </c>
    </row>
    <row r="2228" spans="1:21" ht="78.75" x14ac:dyDescent="0.25">
      <c r="B2228" s="182" t="s">
        <v>29</v>
      </c>
      <c r="C2228" s="182" t="s">
        <v>28</v>
      </c>
      <c r="D2228" s="182">
        <v>30</v>
      </c>
      <c r="E2228" s="182">
        <f>unskilled</f>
        <v>935</v>
      </c>
      <c r="F2228" s="184">
        <f>(D2228*E2228)</f>
        <v>28050</v>
      </c>
      <c r="G2228" s="182" t="s">
        <v>430</v>
      </c>
      <c r="H2228" s="216" t="s">
        <v>84</v>
      </c>
      <c r="I2228" s="182">
        <v>6.75</v>
      </c>
      <c r="J2228" s="182">
        <f>adopted_rate_sand</f>
        <v>3175.2000000000003</v>
      </c>
      <c r="K2228" s="182">
        <f t="shared" si="21"/>
        <v>21432.600000000002</v>
      </c>
      <c r="L2228" s="182" t="s">
        <v>76</v>
      </c>
      <c r="M2228" s="182" t="s">
        <v>58</v>
      </c>
      <c r="N2228" s="182">
        <v>6</v>
      </c>
      <c r="O2228" s="182">
        <f>generator</f>
        <v>855</v>
      </c>
      <c r="P2228" s="184">
        <f>(N2228*O2228)</f>
        <v>5130</v>
      </c>
      <c r="Q2228" s="182" t="s">
        <v>774</v>
      </c>
      <c r="R2228" s="182"/>
      <c r="U2228" s="223">
        <f>F2235*15/100</f>
        <v>37318.655999999995</v>
      </c>
    </row>
    <row r="2229" spans="1:21" ht="78.75" x14ac:dyDescent="0.25">
      <c r="G2229" s="182" t="s">
        <v>728</v>
      </c>
      <c r="H2229" s="216" t="s">
        <v>84</v>
      </c>
      <c r="I2229" s="182">
        <v>5.4</v>
      </c>
      <c r="J2229" s="182">
        <f>adopted_rate_aggregate_20_40_mm</f>
        <v>3175.2000000000003</v>
      </c>
      <c r="K2229" s="182">
        <f t="shared" si="21"/>
        <v>17146.080000000002</v>
      </c>
      <c r="Q2229" s="182" t="s">
        <v>775</v>
      </c>
      <c r="R2229" s="182"/>
      <c r="U2229" s="223">
        <f>F2235*4/100</f>
        <v>9951.641599999999</v>
      </c>
    </row>
    <row r="2230" spans="1:21" x14ac:dyDescent="0.25">
      <c r="G2230" s="182" t="s">
        <v>733</v>
      </c>
      <c r="H2230" s="216" t="s">
        <v>84</v>
      </c>
      <c r="I2230" s="182">
        <v>5.4</v>
      </c>
      <c r="J2230" s="182">
        <f>adopted_rate_aggregate_10_20_mm</f>
        <v>3351.6</v>
      </c>
      <c r="K2230" s="182">
        <f t="shared" si="21"/>
        <v>18098.64</v>
      </c>
    </row>
    <row r="2231" spans="1:21" x14ac:dyDescent="0.25">
      <c r="G2231" s="182" t="s">
        <v>734</v>
      </c>
      <c r="H2231" s="216" t="s">
        <v>84</v>
      </c>
      <c r="I2231" s="182">
        <v>2.7</v>
      </c>
      <c r="J2231" s="182">
        <f>adopted_rate_aggregate_10_mm</f>
        <v>3175.2000000000003</v>
      </c>
      <c r="K2231" s="182">
        <f t="shared" si="21"/>
        <v>8573.0400000000009</v>
      </c>
    </row>
    <row r="2232" spans="1:21" x14ac:dyDescent="0.25">
      <c r="G2232" s="182" t="s">
        <v>171</v>
      </c>
      <c r="H2232" s="216" t="s">
        <v>172</v>
      </c>
      <c r="I2232" s="182">
        <v>3</v>
      </c>
      <c r="J2232" s="182">
        <f>adopted_rate_water</f>
        <v>310</v>
      </c>
      <c r="K2232" s="182">
        <f t="shared" si="21"/>
        <v>930</v>
      </c>
    </row>
    <row r="2233" spans="1:21" x14ac:dyDescent="0.25">
      <c r="G2233" s="182" t="s">
        <v>745</v>
      </c>
      <c r="H2233" s="216" t="s">
        <v>144</v>
      </c>
      <c r="I2233" s="182">
        <v>243.2</v>
      </c>
      <c r="J2233" s="182">
        <f>adopted_rate_admixture</f>
        <v>266</v>
      </c>
      <c r="K2233" s="182">
        <f t="shared" si="21"/>
        <v>64691.199999999997</v>
      </c>
    </row>
    <row r="2234" spans="1:21" x14ac:dyDescent="0.25">
      <c r="A2234" s="537" t="s">
        <v>30</v>
      </c>
      <c r="B2234" s="537"/>
      <c r="C2234" s="537"/>
      <c r="D2234" s="537"/>
      <c r="E2234" s="537"/>
      <c r="F2234" s="184">
        <f>SUM(F2226:F2233)</f>
        <v>31785</v>
      </c>
      <c r="G2234" s="537" t="s">
        <v>31</v>
      </c>
      <c r="H2234" s="537"/>
      <c r="I2234" s="537"/>
      <c r="J2234" s="537"/>
      <c r="K2234" s="184">
        <f>SUM(K2226:K2233)</f>
        <v>210100.03999999998</v>
      </c>
      <c r="L2234" s="537" t="s">
        <v>32</v>
      </c>
      <c r="M2234" s="537"/>
      <c r="N2234" s="537"/>
      <c r="O2234" s="537"/>
      <c r="P2234" s="184">
        <f>SUM(P2226:P2233)</f>
        <v>6906</v>
      </c>
      <c r="Q2234" s="537" t="s">
        <v>38</v>
      </c>
      <c r="R2234" s="537"/>
      <c r="S2234" s="537"/>
      <c r="T2234" s="537"/>
      <c r="U2234" s="223">
        <f>SUM(U2226:U2233)</f>
        <v>47270.297599999991</v>
      </c>
    </row>
    <row r="2235" spans="1:21" x14ac:dyDescent="0.25">
      <c r="A2235" s="537" t="s">
        <v>33</v>
      </c>
      <c r="B2235" s="537"/>
      <c r="C2235" s="537"/>
      <c r="D2235" s="537"/>
      <c r="E2235" s="537"/>
      <c r="F2235" s="184">
        <f>SUM(F2234+K2234+P2234)</f>
        <v>248791.03999999998</v>
      </c>
      <c r="G2235" s="537" t="s">
        <v>39</v>
      </c>
      <c r="H2235" s="537"/>
      <c r="I2235" s="537"/>
      <c r="J2235" s="537"/>
      <c r="K2235" s="184">
        <f>SUM(F2234+K2234+P2234+U2234)</f>
        <v>296061.33759999997</v>
      </c>
      <c r="L2235" s="537" t="s">
        <v>40</v>
      </c>
      <c r="M2235" s="537"/>
      <c r="N2235" s="537"/>
      <c r="O2235" s="537"/>
      <c r="P2235" s="184">
        <f>SUM(K2235*0.15)</f>
        <v>44409.200639999995</v>
      </c>
      <c r="Q2235" s="537" t="s">
        <v>41</v>
      </c>
      <c r="R2235" s="537"/>
      <c r="S2235" s="537"/>
      <c r="T2235" s="537"/>
      <c r="U2235" s="223">
        <f>SUM(K2235+P2235)</f>
        <v>340470.53823999997</v>
      </c>
    </row>
    <row r="2236" spans="1:21" x14ac:dyDescent="0.25">
      <c r="Q2236" s="537" t="s">
        <v>42</v>
      </c>
      <c r="R2236" s="537"/>
      <c r="S2236" s="537"/>
      <c r="T2236" s="537"/>
      <c r="U2236" s="224">
        <f>ROUND((U2235/15),2)</f>
        <v>22698.04</v>
      </c>
    </row>
    <row r="2237" spans="1:21" x14ac:dyDescent="0.25">
      <c r="A2237" s="544"/>
      <c r="B2237" s="544"/>
      <c r="C2237" s="544"/>
      <c r="D2237" s="544"/>
      <c r="E2237" s="544"/>
      <c r="F2237" s="544"/>
      <c r="G2237" s="544"/>
      <c r="H2237" s="544"/>
      <c r="I2237" s="544"/>
      <c r="J2237" s="544"/>
      <c r="K2237" s="544"/>
      <c r="L2237" s="544"/>
      <c r="M2237" s="544"/>
      <c r="N2237" s="544"/>
      <c r="O2237" s="544"/>
      <c r="P2237" s="544"/>
      <c r="Q2237" s="544"/>
      <c r="R2237" s="544"/>
      <c r="S2237" s="544"/>
      <c r="T2237" s="544"/>
      <c r="U2237" s="544"/>
    </row>
    <row r="2238" spans="1:21" x14ac:dyDescent="0.25">
      <c r="A2238" s="538" t="s">
        <v>12</v>
      </c>
      <c r="B2238" s="538"/>
      <c r="C2238" s="540" t="s">
        <v>783</v>
      </c>
      <c r="D2238" s="540"/>
      <c r="E2238" s="540"/>
      <c r="F2238" s="540"/>
      <c r="G2238" s="540"/>
      <c r="H2238" s="540"/>
      <c r="I2238" s="540"/>
      <c r="J2238" s="540"/>
      <c r="K2238" s="540"/>
      <c r="L2238" s="540"/>
      <c r="M2238" s="540"/>
      <c r="N2238" s="540"/>
      <c r="O2238" s="540"/>
      <c r="P2238" s="540"/>
      <c r="Q2238" s="540"/>
      <c r="R2238" s="540"/>
      <c r="S2238" s="540"/>
      <c r="T2238" s="540"/>
      <c r="U2238" s="541" t="s">
        <v>726</v>
      </c>
    </row>
    <row r="2239" spans="1:21" x14ac:dyDescent="0.25">
      <c r="A2239" s="538"/>
      <c r="B2239" s="538"/>
      <c r="C2239" s="540"/>
      <c r="D2239" s="540"/>
      <c r="E2239" s="540"/>
      <c r="F2239" s="540"/>
      <c r="G2239" s="540"/>
      <c r="H2239" s="540"/>
      <c r="I2239" s="540"/>
      <c r="J2239" s="540"/>
      <c r="K2239" s="540"/>
      <c r="L2239" s="540"/>
      <c r="M2239" s="540"/>
      <c r="N2239" s="540"/>
      <c r="O2239" s="540"/>
      <c r="P2239" s="540"/>
      <c r="Q2239" s="540"/>
      <c r="R2239" s="540"/>
      <c r="S2239" s="540"/>
      <c r="T2239" s="540"/>
      <c r="U2239" s="541"/>
    </row>
    <row r="2240" spans="1:21" x14ac:dyDescent="0.25">
      <c r="A2240" s="539" t="s">
        <v>724</v>
      </c>
      <c r="B2240" s="539"/>
      <c r="C2240" s="540"/>
      <c r="D2240" s="540"/>
      <c r="E2240" s="540"/>
      <c r="F2240" s="540"/>
      <c r="G2240" s="540"/>
      <c r="H2240" s="540"/>
      <c r="I2240" s="540"/>
      <c r="J2240" s="540"/>
      <c r="K2240" s="540"/>
      <c r="L2240" s="540"/>
      <c r="M2240" s="540"/>
      <c r="N2240" s="540"/>
      <c r="O2240" s="540"/>
      <c r="P2240" s="540"/>
      <c r="Q2240" s="540"/>
      <c r="R2240" s="540"/>
      <c r="S2240" s="540"/>
      <c r="T2240" s="540"/>
      <c r="U2240" s="541"/>
    </row>
    <row r="2241" spans="1:21" x14ac:dyDescent="0.25">
      <c r="A2241" s="542" t="s">
        <v>16</v>
      </c>
      <c r="B2241" s="543" t="s">
        <v>18</v>
      </c>
      <c r="C2241" s="543"/>
      <c r="D2241" s="543"/>
      <c r="E2241" s="543"/>
      <c r="F2241" s="543"/>
      <c r="G2241" s="543" t="s">
        <v>24</v>
      </c>
      <c r="H2241" s="543"/>
      <c r="I2241" s="543"/>
      <c r="J2241" s="543"/>
      <c r="K2241" s="543"/>
      <c r="L2241" s="543" t="s">
        <v>25</v>
      </c>
      <c r="M2241" s="543"/>
      <c r="N2241" s="543"/>
      <c r="O2241" s="543"/>
      <c r="P2241" s="543"/>
      <c r="Q2241" s="543" t="s">
        <v>26</v>
      </c>
      <c r="R2241" s="543"/>
      <c r="S2241" s="543"/>
      <c r="T2241" s="543"/>
      <c r="U2241" s="543"/>
    </row>
    <row r="2242" spans="1:21" x14ac:dyDescent="0.25">
      <c r="A2242" s="542"/>
      <c r="B2242" s="182" t="s">
        <v>19</v>
      </c>
      <c r="C2242" s="182" t="s">
        <v>20</v>
      </c>
      <c r="D2242" s="182" t="s">
        <v>21</v>
      </c>
      <c r="E2242" s="182" t="s">
        <v>22</v>
      </c>
      <c r="F2242" s="182" t="s">
        <v>23</v>
      </c>
      <c r="G2242" s="182" t="s">
        <v>19</v>
      </c>
      <c r="H2242" s="216" t="s">
        <v>20</v>
      </c>
      <c r="I2242" s="182" t="s">
        <v>21</v>
      </c>
      <c r="J2242" s="182" t="s">
        <v>22</v>
      </c>
      <c r="K2242" s="182" t="s">
        <v>23</v>
      </c>
      <c r="L2242" s="182" t="s">
        <v>19</v>
      </c>
      <c r="M2242" s="182" t="s">
        <v>20</v>
      </c>
      <c r="N2242" s="182" t="s">
        <v>21</v>
      </c>
      <c r="O2242" s="182" t="s">
        <v>22</v>
      </c>
      <c r="P2242" s="182" t="s">
        <v>23</v>
      </c>
      <c r="Q2242" s="182" t="s">
        <v>19</v>
      </c>
      <c r="R2242" s="182" t="s">
        <v>20</v>
      </c>
      <c r="S2242" s="182" t="s">
        <v>21</v>
      </c>
      <c r="T2242" s="182" t="s">
        <v>22</v>
      </c>
      <c r="U2242" s="211" t="s">
        <v>23</v>
      </c>
    </row>
    <row r="2243" spans="1:21" ht="63" x14ac:dyDescent="0.25">
      <c r="A2243" s="183" t="s">
        <v>784</v>
      </c>
      <c r="B2243" s="182" t="s">
        <v>47</v>
      </c>
      <c r="C2243" s="182" t="s">
        <v>28</v>
      </c>
      <c r="D2243" s="182">
        <v>3</v>
      </c>
      <c r="E2243" s="182">
        <f>skilled</f>
        <v>1245</v>
      </c>
      <c r="F2243" s="184">
        <f>(D2243*E2243)</f>
        <v>3735</v>
      </c>
      <c r="G2243" s="182" t="s">
        <v>85</v>
      </c>
      <c r="H2243" s="216" t="s">
        <v>35</v>
      </c>
      <c r="I2243" s="182">
        <v>5.21</v>
      </c>
      <c r="J2243" s="182">
        <f>adopted_rate_cement</f>
        <v>13031</v>
      </c>
      <c r="K2243" s="182">
        <f>(I2243*J2243)</f>
        <v>67891.509999999995</v>
      </c>
      <c r="L2243" s="182" t="s">
        <v>276</v>
      </c>
      <c r="M2243" s="182" t="s">
        <v>58</v>
      </c>
      <c r="N2243" s="182">
        <v>6</v>
      </c>
      <c r="O2243" s="182">
        <f>concrete_mixer</f>
        <v>296</v>
      </c>
      <c r="P2243" s="184">
        <f>(N2243*O2243)</f>
        <v>1776</v>
      </c>
      <c r="Q2243" s="182" t="s">
        <v>785</v>
      </c>
      <c r="R2243" s="182"/>
      <c r="U2243" s="223">
        <f>(S2243*T2243)</f>
        <v>0</v>
      </c>
    </row>
    <row r="2244" spans="1:21" ht="78.75" x14ac:dyDescent="0.25">
      <c r="B2244" s="182" t="s">
        <v>29</v>
      </c>
      <c r="C2244" s="182" t="s">
        <v>28</v>
      </c>
      <c r="D2244" s="182">
        <v>30</v>
      </c>
      <c r="E2244" s="182">
        <f>unskilled</f>
        <v>935</v>
      </c>
      <c r="F2244" s="184">
        <f>(D2244*E2244)</f>
        <v>28050</v>
      </c>
      <c r="G2244" s="182" t="s">
        <v>430</v>
      </c>
      <c r="H2244" s="216" t="s">
        <v>84</v>
      </c>
      <c r="I2244" s="182">
        <v>6.75</v>
      </c>
      <c r="J2244" s="182">
        <f>adopted_rate_sand</f>
        <v>3175.2000000000003</v>
      </c>
      <c r="K2244" s="182">
        <f>(I2244*J2244)</f>
        <v>21432.600000000002</v>
      </c>
      <c r="L2244" s="182" t="s">
        <v>76</v>
      </c>
      <c r="M2244" s="182" t="s">
        <v>58</v>
      </c>
      <c r="N2244" s="182">
        <v>6</v>
      </c>
      <c r="O2244" s="182">
        <f>generator</f>
        <v>855</v>
      </c>
      <c r="P2244" s="184">
        <f>(N2244*O2244)</f>
        <v>5130</v>
      </c>
      <c r="Q2244" s="182" t="s">
        <v>759</v>
      </c>
      <c r="R2244" s="182"/>
      <c r="U2244" s="223">
        <f>F2249*10/100</f>
        <v>17308.415000000001</v>
      </c>
    </row>
    <row r="2245" spans="1:21" x14ac:dyDescent="0.25">
      <c r="G2245" s="182" t="s">
        <v>733</v>
      </c>
      <c r="H2245" s="216" t="s">
        <v>84</v>
      </c>
      <c r="I2245" s="182">
        <v>8.1</v>
      </c>
      <c r="J2245" s="182">
        <f>adopted_rate_aggregate_10_20_mm</f>
        <v>3351.6</v>
      </c>
      <c r="K2245" s="182">
        <f>(I2245*J2245)</f>
        <v>27147.96</v>
      </c>
    </row>
    <row r="2246" spans="1:21" x14ac:dyDescent="0.25">
      <c r="G2246" s="182" t="s">
        <v>734</v>
      </c>
      <c r="H2246" s="216" t="s">
        <v>84</v>
      </c>
      <c r="I2246" s="182">
        <v>5.4</v>
      </c>
      <c r="J2246" s="182">
        <f>adopted_rate_aggregate_10_mm</f>
        <v>3175.2000000000003</v>
      </c>
      <c r="K2246" s="182">
        <f>(I2246*J2246)</f>
        <v>17146.080000000002</v>
      </c>
    </row>
    <row r="2247" spans="1:21" x14ac:dyDescent="0.25">
      <c r="G2247" s="182" t="s">
        <v>171</v>
      </c>
      <c r="H2247" s="216" t="s">
        <v>172</v>
      </c>
      <c r="I2247" s="182">
        <v>2.5</v>
      </c>
      <c r="J2247" s="182">
        <f>adopted_rate_water</f>
        <v>310</v>
      </c>
      <c r="K2247" s="182">
        <f>(I2247*J2247)</f>
        <v>775</v>
      </c>
    </row>
    <row r="2248" spans="1:21" x14ac:dyDescent="0.25">
      <c r="A2248" s="537" t="s">
        <v>30</v>
      </c>
      <c r="B2248" s="537"/>
      <c r="C2248" s="537"/>
      <c r="D2248" s="537"/>
      <c r="E2248" s="537"/>
      <c r="F2248" s="184">
        <f>SUM(F2242:F2247)</f>
        <v>31785</v>
      </c>
      <c r="G2248" s="537" t="s">
        <v>31</v>
      </c>
      <c r="H2248" s="537"/>
      <c r="I2248" s="537"/>
      <c r="J2248" s="537"/>
      <c r="K2248" s="184">
        <f>SUM(K2242:K2247)</f>
        <v>134393.15000000002</v>
      </c>
      <c r="L2248" s="537" t="s">
        <v>32</v>
      </c>
      <c r="M2248" s="537"/>
      <c r="N2248" s="537"/>
      <c r="O2248" s="537"/>
      <c r="P2248" s="184">
        <f>SUM(P2242:P2247)</f>
        <v>6906</v>
      </c>
      <c r="Q2248" s="537" t="s">
        <v>38</v>
      </c>
      <c r="R2248" s="537"/>
      <c r="S2248" s="537"/>
      <c r="T2248" s="537"/>
      <c r="U2248" s="223">
        <f>SUM(U2242:U2247)</f>
        <v>17308.415000000001</v>
      </c>
    </row>
    <row r="2249" spans="1:21" x14ac:dyDescent="0.25">
      <c r="A2249" s="537" t="s">
        <v>33</v>
      </c>
      <c r="B2249" s="537"/>
      <c r="C2249" s="537"/>
      <c r="D2249" s="537"/>
      <c r="E2249" s="537"/>
      <c r="F2249" s="184">
        <f>SUM(F2248+K2248+P2248)</f>
        <v>173084.15000000002</v>
      </c>
      <c r="G2249" s="537" t="s">
        <v>39</v>
      </c>
      <c r="H2249" s="537"/>
      <c r="I2249" s="537"/>
      <c r="J2249" s="537"/>
      <c r="K2249" s="184">
        <f>SUM(F2248+K2248+P2248+U2248)</f>
        <v>190392.56500000003</v>
      </c>
      <c r="L2249" s="537" t="s">
        <v>40</v>
      </c>
      <c r="M2249" s="537"/>
      <c r="N2249" s="537"/>
      <c r="O2249" s="537"/>
      <c r="P2249" s="184">
        <f>SUM(K2249*0.15)</f>
        <v>28558.884750000005</v>
      </c>
      <c r="Q2249" s="537" t="s">
        <v>41</v>
      </c>
      <c r="R2249" s="537"/>
      <c r="S2249" s="537"/>
      <c r="T2249" s="537"/>
      <c r="U2249" s="223">
        <f>SUM(K2249+P2249)</f>
        <v>218951.44975000003</v>
      </c>
    </row>
    <row r="2250" spans="1:21" x14ac:dyDescent="0.25">
      <c r="Q2250" s="537" t="s">
        <v>42</v>
      </c>
      <c r="R2250" s="537"/>
      <c r="S2250" s="537"/>
      <c r="T2250" s="537"/>
      <c r="U2250" s="224">
        <f>ROUND((U2249/15),2)</f>
        <v>14596.76</v>
      </c>
    </row>
    <row r="2251" spans="1:21" x14ac:dyDescent="0.25">
      <c r="A2251" s="544"/>
      <c r="B2251" s="544"/>
      <c r="C2251" s="544"/>
      <c r="D2251" s="544"/>
      <c r="E2251" s="544"/>
      <c r="F2251" s="544"/>
      <c r="G2251" s="544"/>
      <c r="H2251" s="544"/>
      <c r="I2251" s="544"/>
      <c r="J2251" s="544"/>
      <c r="K2251" s="544"/>
      <c r="L2251" s="544"/>
      <c r="M2251" s="544"/>
      <c r="N2251" s="544"/>
      <c r="O2251" s="544"/>
      <c r="P2251" s="544"/>
      <c r="Q2251" s="544"/>
      <c r="R2251" s="544"/>
      <c r="S2251" s="544"/>
      <c r="T2251" s="544"/>
      <c r="U2251" s="544"/>
    </row>
    <row r="2252" spans="1:21" x14ac:dyDescent="0.25">
      <c r="A2252" s="538" t="s">
        <v>12</v>
      </c>
      <c r="B2252" s="538"/>
      <c r="C2252" s="540" t="s">
        <v>786</v>
      </c>
      <c r="D2252" s="540"/>
      <c r="E2252" s="540"/>
      <c r="F2252" s="540"/>
      <c r="G2252" s="540"/>
      <c r="H2252" s="540"/>
      <c r="I2252" s="540"/>
      <c r="J2252" s="540"/>
      <c r="K2252" s="540"/>
      <c r="L2252" s="540"/>
      <c r="M2252" s="540"/>
      <c r="N2252" s="540"/>
      <c r="O2252" s="540"/>
      <c r="P2252" s="540"/>
      <c r="Q2252" s="540"/>
      <c r="R2252" s="540"/>
      <c r="S2252" s="540"/>
      <c r="T2252" s="540"/>
      <c r="U2252" s="541" t="s">
        <v>726</v>
      </c>
    </row>
    <row r="2253" spans="1:21" x14ac:dyDescent="0.25">
      <c r="A2253" s="538"/>
      <c r="B2253" s="538"/>
      <c r="C2253" s="540"/>
      <c r="D2253" s="540"/>
      <c r="E2253" s="540"/>
      <c r="F2253" s="540"/>
      <c r="G2253" s="540"/>
      <c r="H2253" s="540"/>
      <c r="I2253" s="540"/>
      <c r="J2253" s="540"/>
      <c r="K2253" s="540"/>
      <c r="L2253" s="540"/>
      <c r="M2253" s="540"/>
      <c r="N2253" s="540"/>
      <c r="O2253" s="540"/>
      <c r="P2253" s="540"/>
      <c r="Q2253" s="540"/>
      <c r="R2253" s="540"/>
      <c r="S2253" s="540"/>
      <c r="T2253" s="540"/>
      <c r="U2253" s="541"/>
    </row>
    <row r="2254" spans="1:21" x14ac:dyDescent="0.25">
      <c r="A2254" s="539" t="s">
        <v>724</v>
      </c>
      <c r="B2254" s="539"/>
      <c r="C2254" s="540"/>
      <c r="D2254" s="540"/>
      <c r="E2254" s="540"/>
      <c r="F2254" s="540"/>
      <c r="G2254" s="540"/>
      <c r="H2254" s="540"/>
      <c r="I2254" s="540"/>
      <c r="J2254" s="540"/>
      <c r="K2254" s="540"/>
      <c r="L2254" s="540"/>
      <c r="M2254" s="540"/>
      <c r="N2254" s="540"/>
      <c r="O2254" s="540"/>
      <c r="P2254" s="540"/>
      <c r="Q2254" s="540"/>
      <c r="R2254" s="540"/>
      <c r="S2254" s="540"/>
      <c r="T2254" s="540"/>
      <c r="U2254" s="541"/>
    </row>
    <row r="2255" spans="1:21" x14ac:dyDescent="0.25">
      <c r="A2255" s="542" t="s">
        <v>16</v>
      </c>
      <c r="B2255" s="543" t="s">
        <v>18</v>
      </c>
      <c r="C2255" s="543"/>
      <c r="D2255" s="543"/>
      <c r="E2255" s="543"/>
      <c r="F2255" s="543"/>
      <c r="G2255" s="543" t="s">
        <v>24</v>
      </c>
      <c r="H2255" s="543"/>
      <c r="I2255" s="543"/>
      <c r="J2255" s="543"/>
      <c r="K2255" s="543"/>
      <c r="L2255" s="543" t="s">
        <v>25</v>
      </c>
      <c r="M2255" s="543"/>
      <c r="N2255" s="543"/>
      <c r="O2255" s="543"/>
      <c r="P2255" s="543"/>
      <c r="Q2255" s="543" t="s">
        <v>26</v>
      </c>
      <c r="R2255" s="543"/>
      <c r="S2255" s="543"/>
      <c r="T2255" s="543"/>
      <c r="U2255" s="543"/>
    </row>
    <row r="2256" spans="1:21" x14ac:dyDescent="0.25">
      <c r="A2256" s="542"/>
      <c r="B2256" s="182" t="s">
        <v>19</v>
      </c>
      <c r="C2256" s="182" t="s">
        <v>20</v>
      </c>
      <c r="D2256" s="182" t="s">
        <v>21</v>
      </c>
      <c r="E2256" s="182" t="s">
        <v>22</v>
      </c>
      <c r="F2256" s="182" t="s">
        <v>23</v>
      </c>
      <c r="G2256" s="182" t="s">
        <v>19</v>
      </c>
      <c r="H2256" s="216" t="s">
        <v>20</v>
      </c>
      <c r="I2256" s="182" t="s">
        <v>21</v>
      </c>
      <c r="J2256" s="182" t="s">
        <v>22</v>
      </c>
      <c r="K2256" s="182" t="s">
        <v>23</v>
      </c>
      <c r="L2256" s="182" t="s">
        <v>19</v>
      </c>
      <c r="M2256" s="182" t="s">
        <v>20</v>
      </c>
      <c r="N2256" s="182" t="s">
        <v>21</v>
      </c>
      <c r="O2256" s="182" t="s">
        <v>22</v>
      </c>
      <c r="P2256" s="182" t="s">
        <v>23</v>
      </c>
      <c r="Q2256" s="182" t="s">
        <v>19</v>
      </c>
      <c r="R2256" s="182" t="s">
        <v>20</v>
      </c>
      <c r="S2256" s="182" t="s">
        <v>21</v>
      </c>
      <c r="T2256" s="182" t="s">
        <v>22</v>
      </c>
      <c r="U2256" s="211" t="s">
        <v>23</v>
      </c>
    </row>
    <row r="2257" spans="1:21" ht="63" x14ac:dyDescent="0.25">
      <c r="A2257" s="183" t="s">
        <v>787</v>
      </c>
      <c r="B2257" s="182" t="s">
        <v>47</v>
      </c>
      <c r="C2257" s="182" t="s">
        <v>28</v>
      </c>
      <c r="D2257" s="182">
        <v>3</v>
      </c>
      <c r="E2257" s="182">
        <f>skilled</f>
        <v>1245</v>
      </c>
      <c r="F2257" s="184">
        <f>(D2257*E2257)</f>
        <v>3735</v>
      </c>
      <c r="G2257" s="182" t="s">
        <v>85</v>
      </c>
      <c r="H2257" s="216" t="s">
        <v>35</v>
      </c>
      <c r="I2257" s="182">
        <v>5.21</v>
      </c>
      <c r="J2257" s="182">
        <f>adopted_rate_cement</f>
        <v>13031</v>
      </c>
      <c r="K2257" s="182">
        <f>(I2257*J2257)</f>
        <v>67891.509999999995</v>
      </c>
      <c r="L2257" s="182" t="s">
        <v>276</v>
      </c>
      <c r="M2257" s="182" t="s">
        <v>58</v>
      </c>
      <c r="N2257" s="182">
        <v>6</v>
      </c>
      <c r="O2257" s="182">
        <f>concrete_mixer</f>
        <v>296</v>
      </c>
      <c r="P2257" s="184">
        <f>(N2257*O2257)</f>
        <v>1776</v>
      </c>
      <c r="Q2257" s="182" t="s">
        <v>785</v>
      </c>
      <c r="R2257" s="182"/>
      <c r="U2257" s="223">
        <f>(S2257*T2257)</f>
        <v>0</v>
      </c>
    </row>
    <row r="2258" spans="1:21" ht="78.75" x14ac:dyDescent="0.25">
      <c r="B2258" s="182" t="s">
        <v>29</v>
      </c>
      <c r="C2258" s="182" t="s">
        <v>28</v>
      </c>
      <c r="D2258" s="182">
        <v>30</v>
      </c>
      <c r="E2258" s="182">
        <f>unskilled</f>
        <v>935</v>
      </c>
      <c r="F2258" s="184">
        <f>(D2258*E2258)</f>
        <v>28050</v>
      </c>
      <c r="G2258" s="182" t="s">
        <v>430</v>
      </c>
      <c r="H2258" s="216" t="s">
        <v>84</v>
      </c>
      <c r="I2258" s="182">
        <v>6.75</v>
      </c>
      <c r="J2258" s="182">
        <f>adopted_rate_sand</f>
        <v>3175.2000000000003</v>
      </c>
      <c r="K2258" s="182">
        <f>(I2258*J2258)</f>
        <v>21432.600000000002</v>
      </c>
      <c r="L2258" s="182" t="s">
        <v>76</v>
      </c>
      <c r="M2258" s="182" t="s">
        <v>58</v>
      </c>
      <c r="N2258" s="182">
        <v>6</v>
      </c>
      <c r="O2258" s="182">
        <f>generator</f>
        <v>855</v>
      </c>
      <c r="P2258" s="184">
        <f>(N2258*O2258)</f>
        <v>5130</v>
      </c>
      <c r="Q2258" s="182" t="s">
        <v>770</v>
      </c>
      <c r="R2258" s="182"/>
      <c r="U2258" s="223">
        <f>F2263*12/100</f>
        <v>20770.098000000002</v>
      </c>
    </row>
    <row r="2259" spans="1:21" ht="78.75" x14ac:dyDescent="0.25">
      <c r="G2259" s="182" t="s">
        <v>733</v>
      </c>
      <c r="H2259" s="216" t="s">
        <v>84</v>
      </c>
      <c r="I2259" s="182">
        <v>8.1</v>
      </c>
      <c r="J2259" s="182">
        <f>adopted_rate_aggregate_10_20_mm</f>
        <v>3351.6</v>
      </c>
      <c r="K2259" s="182">
        <f>(I2259*J2259)</f>
        <v>27147.96</v>
      </c>
      <c r="Q2259" s="182" t="s">
        <v>771</v>
      </c>
      <c r="R2259" s="182"/>
      <c r="U2259" s="223">
        <f>F2263*2/100</f>
        <v>3461.6830000000004</v>
      </c>
    </row>
    <row r="2260" spans="1:21" x14ac:dyDescent="0.25">
      <c r="G2260" s="182" t="s">
        <v>734</v>
      </c>
      <c r="H2260" s="216" t="s">
        <v>84</v>
      </c>
      <c r="I2260" s="182">
        <v>5.4</v>
      </c>
      <c r="J2260" s="182">
        <f>adopted_rate_aggregate_10_mm</f>
        <v>3175.2000000000003</v>
      </c>
      <c r="K2260" s="182">
        <f>(I2260*J2260)</f>
        <v>17146.080000000002</v>
      </c>
    </row>
    <row r="2261" spans="1:21" x14ac:dyDescent="0.25">
      <c r="G2261" s="182" t="s">
        <v>171</v>
      </c>
      <c r="H2261" s="216" t="s">
        <v>172</v>
      </c>
      <c r="I2261" s="182">
        <v>2.5</v>
      </c>
      <c r="J2261" s="182">
        <f>adopted_rate_water</f>
        <v>310</v>
      </c>
      <c r="K2261" s="182">
        <f>(I2261*J2261)</f>
        <v>775</v>
      </c>
    </row>
    <row r="2262" spans="1:21" x14ac:dyDescent="0.25">
      <c r="A2262" s="537" t="s">
        <v>30</v>
      </c>
      <c r="B2262" s="537"/>
      <c r="C2262" s="537"/>
      <c r="D2262" s="537"/>
      <c r="E2262" s="537"/>
      <c r="F2262" s="184">
        <f>SUM(F2256:F2261)</f>
        <v>31785</v>
      </c>
      <c r="G2262" s="537" t="s">
        <v>31</v>
      </c>
      <c r="H2262" s="537"/>
      <c r="I2262" s="537"/>
      <c r="J2262" s="537"/>
      <c r="K2262" s="184">
        <f>SUM(K2256:K2261)</f>
        <v>134393.15000000002</v>
      </c>
      <c r="L2262" s="537" t="s">
        <v>32</v>
      </c>
      <c r="M2262" s="537"/>
      <c r="N2262" s="537"/>
      <c r="O2262" s="537"/>
      <c r="P2262" s="184">
        <f>SUM(P2256:P2261)</f>
        <v>6906</v>
      </c>
      <c r="Q2262" s="537" t="s">
        <v>38</v>
      </c>
      <c r="R2262" s="537"/>
      <c r="S2262" s="537"/>
      <c r="T2262" s="537"/>
      <c r="U2262" s="223">
        <f>SUM(U2256:U2261)</f>
        <v>24231.781000000003</v>
      </c>
    </row>
    <row r="2263" spans="1:21" x14ac:dyDescent="0.25">
      <c r="A2263" s="537" t="s">
        <v>33</v>
      </c>
      <c r="B2263" s="537"/>
      <c r="C2263" s="537"/>
      <c r="D2263" s="537"/>
      <c r="E2263" s="537"/>
      <c r="F2263" s="184">
        <f>SUM(F2262+K2262+P2262)</f>
        <v>173084.15000000002</v>
      </c>
      <c r="G2263" s="537" t="s">
        <v>39</v>
      </c>
      <c r="H2263" s="537"/>
      <c r="I2263" s="537"/>
      <c r="J2263" s="537"/>
      <c r="K2263" s="184">
        <f>SUM(F2262+K2262+P2262+U2262)</f>
        <v>197315.93100000004</v>
      </c>
      <c r="L2263" s="537" t="s">
        <v>40</v>
      </c>
      <c r="M2263" s="537"/>
      <c r="N2263" s="537"/>
      <c r="O2263" s="537"/>
      <c r="P2263" s="184">
        <f>SUM(K2263*0.15)</f>
        <v>29597.389650000005</v>
      </c>
      <c r="Q2263" s="537" t="s">
        <v>41</v>
      </c>
      <c r="R2263" s="537"/>
      <c r="S2263" s="537"/>
      <c r="T2263" s="537"/>
      <c r="U2263" s="223">
        <f>SUM(K2263+P2263)</f>
        <v>226913.32065000004</v>
      </c>
    </row>
    <row r="2264" spans="1:21" x14ac:dyDescent="0.25">
      <c r="Q2264" s="537" t="s">
        <v>42</v>
      </c>
      <c r="R2264" s="537"/>
      <c r="S2264" s="537"/>
      <c r="T2264" s="537"/>
      <c r="U2264" s="224">
        <f>ROUND((U2263/15),2)</f>
        <v>15127.55</v>
      </c>
    </row>
    <row r="2265" spans="1:21" x14ac:dyDescent="0.25">
      <c r="A2265" s="544"/>
      <c r="B2265" s="544"/>
      <c r="C2265" s="544"/>
      <c r="D2265" s="544"/>
      <c r="E2265" s="544"/>
      <c r="F2265" s="544"/>
      <c r="G2265" s="544"/>
      <c r="H2265" s="544"/>
      <c r="I2265" s="544"/>
      <c r="J2265" s="544"/>
      <c r="K2265" s="544"/>
      <c r="L2265" s="544"/>
      <c r="M2265" s="544"/>
      <c r="N2265" s="544"/>
      <c r="O2265" s="544"/>
      <c r="P2265" s="544"/>
      <c r="Q2265" s="544"/>
      <c r="R2265" s="544"/>
      <c r="S2265" s="544"/>
      <c r="T2265" s="544"/>
      <c r="U2265" s="544"/>
    </row>
    <row r="2266" spans="1:21" x14ac:dyDescent="0.25">
      <c r="A2266" s="538" t="s">
        <v>12</v>
      </c>
      <c r="B2266" s="538"/>
      <c r="C2266" s="540" t="s">
        <v>788</v>
      </c>
      <c r="D2266" s="540"/>
      <c r="E2266" s="540"/>
      <c r="F2266" s="540"/>
      <c r="G2266" s="540"/>
      <c r="H2266" s="540"/>
      <c r="I2266" s="540"/>
      <c r="J2266" s="540"/>
      <c r="K2266" s="540"/>
      <c r="L2266" s="540"/>
      <c r="M2266" s="540"/>
      <c r="N2266" s="540"/>
      <c r="O2266" s="540"/>
      <c r="P2266" s="540"/>
      <c r="Q2266" s="540"/>
      <c r="R2266" s="540"/>
      <c r="S2266" s="540"/>
      <c r="T2266" s="540"/>
      <c r="U2266" s="541" t="s">
        <v>726</v>
      </c>
    </row>
    <row r="2267" spans="1:21" x14ac:dyDescent="0.25">
      <c r="A2267" s="538"/>
      <c r="B2267" s="538"/>
      <c r="C2267" s="540"/>
      <c r="D2267" s="540"/>
      <c r="E2267" s="540"/>
      <c r="F2267" s="540"/>
      <c r="G2267" s="540"/>
      <c r="H2267" s="540"/>
      <c r="I2267" s="540"/>
      <c r="J2267" s="540"/>
      <c r="K2267" s="540"/>
      <c r="L2267" s="540"/>
      <c r="M2267" s="540"/>
      <c r="N2267" s="540"/>
      <c r="O2267" s="540"/>
      <c r="P2267" s="540"/>
      <c r="Q2267" s="540"/>
      <c r="R2267" s="540"/>
      <c r="S2267" s="540"/>
      <c r="T2267" s="540"/>
      <c r="U2267" s="541"/>
    </row>
    <row r="2268" spans="1:21" x14ac:dyDescent="0.25">
      <c r="A2268" s="539" t="s">
        <v>724</v>
      </c>
      <c r="B2268" s="539"/>
      <c r="C2268" s="540"/>
      <c r="D2268" s="540"/>
      <c r="E2268" s="540"/>
      <c r="F2268" s="540"/>
      <c r="G2268" s="540"/>
      <c r="H2268" s="540"/>
      <c r="I2268" s="540"/>
      <c r="J2268" s="540"/>
      <c r="K2268" s="540"/>
      <c r="L2268" s="540"/>
      <c r="M2268" s="540"/>
      <c r="N2268" s="540"/>
      <c r="O2268" s="540"/>
      <c r="P2268" s="540"/>
      <c r="Q2268" s="540"/>
      <c r="R2268" s="540"/>
      <c r="S2268" s="540"/>
      <c r="T2268" s="540"/>
      <c r="U2268" s="541"/>
    </row>
    <row r="2269" spans="1:21" x14ac:dyDescent="0.25">
      <c r="A2269" s="542" t="s">
        <v>16</v>
      </c>
      <c r="B2269" s="543" t="s">
        <v>18</v>
      </c>
      <c r="C2269" s="543"/>
      <c r="D2269" s="543"/>
      <c r="E2269" s="543"/>
      <c r="F2269" s="543"/>
      <c r="G2269" s="543" t="s">
        <v>24</v>
      </c>
      <c r="H2269" s="543"/>
      <c r="I2269" s="543"/>
      <c r="J2269" s="543"/>
      <c r="K2269" s="543"/>
      <c r="L2269" s="543" t="s">
        <v>25</v>
      </c>
      <c r="M2269" s="543"/>
      <c r="N2269" s="543"/>
      <c r="O2269" s="543"/>
      <c r="P2269" s="543"/>
      <c r="Q2269" s="543" t="s">
        <v>26</v>
      </c>
      <c r="R2269" s="543"/>
      <c r="S2269" s="543"/>
      <c r="T2269" s="543"/>
      <c r="U2269" s="543"/>
    </row>
    <row r="2270" spans="1:21" x14ac:dyDescent="0.25">
      <c r="A2270" s="542"/>
      <c r="B2270" s="182" t="s">
        <v>19</v>
      </c>
      <c r="C2270" s="182" t="s">
        <v>20</v>
      </c>
      <c r="D2270" s="182" t="s">
        <v>21</v>
      </c>
      <c r="E2270" s="182" t="s">
        <v>22</v>
      </c>
      <c r="F2270" s="182" t="s">
        <v>23</v>
      </c>
      <c r="G2270" s="182" t="s">
        <v>19</v>
      </c>
      <c r="H2270" s="216" t="s">
        <v>20</v>
      </c>
      <c r="I2270" s="182" t="s">
        <v>21</v>
      </c>
      <c r="J2270" s="182" t="s">
        <v>22</v>
      </c>
      <c r="K2270" s="182" t="s">
        <v>23</v>
      </c>
      <c r="L2270" s="182" t="s">
        <v>19</v>
      </c>
      <c r="M2270" s="182" t="s">
        <v>20</v>
      </c>
      <c r="N2270" s="182" t="s">
        <v>21</v>
      </c>
      <c r="O2270" s="182" t="s">
        <v>22</v>
      </c>
      <c r="P2270" s="182" t="s">
        <v>23</v>
      </c>
      <c r="Q2270" s="182" t="s">
        <v>19</v>
      </c>
      <c r="R2270" s="182" t="s">
        <v>20</v>
      </c>
      <c r="S2270" s="182" t="s">
        <v>21</v>
      </c>
      <c r="T2270" s="182" t="s">
        <v>22</v>
      </c>
      <c r="U2270" s="211" t="s">
        <v>23</v>
      </c>
    </row>
    <row r="2271" spans="1:21" ht="63" x14ac:dyDescent="0.25">
      <c r="A2271" s="183" t="s">
        <v>789</v>
      </c>
      <c r="B2271" s="182" t="s">
        <v>47</v>
      </c>
      <c r="C2271" s="182" t="s">
        <v>28</v>
      </c>
      <c r="D2271" s="182">
        <v>3</v>
      </c>
      <c r="E2271" s="182">
        <f>skilled</f>
        <v>1245</v>
      </c>
      <c r="F2271" s="184">
        <f>(D2271*E2271)</f>
        <v>3735</v>
      </c>
      <c r="G2271" s="182" t="s">
        <v>85</v>
      </c>
      <c r="H2271" s="216" t="s">
        <v>35</v>
      </c>
      <c r="I2271" s="182">
        <v>5.21</v>
      </c>
      <c r="J2271" s="182">
        <f>adopted_rate_cement</f>
        <v>13031</v>
      </c>
      <c r="K2271" s="182">
        <f>(I2271*J2271)</f>
        <v>67891.509999999995</v>
      </c>
      <c r="L2271" s="182" t="s">
        <v>276</v>
      </c>
      <c r="M2271" s="182" t="s">
        <v>58</v>
      </c>
      <c r="N2271" s="182">
        <v>6</v>
      </c>
      <c r="O2271" s="182">
        <f>concrete_mixer</f>
        <v>296</v>
      </c>
      <c r="P2271" s="184">
        <f>(N2271*O2271)</f>
        <v>1776</v>
      </c>
      <c r="Q2271" s="182" t="s">
        <v>785</v>
      </c>
      <c r="R2271" s="182"/>
      <c r="U2271" s="223">
        <f>(S2271*T2271)</f>
        <v>0</v>
      </c>
    </row>
    <row r="2272" spans="1:21" ht="78.75" x14ac:dyDescent="0.25">
      <c r="B2272" s="182" t="s">
        <v>29</v>
      </c>
      <c r="C2272" s="182" t="s">
        <v>28</v>
      </c>
      <c r="D2272" s="182">
        <v>30</v>
      </c>
      <c r="E2272" s="182">
        <f>unskilled</f>
        <v>935</v>
      </c>
      <c r="F2272" s="184">
        <f>(D2272*E2272)</f>
        <v>28050</v>
      </c>
      <c r="G2272" s="182" t="s">
        <v>430</v>
      </c>
      <c r="H2272" s="216" t="s">
        <v>84</v>
      </c>
      <c r="I2272" s="182">
        <v>6.75</v>
      </c>
      <c r="J2272" s="182">
        <f>adopted_rate_sand</f>
        <v>3175.2000000000003</v>
      </c>
      <c r="K2272" s="182">
        <f>(I2272*J2272)</f>
        <v>21432.600000000002</v>
      </c>
      <c r="L2272" s="182" t="s">
        <v>76</v>
      </c>
      <c r="M2272" s="182" t="s">
        <v>58</v>
      </c>
      <c r="N2272" s="182">
        <v>6</v>
      </c>
      <c r="O2272" s="182">
        <f>generator</f>
        <v>855</v>
      </c>
      <c r="P2272" s="184">
        <f>(N2272*O2272)</f>
        <v>5130</v>
      </c>
      <c r="Q2272" s="182" t="s">
        <v>774</v>
      </c>
      <c r="R2272" s="182"/>
      <c r="U2272" s="223">
        <f>F2277*15/100</f>
        <v>25962.622500000005</v>
      </c>
    </row>
    <row r="2273" spans="1:21" ht="78.75" x14ac:dyDescent="0.25">
      <c r="G2273" s="182" t="s">
        <v>733</v>
      </c>
      <c r="H2273" s="216" t="s">
        <v>84</v>
      </c>
      <c r="I2273" s="182">
        <v>8.1</v>
      </c>
      <c r="J2273" s="182">
        <f>adopted_rate_aggregate_10_20_mm</f>
        <v>3351.6</v>
      </c>
      <c r="K2273" s="182">
        <f>(I2273*J2273)</f>
        <v>27147.96</v>
      </c>
      <c r="Q2273" s="182" t="s">
        <v>775</v>
      </c>
      <c r="R2273" s="182"/>
      <c r="U2273" s="223">
        <f>F2277*4/100</f>
        <v>6923.3660000000009</v>
      </c>
    </row>
    <row r="2274" spans="1:21" x14ac:dyDescent="0.25">
      <c r="G2274" s="182" t="s">
        <v>734</v>
      </c>
      <c r="H2274" s="216" t="s">
        <v>84</v>
      </c>
      <c r="I2274" s="182">
        <v>5.4</v>
      </c>
      <c r="J2274" s="182">
        <f>adopted_rate_aggregate_10_mm</f>
        <v>3175.2000000000003</v>
      </c>
      <c r="K2274" s="182">
        <f>(I2274*J2274)</f>
        <v>17146.080000000002</v>
      </c>
    </row>
    <row r="2275" spans="1:21" x14ac:dyDescent="0.25">
      <c r="G2275" s="182" t="s">
        <v>171</v>
      </c>
      <c r="H2275" s="216" t="s">
        <v>172</v>
      </c>
      <c r="I2275" s="182">
        <v>2.5</v>
      </c>
      <c r="J2275" s="182">
        <f>adopted_rate_water</f>
        <v>310</v>
      </c>
      <c r="K2275" s="182">
        <f>(I2275*J2275)</f>
        <v>775</v>
      </c>
    </row>
    <row r="2276" spans="1:21" x14ac:dyDescent="0.25">
      <c r="A2276" s="537" t="s">
        <v>30</v>
      </c>
      <c r="B2276" s="537"/>
      <c r="C2276" s="537"/>
      <c r="D2276" s="537"/>
      <c r="E2276" s="537"/>
      <c r="F2276" s="184">
        <f>SUM(F2270:F2275)</f>
        <v>31785</v>
      </c>
      <c r="G2276" s="537" t="s">
        <v>31</v>
      </c>
      <c r="H2276" s="537"/>
      <c r="I2276" s="537"/>
      <c r="J2276" s="537"/>
      <c r="K2276" s="184">
        <f>SUM(K2270:K2275)</f>
        <v>134393.15000000002</v>
      </c>
      <c r="L2276" s="537" t="s">
        <v>32</v>
      </c>
      <c r="M2276" s="537"/>
      <c r="N2276" s="537"/>
      <c r="O2276" s="537"/>
      <c r="P2276" s="184">
        <f>SUM(P2270:P2275)</f>
        <v>6906</v>
      </c>
      <c r="Q2276" s="537" t="s">
        <v>38</v>
      </c>
      <c r="R2276" s="537"/>
      <c r="S2276" s="537"/>
      <c r="T2276" s="537"/>
      <c r="U2276" s="223">
        <f>SUM(U2270:U2275)</f>
        <v>32885.988500000007</v>
      </c>
    </row>
    <row r="2277" spans="1:21" x14ac:dyDescent="0.25">
      <c r="A2277" s="537" t="s">
        <v>33</v>
      </c>
      <c r="B2277" s="537"/>
      <c r="C2277" s="537"/>
      <c r="D2277" s="537"/>
      <c r="E2277" s="537"/>
      <c r="F2277" s="184">
        <f>SUM(F2276+K2276+P2276)</f>
        <v>173084.15000000002</v>
      </c>
      <c r="G2277" s="537" t="s">
        <v>39</v>
      </c>
      <c r="H2277" s="537"/>
      <c r="I2277" s="537"/>
      <c r="J2277" s="537"/>
      <c r="K2277" s="184">
        <f>SUM(F2276+K2276+P2276+U2276)</f>
        <v>205970.13850000003</v>
      </c>
      <c r="L2277" s="537" t="s">
        <v>40</v>
      </c>
      <c r="M2277" s="537"/>
      <c r="N2277" s="537"/>
      <c r="O2277" s="537"/>
      <c r="P2277" s="184">
        <f>SUM(K2277*0.15)</f>
        <v>30895.520775000005</v>
      </c>
      <c r="Q2277" s="537" t="s">
        <v>41</v>
      </c>
      <c r="R2277" s="537"/>
      <c r="S2277" s="537"/>
      <c r="T2277" s="537"/>
      <c r="U2277" s="223">
        <f>SUM(K2277+P2277)</f>
        <v>236865.65927500004</v>
      </c>
    </row>
    <row r="2278" spans="1:21" x14ac:dyDescent="0.25">
      <c r="Q2278" s="537" t="s">
        <v>42</v>
      </c>
      <c r="R2278" s="537"/>
      <c r="S2278" s="537"/>
      <c r="T2278" s="537"/>
      <c r="U2278" s="224">
        <f>ROUND((U2277/15),2)</f>
        <v>15791.04</v>
      </c>
    </row>
    <row r="2279" spans="1:21" x14ac:dyDescent="0.25">
      <c r="A2279" s="544"/>
      <c r="B2279" s="544"/>
      <c r="C2279" s="544"/>
      <c r="D2279" s="544"/>
      <c r="E2279" s="544"/>
      <c r="F2279" s="544"/>
      <c r="G2279" s="544"/>
      <c r="H2279" s="544"/>
      <c r="I2279" s="544"/>
      <c r="J2279" s="544"/>
      <c r="K2279" s="544"/>
      <c r="L2279" s="544"/>
      <c r="M2279" s="544"/>
      <c r="N2279" s="544"/>
      <c r="O2279" s="544"/>
      <c r="P2279" s="544"/>
      <c r="Q2279" s="544"/>
      <c r="R2279" s="544"/>
      <c r="S2279" s="544"/>
      <c r="T2279" s="544"/>
      <c r="U2279" s="544"/>
    </row>
    <row r="2280" spans="1:21" x14ac:dyDescent="0.25">
      <c r="A2280" s="538" t="s">
        <v>12</v>
      </c>
      <c r="B2280" s="538"/>
      <c r="C2280" s="540" t="s">
        <v>790</v>
      </c>
      <c r="D2280" s="540"/>
      <c r="E2280" s="540"/>
      <c r="F2280" s="540"/>
      <c r="G2280" s="540"/>
      <c r="H2280" s="540"/>
      <c r="I2280" s="540"/>
      <c r="J2280" s="540"/>
      <c r="K2280" s="540"/>
      <c r="L2280" s="540"/>
      <c r="M2280" s="540"/>
      <c r="N2280" s="540"/>
      <c r="O2280" s="540"/>
      <c r="P2280" s="540"/>
      <c r="Q2280" s="540"/>
      <c r="R2280" s="540"/>
      <c r="S2280" s="540"/>
      <c r="T2280" s="540"/>
      <c r="U2280" s="541" t="s">
        <v>726</v>
      </c>
    </row>
    <row r="2281" spans="1:21" x14ac:dyDescent="0.25">
      <c r="A2281" s="538"/>
      <c r="B2281" s="538"/>
      <c r="C2281" s="540"/>
      <c r="D2281" s="540"/>
      <c r="E2281" s="540"/>
      <c r="F2281" s="540"/>
      <c r="G2281" s="540"/>
      <c r="H2281" s="540"/>
      <c r="I2281" s="540"/>
      <c r="J2281" s="540"/>
      <c r="K2281" s="540"/>
      <c r="L2281" s="540"/>
      <c r="M2281" s="540"/>
      <c r="N2281" s="540"/>
      <c r="O2281" s="540"/>
      <c r="P2281" s="540"/>
      <c r="Q2281" s="540"/>
      <c r="R2281" s="540"/>
      <c r="S2281" s="540"/>
      <c r="T2281" s="540"/>
      <c r="U2281" s="541"/>
    </row>
    <row r="2282" spans="1:21" x14ac:dyDescent="0.25">
      <c r="A2282" s="539" t="s">
        <v>724</v>
      </c>
      <c r="B2282" s="539"/>
      <c r="C2282" s="540"/>
      <c r="D2282" s="540"/>
      <c r="E2282" s="540"/>
      <c r="F2282" s="540"/>
      <c r="G2282" s="540"/>
      <c r="H2282" s="540"/>
      <c r="I2282" s="540"/>
      <c r="J2282" s="540"/>
      <c r="K2282" s="540"/>
      <c r="L2282" s="540"/>
      <c r="M2282" s="540"/>
      <c r="N2282" s="540"/>
      <c r="O2282" s="540"/>
      <c r="P2282" s="540"/>
      <c r="Q2282" s="540"/>
      <c r="R2282" s="540"/>
      <c r="S2282" s="540"/>
      <c r="T2282" s="540"/>
      <c r="U2282" s="541"/>
    </row>
    <row r="2283" spans="1:21" x14ac:dyDescent="0.25">
      <c r="A2283" s="542" t="s">
        <v>16</v>
      </c>
      <c r="B2283" s="543" t="s">
        <v>18</v>
      </c>
      <c r="C2283" s="543"/>
      <c r="D2283" s="543"/>
      <c r="E2283" s="543"/>
      <c r="F2283" s="543"/>
      <c r="G2283" s="543" t="s">
        <v>24</v>
      </c>
      <c r="H2283" s="543"/>
      <c r="I2283" s="543"/>
      <c r="J2283" s="543"/>
      <c r="K2283" s="543"/>
      <c r="L2283" s="543" t="s">
        <v>25</v>
      </c>
      <c r="M2283" s="543"/>
      <c r="N2283" s="543"/>
      <c r="O2283" s="543"/>
      <c r="P2283" s="543"/>
      <c r="Q2283" s="543" t="s">
        <v>26</v>
      </c>
      <c r="R2283" s="543"/>
      <c r="S2283" s="543"/>
      <c r="T2283" s="543"/>
      <c r="U2283" s="543"/>
    </row>
    <row r="2284" spans="1:21" x14ac:dyDescent="0.25">
      <c r="A2284" s="542"/>
      <c r="B2284" s="182" t="s">
        <v>19</v>
      </c>
      <c r="C2284" s="182" t="s">
        <v>20</v>
      </c>
      <c r="D2284" s="182" t="s">
        <v>21</v>
      </c>
      <c r="E2284" s="182" t="s">
        <v>22</v>
      </c>
      <c r="F2284" s="182" t="s">
        <v>23</v>
      </c>
      <c r="G2284" s="182" t="s">
        <v>19</v>
      </c>
      <c r="H2284" s="216" t="s">
        <v>20</v>
      </c>
      <c r="I2284" s="182" t="s">
        <v>21</v>
      </c>
      <c r="J2284" s="182" t="s">
        <v>22</v>
      </c>
      <c r="K2284" s="182" t="s">
        <v>23</v>
      </c>
      <c r="L2284" s="182" t="s">
        <v>19</v>
      </c>
      <c r="M2284" s="182" t="s">
        <v>20</v>
      </c>
      <c r="N2284" s="182" t="s">
        <v>21</v>
      </c>
      <c r="O2284" s="182" t="s">
        <v>22</v>
      </c>
      <c r="P2284" s="182" t="s">
        <v>23</v>
      </c>
      <c r="Q2284" s="182" t="s">
        <v>19</v>
      </c>
      <c r="R2284" s="182" t="s">
        <v>20</v>
      </c>
      <c r="S2284" s="182" t="s">
        <v>21</v>
      </c>
      <c r="T2284" s="182" t="s">
        <v>22</v>
      </c>
      <c r="U2284" s="211" t="s">
        <v>23</v>
      </c>
    </row>
    <row r="2285" spans="1:21" ht="63" x14ac:dyDescent="0.25">
      <c r="A2285" s="183" t="s">
        <v>791</v>
      </c>
      <c r="B2285" s="182" t="s">
        <v>47</v>
      </c>
      <c r="C2285" s="182" t="s">
        <v>28</v>
      </c>
      <c r="D2285" s="182">
        <v>3</v>
      </c>
      <c r="E2285" s="182">
        <f>skilled</f>
        <v>1245</v>
      </c>
      <c r="F2285" s="184">
        <f>(D2285*E2285)</f>
        <v>3735</v>
      </c>
      <c r="G2285" s="182" t="s">
        <v>85</v>
      </c>
      <c r="H2285" s="216" t="s">
        <v>35</v>
      </c>
      <c r="I2285" s="182">
        <v>6.05</v>
      </c>
      <c r="J2285" s="182">
        <f>adopted_rate_cement</f>
        <v>13031</v>
      </c>
      <c r="K2285" s="182">
        <f t="shared" ref="K2285:K2290" si="22">(I2285*J2285)</f>
        <v>78837.55</v>
      </c>
      <c r="L2285" s="182" t="s">
        <v>276</v>
      </c>
      <c r="M2285" s="182" t="s">
        <v>58</v>
      </c>
      <c r="N2285" s="182">
        <v>6</v>
      </c>
      <c r="O2285" s="182">
        <f>concrete_mixer</f>
        <v>296</v>
      </c>
      <c r="P2285" s="184">
        <f>(N2285*O2285)</f>
        <v>1776</v>
      </c>
      <c r="Q2285" s="182" t="s">
        <v>792</v>
      </c>
      <c r="R2285" s="182"/>
      <c r="U2285" s="223">
        <f>(S2285*T2285)</f>
        <v>0</v>
      </c>
    </row>
    <row r="2286" spans="1:21" ht="78.75" x14ac:dyDescent="0.25">
      <c r="B2286" s="182" t="s">
        <v>29</v>
      </c>
      <c r="C2286" s="182" t="s">
        <v>28</v>
      </c>
      <c r="D2286" s="182">
        <v>30</v>
      </c>
      <c r="E2286" s="182">
        <f>unskilled</f>
        <v>935</v>
      </c>
      <c r="F2286" s="184">
        <f>(D2286*E2286)</f>
        <v>28050</v>
      </c>
      <c r="G2286" s="182" t="s">
        <v>430</v>
      </c>
      <c r="H2286" s="216" t="s">
        <v>84</v>
      </c>
      <c r="I2286" s="182">
        <v>6.75</v>
      </c>
      <c r="J2286" s="182">
        <f>adopted_rate_sand</f>
        <v>3175.2000000000003</v>
      </c>
      <c r="K2286" s="182">
        <f t="shared" si="22"/>
        <v>21432.600000000002</v>
      </c>
      <c r="L2286" s="182" t="s">
        <v>76</v>
      </c>
      <c r="M2286" s="182" t="s">
        <v>58</v>
      </c>
      <c r="N2286" s="182">
        <v>6</v>
      </c>
      <c r="O2286" s="182">
        <f>generator</f>
        <v>855</v>
      </c>
      <c r="P2286" s="184">
        <f>(N2286*O2286)</f>
        <v>5130</v>
      </c>
      <c r="Q2286" s="182" t="s">
        <v>759</v>
      </c>
      <c r="R2286" s="182"/>
      <c r="U2286" s="223">
        <f>F2292*10/100</f>
        <v>19062.239000000001</v>
      </c>
    </row>
    <row r="2287" spans="1:21" x14ac:dyDescent="0.25">
      <c r="G2287" s="182" t="s">
        <v>733</v>
      </c>
      <c r="H2287" s="216" t="s">
        <v>84</v>
      </c>
      <c r="I2287" s="182">
        <v>8.1</v>
      </c>
      <c r="J2287" s="182">
        <f>adopted_rate_aggregate_10_20_mm</f>
        <v>3351.6</v>
      </c>
      <c r="K2287" s="182">
        <f t="shared" si="22"/>
        <v>27147.96</v>
      </c>
    </row>
    <row r="2288" spans="1:21" x14ac:dyDescent="0.25">
      <c r="G2288" s="182" t="s">
        <v>734</v>
      </c>
      <c r="H2288" s="216" t="s">
        <v>84</v>
      </c>
      <c r="I2288" s="182">
        <v>5.4</v>
      </c>
      <c r="J2288" s="182">
        <f>adopted_rate_aggregate_10_mm</f>
        <v>3175.2000000000003</v>
      </c>
      <c r="K2288" s="182">
        <f t="shared" si="22"/>
        <v>17146.080000000002</v>
      </c>
    </row>
    <row r="2289" spans="1:21" x14ac:dyDescent="0.25">
      <c r="G2289" s="182" t="s">
        <v>171</v>
      </c>
      <c r="H2289" s="216" t="s">
        <v>172</v>
      </c>
      <c r="I2289" s="182">
        <v>3</v>
      </c>
      <c r="J2289" s="182">
        <f>adopted_rate_water</f>
        <v>310</v>
      </c>
      <c r="K2289" s="182">
        <f t="shared" si="22"/>
        <v>930</v>
      </c>
    </row>
    <row r="2290" spans="1:21" x14ac:dyDescent="0.25">
      <c r="G2290" s="182" t="s">
        <v>745</v>
      </c>
      <c r="H2290" s="216" t="s">
        <v>144</v>
      </c>
      <c r="I2290" s="182">
        <v>24.2</v>
      </c>
      <c r="J2290" s="182">
        <f>adopted_rate_admixture</f>
        <v>266</v>
      </c>
      <c r="K2290" s="182">
        <f t="shared" si="22"/>
        <v>6437.2</v>
      </c>
    </row>
    <row r="2291" spans="1:21" x14ac:dyDescent="0.25">
      <c r="A2291" s="537" t="s">
        <v>30</v>
      </c>
      <c r="B2291" s="537"/>
      <c r="C2291" s="537"/>
      <c r="D2291" s="537"/>
      <c r="E2291" s="537"/>
      <c r="F2291" s="184">
        <f>SUM(F2284:F2290)</f>
        <v>31785</v>
      </c>
      <c r="G2291" s="537" t="s">
        <v>31</v>
      </c>
      <c r="H2291" s="537"/>
      <c r="I2291" s="537"/>
      <c r="J2291" s="537"/>
      <c r="K2291" s="184">
        <f>SUM(K2284:K2290)</f>
        <v>151931.39000000001</v>
      </c>
      <c r="L2291" s="537" t="s">
        <v>32</v>
      </c>
      <c r="M2291" s="537"/>
      <c r="N2291" s="537"/>
      <c r="O2291" s="537"/>
      <c r="P2291" s="184">
        <f>SUM(P2284:P2290)</f>
        <v>6906</v>
      </c>
      <c r="Q2291" s="537" t="s">
        <v>38</v>
      </c>
      <c r="R2291" s="537"/>
      <c r="S2291" s="537"/>
      <c r="T2291" s="537"/>
      <c r="U2291" s="223">
        <f>SUM(U2284:U2290)</f>
        <v>19062.239000000001</v>
      </c>
    </row>
    <row r="2292" spans="1:21" x14ac:dyDescent="0.25">
      <c r="A2292" s="537" t="s">
        <v>33</v>
      </c>
      <c r="B2292" s="537"/>
      <c r="C2292" s="537"/>
      <c r="D2292" s="537"/>
      <c r="E2292" s="537"/>
      <c r="F2292" s="184">
        <f>SUM(F2291+K2291+P2291)</f>
        <v>190622.39</v>
      </c>
      <c r="G2292" s="537" t="s">
        <v>39</v>
      </c>
      <c r="H2292" s="537"/>
      <c r="I2292" s="537"/>
      <c r="J2292" s="537"/>
      <c r="K2292" s="184">
        <f>SUM(F2291+K2291+P2291+U2291)</f>
        <v>209684.62900000002</v>
      </c>
      <c r="L2292" s="537" t="s">
        <v>40</v>
      </c>
      <c r="M2292" s="537"/>
      <c r="N2292" s="537"/>
      <c r="O2292" s="537"/>
      <c r="P2292" s="184">
        <f>SUM(K2292*0.15)</f>
        <v>31452.694350000002</v>
      </c>
      <c r="Q2292" s="537" t="s">
        <v>41</v>
      </c>
      <c r="R2292" s="537"/>
      <c r="S2292" s="537"/>
      <c r="T2292" s="537"/>
      <c r="U2292" s="223">
        <f>SUM(K2292+P2292)</f>
        <v>241137.32335000002</v>
      </c>
    </row>
    <row r="2293" spans="1:21" x14ac:dyDescent="0.25">
      <c r="Q2293" s="537" t="s">
        <v>42</v>
      </c>
      <c r="R2293" s="537"/>
      <c r="S2293" s="537"/>
      <c r="T2293" s="537"/>
      <c r="U2293" s="224">
        <f>ROUND((U2292/15),2)</f>
        <v>16075.82</v>
      </c>
    </row>
    <row r="2294" spans="1:21" x14ac:dyDescent="0.25">
      <c r="A2294" s="544"/>
      <c r="B2294" s="544"/>
      <c r="C2294" s="544"/>
      <c r="D2294" s="544"/>
      <c r="E2294" s="544"/>
      <c r="F2294" s="544"/>
      <c r="G2294" s="544"/>
      <c r="H2294" s="544"/>
      <c r="I2294" s="544"/>
      <c r="J2294" s="544"/>
      <c r="K2294" s="544"/>
      <c r="L2294" s="544"/>
      <c r="M2294" s="544"/>
      <c r="N2294" s="544"/>
      <c r="O2294" s="544"/>
      <c r="P2294" s="544"/>
      <c r="Q2294" s="544"/>
      <c r="R2294" s="544"/>
      <c r="S2294" s="544"/>
      <c r="T2294" s="544"/>
      <c r="U2294" s="544"/>
    </row>
    <row r="2295" spans="1:21" x14ac:dyDescent="0.25">
      <c r="A2295" s="538" t="s">
        <v>12</v>
      </c>
      <c r="B2295" s="538"/>
      <c r="C2295" s="540" t="s">
        <v>793</v>
      </c>
      <c r="D2295" s="540"/>
      <c r="E2295" s="540"/>
      <c r="F2295" s="540"/>
      <c r="G2295" s="540"/>
      <c r="H2295" s="540"/>
      <c r="I2295" s="540"/>
      <c r="J2295" s="540"/>
      <c r="K2295" s="540"/>
      <c r="L2295" s="540"/>
      <c r="M2295" s="540"/>
      <c r="N2295" s="540"/>
      <c r="O2295" s="540"/>
      <c r="P2295" s="540"/>
      <c r="Q2295" s="540"/>
      <c r="R2295" s="540"/>
      <c r="S2295" s="540"/>
      <c r="T2295" s="540"/>
      <c r="U2295" s="541" t="s">
        <v>726</v>
      </c>
    </row>
    <row r="2296" spans="1:21" x14ac:dyDescent="0.25">
      <c r="A2296" s="538"/>
      <c r="B2296" s="538"/>
      <c r="C2296" s="540"/>
      <c r="D2296" s="540"/>
      <c r="E2296" s="540"/>
      <c r="F2296" s="540"/>
      <c r="G2296" s="540"/>
      <c r="H2296" s="540"/>
      <c r="I2296" s="540"/>
      <c r="J2296" s="540"/>
      <c r="K2296" s="540"/>
      <c r="L2296" s="540"/>
      <c r="M2296" s="540"/>
      <c r="N2296" s="540"/>
      <c r="O2296" s="540"/>
      <c r="P2296" s="540"/>
      <c r="Q2296" s="540"/>
      <c r="R2296" s="540"/>
      <c r="S2296" s="540"/>
      <c r="T2296" s="540"/>
      <c r="U2296" s="541"/>
    </row>
    <row r="2297" spans="1:21" x14ac:dyDescent="0.25">
      <c r="A2297" s="539" t="s">
        <v>724</v>
      </c>
      <c r="B2297" s="539"/>
      <c r="C2297" s="540"/>
      <c r="D2297" s="540"/>
      <c r="E2297" s="540"/>
      <c r="F2297" s="540"/>
      <c r="G2297" s="540"/>
      <c r="H2297" s="540"/>
      <c r="I2297" s="540"/>
      <c r="J2297" s="540"/>
      <c r="K2297" s="540"/>
      <c r="L2297" s="540"/>
      <c r="M2297" s="540"/>
      <c r="N2297" s="540"/>
      <c r="O2297" s="540"/>
      <c r="P2297" s="540"/>
      <c r="Q2297" s="540"/>
      <c r="R2297" s="540"/>
      <c r="S2297" s="540"/>
      <c r="T2297" s="540"/>
      <c r="U2297" s="541"/>
    </row>
    <row r="2298" spans="1:21" x14ac:dyDescent="0.25">
      <c r="A2298" s="542" t="s">
        <v>16</v>
      </c>
      <c r="B2298" s="543" t="s">
        <v>18</v>
      </c>
      <c r="C2298" s="543"/>
      <c r="D2298" s="543"/>
      <c r="E2298" s="543"/>
      <c r="F2298" s="543"/>
      <c r="G2298" s="543" t="s">
        <v>24</v>
      </c>
      <c r="H2298" s="543"/>
      <c r="I2298" s="543"/>
      <c r="J2298" s="543"/>
      <c r="K2298" s="543"/>
      <c r="L2298" s="543" t="s">
        <v>25</v>
      </c>
      <c r="M2298" s="543"/>
      <c r="N2298" s="543"/>
      <c r="O2298" s="543"/>
      <c r="P2298" s="543"/>
      <c r="Q2298" s="543" t="s">
        <v>26</v>
      </c>
      <c r="R2298" s="543"/>
      <c r="S2298" s="543"/>
      <c r="T2298" s="543"/>
      <c r="U2298" s="543"/>
    </row>
    <row r="2299" spans="1:21" x14ac:dyDescent="0.25">
      <c r="A2299" s="542"/>
      <c r="B2299" s="182" t="s">
        <v>19</v>
      </c>
      <c r="C2299" s="182" t="s">
        <v>20</v>
      </c>
      <c r="D2299" s="182" t="s">
        <v>21</v>
      </c>
      <c r="E2299" s="182" t="s">
        <v>22</v>
      </c>
      <c r="F2299" s="182" t="s">
        <v>23</v>
      </c>
      <c r="G2299" s="182" t="s">
        <v>19</v>
      </c>
      <c r="H2299" s="216" t="s">
        <v>20</v>
      </c>
      <c r="I2299" s="182" t="s">
        <v>21</v>
      </c>
      <c r="J2299" s="182" t="s">
        <v>22</v>
      </c>
      <c r="K2299" s="182" t="s">
        <v>23</v>
      </c>
      <c r="L2299" s="182" t="s">
        <v>19</v>
      </c>
      <c r="M2299" s="182" t="s">
        <v>20</v>
      </c>
      <c r="N2299" s="182" t="s">
        <v>21</v>
      </c>
      <c r="O2299" s="182" t="s">
        <v>22</v>
      </c>
      <c r="P2299" s="182" t="s">
        <v>23</v>
      </c>
      <c r="Q2299" s="182" t="s">
        <v>19</v>
      </c>
      <c r="R2299" s="182" t="s">
        <v>20</v>
      </c>
      <c r="S2299" s="182" t="s">
        <v>21</v>
      </c>
      <c r="T2299" s="182" t="s">
        <v>22</v>
      </c>
      <c r="U2299" s="211" t="s">
        <v>23</v>
      </c>
    </row>
    <row r="2300" spans="1:21" ht="63" x14ac:dyDescent="0.25">
      <c r="A2300" s="183" t="s">
        <v>794</v>
      </c>
      <c r="B2300" s="182" t="s">
        <v>47</v>
      </c>
      <c r="C2300" s="182" t="s">
        <v>28</v>
      </c>
      <c r="D2300" s="182">
        <v>3</v>
      </c>
      <c r="E2300" s="182">
        <f>skilled</f>
        <v>1245</v>
      </c>
      <c r="F2300" s="184">
        <f>(D2300*E2300)</f>
        <v>3735</v>
      </c>
      <c r="G2300" s="182" t="s">
        <v>85</v>
      </c>
      <c r="H2300" s="216" t="s">
        <v>35</v>
      </c>
      <c r="I2300" s="182">
        <v>6.05</v>
      </c>
      <c r="J2300" s="182">
        <f>adopted_rate_cement</f>
        <v>13031</v>
      </c>
      <c r="K2300" s="182">
        <f t="shared" ref="K2300:K2305" si="23">(I2300*J2300)</f>
        <v>78837.55</v>
      </c>
      <c r="L2300" s="182" t="s">
        <v>276</v>
      </c>
      <c r="M2300" s="182" t="s">
        <v>58</v>
      </c>
      <c r="N2300" s="182">
        <v>6</v>
      </c>
      <c r="O2300" s="182">
        <f>concrete_mixer</f>
        <v>296</v>
      </c>
      <c r="P2300" s="184">
        <f>(N2300*O2300)</f>
        <v>1776</v>
      </c>
      <c r="Q2300" s="182" t="s">
        <v>792</v>
      </c>
      <c r="R2300" s="182"/>
      <c r="U2300" s="223">
        <f>(S2300*T2300)</f>
        <v>0</v>
      </c>
    </row>
    <row r="2301" spans="1:21" ht="78.75" x14ac:dyDescent="0.25">
      <c r="B2301" s="182" t="s">
        <v>29</v>
      </c>
      <c r="C2301" s="182" t="s">
        <v>28</v>
      </c>
      <c r="D2301" s="182">
        <v>30</v>
      </c>
      <c r="E2301" s="182">
        <f>unskilled</f>
        <v>935</v>
      </c>
      <c r="F2301" s="184">
        <f>(D2301*E2301)</f>
        <v>28050</v>
      </c>
      <c r="G2301" s="182" t="s">
        <v>430</v>
      </c>
      <c r="H2301" s="216" t="s">
        <v>84</v>
      </c>
      <c r="I2301" s="182">
        <v>6.75</v>
      </c>
      <c r="J2301" s="182">
        <f>adopted_rate_sand</f>
        <v>3175.2000000000003</v>
      </c>
      <c r="K2301" s="182">
        <f t="shared" si="23"/>
        <v>21432.600000000002</v>
      </c>
      <c r="L2301" s="182" t="s">
        <v>76</v>
      </c>
      <c r="M2301" s="182" t="s">
        <v>58</v>
      </c>
      <c r="N2301" s="182">
        <v>6</v>
      </c>
      <c r="O2301" s="182">
        <f>generator</f>
        <v>855</v>
      </c>
      <c r="P2301" s="184">
        <f>(N2301*O2301)</f>
        <v>5130</v>
      </c>
      <c r="Q2301" s="182" t="s">
        <v>770</v>
      </c>
      <c r="R2301" s="182"/>
      <c r="U2301" s="223">
        <f>F2307*12/100</f>
        <v>22874.686800000003</v>
      </c>
    </row>
    <row r="2302" spans="1:21" ht="78.75" x14ac:dyDescent="0.25">
      <c r="G2302" s="182" t="s">
        <v>733</v>
      </c>
      <c r="H2302" s="216" t="s">
        <v>84</v>
      </c>
      <c r="I2302" s="182">
        <v>8.1</v>
      </c>
      <c r="J2302" s="182">
        <f>adopted_rate_aggregate_10_20_mm</f>
        <v>3351.6</v>
      </c>
      <c r="K2302" s="182">
        <f t="shared" si="23"/>
        <v>27147.96</v>
      </c>
      <c r="Q2302" s="182" t="s">
        <v>771</v>
      </c>
      <c r="R2302" s="182"/>
      <c r="U2302" s="223">
        <f>F2307*2/100</f>
        <v>3812.4478000000004</v>
      </c>
    </row>
    <row r="2303" spans="1:21" x14ac:dyDescent="0.25">
      <c r="G2303" s="182" t="s">
        <v>734</v>
      </c>
      <c r="H2303" s="216" t="s">
        <v>84</v>
      </c>
      <c r="I2303" s="182">
        <v>5.4</v>
      </c>
      <c r="J2303" s="182">
        <f>adopted_rate_aggregate_10_mm</f>
        <v>3175.2000000000003</v>
      </c>
      <c r="K2303" s="182">
        <f t="shared" si="23"/>
        <v>17146.080000000002</v>
      </c>
    </row>
    <row r="2304" spans="1:21" x14ac:dyDescent="0.25">
      <c r="G2304" s="182" t="s">
        <v>171</v>
      </c>
      <c r="H2304" s="216" t="s">
        <v>172</v>
      </c>
      <c r="I2304" s="182">
        <v>3</v>
      </c>
      <c r="J2304" s="182">
        <f>adopted_rate_water</f>
        <v>310</v>
      </c>
      <c r="K2304" s="182">
        <f t="shared" si="23"/>
        <v>930</v>
      </c>
    </row>
    <row r="2305" spans="1:21" x14ac:dyDescent="0.25">
      <c r="G2305" s="182" t="s">
        <v>745</v>
      </c>
      <c r="H2305" s="216" t="s">
        <v>144</v>
      </c>
      <c r="I2305" s="182">
        <v>24.2</v>
      </c>
      <c r="J2305" s="182">
        <f>adopted_rate_admixture</f>
        <v>266</v>
      </c>
      <c r="K2305" s="182">
        <f t="shared" si="23"/>
        <v>6437.2</v>
      </c>
    </row>
    <row r="2306" spans="1:21" x14ac:dyDescent="0.25">
      <c r="A2306" s="537" t="s">
        <v>30</v>
      </c>
      <c r="B2306" s="537"/>
      <c r="C2306" s="537"/>
      <c r="D2306" s="537"/>
      <c r="E2306" s="537"/>
      <c r="F2306" s="184">
        <f>SUM(F2299:F2305)</f>
        <v>31785</v>
      </c>
      <c r="G2306" s="537" t="s">
        <v>31</v>
      </c>
      <c r="H2306" s="537"/>
      <c r="I2306" s="537"/>
      <c r="J2306" s="537"/>
      <c r="K2306" s="184">
        <f>SUM(K2299:K2305)</f>
        <v>151931.39000000001</v>
      </c>
      <c r="L2306" s="537" t="s">
        <v>32</v>
      </c>
      <c r="M2306" s="537"/>
      <c r="N2306" s="537"/>
      <c r="O2306" s="537"/>
      <c r="P2306" s="184">
        <f>SUM(P2299:P2305)</f>
        <v>6906</v>
      </c>
      <c r="Q2306" s="537" t="s">
        <v>38</v>
      </c>
      <c r="R2306" s="537"/>
      <c r="S2306" s="537"/>
      <c r="T2306" s="537"/>
      <c r="U2306" s="223">
        <f>SUM(U2299:U2305)</f>
        <v>26687.134600000005</v>
      </c>
    </row>
    <row r="2307" spans="1:21" x14ac:dyDescent="0.25">
      <c r="A2307" s="537" t="s">
        <v>33</v>
      </c>
      <c r="B2307" s="537"/>
      <c r="C2307" s="537"/>
      <c r="D2307" s="537"/>
      <c r="E2307" s="537"/>
      <c r="F2307" s="184">
        <f>SUM(F2306+K2306+P2306)</f>
        <v>190622.39</v>
      </c>
      <c r="G2307" s="537" t="s">
        <v>39</v>
      </c>
      <c r="H2307" s="537"/>
      <c r="I2307" s="537"/>
      <c r="J2307" s="537"/>
      <c r="K2307" s="184">
        <f>SUM(F2306+K2306+P2306+U2306)</f>
        <v>217309.5246</v>
      </c>
      <c r="L2307" s="537" t="s">
        <v>40</v>
      </c>
      <c r="M2307" s="537"/>
      <c r="N2307" s="537"/>
      <c r="O2307" s="537"/>
      <c r="P2307" s="184">
        <f>SUM(K2307*0.15)</f>
        <v>32596.428690000001</v>
      </c>
      <c r="Q2307" s="537" t="s">
        <v>41</v>
      </c>
      <c r="R2307" s="537"/>
      <c r="S2307" s="537"/>
      <c r="T2307" s="537"/>
      <c r="U2307" s="223">
        <f>SUM(K2307+P2307)</f>
        <v>249905.95329</v>
      </c>
    </row>
    <row r="2308" spans="1:21" x14ac:dyDescent="0.25">
      <c r="Q2308" s="537" t="s">
        <v>42</v>
      </c>
      <c r="R2308" s="537"/>
      <c r="S2308" s="537"/>
      <c r="T2308" s="537"/>
      <c r="U2308" s="224">
        <f>ROUND((U2307/15),2)</f>
        <v>16660.400000000001</v>
      </c>
    </row>
    <row r="2309" spans="1:21" x14ac:dyDescent="0.25">
      <c r="A2309" s="544"/>
      <c r="B2309" s="544"/>
      <c r="C2309" s="544"/>
      <c r="D2309" s="544"/>
      <c r="E2309" s="544"/>
      <c r="F2309" s="544"/>
      <c r="G2309" s="544"/>
      <c r="H2309" s="544"/>
      <c r="I2309" s="544"/>
      <c r="J2309" s="544"/>
      <c r="K2309" s="544"/>
      <c r="L2309" s="544"/>
      <c r="M2309" s="544"/>
      <c r="N2309" s="544"/>
      <c r="O2309" s="544"/>
      <c r="P2309" s="544"/>
      <c r="Q2309" s="544"/>
      <c r="R2309" s="544"/>
      <c r="S2309" s="544"/>
      <c r="T2309" s="544"/>
      <c r="U2309" s="544"/>
    </row>
    <row r="2310" spans="1:21" x14ac:dyDescent="0.25">
      <c r="A2310" s="538" t="s">
        <v>12</v>
      </c>
      <c r="B2310" s="538"/>
      <c r="C2310" s="540" t="s">
        <v>795</v>
      </c>
      <c r="D2310" s="540"/>
      <c r="E2310" s="540"/>
      <c r="F2310" s="540"/>
      <c r="G2310" s="540"/>
      <c r="H2310" s="540"/>
      <c r="I2310" s="540"/>
      <c r="J2310" s="540"/>
      <c r="K2310" s="540"/>
      <c r="L2310" s="540"/>
      <c r="M2310" s="540"/>
      <c r="N2310" s="540"/>
      <c r="O2310" s="540"/>
      <c r="P2310" s="540"/>
      <c r="Q2310" s="540"/>
      <c r="R2310" s="540"/>
      <c r="S2310" s="540"/>
      <c r="T2310" s="540"/>
      <c r="U2310" s="541" t="s">
        <v>726</v>
      </c>
    </row>
    <row r="2311" spans="1:21" x14ac:dyDescent="0.25">
      <c r="A2311" s="538"/>
      <c r="B2311" s="538"/>
      <c r="C2311" s="540"/>
      <c r="D2311" s="540"/>
      <c r="E2311" s="540"/>
      <c r="F2311" s="540"/>
      <c r="G2311" s="540"/>
      <c r="H2311" s="540"/>
      <c r="I2311" s="540"/>
      <c r="J2311" s="540"/>
      <c r="K2311" s="540"/>
      <c r="L2311" s="540"/>
      <c r="M2311" s="540"/>
      <c r="N2311" s="540"/>
      <c r="O2311" s="540"/>
      <c r="P2311" s="540"/>
      <c r="Q2311" s="540"/>
      <c r="R2311" s="540"/>
      <c r="S2311" s="540"/>
      <c r="T2311" s="540"/>
      <c r="U2311" s="541"/>
    </row>
    <row r="2312" spans="1:21" x14ac:dyDescent="0.25">
      <c r="A2312" s="539" t="s">
        <v>724</v>
      </c>
      <c r="B2312" s="539"/>
      <c r="C2312" s="540"/>
      <c r="D2312" s="540"/>
      <c r="E2312" s="540"/>
      <c r="F2312" s="540"/>
      <c r="G2312" s="540"/>
      <c r="H2312" s="540"/>
      <c r="I2312" s="540"/>
      <c r="J2312" s="540"/>
      <c r="K2312" s="540"/>
      <c r="L2312" s="540"/>
      <c r="M2312" s="540"/>
      <c r="N2312" s="540"/>
      <c r="O2312" s="540"/>
      <c r="P2312" s="540"/>
      <c r="Q2312" s="540"/>
      <c r="R2312" s="540"/>
      <c r="S2312" s="540"/>
      <c r="T2312" s="540"/>
      <c r="U2312" s="541"/>
    </row>
    <row r="2313" spans="1:21" x14ac:dyDescent="0.25">
      <c r="A2313" s="542" t="s">
        <v>16</v>
      </c>
      <c r="B2313" s="543" t="s">
        <v>18</v>
      </c>
      <c r="C2313" s="543"/>
      <c r="D2313" s="543"/>
      <c r="E2313" s="543"/>
      <c r="F2313" s="543"/>
      <c r="G2313" s="543" t="s">
        <v>24</v>
      </c>
      <c r="H2313" s="543"/>
      <c r="I2313" s="543"/>
      <c r="J2313" s="543"/>
      <c r="K2313" s="543"/>
      <c r="L2313" s="543" t="s">
        <v>25</v>
      </c>
      <c r="M2313" s="543"/>
      <c r="N2313" s="543"/>
      <c r="O2313" s="543"/>
      <c r="P2313" s="543"/>
      <c r="Q2313" s="543" t="s">
        <v>26</v>
      </c>
      <c r="R2313" s="543"/>
      <c r="S2313" s="543"/>
      <c r="T2313" s="543"/>
      <c r="U2313" s="543"/>
    </row>
    <row r="2314" spans="1:21" x14ac:dyDescent="0.25">
      <c r="A2314" s="542"/>
      <c r="B2314" s="182" t="s">
        <v>19</v>
      </c>
      <c r="C2314" s="182" t="s">
        <v>20</v>
      </c>
      <c r="D2314" s="182" t="s">
        <v>21</v>
      </c>
      <c r="E2314" s="182" t="s">
        <v>22</v>
      </c>
      <c r="F2314" s="182" t="s">
        <v>23</v>
      </c>
      <c r="G2314" s="182" t="s">
        <v>19</v>
      </c>
      <c r="H2314" s="216" t="s">
        <v>20</v>
      </c>
      <c r="I2314" s="182" t="s">
        <v>21</v>
      </c>
      <c r="J2314" s="182" t="s">
        <v>22</v>
      </c>
      <c r="K2314" s="182" t="s">
        <v>23</v>
      </c>
      <c r="L2314" s="182" t="s">
        <v>19</v>
      </c>
      <c r="M2314" s="182" t="s">
        <v>20</v>
      </c>
      <c r="N2314" s="182" t="s">
        <v>21</v>
      </c>
      <c r="O2314" s="182" t="s">
        <v>22</v>
      </c>
      <c r="P2314" s="182" t="s">
        <v>23</v>
      </c>
      <c r="Q2314" s="182" t="s">
        <v>19</v>
      </c>
      <c r="R2314" s="182" t="s">
        <v>20</v>
      </c>
      <c r="S2314" s="182" t="s">
        <v>21</v>
      </c>
      <c r="T2314" s="182" t="s">
        <v>22</v>
      </c>
      <c r="U2314" s="211" t="s">
        <v>23</v>
      </c>
    </row>
    <row r="2315" spans="1:21" ht="63" x14ac:dyDescent="0.25">
      <c r="A2315" s="183" t="s">
        <v>796</v>
      </c>
      <c r="B2315" s="182" t="s">
        <v>47</v>
      </c>
      <c r="C2315" s="182" t="s">
        <v>28</v>
      </c>
      <c r="D2315" s="182">
        <v>3</v>
      </c>
      <c r="E2315" s="182">
        <f>skilled</f>
        <v>1245</v>
      </c>
      <c r="F2315" s="184">
        <f>(D2315*E2315)</f>
        <v>3735</v>
      </c>
      <c r="G2315" s="182" t="s">
        <v>85</v>
      </c>
      <c r="H2315" s="216" t="s">
        <v>35</v>
      </c>
      <c r="I2315" s="182">
        <v>6.05</v>
      </c>
      <c r="J2315" s="182">
        <f>adopted_rate_cement</f>
        <v>13031</v>
      </c>
      <c r="K2315" s="182">
        <f t="shared" ref="K2315:K2320" si="24">(I2315*J2315)</f>
        <v>78837.55</v>
      </c>
      <c r="L2315" s="182" t="s">
        <v>276</v>
      </c>
      <c r="M2315" s="182" t="s">
        <v>58</v>
      </c>
      <c r="N2315" s="182">
        <v>6</v>
      </c>
      <c r="O2315" s="182">
        <f>concrete_mixer</f>
        <v>296</v>
      </c>
      <c r="P2315" s="184">
        <f>(N2315*O2315)</f>
        <v>1776</v>
      </c>
      <c r="Q2315" s="182" t="s">
        <v>792</v>
      </c>
      <c r="R2315" s="182"/>
      <c r="U2315" s="223">
        <f>(S2315*T2315)</f>
        <v>0</v>
      </c>
    </row>
    <row r="2316" spans="1:21" ht="78.75" x14ac:dyDescent="0.25">
      <c r="B2316" s="182" t="s">
        <v>29</v>
      </c>
      <c r="C2316" s="182" t="s">
        <v>28</v>
      </c>
      <c r="D2316" s="182">
        <v>30</v>
      </c>
      <c r="E2316" s="182">
        <f>unskilled</f>
        <v>935</v>
      </c>
      <c r="F2316" s="184">
        <f>(D2316*E2316)</f>
        <v>28050</v>
      </c>
      <c r="G2316" s="182" t="s">
        <v>430</v>
      </c>
      <c r="H2316" s="216" t="s">
        <v>84</v>
      </c>
      <c r="I2316" s="182">
        <v>6.75</v>
      </c>
      <c r="J2316" s="182">
        <f>adopted_rate_sand</f>
        <v>3175.2000000000003</v>
      </c>
      <c r="K2316" s="182">
        <f t="shared" si="24"/>
        <v>21432.600000000002</v>
      </c>
      <c r="L2316" s="182" t="s">
        <v>76</v>
      </c>
      <c r="M2316" s="182" t="s">
        <v>58</v>
      </c>
      <c r="N2316" s="182">
        <v>6</v>
      </c>
      <c r="O2316" s="182">
        <f>generator</f>
        <v>855</v>
      </c>
      <c r="P2316" s="184">
        <f>(N2316*O2316)</f>
        <v>5130</v>
      </c>
      <c r="Q2316" s="182" t="s">
        <v>774</v>
      </c>
      <c r="R2316" s="182"/>
      <c r="U2316" s="223">
        <f>F2322*15/100</f>
        <v>28593.358500000002</v>
      </c>
    </row>
    <row r="2317" spans="1:21" ht="78.75" x14ac:dyDescent="0.25">
      <c r="G2317" s="182" t="s">
        <v>733</v>
      </c>
      <c r="H2317" s="216" t="s">
        <v>84</v>
      </c>
      <c r="I2317" s="182">
        <v>8.1</v>
      </c>
      <c r="J2317" s="182">
        <f>adopted_rate_aggregate_10_20_mm</f>
        <v>3351.6</v>
      </c>
      <c r="K2317" s="182">
        <f t="shared" si="24"/>
        <v>27147.96</v>
      </c>
      <c r="Q2317" s="182" t="s">
        <v>775</v>
      </c>
      <c r="R2317" s="182"/>
      <c r="U2317" s="223">
        <f>F2322*4/100</f>
        <v>7624.8956000000007</v>
      </c>
    </row>
    <row r="2318" spans="1:21" x14ac:dyDescent="0.25">
      <c r="G2318" s="182" t="s">
        <v>734</v>
      </c>
      <c r="H2318" s="216" t="s">
        <v>84</v>
      </c>
      <c r="I2318" s="182">
        <v>5.4</v>
      </c>
      <c r="J2318" s="182">
        <f>adopted_rate_aggregate_10_mm</f>
        <v>3175.2000000000003</v>
      </c>
      <c r="K2318" s="182">
        <f t="shared" si="24"/>
        <v>17146.080000000002</v>
      </c>
    </row>
    <row r="2319" spans="1:21" x14ac:dyDescent="0.25">
      <c r="G2319" s="182" t="s">
        <v>171</v>
      </c>
      <c r="H2319" s="216" t="s">
        <v>172</v>
      </c>
      <c r="I2319" s="182">
        <v>3</v>
      </c>
      <c r="J2319" s="182">
        <f>adopted_rate_water</f>
        <v>310</v>
      </c>
      <c r="K2319" s="182">
        <f t="shared" si="24"/>
        <v>930</v>
      </c>
    </row>
    <row r="2320" spans="1:21" x14ac:dyDescent="0.25">
      <c r="G2320" s="182" t="s">
        <v>745</v>
      </c>
      <c r="H2320" s="216" t="s">
        <v>144</v>
      </c>
      <c r="I2320" s="182">
        <v>24.2</v>
      </c>
      <c r="J2320" s="182">
        <f>adopted_rate_admixture</f>
        <v>266</v>
      </c>
      <c r="K2320" s="182">
        <f t="shared" si="24"/>
        <v>6437.2</v>
      </c>
    </row>
    <row r="2321" spans="1:21" x14ac:dyDescent="0.25">
      <c r="A2321" s="537" t="s">
        <v>30</v>
      </c>
      <c r="B2321" s="537"/>
      <c r="C2321" s="537"/>
      <c r="D2321" s="537"/>
      <c r="E2321" s="537"/>
      <c r="F2321" s="184">
        <f>SUM(F2314:F2320)</f>
        <v>31785</v>
      </c>
      <c r="G2321" s="537" t="s">
        <v>31</v>
      </c>
      <c r="H2321" s="537"/>
      <c r="I2321" s="537"/>
      <c r="J2321" s="537"/>
      <c r="K2321" s="184">
        <f>SUM(K2314:K2320)</f>
        <v>151931.39000000001</v>
      </c>
      <c r="L2321" s="537" t="s">
        <v>32</v>
      </c>
      <c r="M2321" s="537"/>
      <c r="N2321" s="537"/>
      <c r="O2321" s="537"/>
      <c r="P2321" s="184">
        <f>SUM(P2314:P2320)</f>
        <v>6906</v>
      </c>
      <c r="Q2321" s="537" t="s">
        <v>38</v>
      </c>
      <c r="R2321" s="537"/>
      <c r="S2321" s="537"/>
      <c r="T2321" s="537"/>
      <c r="U2321" s="223">
        <f>SUM(U2314:U2320)</f>
        <v>36218.254100000006</v>
      </c>
    </row>
    <row r="2322" spans="1:21" x14ac:dyDescent="0.25">
      <c r="A2322" s="537" t="s">
        <v>33</v>
      </c>
      <c r="B2322" s="537"/>
      <c r="C2322" s="537"/>
      <c r="D2322" s="537"/>
      <c r="E2322" s="537"/>
      <c r="F2322" s="184">
        <f>SUM(F2321+K2321+P2321)</f>
        <v>190622.39</v>
      </c>
      <c r="G2322" s="537" t="s">
        <v>39</v>
      </c>
      <c r="H2322" s="537"/>
      <c r="I2322" s="537"/>
      <c r="J2322" s="537"/>
      <c r="K2322" s="184">
        <f>SUM(F2321+K2321+P2321+U2321)</f>
        <v>226840.64410000003</v>
      </c>
      <c r="L2322" s="537" t="s">
        <v>40</v>
      </c>
      <c r="M2322" s="537"/>
      <c r="N2322" s="537"/>
      <c r="O2322" s="537"/>
      <c r="P2322" s="184">
        <f>SUM(K2322*0.15)</f>
        <v>34026.096615000002</v>
      </c>
      <c r="Q2322" s="537" t="s">
        <v>41</v>
      </c>
      <c r="R2322" s="537"/>
      <c r="S2322" s="537"/>
      <c r="T2322" s="537"/>
      <c r="U2322" s="223">
        <f>SUM(K2322+P2322)</f>
        <v>260866.74071500002</v>
      </c>
    </row>
    <row r="2323" spans="1:21" x14ac:dyDescent="0.25">
      <c r="Q2323" s="537" t="s">
        <v>42</v>
      </c>
      <c r="R2323" s="537"/>
      <c r="S2323" s="537"/>
      <c r="T2323" s="537"/>
      <c r="U2323" s="224">
        <f>ROUND((U2322/15),2)</f>
        <v>17391.12</v>
      </c>
    </row>
    <row r="2324" spans="1:21" x14ac:dyDescent="0.25">
      <c r="A2324" s="544"/>
      <c r="B2324" s="544"/>
      <c r="C2324" s="544"/>
      <c r="D2324" s="544"/>
      <c r="E2324" s="544"/>
      <c r="F2324" s="544"/>
      <c r="G2324" s="544"/>
      <c r="H2324" s="544"/>
      <c r="I2324" s="544"/>
      <c r="J2324" s="544"/>
      <c r="K2324" s="544"/>
      <c r="L2324" s="544"/>
      <c r="M2324" s="544"/>
      <c r="N2324" s="544"/>
      <c r="O2324" s="544"/>
      <c r="P2324" s="544"/>
      <c r="Q2324" s="544"/>
      <c r="R2324" s="544"/>
      <c r="S2324" s="544"/>
      <c r="T2324" s="544"/>
      <c r="U2324" s="544"/>
    </row>
    <row r="2325" spans="1:21" x14ac:dyDescent="0.25">
      <c r="A2325" s="538" t="s">
        <v>12</v>
      </c>
      <c r="B2325" s="538"/>
      <c r="C2325" s="540" t="s">
        <v>797</v>
      </c>
      <c r="D2325" s="540"/>
      <c r="E2325" s="540"/>
      <c r="F2325" s="540"/>
      <c r="G2325" s="540"/>
      <c r="H2325" s="540"/>
      <c r="I2325" s="540"/>
      <c r="J2325" s="540"/>
      <c r="K2325" s="540"/>
      <c r="L2325" s="540"/>
      <c r="M2325" s="540"/>
      <c r="N2325" s="540"/>
      <c r="O2325" s="540"/>
      <c r="P2325" s="540"/>
      <c r="Q2325" s="540"/>
      <c r="R2325" s="540"/>
      <c r="S2325" s="540"/>
      <c r="T2325" s="540"/>
      <c r="U2325" s="541" t="s">
        <v>726</v>
      </c>
    </row>
    <row r="2326" spans="1:21" x14ac:dyDescent="0.25">
      <c r="A2326" s="538"/>
      <c r="B2326" s="538"/>
      <c r="C2326" s="540"/>
      <c r="D2326" s="540"/>
      <c r="E2326" s="540"/>
      <c r="F2326" s="540"/>
      <c r="G2326" s="540"/>
      <c r="H2326" s="540"/>
      <c r="I2326" s="540"/>
      <c r="J2326" s="540"/>
      <c r="K2326" s="540"/>
      <c r="L2326" s="540"/>
      <c r="M2326" s="540"/>
      <c r="N2326" s="540"/>
      <c r="O2326" s="540"/>
      <c r="P2326" s="540"/>
      <c r="Q2326" s="540"/>
      <c r="R2326" s="540"/>
      <c r="S2326" s="540"/>
      <c r="T2326" s="540"/>
      <c r="U2326" s="541"/>
    </row>
    <row r="2327" spans="1:21" x14ac:dyDescent="0.25">
      <c r="A2327" s="539" t="s">
        <v>724</v>
      </c>
      <c r="B2327" s="539"/>
      <c r="C2327" s="540"/>
      <c r="D2327" s="540"/>
      <c r="E2327" s="540"/>
      <c r="F2327" s="540"/>
      <c r="G2327" s="540"/>
      <c r="H2327" s="540"/>
      <c r="I2327" s="540"/>
      <c r="J2327" s="540"/>
      <c r="K2327" s="540"/>
      <c r="L2327" s="540"/>
      <c r="M2327" s="540"/>
      <c r="N2327" s="540"/>
      <c r="O2327" s="540"/>
      <c r="P2327" s="540"/>
      <c r="Q2327" s="540"/>
      <c r="R2327" s="540"/>
      <c r="S2327" s="540"/>
      <c r="T2327" s="540"/>
      <c r="U2327" s="541"/>
    </row>
    <row r="2328" spans="1:21" x14ac:dyDescent="0.25">
      <c r="A2328" s="542" t="s">
        <v>16</v>
      </c>
      <c r="B2328" s="543" t="s">
        <v>18</v>
      </c>
      <c r="C2328" s="543"/>
      <c r="D2328" s="543"/>
      <c r="E2328" s="543"/>
      <c r="F2328" s="543"/>
      <c r="G2328" s="543" t="s">
        <v>24</v>
      </c>
      <c r="H2328" s="543"/>
      <c r="I2328" s="543"/>
      <c r="J2328" s="543"/>
      <c r="K2328" s="543"/>
      <c r="L2328" s="543" t="s">
        <v>25</v>
      </c>
      <c r="M2328" s="543"/>
      <c r="N2328" s="543"/>
      <c r="O2328" s="543"/>
      <c r="P2328" s="543"/>
      <c r="Q2328" s="543" t="s">
        <v>26</v>
      </c>
      <c r="R2328" s="543"/>
      <c r="S2328" s="543"/>
      <c r="T2328" s="543"/>
      <c r="U2328" s="543"/>
    </row>
    <row r="2329" spans="1:21" x14ac:dyDescent="0.25">
      <c r="A2329" s="542"/>
      <c r="B2329" s="182" t="s">
        <v>19</v>
      </c>
      <c r="C2329" s="182" t="s">
        <v>20</v>
      </c>
      <c r="D2329" s="182" t="s">
        <v>21</v>
      </c>
      <c r="E2329" s="182" t="s">
        <v>22</v>
      </c>
      <c r="F2329" s="182" t="s">
        <v>23</v>
      </c>
      <c r="G2329" s="182" t="s">
        <v>19</v>
      </c>
      <c r="H2329" s="216" t="s">
        <v>20</v>
      </c>
      <c r="I2329" s="182" t="s">
        <v>21</v>
      </c>
      <c r="J2329" s="182" t="s">
        <v>22</v>
      </c>
      <c r="K2329" s="182" t="s">
        <v>23</v>
      </c>
      <c r="L2329" s="182" t="s">
        <v>19</v>
      </c>
      <c r="M2329" s="182" t="s">
        <v>20</v>
      </c>
      <c r="N2329" s="182" t="s">
        <v>21</v>
      </c>
      <c r="O2329" s="182" t="s">
        <v>22</v>
      </c>
      <c r="P2329" s="182" t="s">
        <v>23</v>
      </c>
      <c r="Q2329" s="182" t="s">
        <v>19</v>
      </c>
      <c r="R2329" s="182" t="s">
        <v>20</v>
      </c>
      <c r="S2329" s="182" t="s">
        <v>21</v>
      </c>
      <c r="T2329" s="182" t="s">
        <v>22</v>
      </c>
      <c r="U2329" s="211" t="s">
        <v>23</v>
      </c>
    </row>
    <row r="2330" spans="1:21" ht="63" x14ac:dyDescent="0.25">
      <c r="A2330" s="183" t="s">
        <v>798</v>
      </c>
      <c r="B2330" s="182" t="s">
        <v>47</v>
      </c>
      <c r="C2330" s="182" t="s">
        <v>28</v>
      </c>
      <c r="D2330" s="182">
        <v>3</v>
      </c>
      <c r="E2330" s="182">
        <f>skilled</f>
        <v>1245</v>
      </c>
      <c r="F2330" s="184">
        <f>(D2330*E2330)</f>
        <v>3735</v>
      </c>
      <c r="G2330" s="182" t="s">
        <v>85</v>
      </c>
      <c r="H2330" s="216" t="s">
        <v>35</v>
      </c>
      <c r="I2330" s="182">
        <v>6.1</v>
      </c>
      <c r="J2330" s="182">
        <f>adopted_rate_cement</f>
        <v>13031</v>
      </c>
      <c r="K2330" s="182">
        <f t="shared" ref="K2330:K2335" si="25">(I2330*J2330)</f>
        <v>79489.099999999991</v>
      </c>
      <c r="L2330" s="182" t="s">
        <v>276</v>
      </c>
      <c r="M2330" s="182" t="s">
        <v>58</v>
      </c>
      <c r="N2330" s="182">
        <v>6</v>
      </c>
      <c r="O2330" s="182">
        <f>concrete_mixer</f>
        <v>296</v>
      </c>
      <c r="P2330" s="184">
        <f>(N2330*O2330)</f>
        <v>1776</v>
      </c>
      <c r="Q2330" s="182" t="s">
        <v>799</v>
      </c>
      <c r="R2330" s="182"/>
      <c r="U2330" s="223">
        <f>(S2330*T2330)</f>
        <v>0</v>
      </c>
    </row>
    <row r="2331" spans="1:21" ht="78.75" x14ac:dyDescent="0.25">
      <c r="B2331" s="182" t="s">
        <v>29</v>
      </c>
      <c r="C2331" s="182" t="s">
        <v>28</v>
      </c>
      <c r="D2331" s="182">
        <v>30</v>
      </c>
      <c r="E2331" s="182">
        <f>unskilled</f>
        <v>935</v>
      </c>
      <c r="F2331" s="184">
        <f>(D2331*E2331)</f>
        <v>28050</v>
      </c>
      <c r="G2331" s="182" t="s">
        <v>430</v>
      </c>
      <c r="H2331" s="216" t="s">
        <v>84</v>
      </c>
      <c r="I2331" s="182">
        <v>6.75</v>
      </c>
      <c r="J2331" s="182">
        <f>adopted_rate_sand</f>
        <v>3175.2000000000003</v>
      </c>
      <c r="K2331" s="182">
        <f t="shared" si="25"/>
        <v>21432.600000000002</v>
      </c>
      <c r="L2331" s="182" t="s">
        <v>76</v>
      </c>
      <c r="M2331" s="182" t="s">
        <v>58</v>
      </c>
      <c r="N2331" s="182">
        <v>6</v>
      </c>
      <c r="O2331" s="182">
        <f>generator</f>
        <v>855</v>
      </c>
      <c r="P2331" s="184">
        <f>(N2331*O2331)</f>
        <v>5130</v>
      </c>
      <c r="Q2331" s="182" t="s">
        <v>759</v>
      </c>
      <c r="R2331" s="182"/>
      <c r="U2331" s="223">
        <f>F2337*10/100</f>
        <v>19132.714</v>
      </c>
    </row>
    <row r="2332" spans="1:21" x14ac:dyDescent="0.25">
      <c r="G2332" s="182" t="s">
        <v>733</v>
      </c>
      <c r="H2332" s="216" t="s">
        <v>84</v>
      </c>
      <c r="I2332" s="182">
        <v>8.1</v>
      </c>
      <c r="J2332" s="182">
        <f>adopted_rate_aggregate_10_20_mm</f>
        <v>3351.6</v>
      </c>
      <c r="K2332" s="182">
        <f t="shared" si="25"/>
        <v>27147.96</v>
      </c>
    </row>
    <row r="2333" spans="1:21" x14ac:dyDescent="0.25">
      <c r="G2333" s="182" t="s">
        <v>734</v>
      </c>
      <c r="H2333" s="216" t="s">
        <v>84</v>
      </c>
      <c r="I2333" s="182">
        <v>5.4</v>
      </c>
      <c r="J2333" s="182">
        <f>adopted_rate_aggregate_10_mm</f>
        <v>3175.2000000000003</v>
      </c>
      <c r="K2333" s="182">
        <f t="shared" si="25"/>
        <v>17146.080000000002</v>
      </c>
    </row>
    <row r="2334" spans="1:21" x14ac:dyDescent="0.25">
      <c r="G2334" s="182" t="s">
        <v>171</v>
      </c>
      <c r="H2334" s="216" t="s">
        <v>172</v>
      </c>
      <c r="I2334" s="182">
        <v>3</v>
      </c>
      <c r="J2334" s="182">
        <f>adopted_rate_water</f>
        <v>310</v>
      </c>
      <c r="K2334" s="182">
        <f t="shared" si="25"/>
        <v>930</v>
      </c>
    </row>
    <row r="2335" spans="1:21" x14ac:dyDescent="0.25">
      <c r="G2335" s="182" t="s">
        <v>745</v>
      </c>
      <c r="H2335" s="216" t="s">
        <v>144</v>
      </c>
      <c r="I2335" s="182">
        <v>24.4</v>
      </c>
      <c r="J2335" s="182">
        <f>adopted_rate_admixture</f>
        <v>266</v>
      </c>
      <c r="K2335" s="182">
        <f t="shared" si="25"/>
        <v>6490.4</v>
      </c>
    </row>
    <row r="2336" spans="1:21" x14ac:dyDescent="0.25">
      <c r="A2336" s="537" t="s">
        <v>30</v>
      </c>
      <c r="B2336" s="537"/>
      <c r="C2336" s="537"/>
      <c r="D2336" s="537"/>
      <c r="E2336" s="537"/>
      <c r="F2336" s="184">
        <f>SUM(F2329:F2335)</f>
        <v>31785</v>
      </c>
      <c r="G2336" s="537" t="s">
        <v>31</v>
      </c>
      <c r="H2336" s="537"/>
      <c r="I2336" s="537"/>
      <c r="J2336" s="537"/>
      <c r="K2336" s="184">
        <f>SUM(K2329:K2335)</f>
        <v>152636.13999999998</v>
      </c>
      <c r="L2336" s="537" t="s">
        <v>32</v>
      </c>
      <c r="M2336" s="537"/>
      <c r="N2336" s="537"/>
      <c r="O2336" s="537"/>
      <c r="P2336" s="184">
        <f>SUM(P2329:P2335)</f>
        <v>6906</v>
      </c>
      <c r="Q2336" s="537" t="s">
        <v>38</v>
      </c>
      <c r="R2336" s="537"/>
      <c r="S2336" s="537"/>
      <c r="T2336" s="537"/>
      <c r="U2336" s="223">
        <f>SUM(U2329:U2335)</f>
        <v>19132.714</v>
      </c>
    </row>
    <row r="2337" spans="1:21" x14ac:dyDescent="0.25">
      <c r="A2337" s="537" t="s">
        <v>33</v>
      </c>
      <c r="B2337" s="537"/>
      <c r="C2337" s="537"/>
      <c r="D2337" s="537"/>
      <c r="E2337" s="537"/>
      <c r="F2337" s="184">
        <f>SUM(F2336+K2336+P2336)</f>
        <v>191327.13999999998</v>
      </c>
      <c r="G2337" s="537" t="s">
        <v>39</v>
      </c>
      <c r="H2337" s="537"/>
      <c r="I2337" s="537"/>
      <c r="J2337" s="537"/>
      <c r="K2337" s="184">
        <f>SUM(F2336+K2336+P2336+U2336)</f>
        <v>210459.85399999999</v>
      </c>
      <c r="L2337" s="537" t="s">
        <v>40</v>
      </c>
      <c r="M2337" s="537"/>
      <c r="N2337" s="537"/>
      <c r="O2337" s="537"/>
      <c r="P2337" s="184">
        <f>SUM(K2337*0.15)</f>
        <v>31568.978099999997</v>
      </c>
      <c r="Q2337" s="537" t="s">
        <v>41</v>
      </c>
      <c r="R2337" s="537"/>
      <c r="S2337" s="537"/>
      <c r="T2337" s="537"/>
      <c r="U2337" s="223">
        <f>SUM(K2337+P2337)</f>
        <v>242028.8321</v>
      </c>
    </row>
    <row r="2338" spans="1:21" x14ac:dyDescent="0.25">
      <c r="Q2338" s="537" t="s">
        <v>42</v>
      </c>
      <c r="R2338" s="537"/>
      <c r="S2338" s="537"/>
      <c r="T2338" s="537"/>
      <c r="U2338" s="224">
        <f>ROUND((U2337/15),2)</f>
        <v>16135.26</v>
      </c>
    </row>
    <row r="2339" spans="1:21" x14ac:dyDescent="0.25">
      <c r="A2339" s="544"/>
      <c r="B2339" s="544"/>
      <c r="C2339" s="544"/>
      <c r="D2339" s="544"/>
      <c r="E2339" s="544"/>
      <c r="F2339" s="544"/>
      <c r="G2339" s="544"/>
      <c r="H2339" s="544"/>
      <c r="I2339" s="544"/>
      <c r="J2339" s="544"/>
      <c r="K2339" s="544"/>
      <c r="L2339" s="544"/>
      <c r="M2339" s="544"/>
      <c r="N2339" s="544"/>
      <c r="O2339" s="544"/>
      <c r="P2339" s="544"/>
      <c r="Q2339" s="544"/>
      <c r="R2339" s="544"/>
      <c r="S2339" s="544"/>
      <c r="T2339" s="544"/>
      <c r="U2339" s="544"/>
    </row>
    <row r="2340" spans="1:21" x14ac:dyDescent="0.25">
      <c r="A2340" s="538" t="s">
        <v>12</v>
      </c>
      <c r="B2340" s="538"/>
      <c r="C2340" s="540" t="s">
        <v>800</v>
      </c>
      <c r="D2340" s="540"/>
      <c r="E2340" s="540"/>
      <c r="F2340" s="540"/>
      <c r="G2340" s="540"/>
      <c r="H2340" s="540"/>
      <c r="I2340" s="540"/>
      <c r="J2340" s="540"/>
      <c r="K2340" s="540"/>
      <c r="L2340" s="540"/>
      <c r="M2340" s="540"/>
      <c r="N2340" s="540"/>
      <c r="O2340" s="540"/>
      <c r="P2340" s="540"/>
      <c r="Q2340" s="540"/>
      <c r="R2340" s="540"/>
      <c r="S2340" s="540"/>
      <c r="T2340" s="540"/>
      <c r="U2340" s="541" t="s">
        <v>726</v>
      </c>
    </row>
    <row r="2341" spans="1:21" x14ac:dyDescent="0.25">
      <c r="A2341" s="538"/>
      <c r="B2341" s="538"/>
      <c r="C2341" s="540"/>
      <c r="D2341" s="540"/>
      <c r="E2341" s="540"/>
      <c r="F2341" s="540"/>
      <c r="G2341" s="540"/>
      <c r="H2341" s="540"/>
      <c r="I2341" s="540"/>
      <c r="J2341" s="540"/>
      <c r="K2341" s="540"/>
      <c r="L2341" s="540"/>
      <c r="M2341" s="540"/>
      <c r="N2341" s="540"/>
      <c r="O2341" s="540"/>
      <c r="P2341" s="540"/>
      <c r="Q2341" s="540"/>
      <c r="R2341" s="540"/>
      <c r="S2341" s="540"/>
      <c r="T2341" s="540"/>
      <c r="U2341" s="541"/>
    </row>
    <row r="2342" spans="1:21" x14ac:dyDescent="0.25">
      <c r="A2342" s="539" t="s">
        <v>724</v>
      </c>
      <c r="B2342" s="539"/>
      <c r="C2342" s="540"/>
      <c r="D2342" s="540"/>
      <c r="E2342" s="540"/>
      <c r="F2342" s="540"/>
      <c r="G2342" s="540"/>
      <c r="H2342" s="540"/>
      <c r="I2342" s="540"/>
      <c r="J2342" s="540"/>
      <c r="K2342" s="540"/>
      <c r="L2342" s="540"/>
      <c r="M2342" s="540"/>
      <c r="N2342" s="540"/>
      <c r="O2342" s="540"/>
      <c r="P2342" s="540"/>
      <c r="Q2342" s="540"/>
      <c r="R2342" s="540"/>
      <c r="S2342" s="540"/>
      <c r="T2342" s="540"/>
      <c r="U2342" s="541"/>
    </row>
    <row r="2343" spans="1:21" x14ac:dyDescent="0.25">
      <c r="A2343" s="542" t="s">
        <v>16</v>
      </c>
      <c r="B2343" s="543" t="s">
        <v>18</v>
      </c>
      <c r="C2343" s="543"/>
      <c r="D2343" s="543"/>
      <c r="E2343" s="543"/>
      <c r="F2343" s="543"/>
      <c r="G2343" s="543" t="s">
        <v>24</v>
      </c>
      <c r="H2343" s="543"/>
      <c r="I2343" s="543"/>
      <c r="J2343" s="543"/>
      <c r="K2343" s="543"/>
      <c r="L2343" s="543" t="s">
        <v>25</v>
      </c>
      <c r="M2343" s="543"/>
      <c r="N2343" s="543"/>
      <c r="O2343" s="543"/>
      <c r="P2343" s="543"/>
      <c r="Q2343" s="543" t="s">
        <v>26</v>
      </c>
      <c r="R2343" s="543"/>
      <c r="S2343" s="543"/>
      <c r="T2343" s="543"/>
      <c r="U2343" s="543"/>
    </row>
    <row r="2344" spans="1:21" x14ac:dyDescent="0.25">
      <c r="A2344" s="542"/>
      <c r="B2344" s="182" t="s">
        <v>19</v>
      </c>
      <c r="C2344" s="182" t="s">
        <v>20</v>
      </c>
      <c r="D2344" s="182" t="s">
        <v>21</v>
      </c>
      <c r="E2344" s="182" t="s">
        <v>22</v>
      </c>
      <c r="F2344" s="182" t="s">
        <v>23</v>
      </c>
      <c r="G2344" s="182" t="s">
        <v>19</v>
      </c>
      <c r="H2344" s="216" t="s">
        <v>20</v>
      </c>
      <c r="I2344" s="182" t="s">
        <v>21</v>
      </c>
      <c r="J2344" s="182" t="s">
        <v>22</v>
      </c>
      <c r="K2344" s="182" t="s">
        <v>23</v>
      </c>
      <c r="L2344" s="182" t="s">
        <v>19</v>
      </c>
      <c r="M2344" s="182" t="s">
        <v>20</v>
      </c>
      <c r="N2344" s="182" t="s">
        <v>21</v>
      </c>
      <c r="O2344" s="182" t="s">
        <v>22</v>
      </c>
      <c r="P2344" s="182" t="s">
        <v>23</v>
      </c>
      <c r="Q2344" s="182" t="s">
        <v>19</v>
      </c>
      <c r="R2344" s="182" t="s">
        <v>20</v>
      </c>
      <c r="S2344" s="182" t="s">
        <v>21</v>
      </c>
      <c r="T2344" s="182" t="s">
        <v>22</v>
      </c>
      <c r="U2344" s="211" t="s">
        <v>23</v>
      </c>
    </row>
    <row r="2345" spans="1:21" ht="63" x14ac:dyDescent="0.25">
      <c r="A2345" s="183" t="s">
        <v>801</v>
      </c>
      <c r="B2345" s="182" t="s">
        <v>47</v>
      </c>
      <c r="C2345" s="182" t="s">
        <v>28</v>
      </c>
      <c r="D2345" s="182">
        <v>3</v>
      </c>
      <c r="E2345" s="182">
        <f>skilled</f>
        <v>1245</v>
      </c>
      <c r="F2345" s="184">
        <f>(D2345*E2345)</f>
        <v>3735</v>
      </c>
      <c r="G2345" s="182" t="s">
        <v>85</v>
      </c>
      <c r="H2345" s="216" t="s">
        <v>35</v>
      </c>
      <c r="I2345" s="182">
        <v>6.1</v>
      </c>
      <c r="J2345" s="182">
        <f>adopted_rate_cement</f>
        <v>13031</v>
      </c>
      <c r="K2345" s="182">
        <f t="shared" ref="K2345:K2350" si="26">(I2345*J2345)</f>
        <v>79489.099999999991</v>
      </c>
      <c r="L2345" s="182" t="s">
        <v>276</v>
      </c>
      <c r="M2345" s="182" t="s">
        <v>58</v>
      </c>
      <c r="N2345" s="182">
        <v>6</v>
      </c>
      <c r="O2345" s="182">
        <f>concrete_mixer</f>
        <v>296</v>
      </c>
      <c r="P2345" s="184">
        <f>(N2345*O2345)</f>
        <v>1776</v>
      </c>
      <c r="Q2345" s="182" t="s">
        <v>799</v>
      </c>
      <c r="R2345" s="182"/>
      <c r="U2345" s="223">
        <f>(S2345*T2345)</f>
        <v>0</v>
      </c>
    </row>
    <row r="2346" spans="1:21" ht="78.75" x14ac:dyDescent="0.25">
      <c r="B2346" s="182" t="s">
        <v>29</v>
      </c>
      <c r="C2346" s="182" t="s">
        <v>28</v>
      </c>
      <c r="D2346" s="182">
        <v>30</v>
      </c>
      <c r="E2346" s="182">
        <f>unskilled</f>
        <v>935</v>
      </c>
      <c r="F2346" s="184">
        <f>(D2346*E2346)</f>
        <v>28050</v>
      </c>
      <c r="G2346" s="182" t="s">
        <v>430</v>
      </c>
      <c r="H2346" s="216" t="s">
        <v>84</v>
      </c>
      <c r="I2346" s="182">
        <v>6.75</v>
      </c>
      <c r="J2346" s="182">
        <f>adopted_rate_sand</f>
        <v>3175.2000000000003</v>
      </c>
      <c r="K2346" s="182">
        <f t="shared" si="26"/>
        <v>21432.600000000002</v>
      </c>
      <c r="L2346" s="182" t="s">
        <v>76</v>
      </c>
      <c r="M2346" s="182" t="s">
        <v>58</v>
      </c>
      <c r="N2346" s="182">
        <v>6</v>
      </c>
      <c r="O2346" s="182">
        <f>generator</f>
        <v>855</v>
      </c>
      <c r="P2346" s="184">
        <f>(N2346*O2346)</f>
        <v>5130</v>
      </c>
      <c r="Q2346" s="182" t="s">
        <v>770</v>
      </c>
      <c r="R2346" s="182"/>
      <c r="U2346" s="223">
        <f>F2352*12/100</f>
        <v>22959.256799999996</v>
      </c>
    </row>
    <row r="2347" spans="1:21" ht="78.75" x14ac:dyDescent="0.25">
      <c r="G2347" s="182" t="s">
        <v>733</v>
      </c>
      <c r="H2347" s="216" t="s">
        <v>84</v>
      </c>
      <c r="I2347" s="182">
        <v>8.1</v>
      </c>
      <c r="J2347" s="182">
        <f>adopted_rate_aggregate_10_20_mm</f>
        <v>3351.6</v>
      </c>
      <c r="K2347" s="182">
        <f t="shared" si="26"/>
        <v>27147.96</v>
      </c>
      <c r="Q2347" s="182" t="s">
        <v>771</v>
      </c>
      <c r="R2347" s="182"/>
      <c r="U2347" s="223">
        <f>F2352*2/100</f>
        <v>3826.5427999999997</v>
      </c>
    </row>
    <row r="2348" spans="1:21" x14ac:dyDescent="0.25">
      <c r="G2348" s="182" t="s">
        <v>734</v>
      </c>
      <c r="H2348" s="216" t="s">
        <v>84</v>
      </c>
      <c r="I2348" s="182">
        <v>5.4</v>
      </c>
      <c r="J2348" s="182">
        <f>adopted_rate_aggregate_10_mm</f>
        <v>3175.2000000000003</v>
      </c>
      <c r="K2348" s="182">
        <f t="shared" si="26"/>
        <v>17146.080000000002</v>
      </c>
    </row>
    <row r="2349" spans="1:21" x14ac:dyDescent="0.25">
      <c r="G2349" s="182" t="s">
        <v>171</v>
      </c>
      <c r="H2349" s="216" t="s">
        <v>172</v>
      </c>
      <c r="I2349" s="182">
        <v>3</v>
      </c>
      <c r="J2349" s="182">
        <f>adopted_rate_water</f>
        <v>310</v>
      </c>
      <c r="K2349" s="182">
        <f t="shared" si="26"/>
        <v>930</v>
      </c>
    </row>
    <row r="2350" spans="1:21" x14ac:dyDescent="0.25">
      <c r="G2350" s="182" t="s">
        <v>745</v>
      </c>
      <c r="H2350" s="216" t="s">
        <v>144</v>
      </c>
      <c r="I2350" s="182">
        <v>24.4</v>
      </c>
      <c r="J2350" s="182">
        <f>adopted_rate_admixture</f>
        <v>266</v>
      </c>
      <c r="K2350" s="182">
        <f t="shared" si="26"/>
        <v>6490.4</v>
      </c>
    </row>
    <row r="2351" spans="1:21" x14ac:dyDescent="0.25">
      <c r="A2351" s="537" t="s">
        <v>30</v>
      </c>
      <c r="B2351" s="537"/>
      <c r="C2351" s="537"/>
      <c r="D2351" s="537"/>
      <c r="E2351" s="537"/>
      <c r="F2351" s="184">
        <f>SUM(F2344:F2350)</f>
        <v>31785</v>
      </c>
      <c r="G2351" s="537" t="s">
        <v>31</v>
      </c>
      <c r="H2351" s="537"/>
      <c r="I2351" s="537"/>
      <c r="J2351" s="537"/>
      <c r="K2351" s="184">
        <f>SUM(K2344:K2350)</f>
        <v>152636.13999999998</v>
      </c>
      <c r="L2351" s="537" t="s">
        <v>32</v>
      </c>
      <c r="M2351" s="537"/>
      <c r="N2351" s="537"/>
      <c r="O2351" s="537"/>
      <c r="P2351" s="184">
        <f>SUM(P2344:P2350)</f>
        <v>6906</v>
      </c>
      <c r="Q2351" s="537" t="s">
        <v>38</v>
      </c>
      <c r="R2351" s="537"/>
      <c r="S2351" s="537"/>
      <c r="T2351" s="537"/>
      <c r="U2351" s="223">
        <f>SUM(U2344:U2350)</f>
        <v>26785.799599999995</v>
      </c>
    </row>
    <row r="2352" spans="1:21" x14ac:dyDescent="0.25">
      <c r="A2352" s="537" t="s">
        <v>33</v>
      </c>
      <c r="B2352" s="537"/>
      <c r="C2352" s="537"/>
      <c r="D2352" s="537"/>
      <c r="E2352" s="537"/>
      <c r="F2352" s="184">
        <f>SUM(F2351+K2351+P2351)</f>
        <v>191327.13999999998</v>
      </c>
      <c r="G2352" s="537" t="s">
        <v>39</v>
      </c>
      <c r="H2352" s="537"/>
      <c r="I2352" s="537"/>
      <c r="J2352" s="537"/>
      <c r="K2352" s="184">
        <f>SUM(F2351+K2351+P2351+U2351)</f>
        <v>218112.93959999998</v>
      </c>
      <c r="L2352" s="537" t="s">
        <v>40</v>
      </c>
      <c r="M2352" s="537"/>
      <c r="N2352" s="537"/>
      <c r="O2352" s="537"/>
      <c r="P2352" s="184">
        <f>SUM(K2352*0.15)</f>
        <v>32716.940939999997</v>
      </c>
      <c r="Q2352" s="537" t="s">
        <v>41</v>
      </c>
      <c r="R2352" s="537"/>
      <c r="S2352" s="537"/>
      <c r="T2352" s="537"/>
      <c r="U2352" s="223">
        <f>SUM(K2352+P2352)</f>
        <v>250829.88053999998</v>
      </c>
    </row>
    <row r="2353" spans="1:21" x14ac:dyDescent="0.25">
      <c r="Q2353" s="537" t="s">
        <v>42</v>
      </c>
      <c r="R2353" s="537"/>
      <c r="S2353" s="537"/>
      <c r="T2353" s="537"/>
      <c r="U2353" s="224">
        <f>ROUND((U2352/15),2)</f>
        <v>16721.990000000002</v>
      </c>
    </row>
    <row r="2354" spans="1:21" x14ac:dyDescent="0.25">
      <c r="A2354" s="544"/>
      <c r="B2354" s="544"/>
      <c r="C2354" s="544"/>
      <c r="D2354" s="544"/>
      <c r="E2354" s="544"/>
      <c r="F2354" s="544"/>
      <c r="G2354" s="544"/>
      <c r="H2354" s="544"/>
      <c r="I2354" s="544"/>
      <c r="J2354" s="544"/>
      <c r="K2354" s="544"/>
      <c r="L2354" s="544"/>
      <c r="M2354" s="544"/>
      <c r="N2354" s="544"/>
      <c r="O2354" s="544"/>
      <c r="P2354" s="544"/>
      <c r="Q2354" s="544"/>
      <c r="R2354" s="544"/>
      <c r="S2354" s="544"/>
      <c r="T2354" s="544"/>
      <c r="U2354" s="544"/>
    </row>
    <row r="2355" spans="1:21" x14ac:dyDescent="0.25">
      <c r="A2355" s="538" t="s">
        <v>12</v>
      </c>
      <c r="B2355" s="538"/>
      <c r="C2355" s="540" t="s">
        <v>802</v>
      </c>
      <c r="D2355" s="540"/>
      <c r="E2355" s="540"/>
      <c r="F2355" s="540"/>
      <c r="G2355" s="540"/>
      <c r="H2355" s="540"/>
      <c r="I2355" s="540"/>
      <c r="J2355" s="540"/>
      <c r="K2355" s="540"/>
      <c r="L2355" s="540"/>
      <c r="M2355" s="540"/>
      <c r="N2355" s="540"/>
      <c r="O2355" s="540"/>
      <c r="P2355" s="540"/>
      <c r="Q2355" s="540"/>
      <c r="R2355" s="540"/>
      <c r="S2355" s="540"/>
      <c r="T2355" s="540"/>
      <c r="U2355" s="541" t="s">
        <v>726</v>
      </c>
    </row>
    <row r="2356" spans="1:21" x14ac:dyDescent="0.25">
      <c r="A2356" s="538"/>
      <c r="B2356" s="538"/>
      <c r="C2356" s="540"/>
      <c r="D2356" s="540"/>
      <c r="E2356" s="540"/>
      <c r="F2356" s="540"/>
      <c r="G2356" s="540"/>
      <c r="H2356" s="540"/>
      <c r="I2356" s="540"/>
      <c r="J2356" s="540"/>
      <c r="K2356" s="540"/>
      <c r="L2356" s="540"/>
      <c r="M2356" s="540"/>
      <c r="N2356" s="540"/>
      <c r="O2356" s="540"/>
      <c r="P2356" s="540"/>
      <c r="Q2356" s="540"/>
      <c r="R2356" s="540"/>
      <c r="S2356" s="540"/>
      <c r="T2356" s="540"/>
      <c r="U2356" s="541"/>
    </row>
    <row r="2357" spans="1:21" x14ac:dyDescent="0.25">
      <c r="A2357" s="539" t="s">
        <v>724</v>
      </c>
      <c r="B2357" s="539"/>
      <c r="C2357" s="540"/>
      <c r="D2357" s="540"/>
      <c r="E2357" s="540"/>
      <c r="F2357" s="540"/>
      <c r="G2357" s="540"/>
      <c r="H2357" s="540"/>
      <c r="I2357" s="540"/>
      <c r="J2357" s="540"/>
      <c r="K2357" s="540"/>
      <c r="L2357" s="540"/>
      <c r="M2357" s="540"/>
      <c r="N2357" s="540"/>
      <c r="O2357" s="540"/>
      <c r="P2357" s="540"/>
      <c r="Q2357" s="540"/>
      <c r="R2357" s="540"/>
      <c r="S2357" s="540"/>
      <c r="T2357" s="540"/>
      <c r="U2357" s="541"/>
    </row>
    <row r="2358" spans="1:21" x14ac:dyDescent="0.25">
      <c r="A2358" s="542" t="s">
        <v>16</v>
      </c>
      <c r="B2358" s="543" t="s">
        <v>18</v>
      </c>
      <c r="C2358" s="543"/>
      <c r="D2358" s="543"/>
      <c r="E2358" s="543"/>
      <c r="F2358" s="543"/>
      <c r="G2358" s="543" t="s">
        <v>24</v>
      </c>
      <c r="H2358" s="543"/>
      <c r="I2358" s="543"/>
      <c r="J2358" s="543"/>
      <c r="K2358" s="543"/>
      <c r="L2358" s="543" t="s">
        <v>25</v>
      </c>
      <c r="M2358" s="543"/>
      <c r="N2358" s="543"/>
      <c r="O2358" s="543"/>
      <c r="P2358" s="543"/>
      <c r="Q2358" s="543" t="s">
        <v>26</v>
      </c>
      <c r="R2358" s="543"/>
      <c r="S2358" s="543"/>
      <c r="T2358" s="543"/>
      <c r="U2358" s="543"/>
    </row>
    <row r="2359" spans="1:21" x14ac:dyDescent="0.25">
      <c r="A2359" s="542"/>
      <c r="B2359" s="182" t="s">
        <v>19</v>
      </c>
      <c r="C2359" s="182" t="s">
        <v>20</v>
      </c>
      <c r="D2359" s="182" t="s">
        <v>21</v>
      </c>
      <c r="E2359" s="182" t="s">
        <v>22</v>
      </c>
      <c r="F2359" s="182" t="s">
        <v>23</v>
      </c>
      <c r="G2359" s="182" t="s">
        <v>19</v>
      </c>
      <c r="H2359" s="216" t="s">
        <v>20</v>
      </c>
      <c r="I2359" s="182" t="s">
        <v>21</v>
      </c>
      <c r="J2359" s="182" t="s">
        <v>22</v>
      </c>
      <c r="K2359" s="182" t="s">
        <v>23</v>
      </c>
      <c r="L2359" s="182" t="s">
        <v>19</v>
      </c>
      <c r="M2359" s="182" t="s">
        <v>20</v>
      </c>
      <c r="N2359" s="182" t="s">
        <v>21</v>
      </c>
      <c r="O2359" s="182" t="s">
        <v>22</v>
      </c>
      <c r="P2359" s="182" t="s">
        <v>23</v>
      </c>
      <c r="Q2359" s="182" t="s">
        <v>19</v>
      </c>
      <c r="R2359" s="182" t="s">
        <v>20</v>
      </c>
      <c r="S2359" s="182" t="s">
        <v>21</v>
      </c>
      <c r="T2359" s="182" t="s">
        <v>22</v>
      </c>
      <c r="U2359" s="211" t="s">
        <v>23</v>
      </c>
    </row>
    <row r="2360" spans="1:21" ht="63" x14ac:dyDescent="0.25">
      <c r="A2360" s="183" t="s">
        <v>803</v>
      </c>
      <c r="B2360" s="182" t="s">
        <v>47</v>
      </c>
      <c r="C2360" s="182" t="s">
        <v>28</v>
      </c>
      <c r="D2360" s="182">
        <v>3</v>
      </c>
      <c r="E2360" s="182">
        <f>skilled</f>
        <v>1245</v>
      </c>
      <c r="F2360" s="184">
        <f>(D2360*E2360)</f>
        <v>3735</v>
      </c>
      <c r="G2360" s="182" t="s">
        <v>85</v>
      </c>
      <c r="H2360" s="216" t="s">
        <v>35</v>
      </c>
      <c r="I2360" s="182">
        <v>6.1</v>
      </c>
      <c r="J2360" s="182">
        <f>adopted_rate_cement</f>
        <v>13031</v>
      </c>
      <c r="K2360" s="182">
        <f t="shared" ref="K2360:K2365" si="27">(I2360*J2360)</f>
        <v>79489.099999999991</v>
      </c>
      <c r="L2360" s="182" t="s">
        <v>276</v>
      </c>
      <c r="M2360" s="182" t="s">
        <v>58</v>
      </c>
      <c r="N2360" s="182">
        <v>6</v>
      </c>
      <c r="O2360" s="182">
        <f>concrete_mixer</f>
        <v>296</v>
      </c>
      <c r="P2360" s="184">
        <f>(N2360*O2360)</f>
        <v>1776</v>
      </c>
      <c r="Q2360" s="182" t="s">
        <v>799</v>
      </c>
      <c r="R2360" s="182"/>
      <c r="U2360" s="223">
        <f>(S2360*T2360)</f>
        <v>0</v>
      </c>
    </row>
    <row r="2361" spans="1:21" ht="78.75" x14ac:dyDescent="0.25">
      <c r="B2361" s="182" t="s">
        <v>29</v>
      </c>
      <c r="C2361" s="182" t="s">
        <v>28</v>
      </c>
      <c r="D2361" s="182">
        <v>30</v>
      </c>
      <c r="E2361" s="182">
        <f>unskilled</f>
        <v>935</v>
      </c>
      <c r="F2361" s="184">
        <f>(D2361*E2361)</f>
        <v>28050</v>
      </c>
      <c r="G2361" s="182" t="s">
        <v>430</v>
      </c>
      <c r="H2361" s="216" t="s">
        <v>84</v>
      </c>
      <c r="I2361" s="182">
        <v>6.75</v>
      </c>
      <c r="J2361" s="182">
        <f>adopted_rate_sand</f>
        <v>3175.2000000000003</v>
      </c>
      <c r="K2361" s="182">
        <f t="shared" si="27"/>
        <v>21432.600000000002</v>
      </c>
      <c r="L2361" s="182" t="s">
        <v>76</v>
      </c>
      <c r="M2361" s="182" t="s">
        <v>58</v>
      </c>
      <c r="N2361" s="182">
        <v>6</v>
      </c>
      <c r="O2361" s="182">
        <f>generator</f>
        <v>855</v>
      </c>
      <c r="P2361" s="184">
        <f>(N2361*O2361)</f>
        <v>5130</v>
      </c>
      <c r="Q2361" s="182" t="s">
        <v>774</v>
      </c>
      <c r="R2361" s="182"/>
      <c r="U2361" s="223">
        <f>F2367*15/100</f>
        <v>28699.070999999996</v>
      </c>
    </row>
    <row r="2362" spans="1:21" ht="78.75" x14ac:dyDescent="0.25">
      <c r="G2362" s="182" t="s">
        <v>733</v>
      </c>
      <c r="H2362" s="216" t="s">
        <v>84</v>
      </c>
      <c r="I2362" s="182">
        <v>8.1</v>
      </c>
      <c r="J2362" s="182">
        <f>adopted_rate_aggregate_10_20_mm</f>
        <v>3351.6</v>
      </c>
      <c r="K2362" s="182">
        <f t="shared" si="27"/>
        <v>27147.96</v>
      </c>
      <c r="Q2362" s="182" t="s">
        <v>775</v>
      </c>
      <c r="R2362" s="182"/>
      <c r="U2362" s="223">
        <f>F2367*4/100</f>
        <v>7653.0855999999994</v>
      </c>
    </row>
    <row r="2363" spans="1:21" x14ac:dyDescent="0.25">
      <c r="G2363" s="182" t="s">
        <v>734</v>
      </c>
      <c r="H2363" s="216" t="s">
        <v>84</v>
      </c>
      <c r="I2363" s="182">
        <v>5.4</v>
      </c>
      <c r="J2363" s="182">
        <f>adopted_rate_aggregate_10_mm</f>
        <v>3175.2000000000003</v>
      </c>
      <c r="K2363" s="182">
        <f t="shared" si="27"/>
        <v>17146.080000000002</v>
      </c>
    </row>
    <row r="2364" spans="1:21" x14ac:dyDescent="0.25">
      <c r="G2364" s="182" t="s">
        <v>171</v>
      </c>
      <c r="H2364" s="216" t="s">
        <v>172</v>
      </c>
      <c r="I2364" s="182">
        <v>3</v>
      </c>
      <c r="J2364" s="182">
        <f>adopted_rate_water</f>
        <v>310</v>
      </c>
      <c r="K2364" s="182">
        <f t="shared" si="27"/>
        <v>930</v>
      </c>
    </row>
    <row r="2365" spans="1:21" x14ac:dyDescent="0.25">
      <c r="G2365" s="182" t="s">
        <v>745</v>
      </c>
      <c r="H2365" s="216" t="s">
        <v>144</v>
      </c>
      <c r="I2365" s="182">
        <v>24.4</v>
      </c>
      <c r="J2365" s="182">
        <f>adopted_rate_admixture</f>
        <v>266</v>
      </c>
      <c r="K2365" s="182">
        <f t="shared" si="27"/>
        <v>6490.4</v>
      </c>
    </row>
    <row r="2366" spans="1:21" x14ac:dyDescent="0.25">
      <c r="A2366" s="537" t="s">
        <v>30</v>
      </c>
      <c r="B2366" s="537"/>
      <c r="C2366" s="537"/>
      <c r="D2366" s="537"/>
      <c r="E2366" s="537"/>
      <c r="F2366" s="184">
        <f>SUM(F2359:F2365)</f>
        <v>31785</v>
      </c>
      <c r="G2366" s="537" t="s">
        <v>31</v>
      </c>
      <c r="H2366" s="537"/>
      <c r="I2366" s="537"/>
      <c r="J2366" s="537"/>
      <c r="K2366" s="184">
        <f>SUM(K2359:K2365)</f>
        <v>152636.13999999998</v>
      </c>
      <c r="L2366" s="537" t="s">
        <v>32</v>
      </c>
      <c r="M2366" s="537"/>
      <c r="N2366" s="537"/>
      <c r="O2366" s="537"/>
      <c r="P2366" s="184">
        <f>SUM(P2359:P2365)</f>
        <v>6906</v>
      </c>
      <c r="Q2366" s="537" t="s">
        <v>38</v>
      </c>
      <c r="R2366" s="537"/>
      <c r="S2366" s="537"/>
      <c r="T2366" s="537"/>
      <c r="U2366" s="223">
        <f>SUM(U2359:U2365)</f>
        <v>36352.156599999995</v>
      </c>
    </row>
    <row r="2367" spans="1:21" x14ac:dyDescent="0.25">
      <c r="A2367" s="537" t="s">
        <v>33</v>
      </c>
      <c r="B2367" s="537"/>
      <c r="C2367" s="537"/>
      <c r="D2367" s="537"/>
      <c r="E2367" s="537"/>
      <c r="F2367" s="184">
        <f>SUM(F2366+K2366+P2366)</f>
        <v>191327.13999999998</v>
      </c>
      <c r="G2367" s="537" t="s">
        <v>39</v>
      </c>
      <c r="H2367" s="537"/>
      <c r="I2367" s="537"/>
      <c r="J2367" s="537"/>
      <c r="K2367" s="184">
        <f>SUM(F2366+K2366+P2366+U2366)</f>
        <v>227679.29659999997</v>
      </c>
      <c r="L2367" s="537" t="s">
        <v>40</v>
      </c>
      <c r="M2367" s="537"/>
      <c r="N2367" s="537"/>
      <c r="O2367" s="537"/>
      <c r="P2367" s="184">
        <f>SUM(K2367*0.15)</f>
        <v>34151.894489999991</v>
      </c>
      <c r="Q2367" s="537" t="s">
        <v>41</v>
      </c>
      <c r="R2367" s="537"/>
      <c r="S2367" s="537"/>
      <c r="T2367" s="537"/>
      <c r="U2367" s="223">
        <f>SUM(K2367+P2367)</f>
        <v>261831.19108999998</v>
      </c>
    </row>
    <row r="2368" spans="1:21" x14ac:dyDescent="0.25">
      <c r="Q2368" s="537" t="s">
        <v>42</v>
      </c>
      <c r="R2368" s="537"/>
      <c r="S2368" s="537"/>
      <c r="T2368" s="537"/>
      <c r="U2368" s="224">
        <f>ROUND((U2367/15),2)</f>
        <v>17455.41</v>
      </c>
    </row>
    <row r="2369" spans="1:21" x14ac:dyDescent="0.25">
      <c r="A2369" s="544"/>
      <c r="B2369" s="544"/>
      <c r="C2369" s="544"/>
      <c r="D2369" s="544"/>
      <c r="E2369" s="544"/>
      <c r="F2369" s="544"/>
      <c r="G2369" s="544"/>
      <c r="H2369" s="544"/>
      <c r="I2369" s="544"/>
      <c r="J2369" s="544"/>
      <c r="K2369" s="544"/>
      <c r="L2369" s="544"/>
      <c r="M2369" s="544"/>
      <c r="N2369" s="544"/>
      <c r="O2369" s="544"/>
      <c r="P2369" s="544"/>
      <c r="Q2369" s="544"/>
      <c r="R2369" s="544"/>
      <c r="S2369" s="544"/>
      <c r="T2369" s="544"/>
      <c r="U2369" s="544"/>
    </row>
    <row r="2370" spans="1:21" x14ac:dyDescent="0.25">
      <c r="A2370" s="538" t="s">
        <v>12</v>
      </c>
      <c r="B2370" s="538"/>
      <c r="C2370" s="540" t="s">
        <v>804</v>
      </c>
      <c r="D2370" s="540"/>
      <c r="E2370" s="540"/>
      <c r="F2370" s="540"/>
      <c r="G2370" s="540"/>
      <c r="H2370" s="540"/>
      <c r="I2370" s="540"/>
      <c r="J2370" s="540"/>
      <c r="K2370" s="540"/>
      <c r="L2370" s="540"/>
      <c r="M2370" s="540"/>
      <c r="N2370" s="540"/>
      <c r="O2370" s="540"/>
      <c r="P2370" s="540"/>
      <c r="Q2370" s="540"/>
      <c r="R2370" s="540"/>
      <c r="S2370" s="540"/>
      <c r="T2370" s="540"/>
      <c r="U2370" s="541" t="s">
        <v>726</v>
      </c>
    </row>
    <row r="2371" spans="1:21" x14ac:dyDescent="0.25">
      <c r="A2371" s="538"/>
      <c r="B2371" s="538"/>
      <c r="C2371" s="540"/>
      <c r="D2371" s="540"/>
      <c r="E2371" s="540"/>
      <c r="F2371" s="540"/>
      <c r="G2371" s="540"/>
      <c r="H2371" s="540"/>
      <c r="I2371" s="540"/>
      <c r="J2371" s="540"/>
      <c r="K2371" s="540"/>
      <c r="L2371" s="540"/>
      <c r="M2371" s="540"/>
      <c r="N2371" s="540"/>
      <c r="O2371" s="540"/>
      <c r="P2371" s="540"/>
      <c r="Q2371" s="540"/>
      <c r="R2371" s="540"/>
      <c r="S2371" s="540"/>
      <c r="T2371" s="540"/>
      <c r="U2371" s="541"/>
    </row>
    <row r="2372" spans="1:21" x14ac:dyDescent="0.25">
      <c r="A2372" s="539" t="s">
        <v>724</v>
      </c>
      <c r="B2372" s="539"/>
      <c r="C2372" s="540"/>
      <c r="D2372" s="540"/>
      <c r="E2372" s="540"/>
      <c r="F2372" s="540"/>
      <c r="G2372" s="540"/>
      <c r="H2372" s="540"/>
      <c r="I2372" s="540"/>
      <c r="J2372" s="540"/>
      <c r="K2372" s="540"/>
      <c r="L2372" s="540"/>
      <c r="M2372" s="540"/>
      <c r="N2372" s="540"/>
      <c r="O2372" s="540"/>
      <c r="P2372" s="540"/>
      <c r="Q2372" s="540"/>
      <c r="R2372" s="540"/>
      <c r="S2372" s="540"/>
      <c r="T2372" s="540"/>
      <c r="U2372" s="541"/>
    </row>
    <row r="2373" spans="1:21" x14ac:dyDescent="0.25">
      <c r="A2373" s="542" t="s">
        <v>16</v>
      </c>
      <c r="B2373" s="543" t="s">
        <v>18</v>
      </c>
      <c r="C2373" s="543"/>
      <c r="D2373" s="543"/>
      <c r="E2373" s="543"/>
      <c r="F2373" s="543"/>
      <c r="G2373" s="543" t="s">
        <v>24</v>
      </c>
      <c r="H2373" s="543"/>
      <c r="I2373" s="543"/>
      <c r="J2373" s="543"/>
      <c r="K2373" s="543"/>
      <c r="L2373" s="543" t="s">
        <v>25</v>
      </c>
      <c r="M2373" s="543"/>
      <c r="N2373" s="543"/>
      <c r="O2373" s="543"/>
      <c r="P2373" s="543"/>
      <c r="Q2373" s="543" t="s">
        <v>26</v>
      </c>
      <c r="R2373" s="543"/>
      <c r="S2373" s="543"/>
      <c r="T2373" s="543"/>
      <c r="U2373" s="543"/>
    </row>
    <row r="2374" spans="1:21" x14ac:dyDescent="0.25">
      <c r="A2374" s="542"/>
      <c r="B2374" s="182" t="s">
        <v>19</v>
      </c>
      <c r="C2374" s="182" t="s">
        <v>20</v>
      </c>
      <c r="D2374" s="182" t="s">
        <v>21</v>
      </c>
      <c r="E2374" s="182" t="s">
        <v>22</v>
      </c>
      <c r="F2374" s="182" t="s">
        <v>23</v>
      </c>
      <c r="G2374" s="182" t="s">
        <v>19</v>
      </c>
      <c r="H2374" s="216" t="s">
        <v>20</v>
      </c>
      <c r="I2374" s="182" t="s">
        <v>21</v>
      </c>
      <c r="J2374" s="182" t="s">
        <v>22</v>
      </c>
      <c r="K2374" s="182" t="s">
        <v>23</v>
      </c>
      <c r="L2374" s="182" t="s">
        <v>19</v>
      </c>
      <c r="M2374" s="182" t="s">
        <v>20</v>
      </c>
      <c r="N2374" s="182" t="s">
        <v>21</v>
      </c>
      <c r="O2374" s="182" t="s">
        <v>22</v>
      </c>
      <c r="P2374" s="182" t="s">
        <v>23</v>
      </c>
      <c r="Q2374" s="182" t="s">
        <v>19</v>
      </c>
      <c r="R2374" s="182" t="s">
        <v>20</v>
      </c>
      <c r="S2374" s="182" t="s">
        <v>21</v>
      </c>
      <c r="T2374" s="182" t="s">
        <v>22</v>
      </c>
      <c r="U2374" s="211" t="s">
        <v>23</v>
      </c>
    </row>
    <row r="2375" spans="1:21" ht="63" x14ac:dyDescent="0.25">
      <c r="A2375" s="183" t="s">
        <v>805</v>
      </c>
      <c r="B2375" s="182" t="s">
        <v>47</v>
      </c>
      <c r="C2375" s="182" t="s">
        <v>28</v>
      </c>
      <c r="D2375" s="182">
        <v>3</v>
      </c>
      <c r="E2375" s="182">
        <f>skilled</f>
        <v>1245</v>
      </c>
      <c r="F2375" s="184">
        <f>(D2375*E2375)</f>
        <v>3735</v>
      </c>
      <c r="G2375" s="182" t="s">
        <v>85</v>
      </c>
      <c r="H2375" s="216" t="s">
        <v>35</v>
      </c>
      <c r="I2375" s="182">
        <v>6.33</v>
      </c>
      <c r="J2375" s="182">
        <f>adopted_rate_cement</f>
        <v>13031</v>
      </c>
      <c r="K2375" s="182">
        <f t="shared" ref="K2375:K2380" si="28">(I2375*J2375)</f>
        <v>82486.23</v>
      </c>
      <c r="L2375" s="182" t="s">
        <v>276</v>
      </c>
      <c r="M2375" s="182" t="s">
        <v>58</v>
      </c>
      <c r="N2375" s="182">
        <v>6</v>
      </c>
      <c r="O2375" s="182">
        <f>concrete_mixer</f>
        <v>296</v>
      </c>
      <c r="P2375" s="184">
        <f>(N2375*O2375)</f>
        <v>1776</v>
      </c>
      <c r="Q2375" s="182" t="s">
        <v>806</v>
      </c>
      <c r="R2375" s="182"/>
      <c r="U2375" s="223">
        <f>(S2375*T2375)</f>
        <v>0</v>
      </c>
    </row>
    <row r="2376" spans="1:21" ht="78.75" x14ac:dyDescent="0.25">
      <c r="B2376" s="182" t="s">
        <v>29</v>
      </c>
      <c r="C2376" s="182" t="s">
        <v>28</v>
      </c>
      <c r="D2376" s="182">
        <v>30</v>
      </c>
      <c r="E2376" s="182">
        <f>unskilled</f>
        <v>935</v>
      </c>
      <c r="F2376" s="184">
        <f>(D2376*E2376)</f>
        <v>28050</v>
      </c>
      <c r="G2376" s="182" t="s">
        <v>430</v>
      </c>
      <c r="H2376" s="216" t="s">
        <v>84</v>
      </c>
      <c r="I2376" s="182">
        <v>6.75</v>
      </c>
      <c r="J2376" s="182">
        <f>adopted_rate_sand</f>
        <v>3175.2000000000003</v>
      </c>
      <c r="K2376" s="182">
        <f t="shared" si="28"/>
        <v>21432.600000000002</v>
      </c>
      <c r="L2376" s="182" t="s">
        <v>76</v>
      </c>
      <c r="M2376" s="182" t="s">
        <v>58</v>
      </c>
      <c r="N2376" s="182">
        <v>6</v>
      </c>
      <c r="O2376" s="182">
        <f>generator</f>
        <v>855</v>
      </c>
      <c r="P2376" s="184">
        <f>(N2376*O2376)</f>
        <v>5130</v>
      </c>
      <c r="Q2376" s="182" t="s">
        <v>759</v>
      </c>
      <c r="R2376" s="182"/>
      <c r="U2376" s="223">
        <f>F2382*10/100</f>
        <v>19456.898999999998</v>
      </c>
    </row>
    <row r="2377" spans="1:21" x14ac:dyDescent="0.25">
      <c r="G2377" s="182" t="s">
        <v>733</v>
      </c>
      <c r="H2377" s="216" t="s">
        <v>84</v>
      </c>
      <c r="I2377" s="182">
        <v>8.1</v>
      </c>
      <c r="J2377" s="182">
        <f>adopted_rate_aggregate_10_20_mm</f>
        <v>3351.6</v>
      </c>
      <c r="K2377" s="182">
        <f t="shared" si="28"/>
        <v>27147.96</v>
      </c>
    </row>
    <row r="2378" spans="1:21" x14ac:dyDescent="0.25">
      <c r="G2378" s="182" t="s">
        <v>734</v>
      </c>
      <c r="H2378" s="216" t="s">
        <v>84</v>
      </c>
      <c r="I2378" s="182">
        <v>5.4</v>
      </c>
      <c r="J2378" s="182">
        <f>adopted_rate_aggregate_10_mm</f>
        <v>3175.2000000000003</v>
      </c>
      <c r="K2378" s="182">
        <f t="shared" si="28"/>
        <v>17146.080000000002</v>
      </c>
    </row>
    <row r="2379" spans="1:21" x14ac:dyDescent="0.25">
      <c r="G2379" s="182" t="s">
        <v>171</v>
      </c>
      <c r="H2379" s="216" t="s">
        <v>172</v>
      </c>
      <c r="I2379" s="182">
        <v>3</v>
      </c>
      <c r="J2379" s="182">
        <f>adopted_rate_water</f>
        <v>310</v>
      </c>
      <c r="K2379" s="182">
        <f t="shared" si="28"/>
        <v>930</v>
      </c>
    </row>
    <row r="2380" spans="1:21" x14ac:dyDescent="0.25">
      <c r="G2380" s="182" t="s">
        <v>745</v>
      </c>
      <c r="H2380" s="216" t="s">
        <v>144</v>
      </c>
      <c r="I2380" s="182">
        <v>25.32</v>
      </c>
      <c r="J2380" s="182">
        <f>adopted_rate_admixture</f>
        <v>266</v>
      </c>
      <c r="K2380" s="182">
        <f t="shared" si="28"/>
        <v>6735.12</v>
      </c>
    </row>
    <row r="2381" spans="1:21" x14ac:dyDescent="0.25">
      <c r="A2381" s="537" t="s">
        <v>30</v>
      </c>
      <c r="B2381" s="537"/>
      <c r="C2381" s="537"/>
      <c r="D2381" s="537"/>
      <c r="E2381" s="537"/>
      <c r="F2381" s="184">
        <f>SUM(F2374:F2380)</f>
        <v>31785</v>
      </c>
      <c r="G2381" s="537" t="s">
        <v>31</v>
      </c>
      <c r="H2381" s="537"/>
      <c r="I2381" s="537"/>
      <c r="J2381" s="537"/>
      <c r="K2381" s="184">
        <f>SUM(K2374:K2380)</f>
        <v>155877.99</v>
      </c>
      <c r="L2381" s="537" t="s">
        <v>32</v>
      </c>
      <c r="M2381" s="537"/>
      <c r="N2381" s="537"/>
      <c r="O2381" s="537"/>
      <c r="P2381" s="184">
        <f>SUM(P2374:P2380)</f>
        <v>6906</v>
      </c>
      <c r="Q2381" s="537" t="s">
        <v>38</v>
      </c>
      <c r="R2381" s="537"/>
      <c r="S2381" s="537"/>
      <c r="T2381" s="537"/>
      <c r="U2381" s="223">
        <f>SUM(U2374:U2380)</f>
        <v>19456.898999999998</v>
      </c>
    </row>
    <row r="2382" spans="1:21" x14ac:dyDescent="0.25">
      <c r="A2382" s="537" t="s">
        <v>33</v>
      </c>
      <c r="B2382" s="537"/>
      <c r="C2382" s="537"/>
      <c r="D2382" s="537"/>
      <c r="E2382" s="537"/>
      <c r="F2382" s="184">
        <f>SUM(F2381+K2381+P2381)</f>
        <v>194568.99</v>
      </c>
      <c r="G2382" s="537" t="s">
        <v>39</v>
      </c>
      <c r="H2382" s="537"/>
      <c r="I2382" s="537"/>
      <c r="J2382" s="537"/>
      <c r="K2382" s="184">
        <f>SUM(F2381+K2381+P2381+U2381)</f>
        <v>214025.889</v>
      </c>
      <c r="L2382" s="537" t="s">
        <v>40</v>
      </c>
      <c r="M2382" s="537"/>
      <c r="N2382" s="537"/>
      <c r="O2382" s="537"/>
      <c r="P2382" s="184">
        <f>SUM(K2382*0.15)</f>
        <v>32103.883349999996</v>
      </c>
      <c r="Q2382" s="537" t="s">
        <v>41</v>
      </c>
      <c r="R2382" s="537"/>
      <c r="S2382" s="537"/>
      <c r="T2382" s="537"/>
      <c r="U2382" s="223">
        <f>SUM(K2382+P2382)</f>
        <v>246129.77234999998</v>
      </c>
    </row>
    <row r="2383" spans="1:21" x14ac:dyDescent="0.25">
      <c r="Q2383" s="537" t="s">
        <v>42</v>
      </c>
      <c r="R2383" s="537"/>
      <c r="S2383" s="537"/>
      <c r="T2383" s="537"/>
      <c r="U2383" s="224">
        <f>ROUND((U2382/15),2)</f>
        <v>16408.650000000001</v>
      </c>
    </row>
    <row r="2384" spans="1:21" x14ac:dyDescent="0.25">
      <c r="A2384" s="544"/>
      <c r="B2384" s="544"/>
      <c r="C2384" s="544"/>
      <c r="D2384" s="544"/>
      <c r="E2384" s="544"/>
      <c r="F2384" s="544"/>
      <c r="G2384" s="544"/>
      <c r="H2384" s="544"/>
      <c r="I2384" s="544"/>
      <c r="J2384" s="544"/>
      <c r="K2384" s="544"/>
      <c r="L2384" s="544"/>
      <c r="M2384" s="544"/>
      <c r="N2384" s="544"/>
      <c r="O2384" s="544"/>
      <c r="P2384" s="544"/>
      <c r="Q2384" s="544"/>
      <c r="R2384" s="544"/>
      <c r="S2384" s="544"/>
      <c r="T2384" s="544"/>
      <c r="U2384" s="544"/>
    </row>
    <row r="2385" spans="1:21" x14ac:dyDescent="0.25">
      <c r="A2385" s="538" t="s">
        <v>12</v>
      </c>
      <c r="B2385" s="538"/>
      <c r="C2385" s="540" t="s">
        <v>807</v>
      </c>
      <c r="D2385" s="540"/>
      <c r="E2385" s="540"/>
      <c r="F2385" s="540"/>
      <c r="G2385" s="540"/>
      <c r="H2385" s="540"/>
      <c r="I2385" s="540"/>
      <c r="J2385" s="540"/>
      <c r="K2385" s="540"/>
      <c r="L2385" s="540"/>
      <c r="M2385" s="540"/>
      <c r="N2385" s="540"/>
      <c r="O2385" s="540"/>
      <c r="P2385" s="540"/>
      <c r="Q2385" s="540"/>
      <c r="R2385" s="540"/>
      <c r="S2385" s="540"/>
      <c r="T2385" s="540"/>
      <c r="U2385" s="541" t="s">
        <v>726</v>
      </c>
    </row>
    <row r="2386" spans="1:21" x14ac:dyDescent="0.25">
      <c r="A2386" s="538"/>
      <c r="B2386" s="538"/>
      <c r="C2386" s="540"/>
      <c r="D2386" s="540"/>
      <c r="E2386" s="540"/>
      <c r="F2386" s="540"/>
      <c r="G2386" s="540"/>
      <c r="H2386" s="540"/>
      <c r="I2386" s="540"/>
      <c r="J2386" s="540"/>
      <c r="K2386" s="540"/>
      <c r="L2386" s="540"/>
      <c r="M2386" s="540"/>
      <c r="N2386" s="540"/>
      <c r="O2386" s="540"/>
      <c r="P2386" s="540"/>
      <c r="Q2386" s="540"/>
      <c r="R2386" s="540"/>
      <c r="S2386" s="540"/>
      <c r="T2386" s="540"/>
      <c r="U2386" s="541"/>
    </row>
    <row r="2387" spans="1:21" x14ac:dyDescent="0.25">
      <c r="A2387" s="539" t="s">
        <v>724</v>
      </c>
      <c r="B2387" s="539"/>
      <c r="C2387" s="540"/>
      <c r="D2387" s="540"/>
      <c r="E2387" s="540"/>
      <c r="F2387" s="540"/>
      <c r="G2387" s="540"/>
      <c r="H2387" s="540"/>
      <c r="I2387" s="540"/>
      <c r="J2387" s="540"/>
      <c r="K2387" s="540"/>
      <c r="L2387" s="540"/>
      <c r="M2387" s="540"/>
      <c r="N2387" s="540"/>
      <c r="O2387" s="540"/>
      <c r="P2387" s="540"/>
      <c r="Q2387" s="540"/>
      <c r="R2387" s="540"/>
      <c r="S2387" s="540"/>
      <c r="T2387" s="540"/>
      <c r="U2387" s="541"/>
    </row>
    <row r="2388" spans="1:21" x14ac:dyDescent="0.25">
      <c r="A2388" s="542" t="s">
        <v>16</v>
      </c>
      <c r="B2388" s="543" t="s">
        <v>18</v>
      </c>
      <c r="C2388" s="543"/>
      <c r="D2388" s="543"/>
      <c r="E2388" s="543"/>
      <c r="F2388" s="543"/>
      <c r="G2388" s="543" t="s">
        <v>24</v>
      </c>
      <c r="H2388" s="543"/>
      <c r="I2388" s="543"/>
      <c r="J2388" s="543"/>
      <c r="K2388" s="543"/>
      <c r="L2388" s="543" t="s">
        <v>25</v>
      </c>
      <c r="M2388" s="543"/>
      <c r="N2388" s="543"/>
      <c r="O2388" s="543"/>
      <c r="P2388" s="543"/>
      <c r="Q2388" s="543" t="s">
        <v>26</v>
      </c>
      <c r="R2388" s="543"/>
      <c r="S2388" s="543"/>
      <c r="T2388" s="543"/>
      <c r="U2388" s="543"/>
    </row>
    <row r="2389" spans="1:21" x14ac:dyDescent="0.25">
      <c r="A2389" s="542"/>
      <c r="B2389" s="182" t="s">
        <v>19</v>
      </c>
      <c r="C2389" s="182" t="s">
        <v>20</v>
      </c>
      <c r="D2389" s="182" t="s">
        <v>21</v>
      </c>
      <c r="E2389" s="182" t="s">
        <v>22</v>
      </c>
      <c r="F2389" s="182" t="s">
        <v>23</v>
      </c>
      <c r="G2389" s="182" t="s">
        <v>19</v>
      </c>
      <c r="H2389" s="216" t="s">
        <v>20</v>
      </c>
      <c r="I2389" s="182" t="s">
        <v>21</v>
      </c>
      <c r="J2389" s="182" t="s">
        <v>22</v>
      </c>
      <c r="K2389" s="182" t="s">
        <v>23</v>
      </c>
      <c r="L2389" s="182" t="s">
        <v>19</v>
      </c>
      <c r="M2389" s="182" t="s">
        <v>20</v>
      </c>
      <c r="N2389" s="182" t="s">
        <v>21</v>
      </c>
      <c r="O2389" s="182" t="s">
        <v>22</v>
      </c>
      <c r="P2389" s="182" t="s">
        <v>23</v>
      </c>
      <c r="Q2389" s="182" t="s">
        <v>19</v>
      </c>
      <c r="R2389" s="182" t="s">
        <v>20</v>
      </c>
      <c r="S2389" s="182" t="s">
        <v>21</v>
      </c>
      <c r="T2389" s="182" t="s">
        <v>22</v>
      </c>
      <c r="U2389" s="211" t="s">
        <v>23</v>
      </c>
    </row>
    <row r="2390" spans="1:21" ht="78.75" x14ac:dyDescent="0.25">
      <c r="A2390" s="183" t="s">
        <v>808</v>
      </c>
      <c r="B2390" s="182" t="s">
        <v>47</v>
      </c>
      <c r="C2390" s="182" t="s">
        <v>28</v>
      </c>
      <c r="D2390" s="182">
        <v>3</v>
      </c>
      <c r="E2390" s="182">
        <f>skilled</f>
        <v>1245</v>
      </c>
      <c r="F2390" s="184">
        <f>(D2390*E2390)</f>
        <v>3735</v>
      </c>
      <c r="G2390" s="182" t="s">
        <v>85</v>
      </c>
      <c r="H2390" s="216" t="s">
        <v>35</v>
      </c>
      <c r="I2390" s="182">
        <v>6.33</v>
      </c>
      <c r="J2390" s="182">
        <f>adopted_rate_cement</f>
        <v>13031</v>
      </c>
      <c r="K2390" s="182">
        <f t="shared" ref="K2390:K2395" si="29">(I2390*J2390)</f>
        <v>82486.23</v>
      </c>
      <c r="L2390" s="182" t="s">
        <v>276</v>
      </c>
      <c r="M2390" s="182" t="s">
        <v>58</v>
      </c>
      <c r="N2390" s="182">
        <v>6</v>
      </c>
      <c r="O2390" s="182">
        <f>concrete_mixer</f>
        <v>296</v>
      </c>
      <c r="P2390" s="184">
        <f>(N2390*O2390)</f>
        <v>1776</v>
      </c>
      <c r="Q2390" s="182" t="s">
        <v>809</v>
      </c>
      <c r="R2390" s="182"/>
      <c r="U2390" s="223">
        <f>(S2390*T2390)</f>
        <v>0</v>
      </c>
    </row>
    <row r="2391" spans="1:21" ht="78.75" x14ac:dyDescent="0.25">
      <c r="B2391" s="182" t="s">
        <v>29</v>
      </c>
      <c r="C2391" s="182" t="s">
        <v>28</v>
      </c>
      <c r="D2391" s="182">
        <v>30</v>
      </c>
      <c r="E2391" s="182">
        <f>unskilled</f>
        <v>935</v>
      </c>
      <c r="F2391" s="184">
        <f>(D2391*E2391)</f>
        <v>28050</v>
      </c>
      <c r="G2391" s="182" t="s">
        <v>430</v>
      </c>
      <c r="H2391" s="216" t="s">
        <v>84</v>
      </c>
      <c r="I2391" s="182">
        <v>6.75</v>
      </c>
      <c r="J2391" s="182">
        <f>adopted_rate_sand</f>
        <v>3175.2000000000003</v>
      </c>
      <c r="K2391" s="182">
        <f t="shared" si="29"/>
        <v>21432.600000000002</v>
      </c>
      <c r="L2391" s="182" t="s">
        <v>76</v>
      </c>
      <c r="M2391" s="182" t="s">
        <v>58</v>
      </c>
      <c r="N2391" s="182">
        <v>6</v>
      </c>
      <c r="O2391" s="182">
        <f>generator</f>
        <v>855</v>
      </c>
      <c r="P2391" s="184">
        <f>(N2391*O2391)</f>
        <v>5130</v>
      </c>
      <c r="Q2391" s="182" t="s">
        <v>770</v>
      </c>
      <c r="R2391" s="182"/>
      <c r="U2391" s="223">
        <f>F2397*12/100</f>
        <v>23348.2788</v>
      </c>
    </row>
    <row r="2392" spans="1:21" ht="78.75" x14ac:dyDescent="0.25">
      <c r="G2392" s="182" t="s">
        <v>733</v>
      </c>
      <c r="H2392" s="216" t="s">
        <v>84</v>
      </c>
      <c r="I2392" s="182">
        <v>8.1</v>
      </c>
      <c r="J2392" s="182">
        <f>adopted_rate_aggregate_10_20_mm</f>
        <v>3351.6</v>
      </c>
      <c r="K2392" s="182">
        <f t="shared" si="29"/>
        <v>27147.96</v>
      </c>
      <c r="Q2392" s="182" t="s">
        <v>771</v>
      </c>
      <c r="R2392" s="182"/>
      <c r="U2392" s="223">
        <f>F2397*2/100</f>
        <v>3891.3797999999997</v>
      </c>
    </row>
    <row r="2393" spans="1:21" x14ac:dyDescent="0.25">
      <c r="G2393" s="182" t="s">
        <v>734</v>
      </c>
      <c r="H2393" s="216" t="s">
        <v>84</v>
      </c>
      <c r="I2393" s="182">
        <v>5.4</v>
      </c>
      <c r="J2393" s="182">
        <f>adopted_rate_aggregate_10_mm</f>
        <v>3175.2000000000003</v>
      </c>
      <c r="K2393" s="182">
        <f t="shared" si="29"/>
        <v>17146.080000000002</v>
      </c>
    </row>
    <row r="2394" spans="1:21" x14ac:dyDescent="0.25">
      <c r="G2394" s="182" t="s">
        <v>171</v>
      </c>
      <c r="H2394" s="216" t="s">
        <v>172</v>
      </c>
      <c r="I2394" s="182">
        <v>3</v>
      </c>
      <c r="J2394" s="182">
        <f>adopted_rate_water</f>
        <v>310</v>
      </c>
      <c r="K2394" s="182">
        <f t="shared" si="29"/>
        <v>930</v>
      </c>
    </row>
    <row r="2395" spans="1:21" x14ac:dyDescent="0.25">
      <c r="G2395" s="182" t="s">
        <v>745</v>
      </c>
      <c r="H2395" s="216" t="s">
        <v>144</v>
      </c>
      <c r="I2395" s="182">
        <v>25.32</v>
      </c>
      <c r="J2395" s="182">
        <f>adopted_rate_admixture</f>
        <v>266</v>
      </c>
      <c r="K2395" s="182">
        <f t="shared" si="29"/>
        <v>6735.12</v>
      </c>
    </row>
    <row r="2396" spans="1:21" x14ac:dyDescent="0.25">
      <c r="A2396" s="537" t="s">
        <v>30</v>
      </c>
      <c r="B2396" s="537"/>
      <c r="C2396" s="537"/>
      <c r="D2396" s="537"/>
      <c r="E2396" s="537"/>
      <c r="F2396" s="184">
        <f>SUM(F2389:F2395)</f>
        <v>31785</v>
      </c>
      <c r="G2396" s="537" t="s">
        <v>31</v>
      </c>
      <c r="H2396" s="537"/>
      <c r="I2396" s="537"/>
      <c r="J2396" s="537"/>
      <c r="K2396" s="184">
        <f>SUM(K2389:K2395)</f>
        <v>155877.99</v>
      </c>
      <c r="L2396" s="537" t="s">
        <v>32</v>
      </c>
      <c r="M2396" s="537"/>
      <c r="N2396" s="537"/>
      <c r="O2396" s="537"/>
      <c r="P2396" s="184">
        <f>SUM(P2389:P2395)</f>
        <v>6906</v>
      </c>
      <c r="Q2396" s="537" t="s">
        <v>38</v>
      </c>
      <c r="R2396" s="537"/>
      <c r="S2396" s="537"/>
      <c r="T2396" s="537"/>
      <c r="U2396" s="223">
        <f>SUM(U2389:U2395)</f>
        <v>27239.658599999999</v>
      </c>
    </row>
    <row r="2397" spans="1:21" x14ac:dyDescent="0.25">
      <c r="A2397" s="537" t="s">
        <v>33</v>
      </c>
      <c r="B2397" s="537"/>
      <c r="C2397" s="537"/>
      <c r="D2397" s="537"/>
      <c r="E2397" s="537"/>
      <c r="F2397" s="184">
        <f>SUM(F2396+K2396+P2396)</f>
        <v>194568.99</v>
      </c>
      <c r="G2397" s="537" t="s">
        <v>39</v>
      </c>
      <c r="H2397" s="537"/>
      <c r="I2397" s="537"/>
      <c r="J2397" s="537"/>
      <c r="K2397" s="184">
        <f>SUM(F2396+K2396+P2396+U2396)</f>
        <v>221808.64859999999</v>
      </c>
      <c r="L2397" s="537" t="s">
        <v>40</v>
      </c>
      <c r="M2397" s="537"/>
      <c r="N2397" s="537"/>
      <c r="O2397" s="537"/>
      <c r="P2397" s="184">
        <f>SUM(K2397*0.15)</f>
        <v>33271.297289999995</v>
      </c>
      <c r="Q2397" s="537" t="s">
        <v>41</v>
      </c>
      <c r="R2397" s="537"/>
      <c r="S2397" s="537"/>
      <c r="T2397" s="537"/>
      <c r="U2397" s="223">
        <f>SUM(K2397+P2397)</f>
        <v>255079.94588999997</v>
      </c>
    </row>
    <row r="2398" spans="1:21" x14ac:dyDescent="0.25">
      <c r="Q2398" s="537" t="s">
        <v>42</v>
      </c>
      <c r="R2398" s="537"/>
      <c r="S2398" s="537"/>
      <c r="T2398" s="537"/>
      <c r="U2398" s="224">
        <f>ROUND((U2397/15),2)</f>
        <v>17005.330000000002</v>
      </c>
    </row>
    <row r="2399" spans="1:21" x14ac:dyDescent="0.25">
      <c r="A2399" s="544"/>
      <c r="B2399" s="544"/>
      <c r="C2399" s="544"/>
      <c r="D2399" s="544"/>
      <c r="E2399" s="544"/>
      <c r="F2399" s="544"/>
      <c r="G2399" s="544"/>
      <c r="H2399" s="544"/>
      <c r="I2399" s="544"/>
      <c r="J2399" s="544"/>
      <c r="K2399" s="544"/>
      <c r="L2399" s="544"/>
      <c r="M2399" s="544"/>
      <c r="N2399" s="544"/>
      <c r="O2399" s="544"/>
      <c r="P2399" s="544"/>
      <c r="Q2399" s="544"/>
      <c r="R2399" s="544"/>
      <c r="S2399" s="544"/>
      <c r="T2399" s="544"/>
      <c r="U2399" s="544"/>
    </row>
    <row r="2400" spans="1:21" x14ac:dyDescent="0.25">
      <c r="A2400" s="538" t="s">
        <v>12</v>
      </c>
      <c r="B2400" s="538"/>
      <c r="C2400" s="540" t="s">
        <v>2155</v>
      </c>
      <c r="D2400" s="540"/>
      <c r="E2400" s="540"/>
      <c r="F2400" s="540"/>
      <c r="G2400" s="540"/>
      <c r="H2400" s="540"/>
      <c r="I2400" s="540"/>
      <c r="J2400" s="540"/>
      <c r="K2400" s="540"/>
      <c r="L2400" s="540"/>
      <c r="M2400" s="540"/>
      <c r="N2400" s="540"/>
      <c r="O2400" s="540"/>
      <c r="P2400" s="540"/>
      <c r="Q2400" s="540"/>
      <c r="R2400" s="540"/>
      <c r="S2400" s="540"/>
      <c r="T2400" s="540"/>
      <c r="U2400" s="541" t="s">
        <v>15</v>
      </c>
    </row>
    <row r="2401" spans="1:21" x14ac:dyDescent="0.25">
      <c r="A2401" s="538"/>
      <c r="B2401" s="538"/>
      <c r="C2401" s="540"/>
      <c r="D2401" s="540"/>
      <c r="E2401" s="540"/>
      <c r="F2401" s="540"/>
      <c r="G2401" s="540"/>
      <c r="H2401" s="540"/>
      <c r="I2401" s="540"/>
      <c r="J2401" s="540"/>
      <c r="K2401" s="540"/>
      <c r="L2401" s="540"/>
      <c r="M2401" s="540"/>
      <c r="N2401" s="540"/>
      <c r="O2401" s="540"/>
      <c r="P2401" s="540"/>
      <c r="Q2401" s="540"/>
      <c r="R2401" s="540"/>
      <c r="S2401" s="540"/>
      <c r="T2401" s="540"/>
      <c r="U2401" s="541"/>
    </row>
    <row r="2402" spans="1:21" x14ac:dyDescent="0.25">
      <c r="A2402" s="539" t="s">
        <v>13</v>
      </c>
      <c r="B2402" s="539"/>
      <c r="C2402" s="540"/>
      <c r="D2402" s="540"/>
      <c r="E2402" s="540"/>
      <c r="F2402" s="540"/>
      <c r="G2402" s="540"/>
      <c r="H2402" s="540"/>
      <c r="I2402" s="540"/>
      <c r="J2402" s="540"/>
      <c r="K2402" s="540"/>
      <c r="L2402" s="540"/>
      <c r="M2402" s="540"/>
      <c r="N2402" s="540"/>
      <c r="O2402" s="540"/>
      <c r="P2402" s="540"/>
      <c r="Q2402" s="540"/>
      <c r="R2402" s="540"/>
      <c r="S2402" s="540"/>
      <c r="T2402" s="540"/>
      <c r="U2402" s="541"/>
    </row>
    <row r="2403" spans="1:21" x14ac:dyDescent="0.25">
      <c r="A2403" s="542" t="s">
        <v>16</v>
      </c>
      <c r="B2403" s="543" t="s">
        <v>18</v>
      </c>
      <c r="C2403" s="543"/>
      <c r="D2403" s="543"/>
      <c r="E2403" s="543"/>
      <c r="F2403" s="543"/>
      <c r="G2403" s="543" t="s">
        <v>24</v>
      </c>
      <c r="H2403" s="543"/>
      <c r="I2403" s="543"/>
      <c r="J2403" s="543"/>
      <c r="K2403" s="543"/>
      <c r="L2403" s="543" t="s">
        <v>25</v>
      </c>
      <c r="M2403" s="543"/>
      <c r="N2403" s="543"/>
      <c r="O2403" s="543"/>
      <c r="P2403" s="543"/>
      <c r="Q2403" s="543" t="s">
        <v>26</v>
      </c>
      <c r="R2403" s="543"/>
      <c r="S2403" s="543"/>
      <c r="T2403" s="543"/>
      <c r="U2403" s="543"/>
    </row>
    <row r="2404" spans="1:21" x14ac:dyDescent="0.25">
      <c r="A2404" s="542"/>
      <c r="B2404" s="182" t="s">
        <v>19</v>
      </c>
      <c r="C2404" s="182" t="s">
        <v>20</v>
      </c>
      <c r="D2404" s="182" t="s">
        <v>21</v>
      </c>
      <c r="E2404" s="182" t="s">
        <v>22</v>
      </c>
      <c r="F2404" s="182" t="s">
        <v>23</v>
      </c>
      <c r="G2404" s="182" t="s">
        <v>19</v>
      </c>
      <c r="H2404" s="216" t="s">
        <v>20</v>
      </c>
      <c r="I2404" s="182" t="s">
        <v>21</v>
      </c>
      <c r="J2404" s="182" t="s">
        <v>22</v>
      </c>
      <c r="K2404" s="182" t="s">
        <v>23</v>
      </c>
      <c r="L2404" s="182" t="s">
        <v>19</v>
      </c>
      <c r="M2404" s="182" t="s">
        <v>20</v>
      </c>
      <c r="N2404" s="182" t="s">
        <v>21</v>
      </c>
      <c r="O2404" s="182" t="s">
        <v>22</v>
      </c>
      <c r="P2404" s="182" t="s">
        <v>23</v>
      </c>
      <c r="Q2404" s="182" t="s">
        <v>19</v>
      </c>
      <c r="R2404" s="182" t="s">
        <v>20</v>
      </c>
      <c r="S2404" s="182" t="s">
        <v>21</v>
      </c>
      <c r="T2404" s="182" t="s">
        <v>22</v>
      </c>
      <c r="U2404" s="211" t="s">
        <v>23</v>
      </c>
    </row>
    <row r="2405" spans="1:21" ht="31.5" x14ac:dyDescent="0.25">
      <c r="A2405" s="183" t="s">
        <v>2156</v>
      </c>
      <c r="B2405" s="182" t="s">
        <v>27</v>
      </c>
      <c r="C2405" s="182" t="s">
        <v>28</v>
      </c>
      <c r="D2405" s="182">
        <v>4</v>
      </c>
      <c r="E2405" s="182">
        <f>skilled_blacksmith</f>
        <v>1245</v>
      </c>
      <c r="F2405" s="184">
        <f>(D2405*E2405)</f>
        <v>4980</v>
      </c>
      <c r="G2405" s="182" t="s">
        <v>34</v>
      </c>
      <c r="H2405" s="216" t="s">
        <v>35</v>
      </c>
      <c r="I2405" s="182">
        <v>1.1000000000000001</v>
      </c>
      <c r="J2405" s="182">
        <f>adopted_rate_HYSD_bar</f>
        <v>100000</v>
      </c>
      <c r="K2405" s="182">
        <f>(I2405*J2405)</f>
        <v>110000.00000000001</v>
      </c>
    </row>
    <row r="2406" spans="1:21" x14ac:dyDescent="0.25">
      <c r="B2406" s="182" t="s">
        <v>29</v>
      </c>
      <c r="C2406" s="182" t="s">
        <v>28</v>
      </c>
      <c r="D2406" s="182">
        <v>9</v>
      </c>
      <c r="E2406" s="182">
        <f>unskilled</f>
        <v>935</v>
      </c>
      <c r="F2406" s="184">
        <f>(D2406*E2406)</f>
        <v>8415</v>
      </c>
      <c r="G2406" s="182" t="s">
        <v>36</v>
      </c>
      <c r="H2406" s="216" t="s">
        <v>144</v>
      </c>
      <c r="I2406" s="182">
        <v>8</v>
      </c>
      <c r="J2406" s="182">
        <f>adopted_rate_binding_wire</f>
        <v>120</v>
      </c>
      <c r="K2406" s="182">
        <f>(I2406*J2406)</f>
        <v>960</v>
      </c>
    </row>
    <row r="2407" spans="1:21" x14ac:dyDescent="0.25">
      <c r="A2407" s="537" t="s">
        <v>30</v>
      </c>
      <c r="B2407" s="537"/>
      <c r="C2407" s="537"/>
      <c r="D2407" s="537"/>
      <c r="E2407" s="537"/>
      <c r="F2407" s="184">
        <f>SUM(F2404:F2406)</f>
        <v>13395</v>
      </c>
      <c r="G2407" s="537" t="s">
        <v>31</v>
      </c>
      <c r="H2407" s="537"/>
      <c r="I2407" s="537"/>
      <c r="J2407" s="537"/>
      <c r="K2407" s="184">
        <f>SUM(K2404:K2406)</f>
        <v>110960.00000000001</v>
      </c>
      <c r="L2407" s="537" t="s">
        <v>32</v>
      </c>
      <c r="M2407" s="537"/>
      <c r="N2407" s="537"/>
      <c r="O2407" s="537"/>
      <c r="P2407" s="184">
        <f>SUM(P2404:P2406)</f>
        <v>0</v>
      </c>
      <c r="Q2407" s="537" t="s">
        <v>38</v>
      </c>
      <c r="R2407" s="537"/>
      <c r="S2407" s="537"/>
      <c r="T2407" s="537"/>
      <c r="U2407" s="223">
        <f>SUM(U2404:U2406)</f>
        <v>0</v>
      </c>
    </row>
    <row r="2408" spans="1:21" x14ac:dyDescent="0.25">
      <c r="A2408" s="537" t="s">
        <v>33</v>
      </c>
      <c r="B2408" s="537"/>
      <c r="C2408" s="537"/>
      <c r="D2408" s="537"/>
      <c r="E2408" s="537"/>
      <c r="F2408" s="184">
        <f>SUM(F2407+K2407+P2407)</f>
        <v>124355.00000000001</v>
      </c>
      <c r="G2408" s="537" t="s">
        <v>39</v>
      </c>
      <c r="H2408" s="537"/>
      <c r="I2408" s="537"/>
      <c r="J2408" s="537"/>
      <c r="K2408" s="184">
        <f>SUM(F2407+K2407+P2407+U2407)</f>
        <v>124355.00000000001</v>
      </c>
      <c r="L2408" s="537" t="s">
        <v>40</v>
      </c>
      <c r="M2408" s="537"/>
      <c r="N2408" s="537"/>
      <c r="O2408" s="537"/>
      <c r="P2408" s="184">
        <f>SUM(K2408*0.15)</f>
        <v>18653.25</v>
      </c>
      <c r="Q2408" s="537" t="s">
        <v>41</v>
      </c>
      <c r="R2408" s="537"/>
      <c r="S2408" s="537"/>
      <c r="T2408" s="537"/>
      <c r="U2408" s="223">
        <f>SUM(K2408+P2408)</f>
        <v>143008.25</v>
      </c>
    </row>
    <row r="2409" spans="1:21" x14ac:dyDescent="0.25">
      <c r="Q2409" s="537" t="s">
        <v>42</v>
      </c>
      <c r="R2409" s="537"/>
      <c r="S2409" s="537"/>
      <c r="T2409" s="537"/>
      <c r="U2409" s="224">
        <f>ROUND((U2408/1),2)</f>
        <v>143008.25</v>
      </c>
    </row>
    <row r="2410" spans="1:21" x14ac:dyDescent="0.25">
      <c r="A2410" s="538" t="s">
        <v>12</v>
      </c>
      <c r="B2410" s="538"/>
      <c r="C2410" s="540" t="s">
        <v>810</v>
      </c>
      <c r="D2410" s="540"/>
      <c r="E2410" s="540"/>
      <c r="F2410" s="540"/>
      <c r="G2410" s="540"/>
      <c r="H2410" s="540"/>
      <c r="I2410" s="540"/>
      <c r="J2410" s="540"/>
      <c r="K2410" s="540"/>
      <c r="L2410" s="540"/>
      <c r="M2410" s="540"/>
      <c r="N2410" s="540"/>
      <c r="O2410" s="540"/>
      <c r="P2410" s="540"/>
      <c r="Q2410" s="540"/>
      <c r="R2410" s="540"/>
      <c r="S2410" s="540"/>
      <c r="T2410" s="540"/>
      <c r="U2410" s="541" t="s">
        <v>811</v>
      </c>
    </row>
    <row r="2411" spans="1:21" x14ac:dyDescent="0.25">
      <c r="A2411" s="538"/>
      <c r="B2411" s="538"/>
      <c r="C2411" s="540"/>
      <c r="D2411" s="540"/>
      <c r="E2411" s="540"/>
      <c r="F2411" s="540"/>
      <c r="G2411" s="540"/>
      <c r="H2411" s="540"/>
      <c r="I2411" s="540"/>
      <c r="J2411" s="540"/>
      <c r="K2411" s="540"/>
      <c r="L2411" s="540"/>
      <c r="M2411" s="540"/>
      <c r="N2411" s="540"/>
      <c r="O2411" s="540"/>
      <c r="P2411" s="540"/>
      <c r="Q2411" s="540"/>
      <c r="R2411" s="540"/>
      <c r="S2411" s="540"/>
      <c r="T2411" s="540"/>
      <c r="U2411" s="541"/>
    </row>
    <row r="2412" spans="1:21" x14ac:dyDescent="0.25">
      <c r="A2412" s="539" t="s">
        <v>724</v>
      </c>
      <c r="B2412" s="539"/>
      <c r="C2412" s="540"/>
      <c r="D2412" s="540"/>
      <c r="E2412" s="540"/>
      <c r="F2412" s="540"/>
      <c r="G2412" s="540"/>
      <c r="H2412" s="540"/>
      <c r="I2412" s="540"/>
      <c r="J2412" s="540"/>
      <c r="K2412" s="540"/>
      <c r="L2412" s="540"/>
      <c r="M2412" s="540"/>
      <c r="N2412" s="540"/>
      <c r="O2412" s="540"/>
      <c r="P2412" s="540"/>
      <c r="Q2412" s="540"/>
      <c r="R2412" s="540"/>
      <c r="S2412" s="540"/>
      <c r="T2412" s="540"/>
      <c r="U2412" s="541"/>
    </row>
    <row r="2413" spans="1:21" x14ac:dyDescent="0.25">
      <c r="A2413" s="542" t="s">
        <v>16</v>
      </c>
      <c r="B2413" s="543" t="s">
        <v>18</v>
      </c>
      <c r="C2413" s="543"/>
      <c r="D2413" s="543"/>
      <c r="E2413" s="543"/>
      <c r="F2413" s="543"/>
      <c r="G2413" s="543" t="s">
        <v>24</v>
      </c>
      <c r="H2413" s="543"/>
      <c r="I2413" s="543"/>
      <c r="J2413" s="543"/>
      <c r="K2413" s="543"/>
      <c r="L2413" s="543" t="s">
        <v>25</v>
      </c>
      <c r="M2413" s="543"/>
      <c r="N2413" s="543"/>
      <c r="O2413" s="543"/>
      <c r="P2413" s="543"/>
      <c r="Q2413" s="543" t="s">
        <v>26</v>
      </c>
      <c r="R2413" s="543"/>
      <c r="S2413" s="543"/>
      <c r="T2413" s="543"/>
      <c r="U2413" s="543"/>
    </row>
    <row r="2414" spans="1:21" x14ac:dyDescent="0.25">
      <c r="A2414" s="542"/>
      <c r="B2414" s="182" t="s">
        <v>19</v>
      </c>
      <c r="C2414" s="182" t="s">
        <v>20</v>
      </c>
      <c r="D2414" s="182" t="s">
        <v>21</v>
      </c>
      <c r="E2414" s="182" t="s">
        <v>22</v>
      </c>
      <c r="F2414" s="182" t="s">
        <v>23</v>
      </c>
      <c r="G2414" s="182" t="s">
        <v>19</v>
      </c>
      <c r="H2414" s="216" t="s">
        <v>20</v>
      </c>
      <c r="I2414" s="182" t="s">
        <v>21</v>
      </c>
      <c r="J2414" s="182" t="s">
        <v>22</v>
      </c>
      <c r="K2414" s="182" t="s">
        <v>23</v>
      </c>
      <c r="L2414" s="182" t="s">
        <v>19</v>
      </c>
      <c r="M2414" s="182" t="s">
        <v>20</v>
      </c>
      <c r="N2414" s="182" t="s">
        <v>21</v>
      </c>
      <c r="O2414" s="182" t="s">
        <v>22</v>
      </c>
      <c r="P2414" s="182" t="s">
        <v>23</v>
      </c>
      <c r="Q2414" s="182" t="s">
        <v>19</v>
      </c>
      <c r="R2414" s="182" t="s">
        <v>20</v>
      </c>
      <c r="S2414" s="182" t="s">
        <v>21</v>
      </c>
      <c r="T2414" s="182" t="s">
        <v>22</v>
      </c>
      <c r="U2414" s="211" t="s">
        <v>23</v>
      </c>
    </row>
    <row r="2415" spans="1:21" x14ac:dyDescent="0.25">
      <c r="A2415" s="183" t="s">
        <v>812</v>
      </c>
      <c r="B2415" s="182" t="s">
        <v>47</v>
      </c>
      <c r="C2415" s="182" t="s">
        <v>28</v>
      </c>
      <c r="D2415" s="182">
        <v>3</v>
      </c>
      <c r="E2415" s="182">
        <f>skilled</f>
        <v>1245</v>
      </c>
      <c r="F2415" s="184">
        <f>(D2415*E2415)</f>
        <v>3735</v>
      </c>
      <c r="G2415" s="182" t="s">
        <v>85</v>
      </c>
      <c r="H2415" s="216" t="s">
        <v>35</v>
      </c>
      <c r="I2415" s="182">
        <v>5.12</v>
      </c>
      <c r="J2415" s="182">
        <f>adopted_rate_cement</f>
        <v>13031</v>
      </c>
      <c r="K2415" s="182">
        <f>(I2415*J2415)</f>
        <v>66718.720000000001</v>
      </c>
      <c r="L2415" s="182" t="s">
        <v>276</v>
      </c>
      <c r="M2415" s="182" t="s">
        <v>58</v>
      </c>
      <c r="N2415" s="182">
        <v>6</v>
      </c>
      <c r="O2415" s="182">
        <f>concrete_mixer</f>
        <v>296</v>
      </c>
      <c r="P2415" s="184">
        <f>(N2415*O2415)</f>
        <v>1776</v>
      </c>
    </row>
    <row r="2416" spans="1:21" x14ac:dyDescent="0.25">
      <c r="B2416" s="182" t="s">
        <v>29</v>
      </c>
      <c r="C2416" s="182" t="s">
        <v>28</v>
      </c>
      <c r="D2416" s="182">
        <v>30</v>
      </c>
      <c r="E2416" s="182">
        <f>unskilled</f>
        <v>935</v>
      </c>
      <c r="F2416" s="184">
        <f>(D2416*E2416)</f>
        <v>28050</v>
      </c>
      <c r="G2416" s="182" t="s">
        <v>430</v>
      </c>
      <c r="H2416" s="216" t="s">
        <v>84</v>
      </c>
      <c r="I2416" s="182">
        <v>6.75</v>
      </c>
      <c r="J2416" s="182">
        <f>adopted_rate_sand</f>
        <v>3175.2000000000003</v>
      </c>
      <c r="K2416" s="182">
        <f>(I2416*J2416)</f>
        <v>21432.600000000002</v>
      </c>
      <c r="L2416" s="182" t="s">
        <v>76</v>
      </c>
      <c r="M2416" s="182" t="s">
        <v>58</v>
      </c>
      <c r="N2416" s="182">
        <v>6</v>
      </c>
      <c r="O2416" s="182">
        <f>generator</f>
        <v>855</v>
      </c>
      <c r="P2416" s="184">
        <f>(N2416*O2416)</f>
        <v>5130</v>
      </c>
    </row>
    <row r="2417" spans="1:21" x14ac:dyDescent="0.25">
      <c r="G2417" s="182" t="s">
        <v>733</v>
      </c>
      <c r="H2417" s="216" t="s">
        <v>84</v>
      </c>
      <c r="I2417" s="182">
        <v>8.1</v>
      </c>
      <c r="J2417" s="182">
        <f>adopted_rate_aggregate_10_20_mm</f>
        <v>3351.6</v>
      </c>
      <c r="K2417" s="182">
        <f>(I2417*J2417)</f>
        <v>27147.96</v>
      </c>
    </row>
    <row r="2418" spans="1:21" x14ac:dyDescent="0.25">
      <c r="G2418" s="182" t="s">
        <v>734</v>
      </c>
      <c r="H2418" s="216" t="s">
        <v>84</v>
      </c>
      <c r="I2418" s="182">
        <v>5.4</v>
      </c>
      <c r="J2418" s="182">
        <f>adopted_rate_aggregate_10_mm</f>
        <v>3175.2000000000003</v>
      </c>
      <c r="K2418" s="182">
        <f>(I2418*J2418)</f>
        <v>17146.080000000002</v>
      </c>
    </row>
    <row r="2419" spans="1:21" x14ac:dyDescent="0.25">
      <c r="G2419" s="182" t="s">
        <v>171</v>
      </c>
      <c r="H2419" s="216" t="s">
        <v>172</v>
      </c>
      <c r="I2419" s="182">
        <v>3</v>
      </c>
      <c r="J2419" s="182">
        <f>adopted_rate_water</f>
        <v>310</v>
      </c>
      <c r="K2419" s="182">
        <f>(I2419*J2419)</f>
        <v>930</v>
      </c>
    </row>
    <row r="2420" spans="1:21" x14ac:dyDescent="0.25">
      <c r="A2420" s="537" t="s">
        <v>30</v>
      </c>
      <c r="B2420" s="537"/>
      <c r="C2420" s="537"/>
      <c r="D2420" s="537"/>
      <c r="E2420" s="537"/>
      <c r="F2420" s="184">
        <f>SUM(F2414:F2419)</f>
        <v>31785</v>
      </c>
      <c r="G2420" s="537" t="s">
        <v>31</v>
      </c>
      <c r="H2420" s="537"/>
      <c r="I2420" s="537"/>
      <c r="J2420" s="537"/>
      <c r="K2420" s="184">
        <f>SUM(K2414:K2419)</f>
        <v>133375.35999999999</v>
      </c>
      <c r="L2420" s="537" t="s">
        <v>32</v>
      </c>
      <c r="M2420" s="537"/>
      <c r="N2420" s="537"/>
      <c r="O2420" s="537"/>
      <c r="P2420" s="184">
        <f>SUM(P2414:P2419)</f>
        <v>6906</v>
      </c>
      <c r="Q2420" s="537" t="s">
        <v>38</v>
      </c>
      <c r="R2420" s="537"/>
      <c r="S2420" s="537"/>
      <c r="T2420" s="537"/>
      <c r="U2420" s="223">
        <f>SUM(U2414:U2419)</f>
        <v>0</v>
      </c>
    </row>
    <row r="2421" spans="1:21" x14ac:dyDescent="0.25">
      <c r="A2421" s="537" t="s">
        <v>33</v>
      </c>
      <c r="B2421" s="537"/>
      <c r="C2421" s="537"/>
      <c r="D2421" s="537"/>
      <c r="E2421" s="537"/>
      <c r="F2421" s="184">
        <f>SUM(F2420+K2420+P2420)</f>
        <v>172066.36</v>
      </c>
      <c r="G2421" s="537" t="s">
        <v>39</v>
      </c>
      <c r="H2421" s="537"/>
      <c r="I2421" s="537"/>
      <c r="J2421" s="537"/>
      <c r="K2421" s="184">
        <f>SUM(F2420+K2420+P2420+U2420)</f>
        <v>172066.36</v>
      </c>
      <c r="L2421" s="537" t="s">
        <v>40</v>
      </c>
      <c r="M2421" s="537"/>
      <c r="N2421" s="537"/>
      <c r="O2421" s="537"/>
      <c r="P2421" s="184">
        <f>SUM(K2421*0.15)</f>
        <v>25809.953999999998</v>
      </c>
      <c r="Q2421" s="537" t="s">
        <v>41</v>
      </c>
      <c r="R2421" s="537"/>
      <c r="S2421" s="537"/>
      <c r="T2421" s="537"/>
      <c r="U2421" s="223">
        <f>SUM(K2421+P2421)</f>
        <v>197876.31399999998</v>
      </c>
    </row>
    <row r="2422" spans="1:21" x14ac:dyDescent="0.25">
      <c r="Q2422" s="537" t="s">
        <v>42</v>
      </c>
      <c r="R2422" s="537"/>
      <c r="S2422" s="537"/>
      <c r="T2422" s="537"/>
      <c r="U2422" s="224">
        <f>ROUND((U2421/30),2)</f>
        <v>6595.88</v>
      </c>
    </row>
    <row r="2423" spans="1:21" x14ac:dyDescent="0.25">
      <c r="A2423" s="544"/>
      <c r="B2423" s="544"/>
      <c r="C2423" s="544"/>
      <c r="D2423" s="544"/>
      <c r="E2423" s="544"/>
      <c r="F2423" s="544"/>
      <c r="G2423" s="544"/>
      <c r="H2423" s="544"/>
      <c r="I2423" s="544"/>
      <c r="J2423" s="544"/>
      <c r="K2423" s="544"/>
      <c r="L2423" s="544"/>
      <c r="M2423" s="544"/>
      <c r="N2423" s="544"/>
      <c r="O2423" s="544"/>
      <c r="P2423" s="544"/>
      <c r="Q2423" s="544"/>
      <c r="R2423" s="544"/>
      <c r="S2423" s="544"/>
      <c r="T2423" s="544"/>
      <c r="U2423" s="544"/>
    </row>
    <row r="2424" spans="1:21" x14ac:dyDescent="0.25">
      <c r="A2424" s="538" t="s">
        <v>12</v>
      </c>
      <c r="B2424" s="538"/>
      <c r="C2424" s="540" t="s">
        <v>813</v>
      </c>
      <c r="D2424" s="540"/>
      <c r="E2424" s="540"/>
      <c r="F2424" s="540"/>
      <c r="G2424" s="540"/>
      <c r="H2424" s="540"/>
      <c r="I2424" s="540"/>
      <c r="J2424" s="540"/>
      <c r="K2424" s="540"/>
      <c r="L2424" s="540"/>
      <c r="M2424" s="540"/>
      <c r="N2424" s="540"/>
      <c r="O2424" s="540"/>
      <c r="P2424" s="540"/>
      <c r="Q2424" s="540"/>
      <c r="R2424" s="540"/>
      <c r="S2424" s="540"/>
      <c r="T2424" s="540"/>
      <c r="U2424" s="541" t="s">
        <v>811</v>
      </c>
    </row>
    <row r="2425" spans="1:21" x14ac:dyDescent="0.25">
      <c r="A2425" s="538"/>
      <c r="B2425" s="538"/>
      <c r="C2425" s="540"/>
      <c r="D2425" s="540"/>
      <c r="E2425" s="540"/>
      <c r="F2425" s="540"/>
      <c r="G2425" s="540"/>
      <c r="H2425" s="540"/>
      <c r="I2425" s="540"/>
      <c r="J2425" s="540"/>
      <c r="K2425" s="540"/>
      <c r="L2425" s="540"/>
      <c r="M2425" s="540"/>
      <c r="N2425" s="540"/>
      <c r="O2425" s="540"/>
      <c r="P2425" s="540"/>
      <c r="Q2425" s="540"/>
      <c r="R2425" s="540"/>
      <c r="S2425" s="540"/>
      <c r="T2425" s="540"/>
      <c r="U2425" s="541"/>
    </row>
    <row r="2426" spans="1:21" x14ac:dyDescent="0.25">
      <c r="A2426" s="539" t="s">
        <v>724</v>
      </c>
      <c r="B2426" s="539"/>
      <c r="C2426" s="540"/>
      <c r="D2426" s="540"/>
      <c r="E2426" s="540"/>
      <c r="F2426" s="540"/>
      <c r="G2426" s="540"/>
      <c r="H2426" s="540"/>
      <c r="I2426" s="540"/>
      <c r="J2426" s="540"/>
      <c r="K2426" s="540"/>
      <c r="L2426" s="540"/>
      <c r="M2426" s="540"/>
      <c r="N2426" s="540"/>
      <c r="O2426" s="540"/>
      <c r="P2426" s="540"/>
      <c r="Q2426" s="540"/>
      <c r="R2426" s="540"/>
      <c r="S2426" s="540"/>
      <c r="T2426" s="540"/>
      <c r="U2426" s="541"/>
    </row>
    <row r="2427" spans="1:21" x14ac:dyDescent="0.25">
      <c r="A2427" s="542" t="s">
        <v>16</v>
      </c>
      <c r="B2427" s="543" t="s">
        <v>18</v>
      </c>
      <c r="C2427" s="543"/>
      <c r="D2427" s="543"/>
      <c r="E2427" s="543"/>
      <c r="F2427" s="543"/>
      <c r="G2427" s="543" t="s">
        <v>24</v>
      </c>
      <c r="H2427" s="543"/>
      <c r="I2427" s="543"/>
      <c r="J2427" s="543"/>
      <c r="K2427" s="543"/>
      <c r="L2427" s="543" t="s">
        <v>25</v>
      </c>
      <c r="M2427" s="543"/>
      <c r="N2427" s="543"/>
      <c r="O2427" s="543"/>
      <c r="P2427" s="543"/>
      <c r="Q2427" s="543" t="s">
        <v>26</v>
      </c>
      <c r="R2427" s="543"/>
      <c r="S2427" s="543"/>
      <c r="T2427" s="543"/>
      <c r="U2427" s="543"/>
    </row>
    <row r="2428" spans="1:21" x14ac:dyDescent="0.25">
      <c r="A2428" s="542"/>
      <c r="B2428" s="182" t="s">
        <v>19</v>
      </c>
      <c r="C2428" s="182" t="s">
        <v>20</v>
      </c>
      <c r="D2428" s="182" t="s">
        <v>21</v>
      </c>
      <c r="E2428" s="182" t="s">
        <v>22</v>
      </c>
      <c r="F2428" s="182" t="s">
        <v>23</v>
      </c>
      <c r="G2428" s="182" t="s">
        <v>19</v>
      </c>
      <c r="H2428" s="216" t="s">
        <v>20</v>
      </c>
      <c r="I2428" s="182" t="s">
        <v>21</v>
      </c>
      <c r="J2428" s="182" t="s">
        <v>22</v>
      </c>
      <c r="K2428" s="182" t="s">
        <v>23</v>
      </c>
      <c r="L2428" s="182" t="s">
        <v>19</v>
      </c>
      <c r="M2428" s="182" t="s">
        <v>20</v>
      </c>
      <c r="N2428" s="182" t="s">
        <v>21</v>
      </c>
      <c r="O2428" s="182" t="s">
        <v>22</v>
      </c>
      <c r="P2428" s="182" t="s">
        <v>23</v>
      </c>
      <c r="Q2428" s="182" t="s">
        <v>19</v>
      </c>
      <c r="R2428" s="182" t="s">
        <v>20</v>
      </c>
      <c r="S2428" s="182" t="s">
        <v>21</v>
      </c>
      <c r="T2428" s="182" t="s">
        <v>22</v>
      </c>
      <c r="U2428" s="211" t="s">
        <v>23</v>
      </c>
    </row>
    <row r="2429" spans="1:21" ht="47.25" x14ac:dyDescent="0.25">
      <c r="A2429" s="183" t="s">
        <v>814</v>
      </c>
      <c r="B2429" s="182" t="s">
        <v>47</v>
      </c>
      <c r="C2429" s="182" t="s">
        <v>28</v>
      </c>
      <c r="D2429" s="182">
        <v>3</v>
      </c>
      <c r="E2429" s="182">
        <f>skilled</f>
        <v>1245</v>
      </c>
      <c r="F2429" s="184">
        <f>(D2429*E2429)</f>
        <v>3735</v>
      </c>
      <c r="G2429" s="182" t="s">
        <v>85</v>
      </c>
      <c r="H2429" s="216" t="s">
        <v>35</v>
      </c>
      <c r="I2429" s="182">
        <v>5.12</v>
      </c>
      <c r="J2429" s="182">
        <f>adopted_rate_cement</f>
        <v>13031</v>
      </c>
      <c r="K2429" s="182">
        <f>(I2429*J2429)</f>
        <v>66718.720000000001</v>
      </c>
      <c r="L2429" s="182" t="s">
        <v>276</v>
      </c>
      <c r="M2429" s="182" t="s">
        <v>58</v>
      </c>
      <c r="N2429" s="182">
        <v>6</v>
      </c>
      <c r="O2429" s="182">
        <f>concrete_mixer</f>
        <v>296</v>
      </c>
      <c r="P2429" s="184">
        <f>(N2429*O2429)</f>
        <v>1776</v>
      </c>
      <c r="Q2429" s="182" t="s">
        <v>815</v>
      </c>
      <c r="R2429" s="182"/>
      <c r="U2429" s="223">
        <f>F2435*20/100</f>
        <v>34413.271999999997</v>
      </c>
    </row>
    <row r="2430" spans="1:21" x14ac:dyDescent="0.25">
      <c r="B2430" s="182" t="s">
        <v>29</v>
      </c>
      <c r="C2430" s="182" t="s">
        <v>28</v>
      </c>
      <c r="D2430" s="182">
        <v>30</v>
      </c>
      <c r="E2430" s="182">
        <f>unskilled</f>
        <v>935</v>
      </c>
      <c r="F2430" s="184">
        <f>(D2430*E2430)</f>
        <v>28050</v>
      </c>
      <c r="G2430" s="182" t="s">
        <v>430</v>
      </c>
      <c r="H2430" s="216" t="s">
        <v>84</v>
      </c>
      <c r="I2430" s="182">
        <v>6.75</v>
      </c>
      <c r="J2430" s="182">
        <f>adopted_rate_sand</f>
        <v>3175.2000000000003</v>
      </c>
      <c r="K2430" s="182">
        <f>(I2430*J2430)</f>
        <v>21432.600000000002</v>
      </c>
      <c r="L2430" s="182" t="s">
        <v>76</v>
      </c>
      <c r="M2430" s="182" t="s">
        <v>58</v>
      </c>
      <c r="N2430" s="182">
        <v>6</v>
      </c>
      <c r="O2430" s="182">
        <f>generator</f>
        <v>855</v>
      </c>
      <c r="P2430" s="184">
        <f>(N2430*O2430)</f>
        <v>5130</v>
      </c>
    </row>
    <row r="2431" spans="1:21" x14ac:dyDescent="0.25">
      <c r="G2431" s="182" t="s">
        <v>733</v>
      </c>
      <c r="H2431" s="216" t="s">
        <v>84</v>
      </c>
      <c r="I2431" s="182">
        <v>8.1</v>
      </c>
      <c r="J2431" s="182">
        <f>adopted_rate_aggregate_10_20_mm</f>
        <v>3351.6</v>
      </c>
      <c r="K2431" s="182">
        <f>(I2431*J2431)</f>
        <v>27147.96</v>
      </c>
    </row>
    <row r="2432" spans="1:21" x14ac:dyDescent="0.25">
      <c r="G2432" s="182" t="s">
        <v>734</v>
      </c>
      <c r="H2432" s="216" t="s">
        <v>84</v>
      </c>
      <c r="I2432" s="182">
        <v>5.4</v>
      </c>
      <c r="J2432" s="182">
        <f>adopted_rate_aggregate_10_mm</f>
        <v>3175.2000000000003</v>
      </c>
      <c r="K2432" s="182">
        <f>(I2432*J2432)</f>
        <v>17146.080000000002</v>
      </c>
    </row>
    <row r="2433" spans="1:21" x14ac:dyDescent="0.25">
      <c r="G2433" s="182" t="s">
        <v>171</v>
      </c>
      <c r="H2433" s="216" t="s">
        <v>172</v>
      </c>
      <c r="I2433" s="182">
        <v>3</v>
      </c>
      <c r="J2433" s="182">
        <f>adopted_rate_water</f>
        <v>310</v>
      </c>
      <c r="K2433" s="182">
        <f>(I2433*J2433)</f>
        <v>930</v>
      </c>
    </row>
    <row r="2434" spans="1:21" x14ac:dyDescent="0.25">
      <c r="A2434" s="537" t="s">
        <v>30</v>
      </c>
      <c r="B2434" s="537"/>
      <c r="C2434" s="537"/>
      <c r="D2434" s="537"/>
      <c r="E2434" s="537"/>
      <c r="F2434" s="184">
        <f>SUM(F2428:F2433)</f>
        <v>31785</v>
      </c>
      <c r="G2434" s="537" t="s">
        <v>31</v>
      </c>
      <c r="H2434" s="537"/>
      <c r="I2434" s="537"/>
      <c r="J2434" s="537"/>
      <c r="K2434" s="184">
        <f>SUM(K2428:K2433)</f>
        <v>133375.35999999999</v>
      </c>
      <c r="L2434" s="537" t="s">
        <v>32</v>
      </c>
      <c r="M2434" s="537"/>
      <c r="N2434" s="537"/>
      <c r="O2434" s="537"/>
      <c r="P2434" s="184">
        <f>SUM(P2428:P2433)</f>
        <v>6906</v>
      </c>
      <c r="Q2434" s="537" t="s">
        <v>38</v>
      </c>
      <c r="R2434" s="537"/>
      <c r="S2434" s="537"/>
      <c r="T2434" s="537"/>
      <c r="U2434" s="223">
        <f>SUM(U2428:U2433)</f>
        <v>34413.271999999997</v>
      </c>
    </row>
    <row r="2435" spans="1:21" x14ac:dyDescent="0.25">
      <c r="A2435" s="537" t="s">
        <v>33</v>
      </c>
      <c r="B2435" s="537"/>
      <c r="C2435" s="537"/>
      <c r="D2435" s="537"/>
      <c r="E2435" s="537"/>
      <c r="F2435" s="184">
        <f>SUM(F2434+K2434+P2434)</f>
        <v>172066.36</v>
      </c>
      <c r="G2435" s="537" t="s">
        <v>39</v>
      </c>
      <c r="H2435" s="537"/>
      <c r="I2435" s="537"/>
      <c r="J2435" s="537"/>
      <c r="K2435" s="184">
        <f>SUM(F2434+K2434+P2434+U2434)</f>
        <v>206479.63199999998</v>
      </c>
      <c r="L2435" s="537" t="s">
        <v>40</v>
      </c>
      <c r="M2435" s="537"/>
      <c r="N2435" s="537"/>
      <c r="O2435" s="537"/>
      <c r="P2435" s="184">
        <f>SUM(K2435*0.15)</f>
        <v>30971.944799999997</v>
      </c>
      <c r="Q2435" s="537" t="s">
        <v>41</v>
      </c>
      <c r="R2435" s="537"/>
      <c r="S2435" s="537"/>
      <c r="T2435" s="537"/>
      <c r="U2435" s="223">
        <f>SUM(K2435+P2435)</f>
        <v>237451.57679999998</v>
      </c>
    </row>
    <row r="2436" spans="1:21" x14ac:dyDescent="0.25">
      <c r="Q2436" s="537" t="s">
        <v>42</v>
      </c>
      <c r="R2436" s="537"/>
      <c r="S2436" s="537"/>
      <c r="T2436" s="537"/>
      <c r="U2436" s="224">
        <f>ROUND((U2435/30),2)</f>
        <v>7915.05</v>
      </c>
    </row>
    <row r="2437" spans="1:21" x14ac:dyDescent="0.25">
      <c r="A2437" s="544"/>
      <c r="B2437" s="544"/>
      <c r="C2437" s="544"/>
      <c r="D2437" s="544"/>
      <c r="E2437" s="544"/>
      <c r="F2437" s="544"/>
      <c r="G2437" s="544"/>
      <c r="H2437" s="544"/>
      <c r="I2437" s="544"/>
      <c r="J2437" s="544"/>
      <c r="K2437" s="544"/>
      <c r="L2437" s="544"/>
      <c r="M2437" s="544"/>
      <c r="N2437" s="544"/>
      <c r="O2437" s="544"/>
      <c r="P2437" s="544"/>
      <c r="Q2437" s="544"/>
      <c r="R2437" s="544"/>
      <c r="S2437" s="544"/>
      <c r="T2437" s="544"/>
      <c r="U2437" s="544"/>
    </row>
    <row r="2438" spans="1:21" x14ac:dyDescent="0.25">
      <c r="A2438" s="538" t="s">
        <v>12</v>
      </c>
      <c r="B2438" s="538"/>
      <c r="C2438" s="540" t="s">
        <v>817</v>
      </c>
      <c r="D2438" s="540"/>
      <c r="E2438" s="540"/>
      <c r="F2438" s="540"/>
      <c r="G2438" s="540"/>
      <c r="H2438" s="540"/>
      <c r="I2438" s="540"/>
      <c r="J2438" s="540"/>
      <c r="K2438" s="540"/>
      <c r="L2438" s="540"/>
      <c r="M2438" s="540"/>
      <c r="N2438" s="540"/>
      <c r="O2438" s="540"/>
      <c r="P2438" s="540"/>
      <c r="Q2438" s="540"/>
      <c r="R2438" s="540"/>
      <c r="S2438" s="540"/>
      <c r="T2438" s="540"/>
      <c r="U2438" s="541" t="s">
        <v>811</v>
      </c>
    </row>
    <row r="2439" spans="1:21" x14ac:dyDescent="0.25">
      <c r="A2439" s="538"/>
      <c r="B2439" s="538"/>
      <c r="C2439" s="540"/>
      <c r="D2439" s="540"/>
      <c r="E2439" s="540"/>
      <c r="F2439" s="540"/>
      <c r="G2439" s="540"/>
      <c r="H2439" s="540"/>
      <c r="I2439" s="540"/>
      <c r="J2439" s="540"/>
      <c r="K2439" s="540"/>
      <c r="L2439" s="540"/>
      <c r="M2439" s="540"/>
      <c r="N2439" s="540"/>
      <c r="O2439" s="540"/>
      <c r="P2439" s="540"/>
      <c r="Q2439" s="540"/>
      <c r="R2439" s="540"/>
      <c r="S2439" s="540"/>
      <c r="T2439" s="540"/>
      <c r="U2439" s="541"/>
    </row>
    <row r="2440" spans="1:21" x14ac:dyDescent="0.25">
      <c r="A2440" s="539" t="s">
        <v>816</v>
      </c>
      <c r="B2440" s="539"/>
      <c r="C2440" s="540"/>
      <c r="D2440" s="540"/>
      <c r="E2440" s="540"/>
      <c r="F2440" s="540"/>
      <c r="G2440" s="540"/>
      <c r="H2440" s="540"/>
      <c r="I2440" s="540"/>
      <c r="J2440" s="540"/>
      <c r="K2440" s="540"/>
      <c r="L2440" s="540"/>
      <c r="M2440" s="540"/>
      <c r="N2440" s="540"/>
      <c r="O2440" s="540"/>
      <c r="P2440" s="540"/>
      <c r="Q2440" s="540"/>
      <c r="R2440" s="540"/>
      <c r="S2440" s="540"/>
      <c r="T2440" s="540"/>
      <c r="U2440" s="541"/>
    </row>
    <row r="2441" spans="1:21" x14ac:dyDescent="0.25">
      <c r="A2441" s="542" t="s">
        <v>16</v>
      </c>
      <c r="B2441" s="543" t="s">
        <v>18</v>
      </c>
      <c r="C2441" s="543"/>
      <c r="D2441" s="543"/>
      <c r="E2441" s="543"/>
      <c r="F2441" s="543"/>
      <c r="G2441" s="543" t="s">
        <v>24</v>
      </c>
      <c r="H2441" s="543"/>
      <c r="I2441" s="543"/>
      <c r="J2441" s="543"/>
      <c r="K2441" s="543"/>
      <c r="L2441" s="543" t="s">
        <v>25</v>
      </c>
      <c r="M2441" s="543"/>
      <c r="N2441" s="543"/>
      <c r="O2441" s="543"/>
      <c r="P2441" s="543"/>
      <c r="Q2441" s="543" t="s">
        <v>26</v>
      </c>
      <c r="R2441" s="543"/>
      <c r="S2441" s="543"/>
      <c r="T2441" s="543"/>
      <c r="U2441" s="543"/>
    </row>
    <row r="2442" spans="1:21" x14ac:dyDescent="0.25">
      <c r="A2442" s="542"/>
      <c r="B2442" s="182" t="s">
        <v>19</v>
      </c>
      <c r="C2442" s="182" t="s">
        <v>20</v>
      </c>
      <c r="D2442" s="182" t="s">
        <v>21</v>
      </c>
      <c r="E2442" s="182" t="s">
        <v>22</v>
      </c>
      <c r="F2442" s="182" t="s">
        <v>23</v>
      </c>
      <c r="G2442" s="182" t="s">
        <v>19</v>
      </c>
      <c r="H2442" s="216" t="s">
        <v>20</v>
      </c>
      <c r="I2442" s="182" t="s">
        <v>21</v>
      </c>
      <c r="J2442" s="182" t="s">
        <v>22</v>
      </c>
      <c r="K2442" s="182" t="s">
        <v>23</v>
      </c>
      <c r="L2442" s="182" t="s">
        <v>19</v>
      </c>
      <c r="M2442" s="182" t="s">
        <v>20</v>
      </c>
      <c r="N2442" s="182" t="s">
        <v>21</v>
      </c>
      <c r="O2442" s="182" t="s">
        <v>22</v>
      </c>
      <c r="P2442" s="182" t="s">
        <v>23</v>
      </c>
      <c r="Q2442" s="182" t="s">
        <v>19</v>
      </c>
      <c r="R2442" s="182" t="s">
        <v>20</v>
      </c>
      <c r="S2442" s="182" t="s">
        <v>21</v>
      </c>
      <c r="T2442" s="182" t="s">
        <v>22</v>
      </c>
      <c r="U2442" s="211" t="s">
        <v>23</v>
      </c>
    </row>
    <row r="2443" spans="1:21" x14ac:dyDescent="0.25">
      <c r="A2443" s="183" t="s">
        <v>818</v>
      </c>
      <c r="B2443" s="182" t="s">
        <v>47</v>
      </c>
      <c r="C2443" s="182" t="s">
        <v>28</v>
      </c>
      <c r="D2443" s="182">
        <v>1</v>
      </c>
      <c r="E2443" s="182">
        <f>skilled</f>
        <v>1245</v>
      </c>
      <c r="F2443" s="184">
        <f>(D2443*E2443)</f>
        <v>1245</v>
      </c>
      <c r="G2443" s="182" t="s">
        <v>819</v>
      </c>
      <c r="H2443" s="216" t="s">
        <v>75</v>
      </c>
      <c r="I2443" s="182">
        <v>31.5</v>
      </c>
      <c r="J2443" s="182">
        <f>adopted_rate_HDPE_pipe_150_mm</f>
        <v>1027</v>
      </c>
      <c r="K2443" s="182">
        <f>(I2443*J2443)</f>
        <v>32350.5</v>
      </c>
    </row>
    <row r="2444" spans="1:21" x14ac:dyDescent="0.25">
      <c r="B2444" s="182" t="s">
        <v>29</v>
      </c>
      <c r="C2444" s="182" t="s">
        <v>28</v>
      </c>
      <c r="D2444" s="182">
        <v>1</v>
      </c>
      <c r="E2444" s="182">
        <f>unskilled</f>
        <v>935</v>
      </c>
      <c r="F2444" s="184">
        <f>(D2444*E2444)</f>
        <v>935</v>
      </c>
      <c r="G2444" s="182" t="s">
        <v>820</v>
      </c>
      <c r="H2444" s="216" t="s">
        <v>106</v>
      </c>
      <c r="I2444" s="182">
        <v>30</v>
      </c>
      <c r="J2444" s="182">
        <f>adopted_rate_ms_clamp</f>
        <v>0</v>
      </c>
      <c r="K2444" s="182">
        <f>(I2444*J2444)</f>
        <v>0</v>
      </c>
    </row>
    <row r="2445" spans="1:21" x14ac:dyDescent="0.25">
      <c r="G2445" s="182" t="s">
        <v>821</v>
      </c>
      <c r="H2445" s="216" t="s">
        <v>106</v>
      </c>
      <c r="I2445" s="182">
        <v>10</v>
      </c>
      <c r="J2445" s="182">
        <f>adopted_rate_ac_pipe_collar</f>
        <v>0</v>
      </c>
      <c r="K2445" s="182">
        <f>(I2445*J2445)</f>
        <v>0</v>
      </c>
    </row>
    <row r="2446" spans="1:21" x14ac:dyDescent="0.25">
      <c r="G2446" s="182" t="s">
        <v>85</v>
      </c>
      <c r="H2446" s="216" t="s">
        <v>35</v>
      </c>
      <c r="I2446" s="182">
        <v>2.5499999999999998E-2</v>
      </c>
      <c r="J2446" s="182">
        <f>adopted_rate_cement</f>
        <v>13031</v>
      </c>
      <c r="K2446" s="182">
        <f>(I2446*J2446)</f>
        <v>332.29049999999995</v>
      </c>
    </row>
    <row r="2447" spans="1:21" x14ac:dyDescent="0.25">
      <c r="G2447" s="182" t="s">
        <v>83</v>
      </c>
      <c r="H2447" s="216" t="s">
        <v>84</v>
      </c>
      <c r="I2447" s="182">
        <v>5.2499999999999998E-2</v>
      </c>
      <c r="J2447" s="182">
        <f>adopted_rate_sand</f>
        <v>3175.2000000000003</v>
      </c>
      <c r="K2447" s="182">
        <f>(I2447*J2447)</f>
        <v>166.69800000000001</v>
      </c>
    </row>
    <row r="2448" spans="1:21" x14ac:dyDescent="0.25">
      <c r="A2448" s="537" t="s">
        <v>30</v>
      </c>
      <c r="B2448" s="537"/>
      <c r="C2448" s="537"/>
      <c r="D2448" s="537"/>
      <c r="E2448" s="537"/>
      <c r="F2448" s="184">
        <f>SUM(F2442:F2447)</f>
        <v>2180</v>
      </c>
      <c r="G2448" s="537" t="s">
        <v>31</v>
      </c>
      <c r="H2448" s="537"/>
      <c r="I2448" s="537"/>
      <c r="J2448" s="537"/>
      <c r="K2448" s="184">
        <f>SUM(K2442:K2447)</f>
        <v>32849.488499999999</v>
      </c>
      <c r="L2448" s="537" t="s">
        <v>32</v>
      </c>
      <c r="M2448" s="537"/>
      <c r="N2448" s="537"/>
      <c r="O2448" s="537"/>
      <c r="P2448" s="184">
        <f>SUM(P2442:P2447)</f>
        <v>0</v>
      </c>
      <c r="Q2448" s="537" t="s">
        <v>38</v>
      </c>
      <c r="R2448" s="537"/>
      <c r="S2448" s="537"/>
      <c r="T2448" s="537"/>
      <c r="U2448" s="223">
        <f>SUM(U2442:U2447)</f>
        <v>0</v>
      </c>
    </row>
    <row r="2449" spans="1:21" x14ac:dyDescent="0.25">
      <c r="A2449" s="537" t="s">
        <v>33</v>
      </c>
      <c r="B2449" s="537"/>
      <c r="C2449" s="537"/>
      <c r="D2449" s="537"/>
      <c r="E2449" s="537"/>
      <c r="F2449" s="184">
        <f>SUM(F2448+K2448+P2448)</f>
        <v>35029.488499999999</v>
      </c>
      <c r="G2449" s="537" t="s">
        <v>39</v>
      </c>
      <c r="H2449" s="537"/>
      <c r="I2449" s="537"/>
      <c r="J2449" s="537"/>
      <c r="K2449" s="184">
        <f>SUM(F2448+K2448+P2448+U2448)</f>
        <v>35029.488499999999</v>
      </c>
      <c r="L2449" s="537" t="s">
        <v>40</v>
      </c>
      <c r="M2449" s="537"/>
      <c r="N2449" s="537"/>
      <c r="O2449" s="537"/>
      <c r="P2449" s="184">
        <f>SUM(K2449*0.15)</f>
        <v>5254.4232750000001</v>
      </c>
      <c r="Q2449" s="537" t="s">
        <v>41</v>
      </c>
      <c r="R2449" s="537"/>
      <c r="S2449" s="537"/>
      <c r="T2449" s="537"/>
      <c r="U2449" s="223">
        <f>SUM(K2449+P2449)</f>
        <v>40283.911775</v>
      </c>
    </row>
    <row r="2450" spans="1:21" x14ac:dyDescent="0.25">
      <c r="Q2450" s="537" t="s">
        <v>42</v>
      </c>
      <c r="R2450" s="537"/>
      <c r="S2450" s="537"/>
      <c r="T2450" s="537"/>
      <c r="U2450" s="224">
        <f>ROUND((U2449/30),2)</f>
        <v>1342.8</v>
      </c>
    </row>
    <row r="2451" spans="1:21" x14ac:dyDescent="0.25">
      <c r="A2451" s="544"/>
      <c r="B2451" s="544"/>
      <c r="C2451" s="544"/>
      <c r="D2451" s="544"/>
      <c r="E2451" s="544"/>
      <c r="F2451" s="544"/>
      <c r="G2451" s="544"/>
      <c r="H2451" s="544"/>
      <c r="I2451" s="544"/>
      <c r="J2451" s="544"/>
      <c r="K2451" s="544"/>
      <c r="L2451" s="544"/>
      <c r="M2451" s="544"/>
      <c r="N2451" s="544"/>
      <c r="O2451" s="544"/>
      <c r="P2451" s="544"/>
      <c r="Q2451" s="544"/>
      <c r="R2451" s="544"/>
      <c r="S2451" s="544"/>
      <c r="T2451" s="544"/>
      <c r="U2451" s="544"/>
    </row>
    <row r="2452" spans="1:21" x14ac:dyDescent="0.25">
      <c r="A2452" s="538" t="s">
        <v>12</v>
      </c>
      <c r="B2452" s="538"/>
      <c r="C2452" s="540" t="s">
        <v>822</v>
      </c>
      <c r="D2452" s="540"/>
      <c r="E2452" s="540"/>
      <c r="F2452" s="540"/>
      <c r="G2452" s="540"/>
      <c r="H2452" s="540"/>
      <c r="I2452" s="540"/>
      <c r="J2452" s="540"/>
      <c r="K2452" s="540"/>
      <c r="L2452" s="540"/>
      <c r="M2452" s="540"/>
      <c r="N2452" s="540"/>
      <c r="O2452" s="540"/>
      <c r="P2452" s="540"/>
      <c r="Q2452" s="540"/>
      <c r="R2452" s="540"/>
      <c r="S2452" s="540"/>
      <c r="T2452" s="540"/>
      <c r="U2452" s="541" t="s">
        <v>811</v>
      </c>
    </row>
    <row r="2453" spans="1:21" x14ac:dyDescent="0.25">
      <c r="A2453" s="538"/>
      <c r="B2453" s="538"/>
      <c r="C2453" s="540"/>
      <c r="D2453" s="540"/>
      <c r="E2453" s="540"/>
      <c r="F2453" s="540"/>
      <c r="G2453" s="540"/>
      <c r="H2453" s="540"/>
      <c r="I2453" s="540"/>
      <c r="J2453" s="540"/>
      <c r="K2453" s="540"/>
      <c r="L2453" s="540"/>
      <c r="M2453" s="540"/>
      <c r="N2453" s="540"/>
      <c r="O2453" s="540"/>
      <c r="P2453" s="540"/>
      <c r="Q2453" s="540"/>
      <c r="R2453" s="540"/>
      <c r="S2453" s="540"/>
      <c r="T2453" s="540"/>
      <c r="U2453" s="541"/>
    </row>
    <row r="2454" spans="1:21" x14ac:dyDescent="0.25">
      <c r="A2454" s="539" t="s">
        <v>724</v>
      </c>
      <c r="B2454" s="539"/>
      <c r="C2454" s="540"/>
      <c r="D2454" s="540"/>
      <c r="E2454" s="540"/>
      <c r="F2454" s="540"/>
      <c r="G2454" s="540"/>
      <c r="H2454" s="540"/>
      <c r="I2454" s="540"/>
      <c r="J2454" s="540"/>
      <c r="K2454" s="540"/>
      <c r="L2454" s="540"/>
      <c r="M2454" s="540"/>
      <c r="N2454" s="540"/>
      <c r="O2454" s="540"/>
      <c r="P2454" s="540"/>
      <c r="Q2454" s="540"/>
      <c r="R2454" s="540"/>
      <c r="S2454" s="540"/>
      <c r="T2454" s="540"/>
      <c r="U2454" s="541"/>
    </row>
    <row r="2455" spans="1:21" x14ac:dyDescent="0.25">
      <c r="A2455" s="542" t="s">
        <v>16</v>
      </c>
      <c r="B2455" s="543" t="s">
        <v>18</v>
      </c>
      <c r="C2455" s="543"/>
      <c r="D2455" s="543"/>
      <c r="E2455" s="543"/>
      <c r="F2455" s="543"/>
      <c r="G2455" s="543" t="s">
        <v>24</v>
      </c>
      <c r="H2455" s="543"/>
      <c r="I2455" s="543"/>
      <c r="J2455" s="543"/>
      <c r="K2455" s="543"/>
      <c r="L2455" s="543" t="s">
        <v>25</v>
      </c>
      <c r="M2455" s="543"/>
      <c r="N2455" s="543"/>
      <c r="O2455" s="543"/>
      <c r="P2455" s="543"/>
      <c r="Q2455" s="543" t="s">
        <v>26</v>
      </c>
      <c r="R2455" s="543"/>
      <c r="S2455" s="543"/>
      <c r="T2455" s="543"/>
      <c r="U2455" s="543"/>
    </row>
    <row r="2456" spans="1:21" x14ac:dyDescent="0.25">
      <c r="A2456" s="542"/>
      <c r="B2456" s="182" t="s">
        <v>19</v>
      </c>
      <c r="C2456" s="182" t="s">
        <v>20</v>
      </c>
      <c r="D2456" s="182" t="s">
        <v>21</v>
      </c>
      <c r="E2456" s="182" t="s">
        <v>22</v>
      </c>
      <c r="F2456" s="182" t="s">
        <v>23</v>
      </c>
      <c r="G2456" s="182" t="s">
        <v>19</v>
      </c>
      <c r="H2456" s="216" t="s">
        <v>20</v>
      </c>
      <c r="I2456" s="182" t="s">
        <v>21</v>
      </c>
      <c r="J2456" s="182" t="s">
        <v>22</v>
      </c>
      <c r="K2456" s="182" t="s">
        <v>23</v>
      </c>
      <c r="L2456" s="182" t="s">
        <v>19</v>
      </c>
      <c r="M2456" s="182" t="s">
        <v>20</v>
      </c>
      <c r="N2456" s="182" t="s">
        <v>21</v>
      </c>
      <c r="O2456" s="182" t="s">
        <v>22</v>
      </c>
      <c r="P2456" s="182" t="s">
        <v>23</v>
      </c>
      <c r="Q2456" s="182" t="s">
        <v>19</v>
      </c>
      <c r="R2456" s="182" t="s">
        <v>20</v>
      </c>
      <c r="S2456" s="182" t="s">
        <v>21</v>
      </c>
      <c r="T2456" s="182" t="s">
        <v>22</v>
      </c>
      <c r="U2456" s="211" t="s">
        <v>23</v>
      </c>
    </row>
    <row r="2457" spans="1:21" ht="47.25" x14ac:dyDescent="0.25">
      <c r="A2457" s="183" t="s">
        <v>823</v>
      </c>
      <c r="B2457" s="182" t="s">
        <v>47</v>
      </c>
      <c r="C2457" s="182" t="s">
        <v>28</v>
      </c>
      <c r="D2457" s="182">
        <v>3</v>
      </c>
      <c r="E2457" s="182">
        <f>skilled</f>
        <v>1245</v>
      </c>
      <c r="F2457" s="184">
        <f>(D2457*E2457)</f>
        <v>3735</v>
      </c>
      <c r="G2457" s="182" t="s">
        <v>85</v>
      </c>
      <c r="H2457" s="216" t="s">
        <v>35</v>
      </c>
      <c r="I2457" s="182">
        <v>5.12</v>
      </c>
      <c r="J2457" s="182">
        <f>adopted_rate_cement</f>
        <v>13031</v>
      </c>
      <c r="K2457" s="182">
        <f>(I2457*J2457)</f>
        <v>66718.720000000001</v>
      </c>
      <c r="L2457" s="182" t="s">
        <v>276</v>
      </c>
      <c r="M2457" s="182" t="s">
        <v>58</v>
      </c>
      <c r="N2457" s="182">
        <v>6</v>
      </c>
      <c r="O2457" s="182">
        <f>concrete_mixer</f>
        <v>296</v>
      </c>
      <c r="P2457" s="184">
        <f>(N2457*O2457)</f>
        <v>1776</v>
      </c>
      <c r="Q2457" s="182" t="s">
        <v>824</v>
      </c>
      <c r="R2457" s="182"/>
      <c r="U2457" s="223">
        <f>F2463*25/100</f>
        <v>43016.59</v>
      </c>
    </row>
    <row r="2458" spans="1:21" x14ac:dyDescent="0.25">
      <c r="B2458" s="182" t="s">
        <v>29</v>
      </c>
      <c r="C2458" s="182" t="s">
        <v>28</v>
      </c>
      <c r="D2458" s="182">
        <v>30</v>
      </c>
      <c r="E2458" s="182">
        <f>unskilled</f>
        <v>935</v>
      </c>
      <c r="F2458" s="184">
        <f>(D2458*E2458)</f>
        <v>28050</v>
      </c>
      <c r="G2458" s="182" t="s">
        <v>430</v>
      </c>
      <c r="H2458" s="216" t="s">
        <v>84</v>
      </c>
      <c r="I2458" s="182">
        <v>6.75</v>
      </c>
      <c r="J2458" s="182">
        <f>adopted_rate_sand</f>
        <v>3175.2000000000003</v>
      </c>
      <c r="K2458" s="182">
        <f>(I2458*J2458)</f>
        <v>21432.600000000002</v>
      </c>
      <c r="L2458" s="182" t="s">
        <v>76</v>
      </c>
      <c r="M2458" s="182" t="s">
        <v>58</v>
      </c>
      <c r="N2458" s="182">
        <v>6</v>
      </c>
      <c r="O2458" s="182">
        <f>generator</f>
        <v>855</v>
      </c>
      <c r="P2458" s="184">
        <f>(N2458*O2458)</f>
        <v>5130</v>
      </c>
    </row>
    <row r="2459" spans="1:21" x14ac:dyDescent="0.25">
      <c r="G2459" s="182" t="s">
        <v>733</v>
      </c>
      <c r="H2459" s="216" t="s">
        <v>84</v>
      </c>
      <c r="I2459" s="182">
        <v>8.1</v>
      </c>
      <c r="J2459" s="182">
        <f>adopted_rate_aggregate_10_20_mm</f>
        <v>3351.6</v>
      </c>
      <c r="K2459" s="182">
        <f>(I2459*J2459)</f>
        <v>27147.96</v>
      </c>
    </row>
    <row r="2460" spans="1:21" x14ac:dyDescent="0.25">
      <c r="G2460" s="182" t="s">
        <v>734</v>
      </c>
      <c r="H2460" s="216" t="s">
        <v>84</v>
      </c>
      <c r="I2460" s="182">
        <v>5.4</v>
      </c>
      <c r="J2460" s="182">
        <f>adopted_rate_aggregate_10_mm</f>
        <v>3175.2000000000003</v>
      </c>
      <c r="K2460" s="182">
        <f>(I2460*J2460)</f>
        <v>17146.080000000002</v>
      </c>
    </row>
    <row r="2461" spans="1:21" x14ac:dyDescent="0.25">
      <c r="G2461" s="182" t="s">
        <v>171</v>
      </c>
      <c r="H2461" s="216" t="s">
        <v>172</v>
      </c>
      <c r="I2461" s="182">
        <v>3</v>
      </c>
      <c r="J2461" s="182">
        <f>adopted_rate_water</f>
        <v>310</v>
      </c>
      <c r="K2461" s="182">
        <f>(I2461*J2461)</f>
        <v>930</v>
      </c>
    </row>
    <row r="2462" spans="1:21" x14ac:dyDescent="0.25">
      <c r="A2462" s="537" t="s">
        <v>30</v>
      </c>
      <c r="B2462" s="537"/>
      <c r="C2462" s="537"/>
      <c r="D2462" s="537"/>
      <c r="E2462" s="537"/>
      <c r="F2462" s="184">
        <f>SUM(F2456:F2461)</f>
        <v>31785</v>
      </c>
      <c r="G2462" s="537" t="s">
        <v>31</v>
      </c>
      <c r="H2462" s="537"/>
      <c r="I2462" s="537"/>
      <c r="J2462" s="537"/>
      <c r="K2462" s="184">
        <f>SUM(K2456:K2461)</f>
        <v>133375.35999999999</v>
      </c>
      <c r="L2462" s="537" t="s">
        <v>32</v>
      </c>
      <c r="M2462" s="537"/>
      <c r="N2462" s="537"/>
      <c r="O2462" s="537"/>
      <c r="P2462" s="184">
        <f>SUM(P2456:P2461)</f>
        <v>6906</v>
      </c>
      <c r="Q2462" s="537" t="s">
        <v>38</v>
      </c>
      <c r="R2462" s="537"/>
      <c r="S2462" s="537"/>
      <c r="T2462" s="537"/>
      <c r="U2462" s="223">
        <f>SUM(U2456:U2461)</f>
        <v>43016.59</v>
      </c>
    </row>
    <row r="2463" spans="1:21" x14ac:dyDescent="0.25">
      <c r="A2463" s="537" t="s">
        <v>33</v>
      </c>
      <c r="B2463" s="537"/>
      <c r="C2463" s="537"/>
      <c r="D2463" s="537"/>
      <c r="E2463" s="537"/>
      <c r="F2463" s="184">
        <f>SUM(F2462+K2462+P2462)</f>
        <v>172066.36</v>
      </c>
      <c r="G2463" s="537" t="s">
        <v>39</v>
      </c>
      <c r="H2463" s="537"/>
      <c r="I2463" s="537"/>
      <c r="J2463" s="537"/>
      <c r="K2463" s="184">
        <f>SUM(F2462+K2462+P2462+U2462)</f>
        <v>215082.94999999998</v>
      </c>
      <c r="L2463" s="537" t="s">
        <v>40</v>
      </c>
      <c r="M2463" s="537"/>
      <c r="N2463" s="537"/>
      <c r="O2463" s="537"/>
      <c r="P2463" s="184">
        <f>SUM(K2463*0.15)</f>
        <v>32262.442499999997</v>
      </c>
      <c r="Q2463" s="537" t="s">
        <v>41</v>
      </c>
      <c r="R2463" s="537"/>
      <c r="S2463" s="537"/>
      <c r="T2463" s="537"/>
      <c r="U2463" s="223">
        <f>SUM(K2463+P2463)</f>
        <v>247345.39249999999</v>
      </c>
    </row>
    <row r="2464" spans="1:21" x14ac:dyDescent="0.25">
      <c r="Q2464" s="537" t="s">
        <v>42</v>
      </c>
      <c r="R2464" s="537"/>
      <c r="S2464" s="537"/>
      <c r="T2464" s="537"/>
      <c r="U2464" s="224">
        <f>ROUND((U2463/30),2)</f>
        <v>8244.85</v>
      </c>
    </row>
    <row r="2465" spans="1:21" x14ac:dyDescent="0.25">
      <c r="A2465" s="544"/>
      <c r="B2465" s="544"/>
      <c r="C2465" s="544"/>
      <c r="D2465" s="544"/>
      <c r="E2465" s="544"/>
      <c r="F2465" s="544"/>
      <c r="G2465" s="544"/>
      <c r="H2465" s="544"/>
      <c r="I2465" s="544"/>
      <c r="J2465" s="544"/>
      <c r="K2465" s="544"/>
      <c r="L2465" s="544"/>
      <c r="M2465" s="544"/>
      <c r="N2465" s="544"/>
      <c r="O2465" s="544"/>
      <c r="P2465" s="544"/>
      <c r="Q2465" s="544"/>
      <c r="R2465" s="544"/>
      <c r="S2465" s="544"/>
      <c r="T2465" s="544"/>
      <c r="U2465" s="544"/>
    </row>
    <row r="2466" spans="1:21" x14ac:dyDescent="0.25">
      <c r="A2466" s="538" t="s">
        <v>12</v>
      </c>
      <c r="B2466" s="538"/>
      <c r="C2466" s="540" t="s">
        <v>825</v>
      </c>
      <c r="D2466" s="540"/>
      <c r="E2466" s="540"/>
      <c r="F2466" s="540"/>
      <c r="G2466" s="540"/>
      <c r="H2466" s="540"/>
      <c r="I2466" s="540"/>
      <c r="J2466" s="540"/>
      <c r="K2466" s="540"/>
      <c r="L2466" s="540"/>
      <c r="M2466" s="540"/>
      <c r="N2466" s="540"/>
      <c r="O2466" s="540"/>
      <c r="P2466" s="540"/>
      <c r="Q2466" s="540"/>
      <c r="R2466" s="540"/>
      <c r="S2466" s="540"/>
      <c r="T2466" s="540"/>
      <c r="U2466" s="541" t="s">
        <v>811</v>
      </c>
    </row>
    <row r="2467" spans="1:21" x14ac:dyDescent="0.25">
      <c r="A2467" s="538"/>
      <c r="B2467" s="538"/>
      <c r="C2467" s="540"/>
      <c r="D2467" s="540"/>
      <c r="E2467" s="540"/>
      <c r="F2467" s="540"/>
      <c r="G2467" s="540"/>
      <c r="H2467" s="540"/>
      <c r="I2467" s="540"/>
      <c r="J2467" s="540"/>
      <c r="K2467" s="540"/>
      <c r="L2467" s="540"/>
      <c r="M2467" s="540"/>
      <c r="N2467" s="540"/>
      <c r="O2467" s="540"/>
      <c r="P2467" s="540"/>
      <c r="Q2467" s="540"/>
      <c r="R2467" s="540"/>
      <c r="S2467" s="540"/>
      <c r="T2467" s="540"/>
      <c r="U2467" s="541"/>
    </row>
    <row r="2468" spans="1:21" x14ac:dyDescent="0.25">
      <c r="A2468" s="539" t="s">
        <v>724</v>
      </c>
      <c r="B2468" s="539"/>
      <c r="C2468" s="540"/>
      <c r="D2468" s="540"/>
      <c r="E2468" s="540"/>
      <c r="F2468" s="540"/>
      <c r="G2468" s="540"/>
      <c r="H2468" s="540"/>
      <c r="I2468" s="540"/>
      <c r="J2468" s="540"/>
      <c r="K2468" s="540"/>
      <c r="L2468" s="540"/>
      <c r="M2468" s="540"/>
      <c r="N2468" s="540"/>
      <c r="O2468" s="540"/>
      <c r="P2468" s="540"/>
      <c r="Q2468" s="540"/>
      <c r="R2468" s="540"/>
      <c r="S2468" s="540"/>
      <c r="T2468" s="540"/>
      <c r="U2468" s="541"/>
    </row>
    <row r="2469" spans="1:21" x14ac:dyDescent="0.25">
      <c r="A2469" s="542" t="s">
        <v>16</v>
      </c>
      <c r="B2469" s="543" t="s">
        <v>18</v>
      </c>
      <c r="C2469" s="543"/>
      <c r="D2469" s="543"/>
      <c r="E2469" s="543"/>
      <c r="F2469" s="543"/>
      <c r="G2469" s="543" t="s">
        <v>24</v>
      </c>
      <c r="H2469" s="543"/>
      <c r="I2469" s="543"/>
      <c r="J2469" s="543"/>
      <c r="K2469" s="543"/>
      <c r="L2469" s="543" t="s">
        <v>25</v>
      </c>
      <c r="M2469" s="543"/>
      <c r="N2469" s="543"/>
      <c r="O2469" s="543"/>
      <c r="P2469" s="543"/>
      <c r="Q2469" s="543" t="s">
        <v>26</v>
      </c>
      <c r="R2469" s="543"/>
      <c r="S2469" s="543"/>
      <c r="T2469" s="543"/>
      <c r="U2469" s="543"/>
    </row>
    <row r="2470" spans="1:21" x14ac:dyDescent="0.25">
      <c r="A2470" s="542"/>
      <c r="B2470" s="182" t="s">
        <v>19</v>
      </c>
      <c r="C2470" s="182" t="s">
        <v>20</v>
      </c>
      <c r="D2470" s="182" t="s">
        <v>21</v>
      </c>
      <c r="E2470" s="182" t="s">
        <v>22</v>
      </c>
      <c r="F2470" s="182" t="s">
        <v>23</v>
      </c>
      <c r="G2470" s="182" t="s">
        <v>19</v>
      </c>
      <c r="H2470" s="216" t="s">
        <v>20</v>
      </c>
      <c r="I2470" s="182" t="s">
        <v>21</v>
      </c>
      <c r="J2470" s="182" t="s">
        <v>22</v>
      </c>
      <c r="K2470" s="182" t="s">
        <v>23</v>
      </c>
      <c r="L2470" s="182" t="s">
        <v>19</v>
      </c>
      <c r="M2470" s="182" t="s">
        <v>20</v>
      </c>
      <c r="N2470" s="182" t="s">
        <v>21</v>
      </c>
      <c r="O2470" s="182" t="s">
        <v>22</v>
      </c>
      <c r="P2470" s="182" t="s">
        <v>23</v>
      </c>
      <c r="Q2470" s="182" t="s">
        <v>19</v>
      </c>
      <c r="R2470" s="182" t="s">
        <v>20</v>
      </c>
      <c r="S2470" s="182" t="s">
        <v>21</v>
      </c>
      <c r="T2470" s="182" t="s">
        <v>22</v>
      </c>
      <c r="U2470" s="211" t="s">
        <v>23</v>
      </c>
    </row>
    <row r="2471" spans="1:21" ht="47.25" x14ac:dyDescent="0.25">
      <c r="A2471" s="183" t="s">
        <v>826</v>
      </c>
      <c r="B2471" s="182" t="s">
        <v>47</v>
      </c>
      <c r="C2471" s="182" t="s">
        <v>28</v>
      </c>
      <c r="D2471" s="182">
        <v>3</v>
      </c>
      <c r="E2471" s="182">
        <f>skilled</f>
        <v>1245</v>
      </c>
      <c r="F2471" s="184">
        <f>(D2471*E2471)</f>
        <v>3735</v>
      </c>
      <c r="G2471" s="182" t="s">
        <v>85</v>
      </c>
      <c r="H2471" s="216" t="s">
        <v>35</v>
      </c>
      <c r="I2471" s="182">
        <v>5.12</v>
      </c>
      <c r="J2471" s="182">
        <f>adopted_rate_cement</f>
        <v>13031</v>
      </c>
      <c r="K2471" s="182">
        <f>(I2471*J2471)</f>
        <v>66718.720000000001</v>
      </c>
      <c r="L2471" s="182" t="s">
        <v>276</v>
      </c>
      <c r="M2471" s="182" t="s">
        <v>58</v>
      </c>
      <c r="N2471" s="182">
        <v>6</v>
      </c>
      <c r="O2471" s="182">
        <f>concrete_mixer</f>
        <v>296</v>
      </c>
      <c r="P2471" s="184">
        <f>(N2471*O2471)</f>
        <v>1776</v>
      </c>
      <c r="Q2471" s="182" t="s">
        <v>827</v>
      </c>
      <c r="R2471" s="182"/>
      <c r="U2471" s="223">
        <f>F2477*30/100</f>
        <v>51619.907999999996</v>
      </c>
    </row>
    <row r="2472" spans="1:21" x14ac:dyDescent="0.25">
      <c r="B2472" s="182" t="s">
        <v>29</v>
      </c>
      <c r="C2472" s="182" t="s">
        <v>28</v>
      </c>
      <c r="D2472" s="182">
        <v>30</v>
      </c>
      <c r="E2472" s="182">
        <f>unskilled</f>
        <v>935</v>
      </c>
      <c r="F2472" s="184">
        <f>(D2472*E2472)</f>
        <v>28050</v>
      </c>
      <c r="G2472" s="182" t="s">
        <v>430</v>
      </c>
      <c r="H2472" s="216" t="s">
        <v>84</v>
      </c>
      <c r="I2472" s="182">
        <v>6.75</v>
      </c>
      <c r="J2472" s="182">
        <f>adopted_rate_sand</f>
        <v>3175.2000000000003</v>
      </c>
      <c r="K2472" s="182">
        <f>(I2472*J2472)</f>
        <v>21432.600000000002</v>
      </c>
      <c r="L2472" s="182" t="s">
        <v>76</v>
      </c>
      <c r="M2472" s="182" t="s">
        <v>58</v>
      </c>
      <c r="N2472" s="182">
        <v>6</v>
      </c>
      <c r="O2472" s="182">
        <f>generator</f>
        <v>855</v>
      </c>
      <c r="P2472" s="184">
        <f>(N2472*O2472)</f>
        <v>5130</v>
      </c>
    </row>
    <row r="2473" spans="1:21" x14ac:dyDescent="0.25">
      <c r="G2473" s="182" t="s">
        <v>733</v>
      </c>
      <c r="H2473" s="216" t="s">
        <v>84</v>
      </c>
      <c r="I2473" s="182">
        <v>8.1</v>
      </c>
      <c r="J2473" s="182">
        <f>adopted_rate_aggregate_10_20_mm</f>
        <v>3351.6</v>
      </c>
      <c r="K2473" s="182">
        <f>(I2473*J2473)</f>
        <v>27147.96</v>
      </c>
    </row>
    <row r="2474" spans="1:21" x14ac:dyDescent="0.25">
      <c r="G2474" s="182" t="s">
        <v>734</v>
      </c>
      <c r="H2474" s="216" t="s">
        <v>84</v>
      </c>
      <c r="I2474" s="182">
        <v>5.4</v>
      </c>
      <c r="J2474" s="182">
        <f>adopted_rate_aggregate_10_mm</f>
        <v>3175.2000000000003</v>
      </c>
      <c r="K2474" s="182">
        <f>(I2474*J2474)</f>
        <v>17146.080000000002</v>
      </c>
    </row>
    <row r="2475" spans="1:21" x14ac:dyDescent="0.25">
      <c r="G2475" s="182" t="s">
        <v>171</v>
      </c>
      <c r="H2475" s="216" t="s">
        <v>172</v>
      </c>
      <c r="I2475" s="182">
        <v>3</v>
      </c>
      <c r="J2475" s="182">
        <f>adopted_rate_water</f>
        <v>310</v>
      </c>
      <c r="K2475" s="182">
        <f>(I2475*J2475)</f>
        <v>930</v>
      </c>
    </row>
    <row r="2476" spans="1:21" x14ac:dyDescent="0.25">
      <c r="A2476" s="537" t="s">
        <v>30</v>
      </c>
      <c r="B2476" s="537"/>
      <c r="C2476" s="537"/>
      <c r="D2476" s="537"/>
      <c r="E2476" s="537"/>
      <c r="F2476" s="184">
        <f>SUM(F2470:F2475)</f>
        <v>31785</v>
      </c>
      <c r="G2476" s="537" t="s">
        <v>31</v>
      </c>
      <c r="H2476" s="537"/>
      <c r="I2476" s="537"/>
      <c r="J2476" s="537"/>
      <c r="K2476" s="184">
        <f>SUM(K2470:K2475)</f>
        <v>133375.35999999999</v>
      </c>
      <c r="L2476" s="537" t="s">
        <v>32</v>
      </c>
      <c r="M2476" s="537"/>
      <c r="N2476" s="537"/>
      <c r="O2476" s="537"/>
      <c r="P2476" s="184">
        <f>SUM(P2470:P2475)</f>
        <v>6906</v>
      </c>
      <c r="Q2476" s="537" t="s">
        <v>38</v>
      </c>
      <c r="R2476" s="537"/>
      <c r="S2476" s="537"/>
      <c r="T2476" s="537"/>
      <c r="U2476" s="223">
        <f>SUM(U2470:U2475)</f>
        <v>51619.907999999996</v>
      </c>
    </row>
    <row r="2477" spans="1:21" x14ac:dyDescent="0.25">
      <c r="A2477" s="537" t="s">
        <v>33</v>
      </c>
      <c r="B2477" s="537"/>
      <c r="C2477" s="537"/>
      <c r="D2477" s="537"/>
      <c r="E2477" s="537"/>
      <c r="F2477" s="184">
        <f>SUM(F2476+K2476+P2476)</f>
        <v>172066.36</v>
      </c>
      <c r="G2477" s="537" t="s">
        <v>39</v>
      </c>
      <c r="H2477" s="537"/>
      <c r="I2477" s="537"/>
      <c r="J2477" s="537"/>
      <c r="K2477" s="184">
        <f>SUM(F2476+K2476+P2476+U2476)</f>
        <v>223686.26799999998</v>
      </c>
      <c r="L2477" s="537" t="s">
        <v>40</v>
      </c>
      <c r="M2477" s="537"/>
      <c r="N2477" s="537"/>
      <c r="O2477" s="537"/>
      <c r="P2477" s="184">
        <f>SUM(K2477*0.15)</f>
        <v>33552.940199999997</v>
      </c>
      <c r="Q2477" s="537" t="s">
        <v>41</v>
      </c>
      <c r="R2477" s="537"/>
      <c r="S2477" s="537"/>
      <c r="T2477" s="537"/>
      <c r="U2477" s="223">
        <f>SUM(K2477+P2477)</f>
        <v>257239.20819999999</v>
      </c>
    </row>
    <row r="2478" spans="1:21" x14ac:dyDescent="0.25">
      <c r="Q2478" s="537" t="s">
        <v>42</v>
      </c>
      <c r="R2478" s="537"/>
      <c r="S2478" s="537"/>
      <c r="T2478" s="537"/>
      <c r="U2478" s="224">
        <f>ROUND((U2477/30),2)</f>
        <v>8574.64</v>
      </c>
    </row>
    <row r="2479" spans="1:21" x14ac:dyDescent="0.25">
      <c r="A2479" s="544"/>
      <c r="B2479" s="544"/>
      <c r="C2479" s="544"/>
      <c r="D2479" s="544"/>
      <c r="E2479" s="544"/>
      <c r="F2479" s="544"/>
      <c r="G2479" s="544"/>
      <c r="H2479" s="544"/>
      <c r="I2479" s="544"/>
      <c r="J2479" s="544"/>
      <c r="K2479" s="544"/>
      <c r="L2479" s="544"/>
      <c r="M2479" s="544"/>
      <c r="N2479" s="544"/>
      <c r="O2479" s="544"/>
      <c r="P2479" s="544"/>
      <c r="Q2479" s="544"/>
      <c r="R2479" s="544"/>
      <c r="S2479" s="544"/>
      <c r="T2479" s="544"/>
      <c r="U2479" s="544"/>
    </row>
    <row r="2480" spans="1:21" x14ac:dyDescent="0.25">
      <c r="A2480" s="538" t="s">
        <v>12</v>
      </c>
      <c r="B2480" s="538"/>
      <c r="C2480" s="540" t="s">
        <v>828</v>
      </c>
      <c r="D2480" s="540"/>
      <c r="E2480" s="540"/>
      <c r="F2480" s="540"/>
      <c r="G2480" s="540"/>
      <c r="H2480" s="540"/>
      <c r="I2480" s="540"/>
      <c r="J2480" s="540"/>
      <c r="K2480" s="540"/>
      <c r="L2480" s="540"/>
      <c r="M2480" s="540"/>
      <c r="N2480" s="540"/>
      <c r="O2480" s="540"/>
      <c r="P2480" s="540"/>
      <c r="Q2480" s="540"/>
      <c r="R2480" s="540"/>
      <c r="S2480" s="540"/>
      <c r="T2480" s="540"/>
      <c r="U2480" s="541" t="s">
        <v>811</v>
      </c>
    </row>
    <row r="2481" spans="1:21" x14ac:dyDescent="0.25">
      <c r="A2481" s="538"/>
      <c r="B2481" s="538"/>
      <c r="C2481" s="540"/>
      <c r="D2481" s="540"/>
      <c r="E2481" s="540"/>
      <c r="F2481" s="540"/>
      <c r="G2481" s="540"/>
      <c r="H2481" s="540"/>
      <c r="I2481" s="540"/>
      <c r="J2481" s="540"/>
      <c r="K2481" s="540"/>
      <c r="L2481" s="540"/>
      <c r="M2481" s="540"/>
      <c r="N2481" s="540"/>
      <c r="O2481" s="540"/>
      <c r="P2481" s="540"/>
      <c r="Q2481" s="540"/>
      <c r="R2481" s="540"/>
      <c r="S2481" s="540"/>
      <c r="T2481" s="540"/>
      <c r="U2481" s="541"/>
    </row>
    <row r="2482" spans="1:21" x14ac:dyDescent="0.25">
      <c r="A2482" s="539" t="s">
        <v>724</v>
      </c>
      <c r="B2482" s="539"/>
      <c r="C2482" s="540"/>
      <c r="D2482" s="540"/>
      <c r="E2482" s="540"/>
      <c r="F2482" s="540"/>
      <c r="G2482" s="540"/>
      <c r="H2482" s="540"/>
      <c r="I2482" s="540"/>
      <c r="J2482" s="540"/>
      <c r="K2482" s="540"/>
      <c r="L2482" s="540"/>
      <c r="M2482" s="540"/>
      <c r="N2482" s="540"/>
      <c r="O2482" s="540"/>
      <c r="P2482" s="540"/>
      <c r="Q2482" s="540"/>
      <c r="R2482" s="540"/>
      <c r="S2482" s="540"/>
      <c r="T2482" s="540"/>
      <c r="U2482" s="541"/>
    </row>
    <row r="2483" spans="1:21" x14ac:dyDescent="0.25">
      <c r="A2483" s="542" t="s">
        <v>16</v>
      </c>
      <c r="B2483" s="543" t="s">
        <v>18</v>
      </c>
      <c r="C2483" s="543"/>
      <c r="D2483" s="543"/>
      <c r="E2483" s="543"/>
      <c r="F2483" s="543"/>
      <c r="G2483" s="543" t="s">
        <v>24</v>
      </c>
      <c r="H2483" s="543"/>
      <c r="I2483" s="543"/>
      <c r="J2483" s="543"/>
      <c r="K2483" s="543"/>
      <c r="L2483" s="543" t="s">
        <v>25</v>
      </c>
      <c r="M2483" s="543"/>
      <c r="N2483" s="543"/>
      <c r="O2483" s="543"/>
      <c r="P2483" s="543"/>
      <c r="Q2483" s="543" t="s">
        <v>26</v>
      </c>
      <c r="R2483" s="543"/>
      <c r="S2483" s="543"/>
      <c r="T2483" s="543"/>
      <c r="U2483" s="543"/>
    </row>
    <row r="2484" spans="1:21" x14ac:dyDescent="0.25">
      <c r="A2484" s="542"/>
      <c r="B2484" s="182" t="s">
        <v>19</v>
      </c>
      <c r="C2484" s="182" t="s">
        <v>20</v>
      </c>
      <c r="D2484" s="182" t="s">
        <v>21</v>
      </c>
      <c r="E2484" s="182" t="s">
        <v>22</v>
      </c>
      <c r="F2484" s="182" t="s">
        <v>23</v>
      </c>
      <c r="G2484" s="182" t="s">
        <v>19</v>
      </c>
      <c r="H2484" s="216" t="s">
        <v>20</v>
      </c>
      <c r="I2484" s="182" t="s">
        <v>21</v>
      </c>
      <c r="J2484" s="182" t="s">
        <v>22</v>
      </c>
      <c r="K2484" s="182" t="s">
        <v>23</v>
      </c>
      <c r="L2484" s="182" t="s">
        <v>19</v>
      </c>
      <c r="M2484" s="182" t="s">
        <v>20</v>
      </c>
      <c r="N2484" s="182" t="s">
        <v>21</v>
      </c>
      <c r="O2484" s="182" t="s">
        <v>22</v>
      </c>
      <c r="P2484" s="182" t="s">
        <v>23</v>
      </c>
      <c r="Q2484" s="182" t="s">
        <v>19</v>
      </c>
      <c r="R2484" s="182" t="s">
        <v>20</v>
      </c>
      <c r="S2484" s="182" t="s">
        <v>21</v>
      </c>
      <c r="T2484" s="182" t="s">
        <v>22</v>
      </c>
      <c r="U2484" s="211" t="s">
        <v>23</v>
      </c>
    </row>
    <row r="2485" spans="1:21" ht="47.25" x14ac:dyDescent="0.25">
      <c r="A2485" s="183" t="s">
        <v>829</v>
      </c>
      <c r="B2485" s="182" t="s">
        <v>47</v>
      </c>
      <c r="C2485" s="182" t="s">
        <v>28</v>
      </c>
      <c r="D2485" s="182">
        <v>3</v>
      </c>
      <c r="E2485" s="182">
        <f>skilled</f>
        <v>1245</v>
      </c>
      <c r="F2485" s="184">
        <f>(D2485*E2485)</f>
        <v>3735</v>
      </c>
      <c r="G2485" s="182" t="s">
        <v>85</v>
      </c>
      <c r="H2485" s="216" t="s">
        <v>35</v>
      </c>
      <c r="I2485" s="182">
        <v>5.12</v>
      </c>
      <c r="J2485" s="182">
        <f>adopted_rate_cement</f>
        <v>13031</v>
      </c>
      <c r="K2485" s="182">
        <f>(I2485*J2485)</f>
        <v>66718.720000000001</v>
      </c>
      <c r="L2485" s="182" t="s">
        <v>276</v>
      </c>
      <c r="M2485" s="182" t="s">
        <v>58</v>
      </c>
      <c r="N2485" s="182">
        <v>6</v>
      </c>
      <c r="O2485" s="182">
        <f>concrete_mixer</f>
        <v>296</v>
      </c>
      <c r="P2485" s="184">
        <f>(N2485*O2485)</f>
        <v>1776</v>
      </c>
      <c r="Q2485" s="182" t="s">
        <v>824</v>
      </c>
      <c r="R2485" s="182"/>
      <c r="U2485" s="223">
        <f>F2491*25/100</f>
        <v>43016.59</v>
      </c>
    </row>
    <row r="2486" spans="1:21" x14ac:dyDescent="0.25">
      <c r="B2486" s="182" t="s">
        <v>29</v>
      </c>
      <c r="C2486" s="182" t="s">
        <v>28</v>
      </c>
      <c r="D2486" s="182">
        <v>30</v>
      </c>
      <c r="E2486" s="182">
        <f>unskilled</f>
        <v>935</v>
      </c>
      <c r="F2486" s="184">
        <f>(D2486*E2486)</f>
        <v>28050</v>
      </c>
      <c r="G2486" s="182" t="s">
        <v>430</v>
      </c>
      <c r="H2486" s="216" t="s">
        <v>84</v>
      </c>
      <c r="I2486" s="182">
        <v>6.75</v>
      </c>
      <c r="J2486" s="182">
        <f>adopted_rate_sand</f>
        <v>3175.2000000000003</v>
      </c>
      <c r="K2486" s="182">
        <f>(I2486*J2486)</f>
        <v>21432.600000000002</v>
      </c>
      <c r="L2486" s="182" t="s">
        <v>76</v>
      </c>
      <c r="M2486" s="182" t="s">
        <v>58</v>
      </c>
      <c r="N2486" s="182">
        <v>6</v>
      </c>
      <c r="O2486" s="182">
        <f>generator</f>
        <v>855</v>
      </c>
      <c r="P2486" s="184">
        <f>(N2486*O2486)</f>
        <v>5130</v>
      </c>
    </row>
    <row r="2487" spans="1:21" x14ac:dyDescent="0.25">
      <c r="G2487" s="182" t="s">
        <v>733</v>
      </c>
      <c r="H2487" s="216" t="s">
        <v>84</v>
      </c>
      <c r="I2487" s="182">
        <v>8.1</v>
      </c>
      <c r="J2487" s="182">
        <f>adopted_rate_aggregate_10_20_mm</f>
        <v>3351.6</v>
      </c>
      <c r="K2487" s="182">
        <f>(I2487*J2487)</f>
        <v>27147.96</v>
      </c>
    </row>
    <row r="2488" spans="1:21" x14ac:dyDescent="0.25">
      <c r="G2488" s="182" t="s">
        <v>734</v>
      </c>
      <c r="H2488" s="216" t="s">
        <v>84</v>
      </c>
      <c r="I2488" s="182">
        <v>5.4</v>
      </c>
      <c r="J2488" s="182">
        <f>adopted_rate_aggregate_10_mm</f>
        <v>3175.2000000000003</v>
      </c>
      <c r="K2488" s="182">
        <f>(I2488*J2488)</f>
        <v>17146.080000000002</v>
      </c>
    </row>
    <row r="2489" spans="1:21" x14ac:dyDescent="0.25">
      <c r="G2489" s="182" t="s">
        <v>171</v>
      </c>
      <c r="H2489" s="216" t="s">
        <v>172</v>
      </c>
      <c r="I2489" s="182">
        <v>3</v>
      </c>
      <c r="J2489" s="182">
        <f>adopted_rate_water</f>
        <v>310</v>
      </c>
      <c r="K2489" s="182">
        <f>(I2489*J2489)</f>
        <v>930</v>
      </c>
    </row>
    <row r="2490" spans="1:21" x14ac:dyDescent="0.25">
      <c r="A2490" s="537" t="s">
        <v>30</v>
      </c>
      <c r="B2490" s="537"/>
      <c r="C2490" s="537"/>
      <c r="D2490" s="537"/>
      <c r="E2490" s="537"/>
      <c r="F2490" s="184">
        <f>SUM(F2484:F2489)</f>
        <v>31785</v>
      </c>
      <c r="G2490" s="537" t="s">
        <v>31</v>
      </c>
      <c r="H2490" s="537"/>
      <c r="I2490" s="537"/>
      <c r="J2490" s="537"/>
      <c r="K2490" s="184">
        <f>SUM(K2484:K2489)</f>
        <v>133375.35999999999</v>
      </c>
      <c r="L2490" s="537" t="s">
        <v>32</v>
      </c>
      <c r="M2490" s="537"/>
      <c r="N2490" s="537"/>
      <c r="O2490" s="537"/>
      <c r="P2490" s="184">
        <f>SUM(P2484:P2489)</f>
        <v>6906</v>
      </c>
      <c r="Q2490" s="537" t="s">
        <v>38</v>
      </c>
      <c r="R2490" s="537"/>
      <c r="S2490" s="537"/>
      <c r="T2490" s="537"/>
      <c r="U2490" s="223">
        <f>SUM(U2484:U2489)</f>
        <v>43016.59</v>
      </c>
    </row>
    <row r="2491" spans="1:21" x14ac:dyDescent="0.25">
      <c r="A2491" s="537" t="s">
        <v>33</v>
      </c>
      <c r="B2491" s="537"/>
      <c r="C2491" s="537"/>
      <c r="D2491" s="537"/>
      <c r="E2491" s="537"/>
      <c r="F2491" s="184">
        <f>SUM(F2490+K2490+P2490)</f>
        <v>172066.36</v>
      </c>
      <c r="G2491" s="537" t="s">
        <v>39</v>
      </c>
      <c r="H2491" s="537"/>
      <c r="I2491" s="537"/>
      <c r="J2491" s="537"/>
      <c r="K2491" s="184">
        <f>SUM(F2490+K2490+P2490+U2490)</f>
        <v>215082.94999999998</v>
      </c>
      <c r="L2491" s="537" t="s">
        <v>40</v>
      </c>
      <c r="M2491" s="537"/>
      <c r="N2491" s="537"/>
      <c r="O2491" s="537"/>
      <c r="P2491" s="184">
        <f>SUM(K2491*0.15)</f>
        <v>32262.442499999997</v>
      </c>
      <c r="Q2491" s="537" t="s">
        <v>41</v>
      </c>
      <c r="R2491" s="537"/>
      <c r="S2491" s="537"/>
      <c r="T2491" s="537"/>
      <c r="U2491" s="223">
        <f>SUM(K2491+P2491)</f>
        <v>247345.39249999999</v>
      </c>
    </row>
    <row r="2492" spans="1:21" x14ac:dyDescent="0.25">
      <c r="Q2492" s="537" t="s">
        <v>42</v>
      </c>
      <c r="R2492" s="537"/>
      <c r="S2492" s="537"/>
      <c r="T2492" s="537"/>
      <c r="U2492" s="224">
        <f>ROUND((U2491/30),2)</f>
        <v>8244.85</v>
      </c>
    </row>
    <row r="2493" spans="1:21" x14ac:dyDescent="0.25">
      <c r="A2493" s="544"/>
      <c r="B2493" s="544"/>
      <c r="C2493" s="544"/>
      <c r="D2493" s="544"/>
      <c r="E2493" s="544"/>
      <c r="F2493" s="544"/>
      <c r="G2493" s="544"/>
      <c r="H2493" s="544"/>
      <c r="I2493" s="544"/>
      <c r="J2493" s="544"/>
      <c r="K2493" s="544"/>
      <c r="L2493" s="544"/>
      <c r="M2493" s="544"/>
      <c r="N2493" s="544"/>
      <c r="O2493" s="544"/>
      <c r="P2493" s="544"/>
      <c r="Q2493" s="544"/>
      <c r="R2493" s="544"/>
      <c r="S2493" s="544"/>
      <c r="T2493" s="544"/>
      <c r="U2493" s="544"/>
    </row>
    <row r="2494" spans="1:21" x14ac:dyDescent="0.25">
      <c r="A2494" s="538" t="s">
        <v>12</v>
      </c>
      <c r="B2494" s="538"/>
      <c r="C2494" s="540" t="s">
        <v>830</v>
      </c>
      <c r="D2494" s="540"/>
      <c r="E2494" s="540"/>
      <c r="F2494" s="540"/>
      <c r="G2494" s="540"/>
      <c r="H2494" s="540"/>
      <c r="I2494" s="540"/>
      <c r="J2494" s="540"/>
      <c r="K2494" s="540"/>
      <c r="L2494" s="540"/>
      <c r="M2494" s="540"/>
      <c r="N2494" s="540"/>
      <c r="O2494" s="540"/>
      <c r="P2494" s="540"/>
      <c r="Q2494" s="540"/>
      <c r="R2494" s="540"/>
      <c r="S2494" s="540"/>
      <c r="T2494" s="540"/>
      <c r="U2494" s="541" t="s">
        <v>811</v>
      </c>
    </row>
    <row r="2495" spans="1:21" x14ac:dyDescent="0.25">
      <c r="A2495" s="538"/>
      <c r="B2495" s="538"/>
      <c r="C2495" s="540"/>
      <c r="D2495" s="540"/>
      <c r="E2495" s="540"/>
      <c r="F2495" s="540"/>
      <c r="G2495" s="540"/>
      <c r="H2495" s="540"/>
      <c r="I2495" s="540"/>
      <c r="J2495" s="540"/>
      <c r="K2495" s="540"/>
      <c r="L2495" s="540"/>
      <c r="M2495" s="540"/>
      <c r="N2495" s="540"/>
      <c r="O2495" s="540"/>
      <c r="P2495" s="540"/>
      <c r="Q2495" s="540"/>
      <c r="R2495" s="540"/>
      <c r="S2495" s="540"/>
      <c r="T2495" s="540"/>
      <c r="U2495" s="541"/>
    </row>
    <row r="2496" spans="1:21" x14ac:dyDescent="0.25">
      <c r="A2496" s="539" t="s">
        <v>724</v>
      </c>
      <c r="B2496" s="539"/>
      <c r="C2496" s="540"/>
      <c r="D2496" s="540"/>
      <c r="E2496" s="540"/>
      <c r="F2496" s="540"/>
      <c r="G2496" s="540"/>
      <c r="H2496" s="540"/>
      <c r="I2496" s="540"/>
      <c r="J2496" s="540"/>
      <c r="K2496" s="540"/>
      <c r="L2496" s="540"/>
      <c r="M2496" s="540"/>
      <c r="N2496" s="540"/>
      <c r="O2496" s="540"/>
      <c r="P2496" s="540"/>
      <c r="Q2496" s="540"/>
      <c r="R2496" s="540"/>
      <c r="S2496" s="540"/>
      <c r="T2496" s="540"/>
      <c r="U2496" s="541"/>
    </row>
    <row r="2497" spans="1:21" x14ac:dyDescent="0.25">
      <c r="A2497" s="542" t="s">
        <v>16</v>
      </c>
      <c r="B2497" s="543" t="s">
        <v>18</v>
      </c>
      <c r="C2497" s="543"/>
      <c r="D2497" s="543"/>
      <c r="E2497" s="543"/>
      <c r="F2497" s="543"/>
      <c r="G2497" s="543" t="s">
        <v>24</v>
      </c>
      <c r="H2497" s="543"/>
      <c r="I2497" s="543"/>
      <c r="J2497" s="543"/>
      <c r="K2497" s="543"/>
      <c r="L2497" s="543" t="s">
        <v>25</v>
      </c>
      <c r="M2497" s="543"/>
      <c r="N2497" s="543"/>
      <c r="O2497" s="543"/>
      <c r="P2497" s="543"/>
      <c r="Q2497" s="543" t="s">
        <v>26</v>
      </c>
      <c r="R2497" s="543"/>
      <c r="S2497" s="543"/>
      <c r="T2497" s="543"/>
      <c r="U2497" s="543"/>
    </row>
    <row r="2498" spans="1:21" x14ac:dyDescent="0.25">
      <c r="A2498" s="542"/>
      <c r="B2498" s="182" t="s">
        <v>19</v>
      </c>
      <c r="C2498" s="182" t="s">
        <v>20</v>
      </c>
      <c r="D2498" s="182" t="s">
        <v>21</v>
      </c>
      <c r="E2498" s="182" t="s">
        <v>22</v>
      </c>
      <c r="F2498" s="182" t="s">
        <v>23</v>
      </c>
      <c r="G2498" s="182" t="s">
        <v>19</v>
      </c>
      <c r="H2498" s="216" t="s">
        <v>20</v>
      </c>
      <c r="I2498" s="182" t="s">
        <v>21</v>
      </c>
      <c r="J2498" s="182" t="s">
        <v>22</v>
      </c>
      <c r="K2498" s="182" t="s">
        <v>23</v>
      </c>
      <c r="L2498" s="182" t="s">
        <v>19</v>
      </c>
      <c r="M2498" s="182" t="s">
        <v>20</v>
      </c>
      <c r="N2498" s="182" t="s">
        <v>21</v>
      </c>
      <c r="O2498" s="182" t="s">
        <v>22</v>
      </c>
      <c r="P2498" s="182" t="s">
        <v>23</v>
      </c>
      <c r="Q2498" s="182" t="s">
        <v>19</v>
      </c>
      <c r="R2498" s="182" t="s">
        <v>20</v>
      </c>
      <c r="S2498" s="182" t="s">
        <v>21</v>
      </c>
      <c r="T2498" s="182" t="s">
        <v>22</v>
      </c>
      <c r="U2498" s="211" t="s">
        <v>23</v>
      </c>
    </row>
    <row r="2499" spans="1:21" ht="47.25" x14ac:dyDescent="0.25">
      <c r="A2499" s="183" t="s">
        <v>831</v>
      </c>
      <c r="B2499" s="182" t="s">
        <v>47</v>
      </c>
      <c r="C2499" s="182" t="s">
        <v>28</v>
      </c>
      <c r="D2499" s="182">
        <v>3</v>
      </c>
      <c r="E2499" s="182">
        <f>skilled</f>
        <v>1245</v>
      </c>
      <c r="F2499" s="184">
        <f>(D2499*E2499)</f>
        <v>3735</v>
      </c>
      <c r="G2499" s="182" t="s">
        <v>85</v>
      </c>
      <c r="H2499" s="216" t="s">
        <v>35</v>
      </c>
      <c r="I2499" s="182">
        <v>5.12</v>
      </c>
      <c r="J2499" s="182">
        <f>adopted_rate_cement</f>
        <v>13031</v>
      </c>
      <c r="K2499" s="182">
        <f>(I2499*J2499)</f>
        <v>66718.720000000001</v>
      </c>
      <c r="L2499" s="182" t="s">
        <v>276</v>
      </c>
      <c r="M2499" s="182" t="s">
        <v>58</v>
      </c>
      <c r="N2499" s="182">
        <v>6</v>
      </c>
      <c r="O2499" s="182">
        <f>concrete_mixer</f>
        <v>296</v>
      </c>
      <c r="P2499" s="184">
        <f>(N2499*O2499)</f>
        <v>1776</v>
      </c>
      <c r="Q2499" s="182" t="s">
        <v>827</v>
      </c>
      <c r="R2499" s="182"/>
      <c r="U2499" s="223">
        <f>F2505*30/100</f>
        <v>51619.907999999996</v>
      </c>
    </row>
    <row r="2500" spans="1:21" x14ac:dyDescent="0.25">
      <c r="B2500" s="182" t="s">
        <v>29</v>
      </c>
      <c r="C2500" s="182" t="s">
        <v>28</v>
      </c>
      <c r="D2500" s="182">
        <v>30</v>
      </c>
      <c r="E2500" s="182">
        <f>unskilled</f>
        <v>935</v>
      </c>
      <c r="F2500" s="184">
        <f>(D2500*E2500)</f>
        <v>28050</v>
      </c>
      <c r="G2500" s="182" t="s">
        <v>430</v>
      </c>
      <c r="H2500" s="216" t="s">
        <v>84</v>
      </c>
      <c r="I2500" s="182">
        <v>6.75</v>
      </c>
      <c r="J2500" s="182">
        <f>adopted_rate_sand</f>
        <v>3175.2000000000003</v>
      </c>
      <c r="K2500" s="182">
        <f>(I2500*J2500)</f>
        <v>21432.600000000002</v>
      </c>
      <c r="L2500" s="182" t="s">
        <v>76</v>
      </c>
      <c r="M2500" s="182" t="s">
        <v>58</v>
      </c>
      <c r="N2500" s="182">
        <v>6</v>
      </c>
      <c r="O2500" s="182">
        <f>generator</f>
        <v>855</v>
      </c>
      <c r="P2500" s="184">
        <f>(N2500*O2500)</f>
        <v>5130</v>
      </c>
    </row>
    <row r="2501" spans="1:21" x14ac:dyDescent="0.25">
      <c r="G2501" s="182" t="s">
        <v>733</v>
      </c>
      <c r="H2501" s="216" t="s">
        <v>84</v>
      </c>
      <c r="I2501" s="182">
        <v>8.1</v>
      </c>
      <c r="J2501" s="182">
        <f>adopted_rate_aggregate_10_20_mm</f>
        <v>3351.6</v>
      </c>
      <c r="K2501" s="182">
        <f>(I2501*J2501)</f>
        <v>27147.96</v>
      </c>
    </row>
    <row r="2502" spans="1:21" x14ac:dyDescent="0.25">
      <c r="G2502" s="182" t="s">
        <v>734</v>
      </c>
      <c r="H2502" s="216" t="s">
        <v>84</v>
      </c>
      <c r="I2502" s="182">
        <v>5.4</v>
      </c>
      <c r="J2502" s="182">
        <f>adopted_rate_aggregate_10_mm</f>
        <v>3175.2000000000003</v>
      </c>
      <c r="K2502" s="182">
        <f>(I2502*J2502)</f>
        <v>17146.080000000002</v>
      </c>
    </row>
    <row r="2503" spans="1:21" x14ac:dyDescent="0.25">
      <c r="G2503" s="182" t="s">
        <v>171</v>
      </c>
      <c r="H2503" s="216" t="s">
        <v>172</v>
      </c>
      <c r="I2503" s="182">
        <v>3</v>
      </c>
      <c r="J2503" s="182">
        <f>adopted_rate_water</f>
        <v>310</v>
      </c>
      <c r="K2503" s="182">
        <f>(I2503*J2503)</f>
        <v>930</v>
      </c>
    </row>
    <row r="2504" spans="1:21" x14ac:dyDescent="0.25">
      <c r="A2504" s="537" t="s">
        <v>30</v>
      </c>
      <c r="B2504" s="537"/>
      <c r="C2504" s="537"/>
      <c r="D2504" s="537"/>
      <c r="E2504" s="537"/>
      <c r="F2504" s="184">
        <f>SUM(F2498:F2503)</f>
        <v>31785</v>
      </c>
      <c r="G2504" s="537" t="s">
        <v>31</v>
      </c>
      <c r="H2504" s="537"/>
      <c r="I2504" s="537"/>
      <c r="J2504" s="537"/>
      <c r="K2504" s="184">
        <f>SUM(K2498:K2503)</f>
        <v>133375.35999999999</v>
      </c>
      <c r="L2504" s="537" t="s">
        <v>32</v>
      </c>
      <c r="M2504" s="537"/>
      <c r="N2504" s="537"/>
      <c r="O2504" s="537"/>
      <c r="P2504" s="184">
        <f>SUM(P2498:P2503)</f>
        <v>6906</v>
      </c>
      <c r="Q2504" s="537" t="s">
        <v>38</v>
      </c>
      <c r="R2504" s="537"/>
      <c r="S2504" s="537"/>
      <c r="T2504" s="537"/>
      <c r="U2504" s="223">
        <f>SUM(U2498:U2503)</f>
        <v>51619.907999999996</v>
      </c>
    </row>
    <row r="2505" spans="1:21" x14ac:dyDescent="0.25">
      <c r="A2505" s="537" t="s">
        <v>33</v>
      </c>
      <c r="B2505" s="537"/>
      <c r="C2505" s="537"/>
      <c r="D2505" s="537"/>
      <c r="E2505" s="537"/>
      <c r="F2505" s="184">
        <f>SUM(F2504+K2504+P2504)</f>
        <v>172066.36</v>
      </c>
      <c r="G2505" s="537" t="s">
        <v>39</v>
      </c>
      <c r="H2505" s="537"/>
      <c r="I2505" s="537"/>
      <c r="J2505" s="537"/>
      <c r="K2505" s="184">
        <f>SUM(F2504+K2504+P2504+U2504)</f>
        <v>223686.26799999998</v>
      </c>
      <c r="L2505" s="537" t="s">
        <v>40</v>
      </c>
      <c r="M2505" s="537"/>
      <c r="N2505" s="537"/>
      <c r="O2505" s="537"/>
      <c r="P2505" s="184">
        <f>SUM(K2505*0.15)</f>
        <v>33552.940199999997</v>
      </c>
      <c r="Q2505" s="537" t="s">
        <v>41</v>
      </c>
      <c r="R2505" s="537"/>
      <c r="S2505" s="537"/>
      <c r="T2505" s="537"/>
      <c r="U2505" s="223">
        <f>SUM(K2505+P2505)</f>
        <v>257239.20819999999</v>
      </c>
    </row>
    <row r="2506" spans="1:21" x14ac:dyDescent="0.25">
      <c r="Q2506" s="537" t="s">
        <v>42</v>
      </c>
      <c r="R2506" s="537"/>
      <c r="S2506" s="537"/>
      <c r="T2506" s="537"/>
      <c r="U2506" s="224">
        <f>ROUND((U2505/30),2)</f>
        <v>8574.64</v>
      </c>
    </row>
    <row r="2507" spans="1:21" x14ac:dyDescent="0.25">
      <c r="A2507" s="544"/>
      <c r="B2507" s="544"/>
      <c r="C2507" s="544"/>
      <c r="D2507" s="544"/>
      <c r="E2507" s="544"/>
      <c r="F2507" s="544"/>
      <c r="G2507" s="544"/>
      <c r="H2507" s="544"/>
      <c r="I2507" s="544"/>
      <c r="J2507" s="544"/>
      <c r="K2507" s="544"/>
      <c r="L2507" s="544"/>
      <c r="M2507" s="544"/>
      <c r="N2507" s="544"/>
      <c r="O2507" s="544"/>
      <c r="P2507" s="544"/>
      <c r="Q2507" s="544"/>
      <c r="R2507" s="544"/>
      <c r="S2507" s="544"/>
      <c r="T2507" s="544"/>
      <c r="U2507" s="544"/>
    </row>
    <row r="2508" spans="1:21" x14ac:dyDescent="0.25">
      <c r="A2508" s="538" t="s">
        <v>12</v>
      </c>
      <c r="B2508" s="538"/>
      <c r="C2508" s="540" t="s">
        <v>832</v>
      </c>
      <c r="D2508" s="540"/>
      <c r="E2508" s="540"/>
      <c r="F2508" s="540"/>
      <c r="G2508" s="540"/>
      <c r="H2508" s="540"/>
      <c r="I2508" s="540"/>
      <c r="J2508" s="540"/>
      <c r="K2508" s="540"/>
      <c r="L2508" s="540"/>
      <c r="M2508" s="540"/>
      <c r="N2508" s="540"/>
      <c r="O2508" s="540"/>
      <c r="P2508" s="540"/>
      <c r="Q2508" s="540"/>
      <c r="R2508" s="540"/>
      <c r="S2508" s="540"/>
      <c r="T2508" s="540"/>
      <c r="U2508" s="541" t="s">
        <v>811</v>
      </c>
    </row>
    <row r="2509" spans="1:21" x14ac:dyDescent="0.25">
      <c r="A2509" s="538"/>
      <c r="B2509" s="538"/>
      <c r="C2509" s="540"/>
      <c r="D2509" s="540"/>
      <c r="E2509" s="540"/>
      <c r="F2509" s="540"/>
      <c r="G2509" s="540"/>
      <c r="H2509" s="540"/>
      <c r="I2509" s="540"/>
      <c r="J2509" s="540"/>
      <c r="K2509" s="540"/>
      <c r="L2509" s="540"/>
      <c r="M2509" s="540"/>
      <c r="N2509" s="540"/>
      <c r="O2509" s="540"/>
      <c r="P2509" s="540"/>
      <c r="Q2509" s="540"/>
      <c r="R2509" s="540"/>
      <c r="S2509" s="540"/>
      <c r="T2509" s="540"/>
      <c r="U2509" s="541"/>
    </row>
    <row r="2510" spans="1:21" x14ac:dyDescent="0.25">
      <c r="A2510" s="539" t="s">
        <v>724</v>
      </c>
      <c r="B2510" s="539"/>
      <c r="C2510" s="540"/>
      <c r="D2510" s="540"/>
      <c r="E2510" s="540"/>
      <c r="F2510" s="540"/>
      <c r="G2510" s="540"/>
      <c r="H2510" s="540"/>
      <c r="I2510" s="540"/>
      <c r="J2510" s="540"/>
      <c r="K2510" s="540"/>
      <c r="L2510" s="540"/>
      <c r="M2510" s="540"/>
      <c r="N2510" s="540"/>
      <c r="O2510" s="540"/>
      <c r="P2510" s="540"/>
      <c r="Q2510" s="540"/>
      <c r="R2510" s="540"/>
      <c r="S2510" s="540"/>
      <c r="T2510" s="540"/>
      <c r="U2510" s="541"/>
    </row>
    <row r="2511" spans="1:21" x14ac:dyDescent="0.25">
      <c r="A2511" s="542" t="s">
        <v>16</v>
      </c>
      <c r="B2511" s="543" t="s">
        <v>18</v>
      </c>
      <c r="C2511" s="543"/>
      <c r="D2511" s="543"/>
      <c r="E2511" s="543"/>
      <c r="F2511" s="543"/>
      <c r="G2511" s="543" t="s">
        <v>24</v>
      </c>
      <c r="H2511" s="543"/>
      <c r="I2511" s="543"/>
      <c r="J2511" s="543"/>
      <c r="K2511" s="543"/>
      <c r="L2511" s="543" t="s">
        <v>25</v>
      </c>
      <c r="M2511" s="543"/>
      <c r="N2511" s="543"/>
      <c r="O2511" s="543"/>
      <c r="P2511" s="543"/>
      <c r="Q2511" s="543" t="s">
        <v>26</v>
      </c>
      <c r="R2511" s="543"/>
      <c r="S2511" s="543"/>
      <c r="T2511" s="543"/>
      <c r="U2511" s="543"/>
    </row>
    <row r="2512" spans="1:21" x14ac:dyDescent="0.25">
      <c r="A2512" s="542"/>
      <c r="B2512" s="182" t="s">
        <v>19</v>
      </c>
      <c r="C2512" s="182" t="s">
        <v>20</v>
      </c>
      <c r="D2512" s="182" t="s">
        <v>21</v>
      </c>
      <c r="E2512" s="182" t="s">
        <v>22</v>
      </c>
      <c r="F2512" s="182" t="s">
        <v>23</v>
      </c>
      <c r="G2512" s="182" t="s">
        <v>19</v>
      </c>
      <c r="H2512" s="216" t="s">
        <v>20</v>
      </c>
      <c r="I2512" s="182" t="s">
        <v>21</v>
      </c>
      <c r="J2512" s="182" t="s">
        <v>22</v>
      </c>
      <c r="K2512" s="182" t="s">
        <v>23</v>
      </c>
      <c r="L2512" s="182" t="s">
        <v>19</v>
      </c>
      <c r="M2512" s="182" t="s">
        <v>20</v>
      </c>
      <c r="N2512" s="182" t="s">
        <v>21</v>
      </c>
      <c r="O2512" s="182" t="s">
        <v>22</v>
      </c>
      <c r="P2512" s="182" t="s">
        <v>23</v>
      </c>
      <c r="Q2512" s="182" t="s">
        <v>19</v>
      </c>
      <c r="R2512" s="182" t="s">
        <v>20</v>
      </c>
      <c r="S2512" s="182" t="s">
        <v>21</v>
      </c>
      <c r="T2512" s="182" t="s">
        <v>22</v>
      </c>
      <c r="U2512" s="211" t="s">
        <v>23</v>
      </c>
    </row>
    <row r="2513" spans="1:21" ht="47.25" x14ac:dyDescent="0.25">
      <c r="A2513" s="183" t="s">
        <v>833</v>
      </c>
      <c r="B2513" s="182" t="s">
        <v>47</v>
      </c>
      <c r="C2513" s="182" t="s">
        <v>28</v>
      </c>
      <c r="D2513" s="182">
        <v>3</v>
      </c>
      <c r="E2513" s="182">
        <f>skilled</f>
        <v>1245</v>
      </c>
      <c r="F2513" s="184">
        <f>(D2513*E2513)</f>
        <v>3735</v>
      </c>
      <c r="G2513" s="182" t="s">
        <v>85</v>
      </c>
      <c r="H2513" s="216" t="s">
        <v>35</v>
      </c>
      <c r="I2513" s="182">
        <v>5.12</v>
      </c>
      <c r="J2513" s="182">
        <f>adopted_rate_cement</f>
        <v>13031</v>
      </c>
      <c r="K2513" s="182">
        <f>(I2513*J2513)</f>
        <v>66718.720000000001</v>
      </c>
      <c r="L2513" s="182" t="s">
        <v>276</v>
      </c>
      <c r="M2513" s="182" t="s">
        <v>58</v>
      </c>
      <c r="N2513" s="182">
        <v>6</v>
      </c>
      <c r="O2513" s="182">
        <f>concrete_mixer</f>
        <v>296</v>
      </c>
      <c r="P2513" s="184">
        <f>(N2513*O2513)</f>
        <v>1776</v>
      </c>
      <c r="Q2513" s="182" t="s">
        <v>834</v>
      </c>
      <c r="R2513" s="182"/>
      <c r="U2513" s="223">
        <f>F2519*35/100</f>
        <v>60223.225999999995</v>
      </c>
    </row>
    <row r="2514" spans="1:21" x14ac:dyDescent="0.25">
      <c r="B2514" s="182" t="s">
        <v>29</v>
      </c>
      <c r="C2514" s="182" t="s">
        <v>28</v>
      </c>
      <c r="D2514" s="182">
        <v>30</v>
      </c>
      <c r="E2514" s="182">
        <f>unskilled</f>
        <v>935</v>
      </c>
      <c r="F2514" s="184">
        <f>(D2514*E2514)</f>
        <v>28050</v>
      </c>
      <c r="G2514" s="182" t="s">
        <v>430</v>
      </c>
      <c r="H2514" s="216" t="s">
        <v>84</v>
      </c>
      <c r="I2514" s="182">
        <v>6.75</v>
      </c>
      <c r="J2514" s="182">
        <f>adopted_rate_sand</f>
        <v>3175.2000000000003</v>
      </c>
      <c r="K2514" s="182">
        <f>(I2514*J2514)</f>
        <v>21432.600000000002</v>
      </c>
      <c r="L2514" s="182" t="s">
        <v>76</v>
      </c>
      <c r="M2514" s="182" t="s">
        <v>58</v>
      </c>
      <c r="N2514" s="182">
        <v>6</v>
      </c>
      <c r="O2514" s="182">
        <f>generator</f>
        <v>855</v>
      </c>
      <c r="P2514" s="184">
        <f>(N2514*O2514)</f>
        <v>5130</v>
      </c>
    </row>
    <row r="2515" spans="1:21" x14ac:dyDescent="0.25">
      <c r="G2515" s="182" t="s">
        <v>733</v>
      </c>
      <c r="H2515" s="216" t="s">
        <v>84</v>
      </c>
      <c r="I2515" s="182">
        <v>8.1</v>
      </c>
      <c r="J2515" s="182">
        <f>adopted_rate_aggregate_10_20_mm</f>
        <v>3351.6</v>
      </c>
      <c r="K2515" s="182">
        <f>(I2515*J2515)</f>
        <v>27147.96</v>
      </c>
    </row>
    <row r="2516" spans="1:21" x14ac:dyDescent="0.25">
      <c r="G2516" s="182" t="s">
        <v>734</v>
      </c>
      <c r="H2516" s="216" t="s">
        <v>84</v>
      </c>
      <c r="I2516" s="182">
        <v>5.4</v>
      </c>
      <c r="J2516" s="182">
        <f>adopted_rate_aggregate_10_mm</f>
        <v>3175.2000000000003</v>
      </c>
      <c r="K2516" s="182">
        <f>(I2516*J2516)</f>
        <v>17146.080000000002</v>
      </c>
    </row>
    <row r="2517" spans="1:21" x14ac:dyDescent="0.25">
      <c r="G2517" s="182" t="s">
        <v>171</v>
      </c>
      <c r="H2517" s="216" t="s">
        <v>172</v>
      </c>
      <c r="I2517" s="182">
        <v>3</v>
      </c>
      <c r="J2517" s="182">
        <f>adopted_rate_water</f>
        <v>310</v>
      </c>
      <c r="K2517" s="182">
        <f>(I2517*J2517)</f>
        <v>930</v>
      </c>
    </row>
    <row r="2518" spans="1:21" x14ac:dyDescent="0.25">
      <c r="A2518" s="537" t="s">
        <v>30</v>
      </c>
      <c r="B2518" s="537"/>
      <c r="C2518" s="537"/>
      <c r="D2518" s="537"/>
      <c r="E2518" s="537"/>
      <c r="F2518" s="184">
        <f>SUM(F2512:F2517)</f>
        <v>31785</v>
      </c>
      <c r="G2518" s="537" t="s">
        <v>31</v>
      </c>
      <c r="H2518" s="537"/>
      <c r="I2518" s="537"/>
      <c r="J2518" s="537"/>
      <c r="K2518" s="184">
        <f>SUM(K2512:K2517)</f>
        <v>133375.35999999999</v>
      </c>
      <c r="L2518" s="537" t="s">
        <v>32</v>
      </c>
      <c r="M2518" s="537"/>
      <c r="N2518" s="537"/>
      <c r="O2518" s="537"/>
      <c r="P2518" s="184">
        <f>SUM(P2512:P2517)</f>
        <v>6906</v>
      </c>
      <c r="Q2518" s="537" t="s">
        <v>38</v>
      </c>
      <c r="R2518" s="537"/>
      <c r="S2518" s="537"/>
      <c r="T2518" s="537"/>
      <c r="U2518" s="223">
        <f>SUM(U2512:U2517)</f>
        <v>60223.225999999995</v>
      </c>
    </row>
    <row r="2519" spans="1:21" x14ac:dyDescent="0.25">
      <c r="A2519" s="537" t="s">
        <v>33</v>
      </c>
      <c r="B2519" s="537"/>
      <c r="C2519" s="537"/>
      <c r="D2519" s="537"/>
      <c r="E2519" s="537"/>
      <c r="F2519" s="184">
        <f>SUM(F2518+K2518+P2518)</f>
        <v>172066.36</v>
      </c>
      <c r="G2519" s="537" t="s">
        <v>39</v>
      </c>
      <c r="H2519" s="537"/>
      <c r="I2519" s="537"/>
      <c r="J2519" s="537"/>
      <c r="K2519" s="184">
        <f>SUM(F2518+K2518+P2518+U2518)</f>
        <v>232289.58599999998</v>
      </c>
      <c r="L2519" s="537" t="s">
        <v>40</v>
      </c>
      <c r="M2519" s="537"/>
      <c r="N2519" s="537"/>
      <c r="O2519" s="537"/>
      <c r="P2519" s="184">
        <f>SUM(K2519*0.15)</f>
        <v>34843.437899999997</v>
      </c>
      <c r="Q2519" s="537" t="s">
        <v>41</v>
      </c>
      <c r="R2519" s="537"/>
      <c r="S2519" s="537"/>
      <c r="T2519" s="537"/>
      <c r="U2519" s="223">
        <f>SUM(K2519+P2519)</f>
        <v>267133.02389999997</v>
      </c>
    </row>
    <row r="2520" spans="1:21" x14ac:dyDescent="0.25">
      <c r="Q2520" s="537" t="s">
        <v>42</v>
      </c>
      <c r="R2520" s="537"/>
      <c r="S2520" s="537"/>
      <c r="T2520" s="537"/>
      <c r="U2520" s="224">
        <f>ROUND((U2519/30),2)</f>
        <v>8904.43</v>
      </c>
    </row>
    <row r="2521" spans="1:21" x14ac:dyDescent="0.25">
      <c r="A2521" s="544"/>
      <c r="B2521" s="544"/>
      <c r="C2521" s="544"/>
      <c r="D2521" s="544"/>
      <c r="E2521" s="544"/>
      <c r="F2521" s="544"/>
      <c r="G2521" s="544"/>
      <c r="H2521" s="544"/>
      <c r="I2521" s="544"/>
      <c r="J2521" s="544"/>
      <c r="K2521" s="544"/>
      <c r="L2521" s="544"/>
      <c r="M2521" s="544"/>
      <c r="N2521" s="544"/>
      <c r="O2521" s="544"/>
      <c r="P2521" s="544"/>
      <c r="Q2521" s="544"/>
      <c r="R2521" s="544"/>
      <c r="S2521" s="544"/>
      <c r="T2521" s="544"/>
      <c r="U2521" s="544"/>
    </row>
    <row r="2522" spans="1:21" x14ac:dyDescent="0.25">
      <c r="A2522" s="538" t="s">
        <v>12</v>
      </c>
      <c r="B2522" s="538"/>
      <c r="C2522" s="540" t="s">
        <v>835</v>
      </c>
      <c r="D2522" s="540"/>
      <c r="E2522" s="540"/>
      <c r="F2522" s="540"/>
      <c r="G2522" s="540"/>
      <c r="H2522" s="540"/>
      <c r="I2522" s="540"/>
      <c r="J2522" s="540"/>
      <c r="K2522" s="540"/>
      <c r="L2522" s="540"/>
      <c r="M2522" s="540"/>
      <c r="N2522" s="540"/>
      <c r="O2522" s="540"/>
      <c r="P2522" s="540"/>
      <c r="Q2522" s="540"/>
      <c r="R2522" s="540"/>
      <c r="S2522" s="540"/>
      <c r="T2522" s="540"/>
      <c r="U2522" s="541" t="s">
        <v>726</v>
      </c>
    </row>
    <row r="2523" spans="1:21" x14ac:dyDescent="0.25">
      <c r="A2523" s="538"/>
      <c r="B2523" s="538"/>
      <c r="C2523" s="540"/>
      <c r="D2523" s="540"/>
      <c r="E2523" s="540"/>
      <c r="F2523" s="540"/>
      <c r="G2523" s="540"/>
      <c r="H2523" s="540"/>
      <c r="I2523" s="540"/>
      <c r="J2523" s="540"/>
      <c r="K2523" s="540"/>
      <c r="L2523" s="540"/>
      <c r="M2523" s="540"/>
      <c r="N2523" s="540"/>
      <c r="O2523" s="540"/>
      <c r="P2523" s="540"/>
      <c r="Q2523" s="540"/>
      <c r="R2523" s="540"/>
      <c r="S2523" s="540"/>
      <c r="T2523" s="540"/>
      <c r="U2523" s="541"/>
    </row>
    <row r="2524" spans="1:21" x14ac:dyDescent="0.25">
      <c r="A2524" s="539" t="s">
        <v>724</v>
      </c>
      <c r="B2524" s="539"/>
      <c r="C2524" s="540"/>
      <c r="D2524" s="540"/>
      <c r="E2524" s="540"/>
      <c r="F2524" s="540"/>
      <c r="G2524" s="540"/>
      <c r="H2524" s="540"/>
      <c r="I2524" s="540"/>
      <c r="J2524" s="540"/>
      <c r="K2524" s="540"/>
      <c r="L2524" s="540"/>
      <c r="M2524" s="540"/>
      <c r="N2524" s="540"/>
      <c r="O2524" s="540"/>
      <c r="P2524" s="540"/>
      <c r="Q2524" s="540"/>
      <c r="R2524" s="540"/>
      <c r="S2524" s="540"/>
      <c r="T2524" s="540"/>
      <c r="U2524" s="541"/>
    </row>
    <row r="2525" spans="1:21" x14ac:dyDescent="0.25">
      <c r="A2525" s="542" t="s">
        <v>16</v>
      </c>
      <c r="B2525" s="543" t="s">
        <v>18</v>
      </c>
      <c r="C2525" s="543"/>
      <c r="D2525" s="543"/>
      <c r="E2525" s="543"/>
      <c r="F2525" s="543"/>
      <c r="G2525" s="543" t="s">
        <v>24</v>
      </c>
      <c r="H2525" s="543"/>
      <c r="I2525" s="543"/>
      <c r="J2525" s="543"/>
      <c r="K2525" s="543"/>
      <c r="L2525" s="543" t="s">
        <v>25</v>
      </c>
      <c r="M2525" s="543"/>
      <c r="N2525" s="543"/>
      <c r="O2525" s="543"/>
      <c r="P2525" s="543"/>
      <c r="Q2525" s="543" t="s">
        <v>26</v>
      </c>
      <c r="R2525" s="543"/>
      <c r="S2525" s="543"/>
      <c r="T2525" s="543"/>
      <c r="U2525" s="543"/>
    </row>
    <row r="2526" spans="1:21" x14ac:dyDescent="0.25">
      <c r="A2526" s="542"/>
      <c r="B2526" s="182" t="s">
        <v>19</v>
      </c>
      <c r="C2526" s="182" t="s">
        <v>20</v>
      </c>
      <c r="D2526" s="182" t="s">
        <v>21</v>
      </c>
      <c r="E2526" s="182" t="s">
        <v>22</v>
      </c>
      <c r="F2526" s="182" t="s">
        <v>23</v>
      </c>
      <c r="G2526" s="182" t="s">
        <v>19</v>
      </c>
      <c r="H2526" s="216" t="s">
        <v>20</v>
      </c>
      <c r="I2526" s="182" t="s">
        <v>21</v>
      </c>
      <c r="J2526" s="182" t="s">
        <v>22</v>
      </c>
      <c r="K2526" s="182" t="s">
        <v>23</v>
      </c>
      <c r="L2526" s="182" t="s">
        <v>19</v>
      </c>
      <c r="M2526" s="182" t="s">
        <v>20</v>
      </c>
      <c r="N2526" s="182" t="s">
        <v>21</v>
      </c>
      <c r="O2526" s="182" t="s">
        <v>22</v>
      </c>
      <c r="P2526" s="182" t="s">
        <v>23</v>
      </c>
      <c r="Q2526" s="182" t="s">
        <v>19</v>
      </c>
      <c r="R2526" s="182" t="s">
        <v>20</v>
      </c>
      <c r="S2526" s="182" t="s">
        <v>21</v>
      </c>
      <c r="T2526" s="182" t="s">
        <v>22</v>
      </c>
      <c r="U2526" s="211" t="s">
        <v>23</v>
      </c>
    </row>
    <row r="2527" spans="1:21" x14ac:dyDescent="0.25">
      <c r="A2527" s="183" t="s">
        <v>836</v>
      </c>
      <c r="B2527" s="182" t="s">
        <v>47</v>
      </c>
      <c r="C2527" s="182" t="s">
        <v>28</v>
      </c>
      <c r="D2527" s="182">
        <v>3</v>
      </c>
      <c r="E2527" s="182">
        <f>skilled</f>
        <v>1245</v>
      </c>
      <c r="F2527" s="184">
        <f>(D2527*E2527)</f>
        <v>3735</v>
      </c>
      <c r="G2527" s="182" t="s">
        <v>85</v>
      </c>
      <c r="H2527" s="216" t="s">
        <v>35</v>
      </c>
      <c r="I2527" s="182">
        <v>5.99</v>
      </c>
      <c r="J2527" s="182">
        <f>adopted_rate_cement</f>
        <v>13031</v>
      </c>
      <c r="K2527" s="182">
        <f t="shared" ref="K2527:K2532" si="30">(I2527*J2527)</f>
        <v>78055.69</v>
      </c>
      <c r="L2527" s="182" t="s">
        <v>276</v>
      </c>
      <c r="M2527" s="182" t="s">
        <v>58</v>
      </c>
      <c r="N2527" s="182">
        <v>6</v>
      </c>
      <c r="O2527" s="182">
        <f>concrete_mixer</f>
        <v>296</v>
      </c>
      <c r="P2527" s="184">
        <f>(N2527*O2527)</f>
        <v>1776</v>
      </c>
    </row>
    <row r="2528" spans="1:21" x14ac:dyDescent="0.25">
      <c r="B2528" s="182" t="s">
        <v>29</v>
      </c>
      <c r="C2528" s="182" t="s">
        <v>28</v>
      </c>
      <c r="D2528" s="182">
        <v>30</v>
      </c>
      <c r="E2528" s="182">
        <f>unskilled</f>
        <v>935</v>
      </c>
      <c r="F2528" s="184">
        <f>(D2528*E2528)</f>
        <v>28050</v>
      </c>
      <c r="G2528" s="182" t="s">
        <v>430</v>
      </c>
      <c r="H2528" s="216" t="s">
        <v>84</v>
      </c>
      <c r="I2528" s="182">
        <v>6.75</v>
      </c>
      <c r="J2528" s="182">
        <f>adopted_rate_sand</f>
        <v>3175.2000000000003</v>
      </c>
      <c r="K2528" s="182">
        <f t="shared" si="30"/>
        <v>21432.600000000002</v>
      </c>
      <c r="L2528" s="182" t="s">
        <v>76</v>
      </c>
      <c r="M2528" s="182" t="s">
        <v>58</v>
      </c>
      <c r="N2528" s="182">
        <v>6</v>
      </c>
      <c r="O2528" s="182">
        <f>generator</f>
        <v>855</v>
      </c>
      <c r="P2528" s="184">
        <f>(N2528*O2528)</f>
        <v>5130</v>
      </c>
    </row>
    <row r="2529" spans="1:21" x14ac:dyDescent="0.25">
      <c r="G2529" s="182" t="s">
        <v>733</v>
      </c>
      <c r="H2529" s="216" t="s">
        <v>84</v>
      </c>
      <c r="I2529" s="182">
        <v>8.1</v>
      </c>
      <c r="J2529" s="182">
        <f>adopted_rate_aggregate_10_20_mm</f>
        <v>3351.6</v>
      </c>
      <c r="K2529" s="182">
        <f t="shared" si="30"/>
        <v>27147.96</v>
      </c>
    </row>
    <row r="2530" spans="1:21" x14ac:dyDescent="0.25">
      <c r="G2530" s="182" t="s">
        <v>734</v>
      </c>
      <c r="H2530" s="216" t="s">
        <v>84</v>
      </c>
      <c r="I2530" s="182">
        <v>5.4</v>
      </c>
      <c r="J2530" s="182">
        <f>adopted_rate_aggregate_10_mm</f>
        <v>3175.2000000000003</v>
      </c>
      <c r="K2530" s="182">
        <f t="shared" si="30"/>
        <v>17146.080000000002</v>
      </c>
    </row>
    <row r="2531" spans="1:21" x14ac:dyDescent="0.25">
      <c r="G2531" s="182" t="s">
        <v>171</v>
      </c>
      <c r="H2531" s="216" t="s">
        <v>172</v>
      </c>
      <c r="I2531" s="182">
        <v>3</v>
      </c>
      <c r="J2531" s="182">
        <f>adopted_rate_water</f>
        <v>310</v>
      </c>
      <c r="K2531" s="182">
        <f t="shared" si="30"/>
        <v>930</v>
      </c>
    </row>
    <row r="2532" spans="1:21" x14ac:dyDescent="0.25">
      <c r="G2532" s="182" t="s">
        <v>745</v>
      </c>
      <c r="H2532" s="216" t="s">
        <v>144</v>
      </c>
      <c r="I2532" s="182">
        <v>23.96</v>
      </c>
      <c r="J2532" s="182">
        <f>adopted_rate_admixture</f>
        <v>266</v>
      </c>
      <c r="K2532" s="182">
        <f t="shared" si="30"/>
        <v>6373.3600000000006</v>
      </c>
    </row>
    <row r="2533" spans="1:21" x14ac:dyDescent="0.25">
      <c r="A2533" s="537" t="s">
        <v>30</v>
      </c>
      <c r="B2533" s="537"/>
      <c r="C2533" s="537"/>
      <c r="D2533" s="537"/>
      <c r="E2533" s="537"/>
      <c r="F2533" s="184">
        <f>SUM(F2526:F2532)</f>
        <v>31785</v>
      </c>
      <c r="G2533" s="537" t="s">
        <v>31</v>
      </c>
      <c r="H2533" s="537"/>
      <c r="I2533" s="537"/>
      <c r="J2533" s="537"/>
      <c r="K2533" s="184">
        <f>SUM(K2526:K2532)</f>
        <v>151085.69</v>
      </c>
      <c r="L2533" s="537" t="s">
        <v>32</v>
      </c>
      <c r="M2533" s="537"/>
      <c r="N2533" s="537"/>
      <c r="O2533" s="537"/>
      <c r="P2533" s="184">
        <f>SUM(P2526:P2532)</f>
        <v>6906</v>
      </c>
      <c r="Q2533" s="537" t="s">
        <v>38</v>
      </c>
      <c r="R2533" s="537"/>
      <c r="S2533" s="537"/>
      <c r="T2533" s="537"/>
      <c r="U2533" s="223">
        <f>SUM(U2526:U2532)</f>
        <v>0</v>
      </c>
    </row>
    <row r="2534" spans="1:21" x14ac:dyDescent="0.25">
      <c r="A2534" s="537" t="s">
        <v>33</v>
      </c>
      <c r="B2534" s="537"/>
      <c r="C2534" s="537"/>
      <c r="D2534" s="537"/>
      <c r="E2534" s="537"/>
      <c r="F2534" s="184">
        <f>SUM(F2533+K2533+P2533)</f>
        <v>189776.69</v>
      </c>
      <c r="G2534" s="537" t="s">
        <v>39</v>
      </c>
      <c r="H2534" s="537"/>
      <c r="I2534" s="537"/>
      <c r="J2534" s="537"/>
      <c r="K2534" s="184">
        <f>SUM(F2533+K2533+P2533+U2533)</f>
        <v>189776.69</v>
      </c>
      <c r="L2534" s="537" t="s">
        <v>40</v>
      </c>
      <c r="M2534" s="537"/>
      <c r="N2534" s="537"/>
      <c r="O2534" s="537"/>
      <c r="P2534" s="184">
        <f>SUM(K2534*0.15)</f>
        <v>28466.503499999999</v>
      </c>
      <c r="Q2534" s="537" t="s">
        <v>41</v>
      </c>
      <c r="R2534" s="537"/>
      <c r="S2534" s="537"/>
      <c r="T2534" s="537"/>
      <c r="U2534" s="223">
        <f>SUM(K2534+P2534)</f>
        <v>218243.19349999999</v>
      </c>
    </row>
    <row r="2535" spans="1:21" x14ac:dyDescent="0.25">
      <c r="Q2535" s="537" t="s">
        <v>42</v>
      </c>
      <c r="R2535" s="537"/>
      <c r="S2535" s="537"/>
      <c r="T2535" s="537"/>
      <c r="U2535" s="224">
        <f>ROUND((U2534/15),2)</f>
        <v>14549.55</v>
      </c>
    </row>
    <row r="2536" spans="1:21" x14ac:dyDescent="0.25">
      <c r="A2536" s="544"/>
      <c r="B2536" s="544"/>
      <c r="C2536" s="544"/>
      <c r="D2536" s="544"/>
      <c r="E2536" s="544"/>
      <c r="F2536" s="544"/>
      <c r="G2536" s="544"/>
      <c r="H2536" s="544"/>
      <c r="I2536" s="544"/>
      <c r="J2536" s="544"/>
      <c r="K2536" s="544"/>
      <c r="L2536" s="544"/>
      <c r="M2536" s="544"/>
      <c r="N2536" s="544"/>
      <c r="O2536" s="544"/>
      <c r="P2536" s="544"/>
      <c r="Q2536" s="544"/>
      <c r="R2536" s="544"/>
      <c r="S2536" s="544"/>
      <c r="T2536" s="544"/>
      <c r="U2536" s="544"/>
    </row>
    <row r="2537" spans="1:21" x14ac:dyDescent="0.25">
      <c r="A2537" s="538" t="s">
        <v>12</v>
      </c>
      <c r="B2537" s="538"/>
      <c r="C2537" s="540" t="s">
        <v>837</v>
      </c>
      <c r="D2537" s="540"/>
      <c r="E2537" s="540"/>
      <c r="F2537" s="540"/>
      <c r="G2537" s="540"/>
      <c r="H2537" s="540"/>
      <c r="I2537" s="540"/>
      <c r="J2537" s="540"/>
      <c r="K2537" s="540"/>
      <c r="L2537" s="540"/>
      <c r="M2537" s="540"/>
      <c r="N2537" s="540"/>
      <c r="O2537" s="540"/>
      <c r="P2537" s="540"/>
      <c r="Q2537" s="540"/>
      <c r="R2537" s="540"/>
      <c r="S2537" s="540"/>
      <c r="T2537" s="540"/>
      <c r="U2537" s="541" t="s">
        <v>726</v>
      </c>
    </row>
    <row r="2538" spans="1:21" x14ac:dyDescent="0.25">
      <c r="A2538" s="538"/>
      <c r="B2538" s="538"/>
      <c r="C2538" s="540"/>
      <c r="D2538" s="540"/>
      <c r="E2538" s="540"/>
      <c r="F2538" s="540"/>
      <c r="G2538" s="540"/>
      <c r="H2538" s="540"/>
      <c r="I2538" s="540"/>
      <c r="J2538" s="540"/>
      <c r="K2538" s="540"/>
      <c r="L2538" s="540"/>
      <c r="M2538" s="540"/>
      <c r="N2538" s="540"/>
      <c r="O2538" s="540"/>
      <c r="P2538" s="540"/>
      <c r="Q2538" s="540"/>
      <c r="R2538" s="540"/>
      <c r="S2538" s="540"/>
      <c r="T2538" s="540"/>
      <c r="U2538" s="541"/>
    </row>
    <row r="2539" spans="1:21" x14ac:dyDescent="0.25">
      <c r="A2539" s="539" t="s">
        <v>724</v>
      </c>
      <c r="B2539" s="539"/>
      <c r="C2539" s="540"/>
      <c r="D2539" s="540"/>
      <c r="E2539" s="540"/>
      <c r="F2539" s="540"/>
      <c r="G2539" s="540"/>
      <c r="H2539" s="540"/>
      <c r="I2539" s="540"/>
      <c r="J2539" s="540"/>
      <c r="K2539" s="540"/>
      <c r="L2539" s="540"/>
      <c r="M2539" s="540"/>
      <c r="N2539" s="540"/>
      <c r="O2539" s="540"/>
      <c r="P2539" s="540"/>
      <c r="Q2539" s="540"/>
      <c r="R2539" s="540"/>
      <c r="S2539" s="540"/>
      <c r="T2539" s="540"/>
      <c r="U2539" s="541"/>
    </row>
    <row r="2540" spans="1:21" x14ac:dyDescent="0.25">
      <c r="A2540" s="542" t="s">
        <v>16</v>
      </c>
      <c r="B2540" s="543" t="s">
        <v>18</v>
      </c>
      <c r="C2540" s="543"/>
      <c r="D2540" s="543"/>
      <c r="E2540" s="543"/>
      <c r="F2540" s="543"/>
      <c r="G2540" s="543" t="s">
        <v>24</v>
      </c>
      <c r="H2540" s="543"/>
      <c r="I2540" s="543"/>
      <c r="J2540" s="543"/>
      <c r="K2540" s="543"/>
      <c r="L2540" s="543" t="s">
        <v>25</v>
      </c>
      <c r="M2540" s="543"/>
      <c r="N2540" s="543"/>
      <c r="O2540" s="543"/>
      <c r="P2540" s="543"/>
      <c r="Q2540" s="543" t="s">
        <v>26</v>
      </c>
      <c r="R2540" s="543"/>
      <c r="S2540" s="543"/>
      <c r="T2540" s="543"/>
      <c r="U2540" s="543"/>
    </row>
    <row r="2541" spans="1:21" x14ac:dyDescent="0.25">
      <c r="A2541" s="542"/>
      <c r="B2541" s="182" t="s">
        <v>19</v>
      </c>
      <c r="C2541" s="182" t="s">
        <v>20</v>
      </c>
      <c r="D2541" s="182" t="s">
        <v>21</v>
      </c>
      <c r="E2541" s="182" t="s">
        <v>22</v>
      </c>
      <c r="F2541" s="182" t="s">
        <v>23</v>
      </c>
      <c r="G2541" s="182" t="s">
        <v>19</v>
      </c>
      <c r="H2541" s="216" t="s">
        <v>20</v>
      </c>
      <c r="I2541" s="182" t="s">
        <v>21</v>
      </c>
      <c r="J2541" s="182" t="s">
        <v>22</v>
      </c>
      <c r="K2541" s="182" t="s">
        <v>23</v>
      </c>
      <c r="L2541" s="182" t="s">
        <v>19</v>
      </c>
      <c r="M2541" s="182" t="s">
        <v>20</v>
      </c>
      <c r="N2541" s="182" t="s">
        <v>21</v>
      </c>
      <c r="O2541" s="182" t="s">
        <v>22</v>
      </c>
      <c r="P2541" s="182" t="s">
        <v>23</v>
      </c>
      <c r="Q2541" s="182" t="s">
        <v>19</v>
      </c>
      <c r="R2541" s="182" t="s">
        <v>20</v>
      </c>
      <c r="S2541" s="182" t="s">
        <v>21</v>
      </c>
      <c r="T2541" s="182" t="s">
        <v>22</v>
      </c>
      <c r="U2541" s="211" t="s">
        <v>23</v>
      </c>
    </row>
    <row r="2542" spans="1:21" ht="47.25" x14ac:dyDescent="0.25">
      <c r="A2542" s="183" t="s">
        <v>838</v>
      </c>
      <c r="B2542" s="182" t="s">
        <v>47</v>
      </c>
      <c r="C2542" s="182" t="s">
        <v>28</v>
      </c>
      <c r="D2542" s="182">
        <v>3</v>
      </c>
      <c r="E2542" s="182">
        <f>skilled</f>
        <v>1245</v>
      </c>
      <c r="F2542" s="184">
        <f>(D2542*E2542)</f>
        <v>3735</v>
      </c>
      <c r="G2542" s="182" t="s">
        <v>85</v>
      </c>
      <c r="H2542" s="216" t="s">
        <v>35</v>
      </c>
      <c r="I2542" s="182">
        <v>5.99</v>
      </c>
      <c r="J2542" s="182">
        <f>adopted_rate_cement</f>
        <v>13031</v>
      </c>
      <c r="K2542" s="182">
        <f t="shared" ref="K2542:K2547" si="31">(I2542*J2542)</f>
        <v>78055.69</v>
      </c>
      <c r="L2542" s="182" t="s">
        <v>276</v>
      </c>
      <c r="M2542" s="182" t="s">
        <v>58</v>
      </c>
      <c r="N2542" s="182">
        <v>6</v>
      </c>
      <c r="O2542" s="182">
        <f>concrete_mixer</f>
        <v>296</v>
      </c>
      <c r="P2542" s="184">
        <f>(N2542*O2542)</f>
        <v>1776</v>
      </c>
      <c r="Q2542" s="182" t="s">
        <v>815</v>
      </c>
      <c r="R2542" s="182"/>
      <c r="U2542" s="223">
        <f>F2549*20/100</f>
        <v>37955.337999999996</v>
      </c>
    </row>
    <row r="2543" spans="1:21" x14ac:dyDescent="0.25">
      <c r="B2543" s="182" t="s">
        <v>29</v>
      </c>
      <c r="C2543" s="182" t="s">
        <v>28</v>
      </c>
      <c r="D2543" s="182">
        <v>30</v>
      </c>
      <c r="E2543" s="182">
        <f>unskilled</f>
        <v>935</v>
      </c>
      <c r="F2543" s="184">
        <f>(D2543*E2543)</f>
        <v>28050</v>
      </c>
      <c r="G2543" s="182" t="s">
        <v>430</v>
      </c>
      <c r="H2543" s="216" t="s">
        <v>84</v>
      </c>
      <c r="I2543" s="182">
        <v>6.75</v>
      </c>
      <c r="J2543" s="182">
        <f>adopted_rate_sand</f>
        <v>3175.2000000000003</v>
      </c>
      <c r="K2543" s="182">
        <f t="shared" si="31"/>
        <v>21432.600000000002</v>
      </c>
      <c r="L2543" s="182" t="s">
        <v>76</v>
      </c>
      <c r="M2543" s="182" t="s">
        <v>58</v>
      </c>
      <c r="N2543" s="182">
        <v>6</v>
      </c>
      <c r="O2543" s="182">
        <f>generator</f>
        <v>855</v>
      </c>
      <c r="P2543" s="184">
        <f>(N2543*O2543)</f>
        <v>5130</v>
      </c>
    </row>
    <row r="2544" spans="1:21" x14ac:dyDescent="0.25">
      <c r="G2544" s="182" t="s">
        <v>733</v>
      </c>
      <c r="H2544" s="216" t="s">
        <v>84</v>
      </c>
      <c r="I2544" s="182">
        <v>8.1</v>
      </c>
      <c r="J2544" s="182">
        <f>adopted_rate_aggregate_10_20_mm</f>
        <v>3351.6</v>
      </c>
      <c r="K2544" s="182">
        <f t="shared" si="31"/>
        <v>27147.96</v>
      </c>
    </row>
    <row r="2545" spans="1:21" x14ac:dyDescent="0.25">
      <c r="G2545" s="182" t="s">
        <v>734</v>
      </c>
      <c r="H2545" s="216" t="s">
        <v>84</v>
      </c>
      <c r="I2545" s="182">
        <v>5.4</v>
      </c>
      <c r="J2545" s="182">
        <f>adopted_rate_aggregate_10_mm</f>
        <v>3175.2000000000003</v>
      </c>
      <c r="K2545" s="182">
        <f t="shared" si="31"/>
        <v>17146.080000000002</v>
      </c>
    </row>
    <row r="2546" spans="1:21" x14ac:dyDescent="0.25">
      <c r="G2546" s="182" t="s">
        <v>171</v>
      </c>
      <c r="H2546" s="216" t="s">
        <v>172</v>
      </c>
      <c r="I2546" s="182">
        <v>3</v>
      </c>
      <c r="J2546" s="182">
        <f>adopted_rate_water</f>
        <v>310</v>
      </c>
      <c r="K2546" s="182">
        <f t="shared" si="31"/>
        <v>930</v>
      </c>
    </row>
    <row r="2547" spans="1:21" x14ac:dyDescent="0.25">
      <c r="G2547" s="182" t="s">
        <v>745</v>
      </c>
      <c r="H2547" s="216" t="s">
        <v>144</v>
      </c>
      <c r="I2547" s="182">
        <v>23.96</v>
      </c>
      <c r="J2547" s="182">
        <f>adopted_rate_admixture</f>
        <v>266</v>
      </c>
      <c r="K2547" s="182">
        <f t="shared" si="31"/>
        <v>6373.3600000000006</v>
      </c>
    </row>
    <row r="2548" spans="1:21" x14ac:dyDescent="0.25">
      <c r="A2548" s="537" t="s">
        <v>30</v>
      </c>
      <c r="B2548" s="537"/>
      <c r="C2548" s="537"/>
      <c r="D2548" s="537"/>
      <c r="E2548" s="537"/>
      <c r="F2548" s="184">
        <f>SUM(F2541:F2547)</f>
        <v>31785</v>
      </c>
      <c r="G2548" s="537" t="s">
        <v>31</v>
      </c>
      <c r="H2548" s="537"/>
      <c r="I2548" s="537"/>
      <c r="J2548" s="537"/>
      <c r="K2548" s="184">
        <f>SUM(K2541:K2547)</f>
        <v>151085.69</v>
      </c>
      <c r="L2548" s="537" t="s">
        <v>32</v>
      </c>
      <c r="M2548" s="537"/>
      <c r="N2548" s="537"/>
      <c r="O2548" s="537"/>
      <c r="P2548" s="184">
        <f>SUM(P2541:P2547)</f>
        <v>6906</v>
      </c>
      <c r="Q2548" s="537" t="s">
        <v>38</v>
      </c>
      <c r="R2548" s="537"/>
      <c r="S2548" s="537"/>
      <c r="T2548" s="537"/>
      <c r="U2548" s="223">
        <f>SUM(U2541:U2547)</f>
        <v>37955.337999999996</v>
      </c>
    </row>
    <row r="2549" spans="1:21" x14ac:dyDescent="0.25">
      <c r="A2549" s="537" t="s">
        <v>33</v>
      </c>
      <c r="B2549" s="537"/>
      <c r="C2549" s="537"/>
      <c r="D2549" s="537"/>
      <c r="E2549" s="537"/>
      <c r="F2549" s="184">
        <f>SUM(F2548+K2548+P2548)</f>
        <v>189776.69</v>
      </c>
      <c r="G2549" s="537" t="s">
        <v>39</v>
      </c>
      <c r="H2549" s="537"/>
      <c r="I2549" s="537"/>
      <c r="J2549" s="537"/>
      <c r="K2549" s="184">
        <f>SUM(F2548+K2548+P2548+U2548)</f>
        <v>227732.02799999999</v>
      </c>
      <c r="L2549" s="537" t="s">
        <v>40</v>
      </c>
      <c r="M2549" s="537"/>
      <c r="N2549" s="537"/>
      <c r="O2549" s="537"/>
      <c r="P2549" s="184">
        <f>SUM(K2549*0.15)</f>
        <v>34159.804199999999</v>
      </c>
      <c r="Q2549" s="537" t="s">
        <v>41</v>
      </c>
      <c r="R2549" s="537"/>
      <c r="S2549" s="537"/>
      <c r="T2549" s="537"/>
      <c r="U2549" s="223">
        <f>SUM(K2549+P2549)</f>
        <v>261891.8322</v>
      </c>
    </row>
    <row r="2550" spans="1:21" x14ac:dyDescent="0.25">
      <c r="Q2550" s="537" t="s">
        <v>42</v>
      </c>
      <c r="R2550" s="537"/>
      <c r="S2550" s="537"/>
      <c r="T2550" s="537"/>
      <c r="U2550" s="224">
        <f>ROUND((U2549/15),2)</f>
        <v>17459.46</v>
      </c>
    </row>
    <row r="2551" spans="1:21" x14ac:dyDescent="0.25">
      <c r="A2551" s="544"/>
      <c r="B2551" s="544"/>
      <c r="C2551" s="544"/>
      <c r="D2551" s="544"/>
      <c r="E2551" s="544"/>
      <c r="F2551" s="544"/>
      <c r="G2551" s="544"/>
      <c r="H2551" s="544"/>
      <c r="I2551" s="544"/>
      <c r="J2551" s="544"/>
      <c r="K2551" s="544"/>
      <c r="L2551" s="544"/>
      <c r="M2551" s="544"/>
      <c r="N2551" s="544"/>
      <c r="O2551" s="544"/>
      <c r="P2551" s="544"/>
      <c r="Q2551" s="544"/>
      <c r="R2551" s="544"/>
      <c r="S2551" s="544"/>
      <c r="T2551" s="544"/>
      <c r="U2551" s="544"/>
    </row>
    <row r="2552" spans="1:21" x14ac:dyDescent="0.25">
      <c r="A2552" s="538" t="s">
        <v>12</v>
      </c>
      <c r="B2552" s="538"/>
      <c r="C2552" s="540" t="s">
        <v>839</v>
      </c>
      <c r="D2552" s="540"/>
      <c r="E2552" s="540"/>
      <c r="F2552" s="540"/>
      <c r="G2552" s="540"/>
      <c r="H2552" s="540"/>
      <c r="I2552" s="540"/>
      <c r="J2552" s="540"/>
      <c r="K2552" s="540"/>
      <c r="L2552" s="540"/>
      <c r="M2552" s="540"/>
      <c r="N2552" s="540"/>
      <c r="O2552" s="540"/>
      <c r="P2552" s="540"/>
      <c r="Q2552" s="540"/>
      <c r="R2552" s="540"/>
      <c r="S2552" s="540"/>
      <c r="T2552" s="540"/>
      <c r="U2552" s="541" t="s">
        <v>726</v>
      </c>
    </row>
    <row r="2553" spans="1:21" x14ac:dyDescent="0.25">
      <c r="A2553" s="538"/>
      <c r="B2553" s="538"/>
      <c r="C2553" s="540"/>
      <c r="D2553" s="540"/>
      <c r="E2553" s="540"/>
      <c r="F2553" s="540"/>
      <c r="G2553" s="540"/>
      <c r="H2553" s="540"/>
      <c r="I2553" s="540"/>
      <c r="J2553" s="540"/>
      <c r="K2553" s="540"/>
      <c r="L2553" s="540"/>
      <c r="M2553" s="540"/>
      <c r="N2553" s="540"/>
      <c r="O2553" s="540"/>
      <c r="P2553" s="540"/>
      <c r="Q2553" s="540"/>
      <c r="R2553" s="540"/>
      <c r="S2553" s="540"/>
      <c r="T2553" s="540"/>
      <c r="U2553" s="541"/>
    </row>
    <row r="2554" spans="1:21" x14ac:dyDescent="0.25">
      <c r="A2554" s="539" t="s">
        <v>724</v>
      </c>
      <c r="B2554" s="539"/>
      <c r="C2554" s="540"/>
      <c r="D2554" s="540"/>
      <c r="E2554" s="540"/>
      <c r="F2554" s="540"/>
      <c r="G2554" s="540"/>
      <c r="H2554" s="540"/>
      <c r="I2554" s="540"/>
      <c r="J2554" s="540"/>
      <c r="K2554" s="540"/>
      <c r="L2554" s="540"/>
      <c r="M2554" s="540"/>
      <c r="N2554" s="540"/>
      <c r="O2554" s="540"/>
      <c r="P2554" s="540"/>
      <c r="Q2554" s="540"/>
      <c r="R2554" s="540"/>
      <c r="S2554" s="540"/>
      <c r="T2554" s="540"/>
      <c r="U2554" s="541"/>
    </row>
    <row r="2555" spans="1:21" x14ac:dyDescent="0.25">
      <c r="A2555" s="542" t="s">
        <v>16</v>
      </c>
      <c r="B2555" s="543" t="s">
        <v>18</v>
      </c>
      <c r="C2555" s="543"/>
      <c r="D2555" s="543"/>
      <c r="E2555" s="543"/>
      <c r="F2555" s="543"/>
      <c r="G2555" s="543" t="s">
        <v>24</v>
      </c>
      <c r="H2555" s="543"/>
      <c r="I2555" s="543"/>
      <c r="J2555" s="543"/>
      <c r="K2555" s="543"/>
      <c r="L2555" s="543" t="s">
        <v>25</v>
      </c>
      <c r="M2555" s="543"/>
      <c r="N2555" s="543"/>
      <c r="O2555" s="543"/>
      <c r="P2555" s="543"/>
      <c r="Q2555" s="543" t="s">
        <v>26</v>
      </c>
      <c r="R2555" s="543"/>
      <c r="S2555" s="543"/>
      <c r="T2555" s="543"/>
      <c r="U2555" s="543"/>
    </row>
    <row r="2556" spans="1:21" x14ac:dyDescent="0.25">
      <c r="A2556" s="542"/>
      <c r="B2556" s="182" t="s">
        <v>19</v>
      </c>
      <c r="C2556" s="182" t="s">
        <v>20</v>
      </c>
      <c r="D2556" s="182" t="s">
        <v>21</v>
      </c>
      <c r="E2556" s="182" t="s">
        <v>22</v>
      </c>
      <c r="F2556" s="182" t="s">
        <v>23</v>
      </c>
      <c r="G2556" s="182" t="s">
        <v>19</v>
      </c>
      <c r="H2556" s="216" t="s">
        <v>20</v>
      </c>
      <c r="I2556" s="182" t="s">
        <v>21</v>
      </c>
      <c r="J2556" s="182" t="s">
        <v>22</v>
      </c>
      <c r="K2556" s="182" t="s">
        <v>23</v>
      </c>
      <c r="L2556" s="182" t="s">
        <v>19</v>
      </c>
      <c r="M2556" s="182" t="s">
        <v>20</v>
      </c>
      <c r="N2556" s="182" t="s">
        <v>21</v>
      </c>
      <c r="O2556" s="182" t="s">
        <v>22</v>
      </c>
      <c r="P2556" s="182" t="s">
        <v>23</v>
      </c>
      <c r="Q2556" s="182" t="s">
        <v>19</v>
      </c>
      <c r="R2556" s="182" t="s">
        <v>20</v>
      </c>
      <c r="S2556" s="182" t="s">
        <v>21</v>
      </c>
      <c r="T2556" s="182" t="s">
        <v>22</v>
      </c>
      <c r="U2556" s="211" t="s">
        <v>23</v>
      </c>
    </row>
    <row r="2557" spans="1:21" ht="47.25" x14ac:dyDescent="0.25">
      <c r="A2557" s="183" t="s">
        <v>840</v>
      </c>
      <c r="B2557" s="182" t="s">
        <v>47</v>
      </c>
      <c r="C2557" s="182" t="s">
        <v>28</v>
      </c>
      <c r="D2557" s="182">
        <v>3</v>
      </c>
      <c r="E2557" s="182">
        <f>skilled</f>
        <v>1245</v>
      </c>
      <c r="F2557" s="184">
        <f>(D2557*E2557)</f>
        <v>3735</v>
      </c>
      <c r="G2557" s="182" t="s">
        <v>85</v>
      </c>
      <c r="H2557" s="216" t="s">
        <v>35</v>
      </c>
      <c r="I2557" s="182">
        <v>5.99</v>
      </c>
      <c r="J2557" s="182">
        <f>adopted_rate_cement</f>
        <v>13031</v>
      </c>
      <c r="K2557" s="182">
        <f t="shared" ref="K2557:K2562" si="32">(I2557*J2557)</f>
        <v>78055.69</v>
      </c>
      <c r="L2557" s="182" t="s">
        <v>276</v>
      </c>
      <c r="M2557" s="182" t="s">
        <v>58</v>
      </c>
      <c r="N2557" s="182">
        <v>6</v>
      </c>
      <c r="O2557" s="182">
        <f>concrete_mixer</f>
        <v>296</v>
      </c>
      <c r="P2557" s="184">
        <f>(N2557*O2557)</f>
        <v>1776</v>
      </c>
      <c r="Q2557" s="182" t="s">
        <v>824</v>
      </c>
      <c r="R2557" s="182"/>
      <c r="U2557" s="223">
        <f>F2564*25/100</f>
        <v>47444.172500000001</v>
      </c>
    </row>
    <row r="2558" spans="1:21" x14ac:dyDescent="0.25">
      <c r="B2558" s="182" t="s">
        <v>29</v>
      </c>
      <c r="C2558" s="182" t="s">
        <v>28</v>
      </c>
      <c r="D2558" s="182">
        <v>30</v>
      </c>
      <c r="E2558" s="182">
        <f>unskilled</f>
        <v>935</v>
      </c>
      <c r="F2558" s="184">
        <f>(D2558*E2558)</f>
        <v>28050</v>
      </c>
      <c r="G2558" s="182" t="s">
        <v>430</v>
      </c>
      <c r="H2558" s="216" t="s">
        <v>84</v>
      </c>
      <c r="I2558" s="182">
        <v>6.75</v>
      </c>
      <c r="J2558" s="182">
        <f>adopted_rate_sand</f>
        <v>3175.2000000000003</v>
      </c>
      <c r="K2558" s="182">
        <f t="shared" si="32"/>
        <v>21432.600000000002</v>
      </c>
      <c r="L2558" s="182" t="s">
        <v>76</v>
      </c>
      <c r="M2558" s="182" t="s">
        <v>58</v>
      </c>
      <c r="N2558" s="182">
        <v>6</v>
      </c>
      <c r="O2558" s="182">
        <f>generator</f>
        <v>855</v>
      </c>
      <c r="P2558" s="184">
        <f>(N2558*O2558)</f>
        <v>5130</v>
      </c>
    </row>
    <row r="2559" spans="1:21" x14ac:dyDescent="0.25">
      <c r="G2559" s="182" t="s">
        <v>733</v>
      </c>
      <c r="H2559" s="216" t="s">
        <v>84</v>
      </c>
      <c r="I2559" s="182">
        <v>8.1</v>
      </c>
      <c r="J2559" s="182">
        <f>adopted_rate_aggregate_10_20_mm</f>
        <v>3351.6</v>
      </c>
      <c r="K2559" s="182">
        <f t="shared" si="32"/>
        <v>27147.96</v>
      </c>
    </row>
    <row r="2560" spans="1:21" x14ac:dyDescent="0.25">
      <c r="G2560" s="182" t="s">
        <v>734</v>
      </c>
      <c r="H2560" s="216" t="s">
        <v>84</v>
      </c>
      <c r="I2560" s="182">
        <v>5.4</v>
      </c>
      <c r="J2560" s="182">
        <f>adopted_rate_aggregate_10_mm</f>
        <v>3175.2000000000003</v>
      </c>
      <c r="K2560" s="182">
        <f t="shared" si="32"/>
        <v>17146.080000000002</v>
      </c>
    </row>
    <row r="2561" spans="1:21" x14ac:dyDescent="0.25">
      <c r="G2561" s="182" t="s">
        <v>171</v>
      </c>
      <c r="H2561" s="216" t="s">
        <v>172</v>
      </c>
      <c r="I2561" s="182">
        <v>3</v>
      </c>
      <c r="J2561" s="182">
        <f>adopted_rate_water</f>
        <v>310</v>
      </c>
      <c r="K2561" s="182">
        <f t="shared" si="32"/>
        <v>930</v>
      </c>
    </row>
    <row r="2562" spans="1:21" x14ac:dyDescent="0.25">
      <c r="G2562" s="182" t="s">
        <v>745</v>
      </c>
      <c r="H2562" s="216" t="s">
        <v>144</v>
      </c>
      <c r="I2562" s="182">
        <v>23.96</v>
      </c>
      <c r="J2562" s="182">
        <f>adopted_rate_admixture</f>
        <v>266</v>
      </c>
      <c r="K2562" s="182">
        <f t="shared" si="32"/>
        <v>6373.3600000000006</v>
      </c>
    </row>
    <row r="2563" spans="1:21" x14ac:dyDescent="0.25">
      <c r="A2563" s="537" t="s">
        <v>30</v>
      </c>
      <c r="B2563" s="537"/>
      <c r="C2563" s="537"/>
      <c r="D2563" s="537"/>
      <c r="E2563" s="537"/>
      <c r="F2563" s="184">
        <f>SUM(F2556:F2562)</f>
        <v>31785</v>
      </c>
      <c r="G2563" s="537" t="s">
        <v>31</v>
      </c>
      <c r="H2563" s="537"/>
      <c r="I2563" s="537"/>
      <c r="J2563" s="537"/>
      <c r="K2563" s="184">
        <f>SUM(K2556:K2562)</f>
        <v>151085.69</v>
      </c>
      <c r="L2563" s="537" t="s">
        <v>32</v>
      </c>
      <c r="M2563" s="537"/>
      <c r="N2563" s="537"/>
      <c r="O2563" s="537"/>
      <c r="P2563" s="184">
        <f>SUM(P2556:P2562)</f>
        <v>6906</v>
      </c>
      <c r="Q2563" s="537" t="s">
        <v>38</v>
      </c>
      <c r="R2563" s="537"/>
      <c r="S2563" s="537"/>
      <c r="T2563" s="537"/>
      <c r="U2563" s="223">
        <f>SUM(U2556:U2562)</f>
        <v>47444.172500000001</v>
      </c>
    </row>
    <row r="2564" spans="1:21" x14ac:dyDescent="0.25">
      <c r="A2564" s="537" t="s">
        <v>33</v>
      </c>
      <c r="B2564" s="537"/>
      <c r="C2564" s="537"/>
      <c r="D2564" s="537"/>
      <c r="E2564" s="537"/>
      <c r="F2564" s="184">
        <f>SUM(F2563+K2563+P2563)</f>
        <v>189776.69</v>
      </c>
      <c r="G2564" s="537" t="s">
        <v>39</v>
      </c>
      <c r="H2564" s="537"/>
      <c r="I2564" s="537"/>
      <c r="J2564" s="537"/>
      <c r="K2564" s="184">
        <f>SUM(F2563+K2563+P2563+U2563)</f>
        <v>237220.86249999999</v>
      </c>
      <c r="L2564" s="537" t="s">
        <v>40</v>
      </c>
      <c r="M2564" s="537"/>
      <c r="N2564" s="537"/>
      <c r="O2564" s="537"/>
      <c r="P2564" s="184">
        <f>SUM(K2564*0.15)</f>
        <v>35583.129374999997</v>
      </c>
      <c r="Q2564" s="537" t="s">
        <v>41</v>
      </c>
      <c r="R2564" s="537"/>
      <c r="S2564" s="537"/>
      <c r="T2564" s="537"/>
      <c r="U2564" s="223">
        <f>SUM(K2564+P2564)</f>
        <v>272803.99187500001</v>
      </c>
    </row>
    <row r="2565" spans="1:21" x14ac:dyDescent="0.25">
      <c r="Q2565" s="537" t="s">
        <v>42</v>
      </c>
      <c r="R2565" s="537"/>
      <c r="S2565" s="537"/>
      <c r="T2565" s="537"/>
      <c r="U2565" s="224">
        <f>ROUND((U2564/15),2)</f>
        <v>18186.93</v>
      </c>
    </row>
    <row r="2566" spans="1:21" x14ac:dyDescent="0.25">
      <c r="A2566" s="544"/>
      <c r="B2566" s="544"/>
      <c r="C2566" s="544"/>
      <c r="D2566" s="544"/>
      <c r="E2566" s="544"/>
      <c r="F2566" s="544"/>
      <c r="G2566" s="544"/>
      <c r="H2566" s="544"/>
      <c r="I2566" s="544"/>
      <c r="J2566" s="544"/>
      <c r="K2566" s="544"/>
      <c r="L2566" s="544"/>
      <c r="M2566" s="544"/>
      <c r="N2566" s="544"/>
      <c r="O2566" s="544"/>
      <c r="P2566" s="544"/>
      <c r="Q2566" s="544"/>
      <c r="R2566" s="544"/>
      <c r="S2566" s="544"/>
      <c r="T2566" s="544"/>
      <c r="U2566" s="544"/>
    </row>
    <row r="2567" spans="1:21" x14ac:dyDescent="0.25">
      <c r="A2567" s="538" t="s">
        <v>12</v>
      </c>
      <c r="B2567" s="538"/>
      <c r="C2567" s="540" t="s">
        <v>841</v>
      </c>
      <c r="D2567" s="540"/>
      <c r="E2567" s="540"/>
      <c r="F2567" s="540"/>
      <c r="G2567" s="540"/>
      <c r="H2567" s="540"/>
      <c r="I2567" s="540"/>
      <c r="J2567" s="540"/>
      <c r="K2567" s="540"/>
      <c r="L2567" s="540"/>
      <c r="M2567" s="540"/>
      <c r="N2567" s="540"/>
      <c r="O2567" s="540"/>
      <c r="P2567" s="540"/>
      <c r="Q2567" s="540"/>
      <c r="R2567" s="540"/>
      <c r="S2567" s="540"/>
      <c r="T2567" s="540"/>
      <c r="U2567" s="541" t="s">
        <v>726</v>
      </c>
    </row>
    <row r="2568" spans="1:21" x14ac:dyDescent="0.25">
      <c r="A2568" s="538"/>
      <c r="B2568" s="538"/>
      <c r="C2568" s="540"/>
      <c r="D2568" s="540"/>
      <c r="E2568" s="540"/>
      <c r="F2568" s="540"/>
      <c r="G2568" s="540"/>
      <c r="H2568" s="540"/>
      <c r="I2568" s="540"/>
      <c r="J2568" s="540"/>
      <c r="K2568" s="540"/>
      <c r="L2568" s="540"/>
      <c r="M2568" s="540"/>
      <c r="N2568" s="540"/>
      <c r="O2568" s="540"/>
      <c r="P2568" s="540"/>
      <c r="Q2568" s="540"/>
      <c r="R2568" s="540"/>
      <c r="S2568" s="540"/>
      <c r="T2568" s="540"/>
      <c r="U2568" s="541"/>
    </row>
    <row r="2569" spans="1:21" x14ac:dyDescent="0.25">
      <c r="A2569" s="539" t="s">
        <v>724</v>
      </c>
      <c r="B2569" s="539"/>
      <c r="C2569" s="540"/>
      <c r="D2569" s="540"/>
      <c r="E2569" s="540"/>
      <c r="F2569" s="540"/>
      <c r="G2569" s="540"/>
      <c r="H2569" s="540"/>
      <c r="I2569" s="540"/>
      <c r="J2569" s="540"/>
      <c r="K2569" s="540"/>
      <c r="L2569" s="540"/>
      <c r="M2569" s="540"/>
      <c r="N2569" s="540"/>
      <c r="O2569" s="540"/>
      <c r="P2569" s="540"/>
      <c r="Q2569" s="540"/>
      <c r="R2569" s="540"/>
      <c r="S2569" s="540"/>
      <c r="T2569" s="540"/>
      <c r="U2569" s="541"/>
    </row>
    <row r="2570" spans="1:21" x14ac:dyDescent="0.25">
      <c r="A2570" s="542" t="s">
        <v>16</v>
      </c>
      <c r="B2570" s="543" t="s">
        <v>18</v>
      </c>
      <c r="C2570" s="543"/>
      <c r="D2570" s="543"/>
      <c r="E2570" s="543"/>
      <c r="F2570" s="543"/>
      <c r="G2570" s="543" t="s">
        <v>24</v>
      </c>
      <c r="H2570" s="543"/>
      <c r="I2570" s="543"/>
      <c r="J2570" s="543"/>
      <c r="K2570" s="543"/>
      <c r="L2570" s="543" t="s">
        <v>25</v>
      </c>
      <c r="M2570" s="543"/>
      <c r="N2570" s="543"/>
      <c r="O2570" s="543"/>
      <c r="P2570" s="543"/>
      <c r="Q2570" s="543" t="s">
        <v>26</v>
      </c>
      <c r="R2570" s="543"/>
      <c r="S2570" s="543"/>
      <c r="T2570" s="543"/>
      <c r="U2570" s="543"/>
    </row>
    <row r="2571" spans="1:21" x14ac:dyDescent="0.25">
      <c r="A2571" s="542"/>
      <c r="B2571" s="182" t="s">
        <v>19</v>
      </c>
      <c r="C2571" s="182" t="s">
        <v>20</v>
      </c>
      <c r="D2571" s="182" t="s">
        <v>21</v>
      </c>
      <c r="E2571" s="182" t="s">
        <v>22</v>
      </c>
      <c r="F2571" s="182" t="s">
        <v>23</v>
      </c>
      <c r="G2571" s="182" t="s">
        <v>19</v>
      </c>
      <c r="H2571" s="216" t="s">
        <v>20</v>
      </c>
      <c r="I2571" s="182" t="s">
        <v>21</v>
      </c>
      <c r="J2571" s="182" t="s">
        <v>22</v>
      </c>
      <c r="K2571" s="182" t="s">
        <v>23</v>
      </c>
      <c r="L2571" s="182" t="s">
        <v>19</v>
      </c>
      <c r="M2571" s="182" t="s">
        <v>20</v>
      </c>
      <c r="N2571" s="182" t="s">
        <v>21</v>
      </c>
      <c r="O2571" s="182" t="s">
        <v>22</v>
      </c>
      <c r="P2571" s="182" t="s">
        <v>23</v>
      </c>
      <c r="Q2571" s="182" t="s">
        <v>19</v>
      </c>
      <c r="R2571" s="182" t="s">
        <v>20</v>
      </c>
      <c r="S2571" s="182" t="s">
        <v>21</v>
      </c>
      <c r="T2571" s="182" t="s">
        <v>22</v>
      </c>
      <c r="U2571" s="211" t="s">
        <v>23</v>
      </c>
    </row>
    <row r="2572" spans="1:21" ht="47.25" x14ac:dyDescent="0.25">
      <c r="A2572" s="183" t="s">
        <v>842</v>
      </c>
      <c r="B2572" s="182" t="s">
        <v>47</v>
      </c>
      <c r="C2572" s="182" t="s">
        <v>28</v>
      </c>
      <c r="D2572" s="182">
        <v>3</v>
      </c>
      <c r="E2572" s="182">
        <f>skilled</f>
        <v>1245</v>
      </c>
      <c r="F2572" s="184">
        <f>(D2572*E2572)</f>
        <v>3735</v>
      </c>
      <c r="G2572" s="182" t="s">
        <v>85</v>
      </c>
      <c r="H2572" s="216" t="s">
        <v>35</v>
      </c>
      <c r="I2572" s="182">
        <v>5.99</v>
      </c>
      <c r="J2572" s="182">
        <f>adopted_rate_cement</f>
        <v>13031</v>
      </c>
      <c r="K2572" s="182">
        <f t="shared" ref="K2572:K2577" si="33">(I2572*J2572)</f>
        <v>78055.69</v>
      </c>
      <c r="L2572" s="182" t="s">
        <v>276</v>
      </c>
      <c r="M2572" s="182" t="s">
        <v>58</v>
      </c>
      <c r="N2572" s="182">
        <v>6</v>
      </c>
      <c r="O2572" s="182">
        <f>concrete_mixer</f>
        <v>296</v>
      </c>
      <c r="P2572" s="184">
        <f>(N2572*O2572)</f>
        <v>1776</v>
      </c>
      <c r="Q2572" s="182" t="s">
        <v>827</v>
      </c>
      <c r="R2572" s="182"/>
      <c r="U2572" s="223">
        <f>F2579*30/100</f>
        <v>56933.007000000005</v>
      </c>
    </row>
    <row r="2573" spans="1:21" x14ac:dyDescent="0.25">
      <c r="B2573" s="182" t="s">
        <v>29</v>
      </c>
      <c r="C2573" s="182" t="s">
        <v>28</v>
      </c>
      <c r="D2573" s="182">
        <v>30</v>
      </c>
      <c r="E2573" s="182">
        <f>unskilled</f>
        <v>935</v>
      </c>
      <c r="F2573" s="184">
        <f>(D2573*E2573)</f>
        <v>28050</v>
      </c>
      <c r="G2573" s="182" t="s">
        <v>430</v>
      </c>
      <c r="H2573" s="216" t="s">
        <v>84</v>
      </c>
      <c r="I2573" s="182">
        <v>6.75</v>
      </c>
      <c r="J2573" s="182">
        <f>adopted_rate_sand</f>
        <v>3175.2000000000003</v>
      </c>
      <c r="K2573" s="182">
        <f t="shared" si="33"/>
        <v>21432.600000000002</v>
      </c>
      <c r="L2573" s="182" t="s">
        <v>76</v>
      </c>
      <c r="M2573" s="182" t="s">
        <v>58</v>
      </c>
      <c r="N2573" s="182">
        <v>6</v>
      </c>
      <c r="O2573" s="182">
        <f>generator</f>
        <v>855</v>
      </c>
      <c r="P2573" s="184">
        <f>(N2573*O2573)</f>
        <v>5130</v>
      </c>
    </row>
    <row r="2574" spans="1:21" x14ac:dyDescent="0.25">
      <c r="G2574" s="182" t="s">
        <v>733</v>
      </c>
      <c r="H2574" s="216" t="s">
        <v>84</v>
      </c>
      <c r="I2574" s="182">
        <v>8.1</v>
      </c>
      <c r="J2574" s="182">
        <f>adopted_rate_aggregate_10_20_mm</f>
        <v>3351.6</v>
      </c>
      <c r="K2574" s="182">
        <f t="shared" si="33"/>
        <v>27147.96</v>
      </c>
    </row>
    <row r="2575" spans="1:21" x14ac:dyDescent="0.25">
      <c r="G2575" s="182" t="s">
        <v>734</v>
      </c>
      <c r="H2575" s="216" t="s">
        <v>84</v>
      </c>
      <c r="I2575" s="182">
        <v>5.4</v>
      </c>
      <c r="J2575" s="182">
        <f>adopted_rate_aggregate_10_mm</f>
        <v>3175.2000000000003</v>
      </c>
      <c r="K2575" s="182">
        <f t="shared" si="33"/>
        <v>17146.080000000002</v>
      </c>
    </row>
    <row r="2576" spans="1:21" x14ac:dyDescent="0.25">
      <c r="G2576" s="182" t="s">
        <v>171</v>
      </c>
      <c r="H2576" s="216" t="s">
        <v>172</v>
      </c>
      <c r="I2576" s="182">
        <v>3</v>
      </c>
      <c r="J2576" s="182">
        <f>adopted_rate_water</f>
        <v>310</v>
      </c>
      <c r="K2576" s="182">
        <f t="shared" si="33"/>
        <v>930</v>
      </c>
    </row>
    <row r="2577" spans="1:21" x14ac:dyDescent="0.25">
      <c r="G2577" s="182" t="s">
        <v>745</v>
      </c>
      <c r="H2577" s="216" t="s">
        <v>144</v>
      </c>
      <c r="I2577" s="182">
        <v>23.96</v>
      </c>
      <c r="J2577" s="182">
        <f>adopted_rate_admixture</f>
        <v>266</v>
      </c>
      <c r="K2577" s="182">
        <f t="shared" si="33"/>
        <v>6373.3600000000006</v>
      </c>
    </row>
    <row r="2578" spans="1:21" x14ac:dyDescent="0.25">
      <c r="A2578" s="537" t="s">
        <v>30</v>
      </c>
      <c r="B2578" s="537"/>
      <c r="C2578" s="537"/>
      <c r="D2578" s="537"/>
      <c r="E2578" s="537"/>
      <c r="F2578" s="184">
        <f>SUM(F2571:F2577)</f>
        <v>31785</v>
      </c>
      <c r="G2578" s="537" t="s">
        <v>31</v>
      </c>
      <c r="H2578" s="537"/>
      <c r="I2578" s="537"/>
      <c r="J2578" s="537"/>
      <c r="K2578" s="184">
        <f>SUM(K2571:K2577)</f>
        <v>151085.69</v>
      </c>
      <c r="L2578" s="537" t="s">
        <v>32</v>
      </c>
      <c r="M2578" s="537"/>
      <c r="N2578" s="537"/>
      <c r="O2578" s="537"/>
      <c r="P2578" s="184">
        <f>SUM(P2571:P2577)</f>
        <v>6906</v>
      </c>
      <c r="Q2578" s="537" t="s">
        <v>38</v>
      </c>
      <c r="R2578" s="537"/>
      <c r="S2578" s="537"/>
      <c r="T2578" s="537"/>
      <c r="U2578" s="223">
        <f>SUM(U2571:U2577)</f>
        <v>56933.007000000005</v>
      </c>
    </row>
    <row r="2579" spans="1:21" x14ac:dyDescent="0.25">
      <c r="A2579" s="537" t="s">
        <v>33</v>
      </c>
      <c r="B2579" s="537"/>
      <c r="C2579" s="537"/>
      <c r="D2579" s="537"/>
      <c r="E2579" s="537"/>
      <c r="F2579" s="184">
        <f>SUM(F2578+K2578+P2578)</f>
        <v>189776.69</v>
      </c>
      <c r="G2579" s="537" t="s">
        <v>39</v>
      </c>
      <c r="H2579" s="537"/>
      <c r="I2579" s="537"/>
      <c r="J2579" s="537"/>
      <c r="K2579" s="184">
        <f>SUM(F2578+K2578+P2578+U2578)</f>
        <v>246709.69700000001</v>
      </c>
      <c r="L2579" s="537" t="s">
        <v>40</v>
      </c>
      <c r="M2579" s="537"/>
      <c r="N2579" s="537"/>
      <c r="O2579" s="537"/>
      <c r="P2579" s="184">
        <f>SUM(K2579*0.15)</f>
        <v>37006.454550000002</v>
      </c>
      <c r="Q2579" s="537" t="s">
        <v>41</v>
      </c>
      <c r="R2579" s="537"/>
      <c r="S2579" s="537"/>
      <c r="T2579" s="537"/>
      <c r="U2579" s="223">
        <f>SUM(K2579+P2579)</f>
        <v>283716.15155000001</v>
      </c>
    </row>
    <row r="2580" spans="1:21" x14ac:dyDescent="0.25">
      <c r="Q2580" s="537" t="s">
        <v>42</v>
      </c>
      <c r="R2580" s="537"/>
      <c r="S2580" s="537"/>
      <c r="T2580" s="537"/>
      <c r="U2580" s="224">
        <f>ROUND((U2579/15),2)</f>
        <v>18914.41</v>
      </c>
    </row>
    <row r="2581" spans="1:21" x14ac:dyDescent="0.25">
      <c r="A2581" s="544"/>
      <c r="B2581" s="544"/>
      <c r="C2581" s="544"/>
      <c r="D2581" s="544"/>
      <c r="E2581" s="544"/>
      <c r="F2581" s="544"/>
      <c r="G2581" s="544"/>
      <c r="H2581" s="544"/>
      <c r="I2581" s="544"/>
      <c r="J2581" s="544"/>
      <c r="K2581" s="544"/>
      <c r="L2581" s="544"/>
      <c r="M2581" s="544"/>
      <c r="N2581" s="544"/>
      <c r="O2581" s="544"/>
      <c r="P2581" s="544"/>
      <c r="Q2581" s="544"/>
      <c r="R2581" s="544"/>
      <c r="S2581" s="544"/>
      <c r="T2581" s="544"/>
      <c r="U2581" s="544"/>
    </row>
    <row r="2582" spans="1:21" x14ac:dyDescent="0.25">
      <c r="A2582" s="538" t="s">
        <v>12</v>
      </c>
      <c r="B2582" s="538"/>
      <c r="C2582" s="540" t="s">
        <v>843</v>
      </c>
      <c r="D2582" s="540"/>
      <c r="E2582" s="540"/>
      <c r="F2582" s="540"/>
      <c r="G2582" s="540"/>
      <c r="H2582" s="540"/>
      <c r="I2582" s="540"/>
      <c r="J2582" s="540"/>
      <c r="K2582" s="540"/>
      <c r="L2582" s="540"/>
      <c r="M2582" s="540"/>
      <c r="N2582" s="540"/>
      <c r="O2582" s="540"/>
      <c r="P2582" s="540"/>
      <c r="Q2582" s="540"/>
      <c r="R2582" s="540"/>
      <c r="S2582" s="540"/>
      <c r="T2582" s="540"/>
      <c r="U2582" s="541" t="s">
        <v>726</v>
      </c>
    </row>
    <row r="2583" spans="1:21" x14ac:dyDescent="0.25">
      <c r="A2583" s="538"/>
      <c r="B2583" s="538"/>
      <c r="C2583" s="540"/>
      <c r="D2583" s="540"/>
      <c r="E2583" s="540"/>
      <c r="F2583" s="540"/>
      <c r="G2583" s="540"/>
      <c r="H2583" s="540"/>
      <c r="I2583" s="540"/>
      <c r="J2583" s="540"/>
      <c r="K2583" s="540"/>
      <c r="L2583" s="540"/>
      <c r="M2583" s="540"/>
      <c r="N2583" s="540"/>
      <c r="O2583" s="540"/>
      <c r="P2583" s="540"/>
      <c r="Q2583" s="540"/>
      <c r="R2583" s="540"/>
      <c r="S2583" s="540"/>
      <c r="T2583" s="540"/>
      <c r="U2583" s="541"/>
    </row>
    <row r="2584" spans="1:21" x14ac:dyDescent="0.25">
      <c r="A2584" s="539" t="s">
        <v>724</v>
      </c>
      <c r="B2584" s="539"/>
      <c r="C2584" s="540"/>
      <c r="D2584" s="540"/>
      <c r="E2584" s="540"/>
      <c r="F2584" s="540"/>
      <c r="G2584" s="540"/>
      <c r="H2584" s="540"/>
      <c r="I2584" s="540"/>
      <c r="J2584" s="540"/>
      <c r="K2584" s="540"/>
      <c r="L2584" s="540"/>
      <c r="M2584" s="540"/>
      <c r="N2584" s="540"/>
      <c r="O2584" s="540"/>
      <c r="P2584" s="540"/>
      <c r="Q2584" s="540"/>
      <c r="R2584" s="540"/>
      <c r="S2584" s="540"/>
      <c r="T2584" s="540"/>
      <c r="U2584" s="541"/>
    </row>
    <row r="2585" spans="1:21" x14ac:dyDescent="0.25">
      <c r="A2585" s="542" t="s">
        <v>16</v>
      </c>
      <c r="B2585" s="543" t="s">
        <v>18</v>
      </c>
      <c r="C2585" s="543"/>
      <c r="D2585" s="543"/>
      <c r="E2585" s="543"/>
      <c r="F2585" s="543"/>
      <c r="G2585" s="543" t="s">
        <v>24</v>
      </c>
      <c r="H2585" s="543"/>
      <c r="I2585" s="543"/>
      <c r="J2585" s="543"/>
      <c r="K2585" s="543"/>
      <c r="L2585" s="543" t="s">
        <v>25</v>
      </c>
      <c r="M2585" s="543"/>
      <c r="N2585" s="543"/>
      <c r="O2585" s="543"/>
      <c r="P2585" s="543"/>
      <c r="Q2585" s="543" t="s">
        <v>26</v>
      </c>
      <c r="R2585" s="543"/>
      <c r="S2585" s="543"/>
      <c r="T2585" s="543"/>
      <c r="U2585" s="543"/>
    </row>
    <row r="2586" spans="1:21" x14ac:dyDescent="0.25">
      <c r="A2586" s="542"/>
      <c r="B2586" s="182" t="s">
        <v>19</v>
      </c>
      <c r="C2586" s="182" t="s">
        <v>20</v>
      </c>
      <c r="D2586" s="182" t="s">
        <v>21</v>
      </c>
      <c r="E2586" s="182" t="s">
        <v>22</v>
      </c>
      <c r="F2586" s="182" t="s">
        <v>23</v>
      </c>
      <c r="G2586" s="182" t="s">
        <v>19</v>
      </c>
      <c r="H2586" s="216" t="s">
        <v>20</v>
      </c>
      <c r="I2586" s="182" t="s">
        <v>21</v>
      </c>
      <c r="J2586" s="182" t="s">
        <v>22</v>
      </c>
      <c r="K2586" s="182" t="s">
        <v>23</v>
      </c>
      <c r="L2586" s="182" t="s">
        <v>19</v>
      </c>
      <c r="M2586" s="182" t="s">
        <v>20</v>
      </c>
      <c r="N2586" s="182" t="s">
        <v>21</v>
      </c>
      <c r="O2586" s="182" t="s">
        <v>22</v>
      </c>
      <c r="P2586" s="182" t="s">
        <v>23</v>
      </c>
      <c r="Q2586" s="182" t="s">
        <v>19</v>
      </c>
      <c r="R2586" s="182" t="s">
        <v>20</v>
      </c>
      <c r="S2586" s="182" t="s">
        <v>21</v>
      </c>
      <c r="T2586" s="182" t="s">
        <v>22</v>
      </c>
      <c r="U2586" s="211" t="s">
        <v>23</v>
      </c>
    </row>
    <row r="2587" spans="1:21" ht="47.25" x14ac:dyDescent="0.25">
      <c r="A2587" s="183" t="s">
        <v>844</v>
      </c>
      <c r="B2587" s="182" t="s">
        <v>47</v>
      </c>
      <c r="C2587" s="182" t="s">
        <v>28</v>
      </c>
      <c r="D2587" s="182">
        <v>3</v>
      </c>
      <c r="E2587" s="182">
        <f>skilled</f>
        <v>1245</v>
      </c>
      <c r="F2587" s="184">
        <f>(D2587*E2587)</f>
        <v>3735</v>
      </c>
      <c r="G2587" s="182" t="s">
        <v>85</v>
      </c>
      <c r="H2587" s="216" t="s">
        <v>35</v>
      </c>
      <c r="I2587" s="182">
        <v>5.99</v>
      </c>
      <c r="J2587" s="182">
        <f>adopted_rate_cement</f>
        <v>13031</v>
      </c>
      <c r="K2587" s="182">
        <f t="shared" ref="K2587:K2592" si="34">(I2587*J2587)</f>
        <v>78055.69</v>
      </c>
      <c r="L2587" s="182" t="s">
        <v>276</v>
      </c>
      <c r="M2587" s="182" t="s">
        <v>58</v>
      </c>
      <c r="N2587" s="182">
        <v>6</v>
      </c>
      <c r="O2587" s="182">
        <f>concrete_mixer</f>
        <v>296</v>
      </c>
      <c r="P2587" s="184">
        <f>(N2587*O2587)</f>
        <v>1776</v>
      </c>
      <c r="Q2587" s="182" t="s">
        <v>824</v>
      </c>
      <c r="R2587" s="182"/>
      <c r="U2587" s="223">
        <f>F2594*25/100</f>
        <v>47444.172500000001</v>
      </c>
    </row>
    <row r="2588" spans="1:21" x14ac:dyDescent="0.25">
      <c r="B2588" s="182" t="s">
        <v>29</v>
      </c>
      <c r="C2588" s="182" t="s">
        <v>28</v>
      </c>
      <c r="D2588" s="182">
        <v>30</v>
      </c>
      <c r="E2588" s="182">
        <f>unskilled</f>
        <v>935</v>
      </c>
      <c r="F2588" s="184">
        <f>(D2588*E2588)</f>
        <v>28050</v>
      </c>
      <c r="G2588" s="182" t="s">
        <v>430</v>
      </c>
      <c r="H2588" s="216" t="s">
        <v>84</v>
      </c>
      <c r="I2588" s="182">
        <v>6.75</v>
      </c>
      <c r="J2588" s="182">
        <f>adopted_rate_sand</f>
        <v>3175.2000000000003</v>
      </c>
      <c r="K2588" s="182">
        <f t="shared" si="34"/>
        <v>21432.600000000002</v>
      </c>
      <c r="L2588" s="182" t="s">
        <v>76</v>
      </c>
      <c r="M2588" s="182" t="s">
        <v>58</v>
      </c>
      <c r="N2588" s="182">
        <v>6</v>
      </c>
      <c r="O2588" s="182">
        <f>generator</f>
        <v>855</v>
      </c>
      <c r="P2588" s="184">
        <f>(N2588*O2588)</f>
        <v>5130</v>
      </c>
    </row>
    <row r="2589" spans="1:21" x14ac:dyDescent="0.25">
      <c r="G2589" s="182" t="s">
        <v>733</v>
      </c>
      <c r="H2589" s="216" t="s">
        <v>84</v>
      </c>
      <c r="I2589" s="182">
        <v>8.1</v>
      </c>
      <c r="J2589" s="182">
        <f>adopted_rate_aggregate_10_20_mm</f>
        <v>3351.6</v>
      </c>
      <c r="K2589" s="182">
        <f t="shared" si="34"/>
        <v>27147.96</v>
      </c>
    </row>
    <row r="2590" spans="1:21" x14ac:dyDescent="0.25">
      <c r="G2590" s="182" t="s">
        <v>734</v>
      </c>
      <c r="H2590" s="216" t="s">
        <v>84</v>
      </c>
      <c r="I2590" s="182">
        <v>5.4</v>
      </c>
      <c r="J2590" s="182">
        <f>adopted_rate_aggregate_10_mm</f>
        <v>3175.2000000000003</v>
      </c>
      <c r="K2590" s="182">
        <f t="shared" si="34"/>
        <v>17146.080000000002</v>
      </c>
    </row>
    <row r="2591" spans="1:21" x14ac:dyDescent="0.25">
      <c r="G2591" s="182" t="s">
        <v>171</v>
      </c>
      <c r="H2591" s="216" t="s">
        <v>172</v>
      </c>
      <c r="I2591" s="182">
        <v>3</v>
      </c>
      <c r="J2591" s="182">
        <f>adopted_rate_water</f>
        <v>310</v>
      </c>
      <c r="K2591" s="182">
        <f t="shared" si="34"/>
        <v>930</v>
      </c>
    </row>
    <row r="2592" spans="1:21" x14ac:dyDescent="0.25">
      <c r="G2592" s="182" t="s">
        <v>745</v>
      </c>
      <c r="H2592" s="216" t="s">
        <v>144</v>
      </c>
      <c r="I2592" s="182">
        <v>23.96</v>
      </c>
      <c r="J2592" s="182">
        <f>adopted_rate_admixture</f>
        <v>266</v>
      </c>
      <c r="K2592" s="182">
        <f t="shared" si="34"/>
        <v>6373.3600000000006</v>
      </c>
    </row>
    <row r="2593" spans="1:21" x14ac:dyDescent="0.25">
      <c r="A2593" s="537" t="s">
        <v>30</v>
      </c>
      <c r="B2593" s="537"/>
      <c r="C2593" s="537"/>
      <c r="D2593" s="537"/>
      <c r="E2593" s="537"/>
      <c r="F2593" s="184">
        <f>SUM(F2586:F2592)</f>
        <v>31785</v>
      </c>
      <c r="G2593" s="537" t="s">
        <v>31</v>
      </c>
      <c r="H2593" s="537"/>
      <c r="I2593" s="537"/>
      <c r="J2593" s="537"/>
      <c r="K2593" s="184">
        <f>SUM(K2586:K2592)</f>
        <v>151085.69</v>
      </c>
      <c r="L2593" s="537" t="s">
        <v>32</v>
      </c>
      <c r="M2593" s="537"/>
      <c r="N2593" s="537"/>
      <c r="O2593" s="537"/>
      <c r="P2593" s="184">
        <f>SUM(P2586:P2592)</f>
        <v>6906</v>
      </c>
      <c r="Q2593" s="537" t="s">
        <v>38</v>
      </c>
      <c r="R2593" s="537"/>
      <c r="S2593" s="537"/>
      <c r="T2593" s="537"/>
      <c r="U2593" s="223">
        <f>SUM(U2586:U2592)</f>
        <v>47444.172500000001</v>
      </c>
    </row>
    <row r="2594" spans="1:21" x14ac:dyDescent="0.25">
      <c r="A2594" s="537" t="s">
        <v>33</v>
      </c>
      <c r="B2594" s="537"/>
      <c r="C2594" s="537"/>
      <c r="D2594" s="537"/>
      <c r="E2594" s="537"/>
      <c r="F2594" s="184">
        <f>SUM(F2593+K2593+P2593)</f>
        <v>189776.69</v>
      </c>
      <c r="G2594" s="537" t="s">
        <v>39</v>
      </c>
      <c r="H2594" s="537"/>
      <c r="I2594" s="537"/>
      <c r="J2594" s="537"/>
      <c r="K2594" s="184">
        <f>SUM(F2593+K2593+P2593+U2593)</f>
        <v>237220.86249999999</v>
      </c>
      <c r="L2594" s="537" t="s">
        <v>40</v>
      </c>
      <c r="M2594" s="537"/>
      <c r="N2594" s="537"/>
      <c r="O2594" s="537"/>
      <c r="P2594" s="184">
        <f>SUM(K2594*0.15)</f>
        <v>35583.129374999997</v>
      </c>
      <c r="Q2594" s="537" t="s">
        <v>41</v>
      </c>
      <c r="R2594" s="537"/>
      <c r="S2594" s="537"/>
      <c r="T2594" s="537"/>
      <c r="U2594" s="223">
        <f>SUM(K2594+P2594)</f>
        <v>272803.99187500001</v>
      </c>
    </row>
    <row r="2595" spans="1:21" x14ac:dyDescent="0.25">
      <c r="Q2595" s="537" t="s">
        <v>42</v>
      </c>
      <c r="R2595" s="537"/>
      <c r="S2595" s="537"/>
      <c r="T2595" s="537"/>
      <c r="U2595" s="224">
        <f>ROUND((U2594/15),2)</f>
        <v>18186.93</v>
      </c>
    </row>
    <row r="2596" spans="1:21" x14ac:dyDescent="0.25">
      <c r="A2596" s="544"/>
      <c r="B2596" s="544"/>
      <c r="C2596" s="544"/>
      <c r="D2596" s="544"/>
      <c r="E2596" s="544"/>
      <c r="F2596" s="544"/>
      <c r="G2596" s="544"/>
      <c r="H2596" s="544"/>
      <c r="I2596" s="544"/>
      <c r="J2596" s="544"/>
      <c r="K2596" s="544"/>
      <c r="L2596" s="544"/>
      <c r="M2596" s="544"/>
      <c r="N2596" s="544"/>
      <c r="O2596" s="544"/>
      <c r="P2596" s="544"/>
      <c r="Q2596" s="544"/>
      <c r="R2596" s="544"/>
      <c r="S2596" s="544"/>
      <c r="T2596" s="544"/>
      <c r="U2596" s="544"/>
    </row>
    <row r="2597" spans="1:21" x14ac:dyDescent="0.25">
      <c r="A2597" s="538" t="s">
        <v>12</v>
      </c>
      <c r="B2597" s="538"/>
      <c r="C2597" s="540" t="s">
        <v>845</v>
      </c>
      <c r="D2597" s="540"/>
      <c r="E2597" s="540"/>
      <c r="F2597" s="540"/>
      <c r="G2597" s="540"/>
      <c r="H2597" s="540"/>
      <c r="I2597" s="540"/>
      <c r="J2597" s="540"/>
      <c r="K2597" s="540"/>
      <c r="L2597" s="540"/>
      <c r="M2597" s="540"/>
      <c r="N2597" s="540"/>
      <c r="O2597" s="540"/>
      <c r="P2597" s="540"/>
      <c r="Q2597" s="540"/>
      <c r="R2597" s="540"/>
      <c r="S2597" s="540"/>
      <c r="T2597" s="540"/>
      <c r="U2597" s="541" t="s">
        <v>726</v>
      </c>
    </row>
    <row r="2598" spans="1:21" x14ac:dyDescent="0.25">
      <c r="A2598" s="538"/>
      <c r="B2598" s="538"/>
      <c r="C2598" s="540"/>
      <c r="D2598" s="540"/>
      <c r="E2598" s="540"/>
      <c r="F2598" s="540"/>
      <c r="G2598" s="540"/>
      <c r="H2598" s="540"/>
      <c r="I2598" s="540"/>
      <c r="J2598" s="540"/>
      <c r="K2598" s="540"/>
      <c r="L2598" s="540"/>
      <c r="M2598" s="540"/>
      <c r="N2598" s="540"/>
      <c r="O2598" s="540"/>
      <c r="P2598" s="540"/>
      <c r="Q2598" s="540"/>
      <c r="R2598" s="540"/>
      <c r="S2598" s="540"/>
      <c r="T2598" s="540"/>
      <c r="U2598" s="541"/>
    </row>
    <row r="2599" spans="1:21" x14ac:dyDescent="0.25">
      <c r="A2599" s="539" t="s">
        <v>724</v>
      </c>
      <c r="B2599" s="539"/>
      <c r="C2599" s="540"/>
      <c r="D2599" s="540"/>
      <c r="E2599" s="540"/>
      <c r="F2599" s="540"/>
      <c r="G2599" s="540"/>
      <c r="H2599" s="540"/>
      <c r="I2599" s="540"/>
      <c r="J2599" s="540"/>
      <c r="K2599" s="540"/>
      <c r="L2599" s="540"/>
      <c r="M2599" s="540"/>
      <c r="N2599" s="540"/>
      <c r="O2599" s="540"/>
      <c r="P2599" s="540"/>
      <c r="Q2599" s="540"/>
      <c r="R2599" s="540"/>
      <c r="S2599" s="540"/>
      <c r="T2599" s="540"/>
      <c r="U2599" s="541"/>
    </row>
    <row r="2600" spans="1:21" x14ac:dyDescent="0.25">
      <c r="A2600" s="542" t="s">
        <v>16</v>
      </c>
      <c r="B2600" s="543" t="s">
        <v>18</v>
      </c>
      <c r="C2600" s="543"/>
      <c r="D2600" s="543"/>
      <c r="E2600" s="543"/>
      <c r="F2600" s="543"/>
      <c r="G2600" s="543" t="s">
        <v>24</v>
      </c>
      <c r="H2600" s="543"/>
      <c r="I2600" s="543"/>
      <c r="J2600" s="543"/>
      <c r="K2600" s="543"/>
      <c r="L2600" s="543" t="s">
        <v>25</v>
      </c>
      <c r="M2600" s="543"/>
      <c r="N2600" s="543"/>
      <c r="O2600" s="543"/>
      <c r="P2600" s="543"/>
      <c r="Q2600" s="543" t="s">
        <v>26</v>
      </c>
      <c r="R2600" s="543"/>
      <c r="S2600" s="543"/>
      <c r="T2600" s="543"/>
      <c r="U2600" s="543"/>
    </row>
    <row r="2601" spans="1:21" x14ac:dyDescent="0.25">
      <c r="A2601" s="542"/>
      <c r="B2601" s="182" t="s">
        <v>19</v>
      </c>
      <c r="C2601" s="182" t="s">
        <v>20</v>
      </c>
      <c r="D2601" s="182" t="s">
        <v>21</v>
      </c>
      <c r="E2601" s="182" t="s">
        <v>22</v>
      </c>
      <c r="F2601" s="182" t="s">
        <v>23</v>
      </c>
      <c r="G2601" s="182" t="s">
        <v>19</v>
      </c>
      <c r="H2601" s="216" t="s">
        <v>20</v>
      </c>
      <c r="I2601" s="182" t="s">
        <v>21</v>
      </c>
      <c r="J2601" s="182" t="s">
        <v>22</v>
      </c>
      <c r="K2601" s="182" t="s">
        <v>23</v>
      </c>
      <c r="L2601" s="182" t="s">
        <v>19</v>
      </c>
      <c r="M2601" s="182" t="s">
        <v>20</v>
      </c>
      <c r="N2601" s="182" t="s">
        <v>21</v>
      </c>
      <c r="O2601" s="182" t="s">
        <v>22</v>
      </c>
      <c r="P2601" s="182" t="s">
        <v>23</v>
      </c>
      <c r="Q2601" s="182" t="s">
        <v>19</v>
      </c>
      <c r="R2601" s="182" t="s">
        <v>20</v>
      </c>
      <c r="S2601" s="182" t="s">
        <v>21</v>
      </c>
      <c r="T2601" s="182" t="s">
        <v>22</v>
      </c>
      <c r="U2601" s="211" t="s">
        <v>23</v>
      </c>
    </row>
    <row r="2602" spans="1:21" ht="47.25" x14ac:dyDescent="0.25">
      <c r="A2602" s="183" t="s">
        <v>846</v>
      </c>
      <c r="B2602" s="182" t="s">
        <v>47</v>
      </c>
      <c r="C2602" s="182" t="s">
        <v>28</v>
      </c>
      <c r="D2602" s="182">
        <v>3</v>
      </c>
      <c r="E2602" s="182">
        <f>skilled</f>
        <v>1245</v>
      </c>
      <c r="F2602" s="184">
        <f>(D2602*E2602)</f>
        <v>3735</v>
      </c>
      <c r="G2602" s="182" t="s">
        <v>85</v>
      </c>
      <c r="H2602" s="216" t="s">
        <v>35</v>
      </c>
      <c r="I2602" s="182">
        <v>5.99</v>
      </c>
      <c r="J2602" s="182">
        <f>adopted_rate_cement</f>
        <v>13031</v>
      </c>
      <c r="K2602" s="182">
        <f t="shared" ref="K2602:K2607" si="35">(I2602*J2602)</f>
        <v>78055.69</v>
      </c>
      <c r="L2602" s="182" t="s">
        <v>276</v>
      </c>
      <c r="M2602" s="182" t="s">
        <v>58</v>
      </c>
      <c r="N2602" s="182">
        <v>6</v>
      </c>
      <c r="O2602" s="182">
        <f>concrete_mixer</f>
        <v>296</v>
      </c>
      <c r="P2602" s="184">
        <f>(N2602*O2602)</f>
        <v>1776</v>
      </c>
      <c r="Q2602" s="182" t="s">
        <v>827</v>
      </c>
      <c r="R2602" s="182"/>
      <c r="U2602" s="223">
        <f>F2609*30/100</f>
        <v>56933.007000000005</v>
      </c>
    </row>
    <row r="2603" spans="1:21" x14ac:dyDescent="0.25">
      <c r="B2603" s="182" t="s">
        <v>29</v>
      </c>
      <c r="C2603" s="182" t="s">
        <v>28</v>
      </c>
      <c r="D2603" s="182">
        <v>30</v>
      </c>
      <c r="E2603" s="182">
        <f>unskilled</f>
        <v>935</v>
      </c>
      <c r="F2603" s="184">
        <f>(D2603*E2603)</f>
        <v>28050</v>
      </c>
      <c r="G2603" s="182" t="s">
        <v>430</v>
      </c>
      <c r="H2603" s="216" t="s">
        <v>84</v>
      </c>
      <c r="I2603" s="182">
        <v>6.75</v>
      </c>
      <c r="J2603" s="182">
        <f>adopted_rate_sand</f>
        <v>3175.2000000000003</v>
      </c>
      <c r="K2603" s="182">
        <f t="shared" si="35"/>
        <v>21432.600000000002</v>
      </c>
      <c r="L2603" s="182" t="s">
        <v>76</v>
      </c>
      <c r="M2603" s="182" t="s">
        <v>58</v>
      </c>
      <c r="N2603" s="182">
        <v>6</v>
      </c>
      <c r="O2603" s="182">
        <f>generator</f>
        <v>855</v>
      </c>
      <c r="P2603" s="184">
        <f>(N2603*O2603)</f>
        <v>5130</v>
      </c>
    </row>
    <row r="2604" spans="1:21" x14ac:dyDescent="0.25">
      <c r="G2604" s="182" t="s">
        <v>733</v>
      </c>
      <c r="H2604" s="216" t="s">
        <v>84</v>
      </c>
      <c r="I2604" s="182">
        <v>8.1</v>
      </c>
      <c r="J2604" s="182">
        <f>adopted_rate_aggregate_10_20_mm</f>
        <v>3351.6</v>
      </c>
      <c r="K2604" s="182">
        <f t="shared" si="35"/>
        <v>27147.96</v>
      </c>
    </row>
    <row r="2605" spans="1:21" x14ac:dyDescent="0.25">
      <c r="G2605" s="182" t="s">
        <v>734</v>
      </c>
      <c r="H2605" s="216" t="s">
        <v>84</v>
      </c>
      <c r="I2605" s="182">
        <v>5.4</v>
      </c>
      <c r="J2605" s="182">
        <f>adopted_rate_aggregate_10_mm</f>
        <v>3175.2000000000003</v>
      </c>
      <c r="K2605" s="182">
        <f t="shared" si="35"/>
        <v>17146.080000000002</v>
      </c>
    </row>
    <row r="2606" spans="1:21" x14ac:dyDescent="0.25">
      <c r="G2606" s="182" t="s">
        <v>171</v>
      </c>
      <c r="H2606" s="216" t="s">
        <v>172</v>
      </c>
      <c r="I2606" s="182">
        <v>3</v>
      </c>
      <c r="J2606" s="182">
        <f>adopted_rate_water</f>
        <v>310</v>
      </c>
      <c r="K2606" s="182">
        <f t="shared" si="35"/>
        <v>930</v>
      </c>
    </row>
    <row r="2607" spans="1:21" x14ac:dyDescent="0.25">
      <c r="G2607" s="182" t="s">
        <v>745</v>
      </c>
      <c r="H2607" s="216" t="s">
        <v>144</v>
      </c>
      <c r="I2607" s="182">
        <v>23.96</v>
      </c>
      <c r="J2607" s="182">
        <f>adopted_rate_admixture</f>
        <v>266</v>
      </c>
      <c r="K2607" s="182">
        <f t="shared" si="35"/>
        <v>6373.3600000000006</v>
      </c>
    </row>
    <row r="2608" spans="1:21" x14ac:dyDescent="0.25">
      <c r="A2608" s="537" t="s">
        <v>30</v>
      </c>
      <c r="B2608" s="537"/>
      <c r="C2608" s="537"/>
      <c r="D2608" s="537"/>
      <c r="E2608" s="537"/>
      <c r="F2608" s="184">
        <f>SUM(F2601:F2607)</f>
        <v>31785</v>
      </c>
      <c r="G2608" s="537" t="s">
        <v>31</v>
      </c>
      <c r="H2608" s="537"/>
      <c r="I2608" s="537"/>
      <c r="J2608" s="537"/>
      <c r="K2608" s="184">
        <f>SUM(K2601:K2607)</f>
        <v>151085.69</v>
      </c>
      <c r="L2608" s="537" t="s">
        <v>32</v>
      </c>
      <c r="M2608" s="537"/>
      <c r="N2608" s="537"/>
      <c r="O2608" s="537"/>
      <c r="P2608" s="184">
        <f>SUM(P2601:P2607)</f>
        <v>6906</v>
      </c>
      <c r="Q2608" s="537" t="s">
        <v>38</v>
      </c>
      <c r="R2608" s="537"/>
      <c r="S2608" s="537"/>
      <c r="T2608" s="537"/>
      <c r="U2608" s="223">
        <f>SUM(U2601:U2607)</f>
        <v>56933.007000000005</v>
      </c>
    </row>
    <row r="2609" spans="1:21" x14ac:dyDescent="0.25">
      <c r="A2609" s="537" t="s">
        <v>33</v>
      </c>
      <c r="B2609" s="537"/>
      <c r="C2609" s="537"/>
      <c r="D2609" s="537"/>
      <c r="E2609" s="537"/>
      <c r="F2609" s="184">
        <f>SUM(F2608+K2608+P2608)</f>
        <v>189776.69</v>
      </c>
      <c r="G2609" s="537" t="s">
        <v>39</v>
      </c>
      <c r="H2609" s="537"/>
      <c r="I2609" s="537"/>
      <c r="J2609" s="537"/>
      <c r="K2609" s="184">
        <f>SUM(F2608+K2608+P2608+U2608)</f>
        <v>246709.69700000001</v>
      </c>
      <c r="L2609" s="537" t="s">
        <v>40</v>
      </c>
      <c r="M2609" s="537"/>
      <c r="N2609" s="537"/>
      <c r="O2609" s="537"/>
      <c r="P2609" s="184">
        <f>SUM(K2609*0.15)</f>
        <v>37006.454550000002</v>
      </c>
      <c r="Q2609" s="537" t="s">
        <v>41</v>
      </c>
      <c r="R2609" s="537"/>
      <c r="S2609" s="537"/>
      <c r="T2609" s="537"/>
      <c r="U2609" s="223">
        <f>SUM(K2609+P2609)</f>
        <v>283716.15155000001</v>
      </c>
    </row>
    <row r="2610" spans="1:21" x14ac:dyDescent="0.25">
      <c r="Q2610" s="537" t="s">
        <v>42</v>
      </c>
      <c r="R2610" s="537"/>
      <c r="S2610" s="537"/>
      <c r="T2610" s="537"/>
      <c r="U2610" s="224">
        <f>ROUND((U2609/15),2)</f>
        <v>18914.41</v>
      </c>
    </row>
    <row r="2611" spans="1:21" x14ac:dyDescent="0.25">
      <c r="A2611" s="544"/>
      <c r="B2611" s="544"/>
      <c r="C2611" s="544"/>
      <c r="D2611" s="544"/>
      <c r="E2611" s="544"/>
      <c r="F2611" s="544"/>
      <c r="G2611" s="544"/>
      <c r="H2611" s="544"/>
      <c r="I2611" s="544"/>
      <c r="J2611" s="544"/>
      <c r="K2611" s="544"/>
      <c r="L2611" s="544"/>
      <c r="M2611" s="544"/>
      <c r="N2611" s="544"/>
      <c r="O2611" s="544"/>
      <c r="P2611" s="544"/>
      <c r="Q2611" s="544"/>
      <c r="R2611" s="544"/>
      <c r="S2611" s="544"/>
      <c r="T2611" s="544"/>
      <c r="U2611" s="544"/>
    </row>
    <row r="2612" spans="1:21" x14ac:dyDescent="0.25">
      <c r="A2612" s="538" t="s">
        <v>12</v>
      </c>
      <c r="B2612" s="538"/>
      <c r="C2612" s="540" t="s">
        <v>847</v>
      </c>
      <c r="D2612" s="540"/>
      <c r="E2612" s="540"/>
      <c r="F2612" s="540"/>
      <c r="G2612" s="540"/>
      <c r="H2612" s="540"/>
      <c r="I2612" s="540"/>
      <c r="J2612" s="540"/>
      <c r="K2612" s="540"/>
      <c r="L2612" s="540"/>
      <c r="M2612" s="540"/>
      <c r="N2612" s="540"/>
      <c r="O2612" s="540"/>
      <c r="P2612" s="540"/>
      <c r="Q2612" s="540"/>
      <c r="R2612" s="540"/>
      <c r="S2612" s="540"/>
      <c r="T2612" s="540"/>
      <c r="U2612" s="541" t="s">
        <v>726</v>
      </c>
    </row>
    <row r="2613" spans="1:21" x14ac:dyDescent="0.25">
      <c r="A2613" s="538"/>
      <c r="B2613" s="538"/>
      <c r="C2613" s="540"/>
      <c r="D2613" s="540"/>
      <c r="E2613" s="540"/>
      <c r="F2613" s="540"/>
      <c r="G2613" s="540"/>
      <c r="H2613" s="540"/>
      <c r="I2613" s="540"/>
      <c r="J2613" s="540"/>
      <c r="K2613" s="540"/>
      <c r="L2613" s="540"/>
      <c r="M2613" s="540"/>
      <c r="N2613" s="540"/>
      <c r="O2613" s="540"/>
      <c r="P2613" s="540"/>
      <c r="Q2613" s="540"/>
      <c r="R2613" s="540"/>
      <c r="S2613" s="540"/>
      <c r="T2613" s="540"/>
      <c r="U2613" s="541"/>
    </row>
    <row r="2614" spans="1:21" x14ac:dyDescent="0.25">
      <c r="A2614" s="539" t="s">
        <v>724</v>
      </c>
      <c r="B2614" s="539"/>
      <c r="C2614" s="540"/>
      <c r="D2614" s="540"/>
      <c r="E2614" s="540"/>
      <c r="F2614" s="540"/>
      <c r="G2614" s="540"/>
      <c r="H2614" s="540"/>
      <c r="I2614" s="540"/>
      <c r="J2614" s="540"/>
      <c r="K2614" s="540"/>
      <c r="L2614" s="540"/>
      <c r="M2614" s="540"/>
      <c r="N2614" s="540"/>
      <c r="O2614" s="540"/>
      <c r="P2614" s="540"/>
      <c r="Q2614" s="540"/>
      <c r="R2614" s="540"/>
      <c r="S2614" s="540"/>
      <c r="T2614" s="540"/>
      <c r="U2614" s="541"/>
    </row>
    <row r="2615" spans="1:21" x14ac:dyDescent="0.25">
      <c r="A2615" s="542" t="s">
        <v>16</v>
      </c>
      <c r="B2615" s="543" t="s">
        <v>18</v>
      </c>
      <c r="C2615" s="543"/>
      <c r="D2615" s="543"/>
      <c r="E2615" s="543"/>
      <c r="F2615" s="543"/>
      <c r="G2615" s="543" t="s">
        <v>24</v>
      </c>
      <c r="H2615" s="543"/>
      <c r="I2615" s="543"/>
      <c r="J2615" s="543"/>
      <c r="K2615" s="543"/>
      <c r="L2615" s="543" t="s">
        <v>25</v>
      </c>
      <c r="M2615" s="543"/>
      <c r="N2615" s="543"/>
      <c r="O2615" s="543"/>
      <c r="P2615" s="543"/>
      <c r="Q2615" s="543" t="s">
        <v>26</v>
      </c>
      <c r="R2615" s="543"/>
      <c r="S2615" s="543"/>
      <c r="T2615" s="543"/>
      <c r="U2615" s="543"/>
    </row>
    <row r="2616" spans="1:21" x14ac:dyDescent="0.25">
      <c r="A2616" s="542"/>
      <c r="B2616" s="182" t="s">
        <v>19</v>
      </c>
      <c r="C2616" s="182" t="s">
        <v>20</v>
      </c>
      <c r="D2616" s="182" t="s">
        <v>21</v>
      </c>
      <c r="E2616" s="182" t="s">
        <v>22</v>
      </c>
      <c r="F2616" s="182" t="s">
        <v>23</v>
      </c>
      <c r="G2616" s="182" t="s">
        <v>19</v>
      </c>
      <c r="H2616" s="216" t="s">
        <v>20</v>
      </c>
      <c r="I2616" s="182" t="s">
        <v>21</v>
      </c>
      <c r="J2616" s="182" t="s">
        <v>22</v>
      </c>
      <c r="K2616" s="182" t="s">
        <v>23</v>
      </c>
      <c r="L2616" s="182" t="s">
        <v>19</v>
      </c>
      <c r="M2616" s="182" t="s">
        <v>20</v>
      </c>
      <c r="N2616" s="182" t="s">
        <v>21</v>
      </c>
      <c r="O2616" s="182" t="s">
        <v>22</v>
      </c>
      <c r="P2616" s="182" t="s">
        <v>23</v>
      </c>
      <c r="Q2616" s="182" t="s">
        <v>19</v>
      </c>
      <c r="R2616" s="182" t="s">
        <v>20</v>
      </c>
      <c r="S2616" s="182" t="s">
        <v>21</v>
      </c>
      <c r="T2616" s="182" t="s">
        <v>22</v>
      </c>
      <c r="U2616" s="211" t="s">
        <v>23</v>
      </c>
    </row>
    <row r="2617" spans="1:21" ht="47.25" x14ac:dyDescent="0.25">
      <c r="A2617" s="183" t="s">
        <v>848</v>
      </c>
      <c r="B2617" s="182" t="s">
        <v>47</v>
      </c>
      <c r="C2617" s="182" t="s">
        <v>28</v>
      </c>
      <c r="D2617" s="182">
        <v>3</v>
      </c>
      <c r="E2617" s="182">
        <f>skilled</f>
        <v>1245</v>
      </c>
      <c r="F2617" s="184">
        <f>(D2617*E2617)</f>
        <v>3735</v>
      </c>
      <c r="G2617" s="182" t="s">
        <v>85</v>
      </c>
      <c r="H2617" s="216" t="s">
        <v>35</v>
      </c>
      <c r="I2617" s="182">
        <v>5.99</v>
      </c>
      <c r="J2617" s="182">
        <f>adopted_rate_cement</f>
        <v>13031</v>
      </c>
      <c r="K2617" s="182">
        <f t="shared" ref="K2617:K2622" si="36">(I2617*J2617)</f>
        <v>78055.69</v>
      </c>
      <c r="L2617" s="182" t="s">
        <v>276</v>
      </c>
      <c r="M2617" s="182" t="s">
        <v>58</v>
      </c>
      <c r="N2617" s="182">
        <v>6</v>
      </c>
      <c r="O2617" s="182">
        <f>concrete_mixer</f>
        <v>296</v>
      </c>
      <c r="P2617" s="184">
        <f>(N2617*O2617)</f>
        <v>1776</v>
      </c>
      <c r="Q2617" s="182" t="s">
        <v>834</v>
      </c>
      <c r="R2617" s="182"/>
      <c r="U2617" s="223">
        <f>F2624*35/100</f>
        <v>66421.84150000001</v>
      </c>
    </row>
    <row r="2618" spans="1:21" x14ac:dyDescent="0.25">
      <c r="B2618" s="182" t="s">
        <v>29</v>
      </c>
      <c r="C2618" s="182" t="s">
        <v>28</v>
      </c>
      <c r="D2618" s="182">
        <v>30</v>
      </c>
      <c r="E2618" s="182">
        <f>unskilled</f>
        <v>935</v>
      </c>
      <c r="F2618" s="184">
        <f>(D2618*E2618)</f>
        <v>28050</v>
      </c>
      <c r="G2618" s="182" t="s">
        <v>430</v>
      </c>
      <c r="H2618" s="216" t="s">
        <v>84</v>
      </c>
      <c r="I2618" s="182">
        <v>6.75</v>
      </c>
      <c r="J2618" s="182">
        <f>adopted_rate_sand</f>
        <v>3175.2000000000003</v>
      </c>
      <c r="K2618" s="182">
        <f t="shared" si="36"/>
        <v>21432.600000000002</v>
      </c>
      <c r="L2618" s="182" t="s">
        <v>76</v>
      </c>
      <c r="M2618" s="182" t="s">
        <v>58</v>
      </c>
      <c r="N2618" s="182">
        <v>6</v>
      </c>
      <c r="O2618" s="182">
        <f>generator</f>
        <v>855</v>
      </c>
      <c r="P2618" s="184">
        <f>(N2618*O2618)</f>
        <v>5130</v>
      </c>
    </row>
    <row r="2619" spans="1:21" x14ac:dyDescent="0.25">
      <c r="G2619" s="182" t="s">
        <v>733</v>
      </c>
      <c r="H2619" s="216" t="s">
        <v>84</v>
      </c>
      <c r="I2619" s="182">
        <v>8.1</v>
      </c>
      <c r="J2619" s="182">
        <f>adopted_rate_aggregate_10_20_mm</f>
        <v>3351.6</v>
      </c>
      <c r="K2619" s="182">
        <f t="shared" si="36"/>
        <v>27147.96</v>
      </c>
    </row>
    <row r="2620" spans="1:21" x14ac:dyDescent="0.25">
      <c r="G2620" s="182" t="s">
        <v>734</v>
      </c>
      <c r="H2620" s="216" t="s">
        <v>84</v>
      </c>
      <c r="I2620" s="182">
        <v>5.4</v>
      </c>
      <c r="J2620" s="182">
        <f>adopted_rate_aggregate_10_mm</f>
        <v>3175.2000000000003</v>
      </c>
      <c r="K2620" s="182">
        <f t="shared" si="36"/>
        <v>17146.080000000002</v>
      </c>
    </row>
    <row r="2621" spans="1:21" x14ac:dyDescent="0.25">
      <c r="G2621" s="182" t="s">
        <v>171</v>
      </c>
      <c r="H2621" s="216" t="s">
        <v>172</v>
      </c>
      <c r="I2621" s="182">
        <v>3</v>
      </c>
      <c r="J2621" s="182">
        <f>adopted_rate_water</f>
        <v>310</v>
      </c>
      <c r="K2621" s="182">
        <f t="shared" si="36"/>
        <v>930</v>
      </c>
    </row>
    <row r="2622" spans="1:21" x14ac:dyDescent="0.25">
      <c r="G2622" s="182" t="s">
        <v>745</v>
      </c>
      <c r="H2622" s="216" t="s">
        <v>144</v>
      </c>
      <c r="I2622" s="182">
        <v>23.96</v>
      </c>
      <c r="J2622" s="182">
        <f>adopted_rate_admixture</f>
        <v>266</v>
      </c>
      <c r="K2622" s="182">
        <f t="shared" si="36"/>
        <v>6373.3600000000006</v>
      </c>
    </row>
    <row r="2623" spans="1:21" x14ac:dyDescent="0.25">
      <c r="A2623" s="537" t="s">
        <v>30</v>
      </c>
      <c r="B2623" s="537"/>
      <c r="C2623" s="537"/>
      <c r="D2623" s="537"/>
      <c r="E2623" s="537"/>
      <c r="F2623" s="184">
        <f>SUM(F2616:F2622)</f>
        <v>31785</v>
      </c>
      <c r="G2623" s="537" t="s">
        <v>31</v>
      </c>
      <c r="H2623" s="537"/>
      <c r="I2623" s="537"/>
      <c r="J2623" s="537"/>
      <c r="K2623" s="184">
        <f>SUM(K2616:K2622)</f>
        <v>151085.69</v>
      </c>
      <c r="L2623" s="537" t="s">
        <v>32</v>
      </c>
      <c r="M2623" s="537"/>
      <c r="N2623" s="537"/>
      <c r="O2623" s="537"/>
      <c r="P2623" s="184">
        <f>SUM(P2616:P2622)</f>
        <v>6906</v>
      </c>
      <c r="Q2623" s="537" t="s">
        <v>38</v>
      </c>
      <c r="R2623" s="537"/>
      <c r="S2623" s="537"/>
      <c r="T2623" s="537"/>
      <c r="U2623" s="223">
        <f>SUM(U2616:U2622)</f>
        <v>66421.84150000001</v>
      </c>
    </row>
    <row r="2624" spans="1:21" x14ac:dyDescent="0.25">
      <c r="A2624" s="537" t="s">
        <v>33</v>
      </c>
      <c r="B2624" s="537"/>
      <c r="C2624" s="537"/>
      <c r="D2624" s="537"/>
      <c r="E2624" s="537"/>
      <c r="F2624" s="184">
        <f>SUM(F2623+K2623+P2623)</f>
        <v>189776.69</v>
      </c>
      <c r="G2624" s="537" t="s">
        <v>39</v>
      </c>
      <c r="H2624" s="537"/>
      <c r="I2624" s="537"/>
      <c r="J2624" s="537"/>
      <c r="K2624" s="184">
        <f>SUM(F2623+K2623+P2623+U2623)</f>
        <v>256198.53150000001</v>
      </c>
      <c r="L2624" s="537" t="s">
        <v>40</v>
      </c>
      <c r="M2624" s="537"/>
      <c r="N2624" s="537"/>
      <c r="O2624" s="537"/>
      <c r="P2624" s="184">
        <f>SUM(K2624*0.15)</f>
        <v>38429.779725</v>
      </c>
      <c r="Q2624" s="537" t="s">
        <v>41</v>
      </c>
      <c r="R2624" s="537"/>
      <c r="S2624" s="537"/>
      <c r="T2624" s="537"/>
      <c r="U2624" s="223">
        <f>SUM(K2624+P2624)</f>
        <v>294628.31122500001</v>
      </c>
    </row>
    <row r="2625" spans="1:21" x14ac:dyDescent="0.25">
      <c r="Q2625" s="537" t="s">
        <v>42</v>
      </c>
      <c r="R2625" s="537"/>
      <c r="S2625" s="537"/>
      <c r="T2625" s="537"/>
      <c r="U2625" s="224">
        <f>ROUND((U2624/15),2)</f>
        <v>19641.89</v>
      </c>
    </row>
    <row r="2626" spans="1:21" x14ac:dyDescent="0.25">
      <c r="A2626" s="544"/>
      <c r="B2626" s="544"/>
      <c r="C2626" s="544"/>
      <c r="D2626" s="544"/>
      <c r="E2626" s="544"/>
      <c r="F2626" s="544"/>
      <c r="G2626" s="544"/>
      <c r="H2626" s="544"/>
      <c r="I2626" s="544"/>
      <c r="J2626" s="544"/>
      <c r="K2626" s="544"/>
      <c r="L2626" s="544"/>
      <c r="M2626" s="544"/>
      <c r="N2626" s="544"/>
      <c r="O2626" s="544"/>
      <c r="P2626" s="544"/>
      <c r="Q2626" s="544"/>
      <c r="R2626" s="544"/>
      <c r="S2626" s="544"/>
      <c r="T2626" s="544"/>
      <c r="U2626" s="544"/>
    </row>
    <row r="2627" spans="1:21" x14ac:dyDescent="0.25">
      <c r="A2627" s="538" t="s">
        <v>12</v>
      </c>
      <c r="B2627" s="538"/>
      <c r="C2627" s="540" t="s">
        <v>849</v>
      </c>
      <c r="D2627" s="540"/>
      <c r="E2627" s="540"/>
      <c r="F2627" s="540"/>
      <c r="G2627" s="540"/>
      <c r="H2627" s="540"/>
      <c r="I2627" s="540"/>
      <c r="J2627" s="540"/>
      <c r="K2627" s="540"/>
      <c r="L2627" s="540"/>
      <c r="M2627" s="540"/>
      <c r="N2627" s="540"/>
      <c r="O2627" s="540"/>
      <c r="P2627" s="540"/>
      <c r="Q2627" s="540"/>
      <c r="R2627" s="540"/>
      <c r="S2627" s="540"/>
      <c r="T2627" s="540"/>
      <c r="U2627" s="541" t="s">
        <v>726</v>
      </c>
    </row>
    <row r="2628" spans="1:21" x14ac:dyDescent="0.25">
      <c r="A2628" s="538"/>
      <c r="B2628" s="538"/>
      <c r="C2628" s="540"/>
      <c r="D2628" s="540"/>
      <c r="E2628" s="540"/>
      <c r="F2628" s="540"/>
      <c r="G2628" s="540"/>
      <c r="H2628" s="540"/>
      <c r="I2628" s="540"/>
      <c r="J2628" s="540"/>
      <c r="K2628" s="540"/>
      <c r="L2628" s="540"/>
      <c r="M2628" s="540"/>
      <c r="N2628" s="540"/>
      <c r="O2628" s="540"/>
      <c r="P2628" s="540"/>
      <c r="Q2628" s="540"/>
      <c r="R2628" s="540"/>
      <c r="S2628" s="540"/>
      <c r="T2628" s="540"/>
      <c r="U2628" s="541"/>
    </row>
    <row r="2629" spans="1:21" x14ac:dyDescent="0.25">
      <c r="A2629" s="539" t="s">
        <v>724</v>
      </c>
      <c r="B2629" s="539"/>
      <c r="C2629" s="540"/>
      <c r="D2629" s="540"/>
      <c r="E2629" s="540"/>
      <c r="F2629" s="540"/>
      <c r="G2629" s="540"/>
      <c r="H2629" s="540"/>
      <c r="I2629" s="540"/>
      <c r="J2629" s="540"/>
      <c r="K2629" s="540"/>
      <c r="L2629" s="540"/>
      <c r="M2629" s="540"/>
      <c r="N2629" s="540"/>
      <c r="O2629" s="540"/>
      <c r="P2629" s="540"/>
      <c r="Q2629" s="540"/>
      <c r="R2629" s="540"/>
      <c r="S2629" s="540"/>
      <c r="T2629" s="540"/>
      <c r="U2629" s="541"/>
    </row>
    <row r="2630" spans="1:21" x14ac:dyDescent="0.25">
      <c r="A2630" s="542" t="s">
        <v>16</v>
      </c>
      <c r="B2630" s="543" t="s">
        <v>18</v>
      </c>
      <c r="C2630" s="543"/>
      <c r="D2630" s="543"/>
      <c r="E2630" s="543"/>
      <c r="F2630" s="543"/>
      <c r="G2630" s="543" t="s">
        <v>24</v>
      </c>
      <c r="H2630" s="543"/>
      <c r="I2630" s="543"/>
      <c r="J2630" s="543"/>
      <c r="K2630" s="543"/>
      <c r="L2630" s="543" t="s">
        <v>25</v>
      </c>
      <c r="M2630" s="543"/>
      <c r="N2630" s="543"/>
      <c r="O2630" s="543"/>
      <c r="P2630" s="543"/>
      <c r="Q2630" s="543" t="s">
        <v>26</v>
      </c>
      <c r="R2630" s="543"/>
      <c r="S2630" s="543"/>
      <c r="T2630" s="543"/>
      <c r="U2630" s="543"/>
    </row>
    <row r="2631" spans="1:21" x14ac:dyDescent="0.25">
      <c r="A2631" s="542"/>
      <c r="B2631" s="182" t="s">
        <v>19</v>
      </c>
      <c r="C2631" s="182" t="s">
        <v>20</v>
      </c>
      <c r="D2631" s="182" t="s">
        <v>21</v>
      </c>
      <c r="E2631" s="182" t="s">
        <v>22</v>
      </c>
      <c r="F2631" s="182" t="s">
        <v>23</v>
      </c>
      <c r="G2631" s="182" t="s">
        <v>19</v>
      </c>
      <c r="H2631" s="216" t="s">
        <v>20</v>
      </c>
      <c r="I2631" s="182" t="s">
        <v>21</v>
      </c>
      <c r="J2631" s="182" t="s">
        <v>22</v>
      </c>
      <c r="K2631" s="182" t="s">
        <v>23</v>
      </c>
      <c r="L2631" s="182" t="s">
        <v>19</v>
      </c>
      <c r="M2631" s="182" t="s">
        <v>20</v>
      </c>
      <c r="N2631" s="182" t="s">
        <v>21</v>
      </c>
      <c r="O2631" s="182" t="s">
        <v>22</v>
      </c>
      <c r="P2631" s="182" t="s">
        <v>23</v>
      </c>
      <c r="Q2631" s="182" t="s">
        <v>19</v>
      </c>
      <c r="R2631" s="182" t="s">
        <v>20</v>
      </c>
      <c r="S2631" s="182" t="s">
        <v>21</v>
      </c>
      <c r="T2631" s="182" t="s">
        <v>22</v>
      </c>
      <c r="U2631" s="211" t="s">
        <v>23</v>
      </c>
    </row>
    <row r="2632" spans="1:21" x14ac:dyDescent="0.25">
      <c r="A2632" s="183" t="s">
        <v>850</v>
      </c>
      <c r="B2632" s="182" t="s">
        <v>47</v>
      </c>
      <c r="C2632" s="182" t="s">
        <v>28</v>
      </c>
      <c r="D2632" s="182">
        <v>3</v>
      </c>
      <c r="E2632" s="182">
        <f>skilled</f>
        <v>1245</v>
      </c>
      <c r="F2632" s="184">
        <f>(D2632*E2632)</f>
        <v>3735</v>
      </c>
      <c r="G2632" s="182" t="s">
        <v>85</v>
      </c>
      <c r="H2632" s="216" t="s">
        <v>35</v>
      </c>
      <c r="I2632" s="182">
        <v>6.1</v>
      </c>
      <c r="J2632" s="182">
        <f>adopted_rate_cement</f>
        <v>13031</v>
      </c>
      <c r="K2632" s="182">
        <f t="shared" ref="K2632:K2637" si="37">(I2632*J2632)</f>
        <v>79489.099999999991</v>
      </c>
      <c r="L2632" s="182" t="s">
        <v>276</v>
      </c>
      <c r="M2632" s="182" t="s">
        <v>58</v>
      </c>
      <c r="N2632" s="182">
        <v>6</v>
      </c>
      <c r="O2632" s="182">
        <f>concrete_mixer</f>
        <v>296</v>
      </c>
      <c r="P2632" s="184">
        <f>(N2632*O2632)</f>
        <v>1776</v>
      </c>
    </row>
    <row r="2633" spans="1:21" x14ac:dyDescent="0.25">
      <c r="B2633" s="182" t="s">
        <v>29</v>
      </c>
      <c r="C2633" s="182" t="s">
        <v>28</v>
      </c>
      <c r="D2633" s="182">
        <v>32</v>
      </c>
      <c r="E2633" s="182">
        <f>unskilled</f>
        <v>935</v>
      </c>
      <c r="F2633" s="184">
        <f>(D2633*E2633)</f>
        <v>29920</v>
      </c>
      <c r="G2633" s="182" t="s">
        <v>430</v>
      </c>
      <c r="H2633" s="216" t="s">
        <v>84</v>
      </c>
      <c r="I2633" s="182">
        <v>6.75</v>
      </c>
      <c r="J2633" s="182">
        <f>adopted_rate_sand</f>
        <v>3175.2000000000003</v>
      </c>
      <c r="K2633" s="182">
        <f t="shared" si="37"/>
        <v>21432.600000000002</v>
      </c>
      <c r="L2633" s="182" t="s">
        <v>76</v>
      </c>
      <c r="M2633" s="182" t="s">
        <v>58</v>
      </c>
      <c r="N2633" s="182">
        <v>6</v>
      </c>
      <c r="O2633" s="182">
        <f>generator</f>
        <v>855</v>
      </c>
      <c r="P2633" s="184">
        <f>(N2633*O2633)</f>
        <v>5130</v>
      </c>
    </row>
    <row r="2634" spans="1:21" x14ac:dyDescent="0.25">
      <c r="G2634" s="182" t="s">
        <v>733</v>
      </c>
      <c r="H2634" s="216" t="s">
        <v>84</v>
      </c>
      <c r="I2634" s="182">
        <v>8.1</v>
      </c>
      <c r="J2634" s="182">
        <f>adopted_rate_aggregate_10_20_mm</f>
        <v>3351.6</v>
      </c>
      <c r="K2634" s="182">
        <f t="shared" si="37"/>
        <v>27147.96</v>
      </c>
    </row>
    <row r="2635" spans="1:21" x14ac:dyDescent="0.25">
      <c r="G2635" s="182" t="s">
        <v>734</v>
      </c>
      <c r="H2635" s="216" t="s">
        <v>84</v>
      </c>
      <c r="I2635" s="182">
        <v>5.4</v>
      </c>
      <c r="J2635" s="182">
        <f>adopted_rate_aggregate_10_mm</f>
        <v>3175.2000000000003</v>
      </c>
      <c r="K2635" s="182">
        <f t="shared" si="37"/>
        <v>17146.080000000002</v>
      </c>
    </row>
    <row r="2636" spans="1:21" x14ac:dyDescent="0.25">
      <c r="G2636" s="182" t="s">
        <v>171</v>
      </c>
      <c r="H2636" s="216" t="s">
        <v>172</v>
      </c>
      <c r="I2636" s="182">
        <v>3</v>
      </c>
      <c r="J2636" s="182">
        <f>adopted_rate_water</f>
        <v>310</v>
      </c>
      <c r="K2636" s="182">
        <f t="shared" si="37"/>
        <v>930</v>
      </c>
    </row>
    <row r="2637" spans="1:21" x14ac:dyDescent="0.25">
      <c r="G2637" s="182" t="s">
        <v>745</v>
      </c>
      <c r="H2637" s="216" t="s">
        <v>144</v>
      </c>
      <c r="I2637" s="182">
        <v>24.4</v>
      </c>
      <c r="J2637" s="182">
        <f>adopted_rate_admixture</f>
        <v>266</v>
      </c>
      <c r="K2637" s="182">
        <f t="shared" si="37"/>
        <v>6490.4</v>
      </c>
    </row>
    <row r="2638" spans="1:21" x14ac:dyDescent="0.25">
      <c r="A2638" s="537" t="s">
        <v>30</v>
      </c>
      <c r="B2638" s="537"/>
      <c r="C2638" s="537"/>
      <c r="D2638" s="537"/>
      <c r="E2638" s="537"/>
      <c r="F2638" s="184">
        <f>SUM(F2631:F2637)</f>
        <v>33655</v>
      </c>
      <c r="G2638" s="537" t="s">
        <v>31</v>
      </c>
      <c r="H2638" s="537"/>
      <c r="I2638" s="537"/>
      <c r="J2638" s="537"/>
      <c r="K2638" s="184">
        <f>SUM(K2631:K2637)</f>
        <v>152636.13999999998</v>
      </c>
      <c r="L2638" s="537" t="s">
        <v>32</v>
      </c>
      <c r="M2638" s="537"/>
      <c r="N2638" s="537"/>
      <c r="O2638" s="537"/>
      <c r="P2638" s="184">
        <f>SUM(P2631:P2637)</f>
        <v>6906</v>
      </c>
      <c r="Q2638" s="537" t="s">
        <v>38</v>
      </c>
      <c r="R2638" s="537"/>
      <c r="S2638" s="537"/>
      <c r="T2638" s="537"/>
      <c r="U2638" s="223">
        <f>SUM(U2631:U2637)</f>
        <v>0</v>
      </c>
    </row>
    <row r="2639" spans="1:21" x14ac:dyDescent="0.25">
      <c r="A2639" s="537" t="s">
        <v>33</v>
      </c>
      <c r="B2639" s="537"/>
      <c r="C2639" s="537"/>
      <c r="D2639" s="537"/>
      <c r="E2639" s="537"/>
      <c r="F2639" s="184">
        <f>SUM(F2638+K2638+P2638)</f>
        <v>193197.13999999998</v>
      </c>
      <c r="G2639" s="537" t="s">
        <v>39</v>
      </c>
      <c r="H2639" s="537"/>
      <c r="I2639" s="537"/>
      <c r="J2639" s="537"/>
      <c r="K2639" s="184">
        <f>SUM(F2638+K2638+P2638+U2638)</f>
        <v>193197.13999999998</v>
      </c>
      <c r="L2639" s="537" t="s">
        <v>40</v>
      </c>
      <c r="M2639" s="537"/>
      <c r="N2639" s="537"/>
      <c r="O2639" s="537"/>
      <c r="P2639" s="184">
        <f>SUM(K2639*0.15)</f>
        <v>28979.570999999996</v>
      </c>
      <c r="Q2639" s="537" t="s">
        <v>41</v>
      </c>
      <c r="R2639" s="537"/>
      <c r="S2639" s="537"/>
      <c r="T2639" s="537"/>
      <c r="U2639" s="223">
        <f>SUM(K2639+P2639)</f>
        <v>222176.71099999998</v>
      </c>
    </row>
    <row r="2640" spans="1:21" x14ac:dyDescent="0.25">
      <c r="Q2640" s="537" t="s">
        <v>42</v>
      </c>
      <c r="R2640" s="537"/>
      <c r="S2640" s="537"/>
      <c r="T2640" s="537"/>
      <c r="U2640" s="224">
        <f>ROUND((U2639/15),2)</f>
        <v>14811.78</v>
      </c>
    </row>
    <row r="2641" spans="1:21" x14ac:dyDescent="0.25">
      <c r="A2641" s="544"/>
      <c r="B2641" s="544"/>
      <c r="C2641" s="544"/>
      <c r="D2641" s="544"/>
      <c r="E2641" s="544"/>
      <c r="F2641" s="544"/>
      <c r="G2641" s="544"/>
      <c r="H2641" s="544"/>
      <c r="I2641" s="544"/>
      <c r="J2641" s="544"/>
      <c r="K2641" s="544"/>
      <c r="L2641" s="544"/>
      <c r="M2641" s="544"/>
      <c r="N2641" s="544"/>
      <c r="O2641" s="544"/>
      <c r="P2641" s="544"/>
      <c r="Q2641" s="544"/>
      <c r="R2641" s="544"/>
      <c r="S2641" s="544"/>
      <c r="T2641" s="544"/>
      <c r="U2641" s="544"/>
    </row>
    <row r="2642" spans="1:21" x14ac:dyDescent="0.25">
      <c r="A2642" s="538" t="s">
        <v>12</v>
      </c>
      <c r="B2642" s="538"/>
      <c r="C2642" s="540" t="s">
        <v>851</v>
      </c>
      <c r="D2642" s="540"/>
      <c r="E2642" s="540"/>
      <c r="F2642" s="540"/>
      <c r="G2642" s="540"/>
      <c r="H2642" s="540"/>
      <c r="I2642" s="540"/>
      <c r="J2642" s="540"/>
      <c r="K2642" s="540"/>
      <c r="L2642" s="540"/>
      <c r="M2642" s="540"/>
      <c r="N2642" s="540"/>
      <c r="O2642" s="540"/>
      <c r="P2642" s="540"/>
      <c r="Q2642" s="540"/>
      <c r="R2642" s="540"/>
      <c r="S2642" s="540"/>
      <c r="T2642" s="540"/>
      <c r="U2642" s="541" t="s">
        <v>726</v>
      </c>
    </row>
    <row r="2643" spans="1:21" x14ac:dyDescent="0.25">
      <c r="A2643" s="538"/>
      <c r="B2643" s="538"/>
      <c r="C2643" s="540"/>
      <c r="D2643" s="540"/>
      <c r="E2643" s="540"/>
      <c r="F2643" s="540"/>
      <c r="G2643" s="540"/>
      <c r="H2643" s="540"/>
      <c r="I2643" s="540"/>
      <c r="J2643" s="540"/>
      <c r="K2643" s="540"/>
      <c r="L2643" s="540"/>
      <c r="M2643" s="540"/>
      <c r="N2643" s="540"/>
      <c r="O2643" s="540"/>
      <c r="P2643" s="540"/>
      <c r="Q2643" s="540"/>
      <c r="R2643" s="540"/>
      <c r="S2643" s="540"/>
      <c r="T2643" s="540"/>
      <c r="U2643" s="541"/>
    </row>
    <row r="2644" spans="1:21" x14ac:dyDescent="0.25">
      <c r="A2644" s="539" t="s">
        <v>724</v>
      </c>
      <c r="B2644" s="539"/>
      <c r="C2644" s="540"/>
      <c r="D2644" s="540"/>
      <c r="E2644" s="540"/>
      <c r="F2644" s="540"/>
      <c r="G2644" s="540"/>
      <c r="H2644" s="540"/>
      <c r="I2644" s="540"/>
      <c r="J2644" s="540"/>
      <c r="K2644" s="540"/>
      <c r="L2644" s="540"/>
      <c r="M2644" s="540"/>
      <c r="N2644" s="540"/>
      <c r="O2644" s="540"/>
      <c r="P2644" s="540"/>
      <c r="Q2644" s="540"/>
      <c r="R2644" s="540"/>
      <c r="S2644" s="540"/>
      <c r="T2644" s="540"/>
      <c r="U2644" s="541"/>
    </row>
    <row r="2645" spans="1:21" x14ac:dyDescent="0.25">
      <c r="A2645" s="542" t="s">
        <v>16</v>
      </c>
      <c r="B2645" s="543" t="s">
        <v>18</v>
      </c>
      <c r="C2645" s="543"/>
      <c r="D2645" s="543"/>
      <c r="E2645" s="543"/>
      <c r="F2645" s="543"/>
      <c r="G2645" s="543" t="s">
        <v>24</v>
      </c>
      <c r="H2645" s="543"/>
      <c r="I2645" s="543"/>
      <c r="J2645" s="543"/>
      <c r="K2645" s="543"/>
      <c r="L2645" s="543" t="s">
        <v>25</v>
      </c>
      <c r="M2645" s="543"/>
      <c r="N2645" s="543"/>
      <c r="O2645" s="543"/>
      <c r="P2645" s="543"/>
      <c r="Q2645" s="543" t="s">
        <v>26</v>
      </c>
      <c r="R2645" s="543"/>
      <c r="S2645" s="543"/>
      <c r="T2645" s="543"/>
      <c r="U2645" s="543"/>
    </row>
    <row r="2646" spans="1:21" x14ac:dyDescent="0.25">
      <c r="A2646" s="542"/>
      <c r="B2646" s="182" t="s">
        <v>19</v>
      </c>
      <c r="C2646" s="182" t="s">
        <v>20</v>
      </c>
      <c r="D2646" s="182" t="s">
        <v>21</v>
      </c>
      <c r="E2646" s="182" t="s">
        <v>22</v>
      </c>
      <c r="F2646" s="182" t="s">
        <v>23</v>
      </c>
      <c r="G2646" s="182" t="s">
        <v>19</v>
      </c>
      <c r="H2646" s="216" t="s">
        <v>20</v>
      </c>
      <c r="I2646" s="182" t="s">
        <v>21</v>
      </c>
      <c r="J2646" s="182" t="s">
        <v>22</v>
      </c>
      <c r="K2646" s="182" t="s">
        <v>23</v>
      </c>
      <c r="L2646" s="182" t="s">
        <v>19</v>
      </c>
      <c r="M2646" s="182" t="s">
        <v>20</v>
      </c>
      <c r="N2646" s="182" t="s">
        <v>21</v>
      </c>
      <c r="O2646" s="182" t="s">
        <v>22</v>
      </c>
      <c r="P2646" s="182" t="s">
        <v>23</v>
      </c>
      <c r="Q2646" s="182" t="s">
        <v>19</v>
      </c>
      <c r="R2646" s="182" t="s">
        <v>20</v>
      </c>
      <c r="S2646" s="182" t="s">
        <v>21</v>
      </c>
      <c r="T2646" s="182" t="s">
        <v>22</v>
      </c>
      <c r="U2646" s="211" t="s">
        <v>23</v>
      </c>
    </row>
    <row r="2647" spans="1:21" ht="47.25" x14ac:dyDescent="0.25">
      <c r="A2647" s="183" t="s">
        <v>852</v>
      </c>
      <c r="B2647" s="182" t="s">
        <v>47</v>
      </c>
      <c r="C2647" s="182" t="s">
        <v>28</v>
      </c>
      <c r="D2647" s="182">
        <v>3</v>
      </c>
      <c r="E2647" s="182">
        <f>skilled</f>
        <v>1245</v>
      </c>
      <c r="F2647" s="184">
        <f>(D2647*E2647)</f>
        <v>3735</v>
      </c>
      <c r="G2647" s="182" t="s">
        <v>85</v>
      </c>
      <c r="H2647" s="216" t="s">
        <v>35</v>
      </c>
      <c r="I2647" s="182">
        <v>6.1</v>
      </c>
      <c r="J2647" s="182">
        <f>adopted_rate_cement</f>
        <v>13031</v>
      </c>
      <c r="K2647" s="182">
        <f t="shared" ref="K2647:K2652" si="38">(I2647*J2647)</f>
        <v>79489.099999999991</v>
      </c>
      <c r="L2647" s="182" t="s">
        <v>276</v>
      </c>
      <c r="M2647" s="182" t="s">
        <v>58</v>
      </c>
      <c r="N2647" s="182">
        <v>6</v>
      </c>
      <c r="O2647" s="182">
        <f>concrete_mixer</f>
        <v>296</v>
      </c>
      <c r="P2647" s="184">
        <f>(N2647*O2647)</f>
        <v>1776</v>
      </c>
      <c r="Q2647" s="182" t="s">
        <v>815</v>
      </c>
      <c r="R2647" s="182"/>
      <c r="U2647" s="223">
        <f>F2654*20/100</f>
        <v>38639.428</v>
      </c>
    </row>
    <row r="2648" spans="1:21" x14ac:dyDescent="0.25">
      <c r="B2648" s="182" t="s">
        <v>29</v>
      </c>
      <c r="C2648" s="182" t="s">
        <v>28</v>
      </c>
      <c r="D2648" s="182">
        <v>32</v>
      </c>
      <c r="E2648" s="182">
        <f>unskilled</f>
        <v>935</v>
      </c>
      <c r="F2648" s="184">
        <f>(D2648*E2648)</f>
        <v>29920</v>
      </c>
      <c r="G2648" s="182" t="s">
        <v>430</v>
      </c>
      <c r="H2648" s="216" t="s">
        <v>84</v>
      </c>
      <c r="I2648" s="182">
        <v>6.75</v>
      </c>
      <c r="J2648" s="182">
        <f>adopted_rate_sand</f>
        <v>3175.2000000000003</v>
      </c>
      <c r="K2648" s="182">
        <f t="shared" si="38"/>
        <v>21432.600000000002</v>
      </c>
      <c r="L2648" s="182" t="s">
        <v>76</v>
      </c>
      <c r="M2648" s="182" t="s">
        <v>58</v>
      </c>
      <c r="N2648" s="182">
        <v>6</v>
      </c>
      <c r="O2648" s="182">
        <f>generator</f>
        <v>855</v>
      </c>
      <c r="P2648" s="184">
        <f>(N2648*O2648)</f>
        <v>5130</v>
      </c>
    </row>
    <row r="2649" spans="1:21" x14ac:dyDescent="0.25">
      <c r="G2649" s="182" t="s">
        <v>733</v>
      </c>
      <c r="H2649" s="216" t="s">
        <v>84</v>
      </c>
      <c r="I2649" s="182">
        <v>8.1</v>
      </c>
      <c r="J2649" s="182">
        <f>adopted_rate_aggregate_10_20_mm</f>
        <v>3351.6</v>
      </c>
      <c r="K2649" s="182">
        <f t="shared" si="38"/>
        <v>27147.96</v>
      </c>
    </row>
    <row r="2650" spans="1:21" x14ac:dyDescent="0.25">
      <c r="G2650" s="182" t="s">
        <v>734</v>
      </c>
      <c r="H2650" s="216" t="s">
        <v>84</v>
      </c>
      <c r="I2650" s="182">
        <v>5.4</v>
      </c>
      <c r="J2650" s="182">
        <f>adopted_rate_aggregate_10_mm</f>
        <v>3175.2000000000003</v>
      </c>
      <c r="K2650" s="182">
        <f t="shared" si="38"/>
        <v>17146.080000000002</v>
      </c>
    </row>
    <row r="2651" spans="1:21" x14ac:dyDescent="0.25">
      <c r="G2651" s="182" t="s">
        <v>171</v>
      </c>
      <c r="H2651" s="216" t="s">
        <v>172</v>
      </c>
      <c r="I2651" s="182">
        <v>3</v>
      </c>
      <c r="J2651" s="182">
        <f>adopted_rate_water</f>
        <v>310</v>
      </c>
      <c r="K2651" s="182">
        <f t="shared" si="38"/>
        <v>930</v>
      </c>
    </row>
    <row r="2652" spans="1:21" x14ac:dyDescent="0.25">
      <c r="G2652" s="182" t="s">
        <v>745</v>
      </c>
      <c r="H2652" s="216" t="s">
        <v>144</v>
      </c>
      <c r="I2652" s="182">
        <v>24.4</v>
      </c>
      <c r="J2652" s="182">
        <f>adopted_rate_admixture</f>
        <v>266</v>
      </c>
      <c r="K2652" s="182">
        <f t="shared" si="38"/>
        <v>6490.4</v>
      </c>
    </row>
    <row r="2653" spans="1:21" x14ac:dyDescent="0.25">
      <c r="A2653" s="537" t="s">
        <v>30</v>
      </c>
      <c r="B2653" s="537"/>
      <c r="C2653" s="537"/>
      <c r="D2653" s="537"/>
      <c r="E2653" s="537"/>
      <c r="F2653" s="184">
        <f>SUM(F2646:F2652)</f>
        <v>33655</v>
      </c>
      <c r="G2653" s="537" t="s">
        <v>31</v>
      </c>
      <c r="H2653" s="537"/>
      <c r="I2653" s="537"/>
      <c r="J2653" s="537"/>
      <c r="K2653" s="184">
        <f>SUM(K2646:K2652)</f>
        <v>152636.13999999998</v>
      </c>
      <c r="L2653" s="537" t="s">
        <v>32</v>
      </c>
      <c r="M2653" s="537"/>
      <c r="N2653" s="537"/>
      <c r="O2653" s="537"/>
      <c r="P2653" s="184">
        <f>SUM(P2646:P2652)</f>
        <v>6906</v>
      </c>
      <c r="Q2653" s="537" t="s">
        <v>38</v>
      </c>
      <c r="R2653" s="537"/>
      <c r="S2653" s="537"/>
      <c r="T2653" s="537"/>
      <c r="U2653" s="223">
        <f>SUM(U2646:U2652)</f>
        <v>38639.428</v>
      </c>
    </row>
    <row r="2654" spans="1:21" x14ac:dyDescent="0.25">
      <c r="A2654" s="537" t="s">
        <v>33</v>
      </c>
      <c r="B2654" s="537"/>
      <c r="C2654" s="537"/>
      <c r="D2654" s="537"/>
      <c r="E2654" s="537"/>
      <c r="F2654" s="184">
        <f>SUM(F2653+K2653+P2653)</f>
        <v>193197.13999999998</v>
      </c>
      <c r="G2654" s="537" t="s">
        <v>39</v>
      </c>
      <c r="H2654" s="537"/>
      <c r="I2654" s="537"/>
      <c r="J2654" s="537"/>
      <c r="K2654" s="184">
        <f>SUM(F2653+K2653+P2653+U2653)</f>
        <v>231836.56799999997</v>
      </c>
      <c r="L2654" s="537" t="s">
        <v>40</v>
      </c>
      <c r="M2654" s="537"/>
      <c r="N2654" s="537"/>
      <c r="O2654" s="537"/>
      <c r="P2654" s="184">
        <f>SUM(K2654*0.15)</f>
        <v>34775.485199999996</v>
      </c>
      <c r="Q2654" s="537" t="s">
        <v>41</v>
      </c>
      <c r="R2654" s="537"/>
      <c r="S2654" s="537"/>
      <c r="T2654" s="537"/>
      <c r="U2654" s="223">
        <f>SUM(K2654+P2654)</f>
        <v>266612.05319999997</v>
      </c>
    </row>
    <row r="2655" spans="1:21" x14ac:dyDescent="0.25">
      <c r="Q2655" s="537" t="s">
        <v>42</v>
      </c>
      <c r="R2655" s="537"/>
      <c r="S2655" s="537"/>
      <c r="T2655" s="537"/>
      <c r="U2655" s="224">
        <f>ROUND((U2654/15),2)</f>
        <v>17774.14</v>
      </c>
    </row>
    <row r="2656" spans="1:21" x14ac:dyDescent="0.25">
      <c r="A2656" s="544"/>
      <c r="B2656" s="544"/>
      <c r="C2656" s="544"/>
      <c r="D2656" s="544"/>
      <c r="E2656" s="544"/>
      <c r="F2656" s="544"/>
      <c r="G2656" s="544"/>
      <c r="H2656" s="544"/>
      <c r="I2656" s="544"/>
      <c r="J2656" s="544"/>
      <c r="K2656" s="544"/>
      <c r="L2656" s="544"/>
      <c r="M2656" s="544"/>
      <c r="N2656" s="544"/>
      <c r="O2656" s="544"/>
      <c r="P2656" s="544"/>
      <c r="Q2656" s="544"/>
      <c r="R2656" s="544"/>
      <c r="S2656" s="544"/>
      <c r="T2656" s="544"/>
      <c r="U2656" s="544"/>
    </row>
    <row r="2657" spans="1:21" x14ac:dyDescent="0.25">
      <c r="A2657" s="538" t="s">
        <v>12</v>
      </c>
      <c r="B2657" s="538"/>
      <c r="C2657" s="540" t="s">
        <v>853</v>
      </c>
      <c r="D2657" s="540"/>
      <c r="E2657" s="540"/>
      <c r="F2657" s="540"/>
      <c r="G2657" s="540"/>
      <c r="H2657" s="540"/>
      <c r="I2657" s="540"/>
      <c r="J2657" s="540"/>
      <c r="K2657" s="540"/>
      <c r="L2657" s="540"/>
      <c r="M2657" s="540"/>
      <c r="N2657" s="540"/>
      <c r="O2657" s="540"/>
      <c r="P2657" s="540"/>
      <c r="Q2657" s="540"/>
      <c r="R2657" s="540"/>
      <c r="S2657" s="540"/>
      <c r="T2657" s="540"/>
      <c r="U2657" s="541" t="s">
        <v>726</v>
      </c>
    </row>
    <row r="2658" spans="1:21" x14ac:dyDescent="0.25">
      <c r="A2658" s="538"/>
      <c r="B2658" s="538"/>
      <c r="C2658" s="540"/>
      <c r="D2658" s="540"/>
      <c r="E2658" s="540"/>
      <c r="F2658" s="540"/>
      <c r="G2658" s="540"/>
      <c r="H2658" s="540"/>
      <c r="I2658" s="540"/>
      <c r="J2658" s="540"/>
      <c r="K2658" s="540"/>
      <c r="L2658" s="540"/>
      <c r="M2658" s="540"/>
      <c r="N2658" s="540"/>
      <c r="O2658" s="540"/>
      <c r="P2658" s="540"/>
      <c r="Q2658" s="540"/>
      <c r="R2658" s="540"/>
      <c r="S2658" s="540"/>
      <c r="T2658" s="540"/>
      <c r="U2658" s="541"/>
    </row>
    <row r="2659" spans="1:21" x14ac:dyDescent="0.25">
      <c r="A2659" s="539" t="s">
        <v>724</v>
      </c>
      <c r="B2659" s="539"/>
      <c r="C2659" s="540"/>
      <c r="D2659" s="540"/>
      <c r="E2659" s="540"/>
      <c r="F2659" s="540"/>
      <c r="G2659" s="540"/>
      <c r="H2659" s="540"/>
      <c r="I2659" s="540"/>
      <c r="J2659" s="540"/>
      <c r="K2659" s="540"/>
      <c r="L2659" s="540"/>
      <c r="M2659" s="540"/>
      <c r="N2659" s="540"/>
      <c r="O2659" s="540"/>
      <c r="P2659" s="540"/>
      <c r="Q2659" s="540"/>
      <c r="R2659" s="540"/>
      <c r="S2659" s="540"/>
      <c r="T2659" s="540"/>
      <c r="U2659" s="541"/>
    </row>
    <row r="2660" spans="1:21" x14ac:dyDescent="0.25">
      <c r="A2660" s="542" t="s">
        <v>16</v>
      </c>
      <c r="B2660" s="543" t="s">
        <v>18</v>
      </c>
      <c r="C2660" s="543"/>
      <c r="D2660" s="543"/>
      <c r="E2660" s="543"/>
      <c r="F2660" s="543"/>
      <c r="G2660" s="543" t="s">
        <v>24</v>
      </c>
      <c r="H2660" s="543"/>
      <c r="I2660" s="543"/>
      <c r="J2660" s="543"/>
      <c r="K2660" s="543"/>
      <c r="L2660" s="543" t="s">
        <v>25</v>
      </c>
      <c r="M2660" s="543"/>
      <c r="N2660" s="543"/>
      <c r="O2660" s="543"/>
      <c r="P2660" s="543"/>
      <c r="Q2660" s="543" t="s">
        <v>26</v>
      </c>
      <c r="R2660" s="543"/>
      <c r="S2660" s="543"/>
      <c r="T2660" s="543"/>
      <c r="U2660" s="543"/>
    </row>
    <row r="2661" spans="1:21" x14ac:dyDescent="0.25">
      <c r="A2661" s="542"/>
      <c r="B2661" s="182" t="s">
        <v>19</v>
      </c>
      <c r="C2661" s="182" t="s">
        <v>20</v>
      </c>
      <c r="D2661" s="182" t="s">
        <v>21</v>
      </c>
      <c r="E2661" s="182" t="s">
        <v>22</v>
      </c>
      <c r="F2661" s="182" t="s">
        <v>23</v>
      </c>
      <c r="G2661" s="182" t="s">
        <v>19</v>
      </c>
      <c r="H2661" s="216" t="s">
        <v>20</v>
      </c>
      <c r="I2661" s="182" t="s">
        <v>21</v>
      </c>
      <c r="J2661" s="182" t="s">
        <v>22</v>
      </c>
      <c r="K2661" s="182" t="s">
        <v>23</v>
      </c>
      <c r="L2661" s="182" t="s">
        <v>19</v>
      </c>
      <c r="M2661" s="182" t="s">
        <v>20</v>
      </c>
      <c r="N2661" s="182" t="s">
        <v>21</v>
      </c>
      <c r="O2661" s="182" t="s">
        <v>22</v>
      </c>
      <c r="P2661" s="182" t="s">
        <v>23</v>
      </c>
      <c r="Q2661" s="182" t="s">
        <v>19</v>
      </c>
      <c r="R2661" s="182" t="s">
        <v>20</v>
      </c>
      <c r="S2661" s="182" t="s">
        <v>21</v>
      </c>
      <c r="T2661" s="182" t="s">
        <v>22</v>
      </c>
      <c r="U2661" s="211" t="s">
        <v>23</v>
      </c>
    </row>
    <row r="2662" spans="1:21" ht="47.25" x14ac:dyDescent="0.25">
      <c r="A2662" s="183" t="s">
        <v>854</v>
      </c>
      <c r="B2662" s="182" t="s">
        <v>47</v>
      </c>
      <c r="C2662" s="182" t="s">
        <v>28</v>
      </c>
      <c r="D2662" s="182">
        <v>3</v>
      </c>
      <c r="E2662" s="182">
        <f>skilled</f>
        <v>1245</v>
      </c>
      <c r="F2662" s="184">
        <f>(D2662*E2662)</f>
        <v>3735</v>
      </c>
      <c r="G2662" s="182" t="s">
        <v>85</v>
      </c>
      <c r="H2662" s="216" t="s">
        <v>35</v>
      </c>
      <c r="I2662" s="182">
        <v>6.1</v>
      </c>
      <c r="J2662" s="182">
        <f>adopted_rate_cement</f>
        <v>13031</v>
      </c>
      <c r="K2662" s="182">
        <f t="shared" ref="K2662:K2667" si="39">(I2662*J2662)</f>
        <v>79489.099999999991</v>
      </c>
      <c r="L2662" s="182" t="s">
        <v>276</v>
      </c>
      <c r="M2662" s="182" t="s">
        <v>58</v>
      </c>
      <c r="N2662" s="182">
        <v>6</v>
      </c>
      <c r="O2662" s="182">
        <f>concrete_mixer</f>
        <v>296</v>
      </c>
      <c r="P2662" s="184">
        <f>(N2662*O2662)</f>
        <v>1776</v>
      </c>
      <c r="Q2662" s="182" t="s">
        <v>855</v>
      </c>
      <c r="R2662" s="182"/>
      <c r="U2662" s="223">
        <f>F2669*25/100</f>
        <v>48299.285000000003</v>
      </c>
    </row>
    <row r="2663" spans="1:21" x14ac:dyDescent="0.25">
      <c r="B2663" s="182" t="s">
        <v>29</v>
      </c>
      <c r="C2663" s="182" t="s">
        <v>28</v>
      </c>
      <c r="D2663" s="182">
        <v>32</v>
      </c>
      <c r="E2663" s="182">
        <f>unskilled</f>
        <v>935</v>
      </c>
      <c r="F2663" s="184">
        <f>(D2663*E2663)</f>
        <v>29920</v>
      </c>
      <c r="G2663" s="182" t="s">
        <v>430</v>
      </c>
      <c r="H2663" s="216" t="s">
        <v>84</v>
      </c>
      <c r="I2663" s="182">
        <v>6.75</v>
      </c>
      <c r="J2663" s="182">
        <f>adopted_rate_sand</f>
        <v>3175.2000000000003</v>
      </c>
      <c r="K2663" s="182">
        <f t="shared" si="39"/>
        <v>21432.600000000002</v>
      </c>
      <c r="L2663" s="182" t="s">
        <v>76</v>
      </c>
      <c r="M2663" s="182" t="s">
        <v>58</v>
      </c>
      <c r="N2663" s="182">
        <v>6</v>
      </c>
      <c r="O2663" s="182">
        <f>generator</f>
        <v>855</v>
      </c>
      <c r="P2663" s="184">
        <f>(N2663*O2663)</f>
        <v>5130</v>
      </c>
    </row>
    <row r="2664" spans="1:21" x14ac:dyDescent="0.25">
      <c r="G2664" s="182" t="s">
        <v>733</v>
      </c>
      <c r="H2664" s="216" t="s">
        <v>84</v>
      </c>
      <c r="I2664" s="182">
        <v>8.1</v>
      </c>
      <c r="J2664" s="182">
        <f>adopted_rate_aggregate_10_20_mm</f>
        <v>3351.6</v>
      </c>
      <c r="K2664" s="182">
        <f t="shared" si="39"/>
        <v>27147.96</v>
      </c>
    </row>
    <row r="2665" spans="1:21" x14ac:dyDescent="0.25">
      <c r="G2665" s="182" t="s">
        <v>734</v>
      </c>
      <c r="H2665" s="216" t="s">
        <v>84</v>
      </c>
      <c r="I2665" s="182">
        <v>5.4</v>
      </c>
      <c r="J2665" s="182">
        <f>adopted_rate_aggregate_10_mm</f>
        <v>3175.2000000000003</v>
      </c>
      <c r="K2665" s="182">
        <f t="shared" si="39"/>
        <v>17146.080000000002</v>
      </c>
    </row>
    <row r="2666" spans="1:21" x14ac:dyDescent="0.25">
      <c r="G2666" s="182" t="s">
        <v>171</v>
      </c>
      <c r="H2666" s="216" t="s">
        <v>172</v>
      </c>
      <c r="I2666" s="182">
        <v>3</v>
      </c>
      <c r="J2666" s="182">
        <f>adopted_rate_water</f>
        <v>310</v>
      </c>
      <c r="K2666" s="182">
        <f t="shared" si="39"/>
        <v>930</v>
      </c>
    </row>
    <row r="2667" spans="1:21" x14ac:dyDescent="0.25">
      <c r="G2667" s="182" t="s">
        <v>745</v>
      </c>
      <c r="H2667" s="216" t="s">
        <v>144</v>
      </c>
      <c r="I2667" s="182">
        <v>24.4</v>
      </c>
      <c r="J2667" s="182">
        <f>adopted_rate_admixture</f>
        <v>266</v>
      </c>
      <c r="K2667" s="182">
        <f t="shared" si="39"/>
        <v>6490.4</v>
      </c>
    </row>
    <row r="2668" spans="1:21" x14ac:dyDescent="0.25">
      <c r="A2668" s="537" t="s">
        <v>30</v>
      </c>
      <c r="B2668" s="537"/>
      <c r="C2668" s="537"/>
      <c r="D2668" s="537"/>
      <c r="E2668" s="537"/>
      <c r="F2668" s="184">
        <f>SUM(F2661:F2667)</f>
        <v>33655</v>
      </c>
      <c r="G2668" s="537" t="s">
        <v>31</v>
      </c>
      <c r="H2668" s="537"/>
      <c r="I2668" s="537"/>
      <c r="J2668" s="537"/>
      <c r="K2668" s="184">
        <f>SUM(K2661:K2667)</f>
        <v>152636.13999999998</v>
      </c>
      <c r="L2668" s="537" t="s">
        <v>32</v>
      </c>
      <c r="M2668" s="537"/>
      <c r="N2668" s="537"/>
      <c r="O2668" s="537"/>
      <c r="P2668" s="184">
        <f>SUM(P2661:P2667)</f>
        <v>6906</v>
      </c>
      <c r="Q2668" s="537" t="s">
        <v>38</v>
      </c>
      <c r="R2668" s="537"/>
      <c r="S2668" s="537"/>
      <c r="T2668" s="537"/>
      <c r="U2668" s="223">
        <f>SUM(U2661:U2667)</f>
        <v>48299.285000000003</v>
      </c>
    </row>
    <row r="2669" spans="1:21" x14ac:dyDescent="0.25">
      <c r="A2669" s="537" t="s">
        <v>33</v>
      </c>
      <c r="B2669" s="537"/>
      <c r="C2669" s="537"/>
      <c r="D2669" s="537"/>
      <c r="E2669" s="537"/>
      <c r="F2669" s="184">
        <f>SUM(F2668+K2668+P2668)</f>
        <v>193197.13999999998</v>
      </c>
      <c r="G2669" s="537" t="s">
        <v>39</v>
      </c>
      <c r="H2669" s="537"/>
      <c r="I2669" s="537"/>
      <c r="J2669" s="537"/>
      <c r="K2669" s="184">
        <f>SUM(F2668+K2668+P2668+U2668)</f>
        <v>241496.42499999999</v>
      </c>
      <c r="L2669" s="537" t="s">
        <v>40</v>
      </c>
      <c r="M2669" s="537"/>
      <c r="N2669" s="537"/>
      <c r="O2669" s="537"/>
      <c r="P2669" s="184">
        <f>SUM(K2669*0.15)</f>
        <v>36224.463749999995</v>
      </c>
      <c r="Q2669" s="537" t="s">
        <v>41</v>
      </c>
      <c r="R2669" s="537"/>
      <c r="S2669" s="537"/>
      <c r="T2669" s="537"/>
      <c r="U2669" s="223">
        <f>SUM(K2669+P2669)</f>
        <v>277720.88874999998</v>
      </c>
    </row>
    <row r="2670" spans="1:21" x14ac:dyDescent="0.25">
      <c r="Q2670" s="537" t="s">
        <v>42</v>
      </c>
      <c r="R2670" s="537"/>
      <c r="S2670" s="537"/>
      <c r="T2670" s="537"/>
      <c r="U2670" s="224">
        <f>ROUND((U2669/15),2)</f>
        <v>18514.73</v>
      </c>
    </row>
    <row r="2671" spans="1:21" x14ac:dyDescent="0.25">
      <c r="A2671" s="544"/>
      <c r="B2671" s="544"/>
      <c r="C2671" s="544"/>
      <c r="D2671" s="544"/>
      <c r="E2671" s="544"/>
      <c r="F2671" s="544"/>
      <c r="G2671" s="544"/>
      <c r="H2671" s="544"/>
      <c r="I2671" s="544"/>
      <c r="J2671" s="544"/>
      <c r="K2671" s="544"/>
      <c r="L2671" s="544"/>
      <c r="M2671" s="544"/>
      <c r="N2671" s="544"/>
      <c r="O2671" s="544"/>
      <c r="P2671" s="544"/>
      <c r="Q2671" s="544"/>
      <c r="R2671" s="544"/>
      <c r="S2671" s="544"/>
      <c r="T2671" s="544"/>
      <c r="U2671" s="544"/>
    </row>
    <row r="2672" spans="1:21" x14ac:dyDescent="0.25">
      <c r="A2672" s="538" t="s">
        <v>12</v>
      </c>
      <c r="B2672" s="538"/>
      <c r="C2672" s="540" t="s">
        <v>856</v>
      </c>
      <c r="D2672" s="540"/>
      <c r="E2672" s="540"/>
      <c r="F2672" s="540"/>
      <c r="G2672" s="540"/>
      <c r="H2672" s="540"/>
      <c r="I2672" s="540"/>
      <c r="J2672" s="540"/>
      <c r="K2672" s="540"/>
      <c r="L2672" s="540"/>
      <c r="M2672" s="540"/>
      <c r="N2672" s="540"/>
      <c r="O2672" s="540"/>
      <c r="P2672" s="540"/>
      <c r="Q2672" s="540"/>
      <c r="R2672" s="540"/>
      <c r="S2672" s="540"/>
      <c r="T2672" s="540"/>
      <c r="U2672" s="541" t="s">
        <v>726</v>
      </c>
    </row>
    <row r="2673" spans="1:21" x14ac:dyDescent="0.25">
      <c r="A2673" s="538"/>
      <c r="B2673" s="538"/>
      <c r="C2673" s="540"/>
      <c r="D2673" s="540"/>
      <c r="E2673" s="540"/>
      <c r="F2673" s="540"/>
      <c r="G2673" s="540"/>
      <c r="H2673" s="540"/>
      <c r="I2673" s="540"/>
      <c r="J2673" s="540"/>
      <c r="K2673" s="540"/>
      <c r="L2673" s="540"/>
      <c r="M2673" s="540"/>
      <c r="N2673" s="540"/>
      <c r="O2673" s="540"/>
      <c r="P2673" s="540"/>
      <c r="Q2673" s="540"/>
      <c r="R2673" s="540"/>
      <c r="S2673" s="540"/>
      <c r="T2673" s="540"/>
      <c r="U2673" s="541"/>
    </row>
    <row r="2674" spans="1:21" x14ac:dyDescent="0.25">
      <c r="A2674" s="539" t="s">
        <v>724</v>
      </c>
      <c r="B2674" s="539"/>
      <c r="C2674" s="540"/>
      <c r="D2674" s="540"/>
      <c r="E2674" s="540"/>
      <c r="F2674" s="540"/>
      <c r="G2674" s="540"/>
      <c r="H2674" s="540"/>
      <c r="I2674" s="540"/>
      <c r="J2674" s="540"/>
      <c r="K2674" s="540"/>
      <c r="L2674" s="540"/>
      <c r="M2674" s="540"/>
      <c r="N2674" s="540"/>
      <c r="O2674" s="540"/>
      <c r="P2674" s="540"/>
      <c r="Q2674" s="540"/>
      <c r="R2674" s="540"/>
      <c r="S2674" s="540"/>
      <c r="T2674" s="540"/>
      <c r="U2674" s="541"/>
    </row>
    <row r="2675" spans="1:21" x14ac:dyDescent="0.25">
      <c r="A2675" s="542" t="s">
        <v>16</v>
      </c>
      <c r="B2675" s="543" t="s">
        <v>18</v>
      </c>
      <c r="C2675" s="543"/>
      <c r="D2675" s="543"/>
      <c r="E2675" s="543"/>
      <c r="F2675" s="543"/>
      <c r="G2675" s="543" t="s">
        <v>24</v>
      </c>
      <c r="H2675" s="543"/>
      <c r="I2675" s="543"/>
      <c r="J2675" s="543"/>
      <c r="K2675" s="543"/>
      <c r="L2675" s="543" t="s">
        <v>25</v>
      </c>
      <c r="M2675" s="543"/>
      <c r="N2675" s="543"/>
      <c r="O2675" s="543"/>
      <c r="P2675" s="543"/>
      <c r="Q2675" s="543" t="s">
        <v>26</v>
      </c>
      <c r="R2675" s="543"/>
      <c r="S2675" s="543"/>
      <c r="T2675" s="543"/>
      <c r="U2675" s="543"/>
    </row>
    <row r="2676" spans="1:21" x14ac:dyDescent="0.25">
      <c r="A2676" s="542"/>
      <c r="B2676" s="182" t="s">
        <v>19</v>
      </c>
      <c r="C2676" s="182" t="s">
        <v>20</v>
      </c>
      <c r="D2676" s="182" t="s">
        <v>21</v>
      </c>
      <c r="E2676" s="182" t="s">
        <v>22</v>
      </c>
      <c r="F2676" s="182" t="s">
        <v>23</v>
      </c>
      <c r="G2676" s="182" t="s">
        <v>19</v>
      </c>
      <c r="H2676" s="216" t="s">
        <v>20</v>
      </c>
      <c r="I2676" s="182" t="s">
        <v>21</v>
      </c>
      <c r="J2676" s="182" t="s">
        <v>22</v>
      </c>
      <c r="K2676" s="182" t="s">
        <v>23</v>
      </c>
      <c r="L2676" s="182" t="s">
        <v>19</v>
      </c>
      <c r="M2676" s="182" t="s">
        <v>20</v>
      </c>
      <c r="N2676" s="182" t="s">
        <v>21</v>
      </c>
      <c r="O2676" s="182" t="s">
        <v>22</v>
      </c>
      <c r="P2676" s="182" t="s">
        <v>23</v>
      </c>
      <c r="Q2676" s="182" t="s">
        <v>19</v>
      </c>
      <c r="R2676" s="182" t="s">
        <v>20</v>
      </c>
      <c r="S2676" s="182" t="s">
        <v>21</v>
      </c>
      <c r="T2676" s="182" t="s">
        <v>22</v>
      </c>
      <c r="U2676" s="211" t="s">
        <v>23</v>
      </c>
    </row>
    <row r="2677" spans="1:21" ht="47.25" x14ac:dyDescent="0.25">
      <c r="A2677" s="183" t="s">
        <v>857</v>
      </c>
      <c r="B2677" s="182" t="s">
        <v>47</v>
      </c>
      <c r="C2677" s="182" t="s">
        <v>28</v>
      </c>
      <c r="D2677" s="182">
        <v>3</v>
      </c>
      <c r="E2677" s="182">
        <f>skilled</f>
        <v>1245</v>
      </c>
      <c r="F2677" s="184">
        <f>(D2677*E2677)</f>
        <v>3735</v>
      </c>
      <c r="G2677" s="182" t="s">
        <v>85</v>
      </c>
      <c r="H2677" s="216" t="s">
        <v>35</v>
      </c>
      <c r="I2677" s="182">
        <v>6.1</v>
      </c>
      <c r="J2677" s="182">
        <f>adopted_rate_cement</f>
        <v>13031</v>
      </c>
      <c r="K2677" s="182">
        <f t="shared" ref="K2677:K2682" si="40">(I2677*J2677)</f>
        <v>79489.099999999991</v>
      </c>
      <c r="L2677" s="182" t="s">
        <v>276</v>
      </c>
      <c r="M2677" s="182" t="s">
        <v>58</v>
      </c>
      <c r="N2677" s="182">
        <v>6</v>
      </c>
      <c r="O2677" s="182">
        <f>concrete_mixer</f>
        <v>296</v>
      </c>
      <c r="P2677" s="184">
        <f>(N2677*O2677)</f>
        <v>1776</v>
      </c>
      <c r="Q2677" s="182" t="s">
        <v>827</v>
      </c>
      <c r="R2677" s="182"/>
      <c r="U2677" s="223">
        <f>F2684*30/100</f>
        <v>57959.141999999993</v>
      </c>
    </row>
    <row r="2678" spans="1:21" x14ac:dyDescent="0.25">
      <c r="B2678" s="182" t="s">
        <v>29</v>
      </c>
      <c r="C2678" s="182" t="s">
        <v>28</v>
      </c>
      <c r="D2678" s="182">
        <v>32</v>
      </c>
      <c r="E2678" s="182">
        <f>unskilled</f>
        <v>935</v>
      </c>
      <c r="F2678" s="184">
        <f>(D2678*E2678)</f>
        <v>29920</v>
      </c>
      <c r="G2678" s="182" t="s">
        <v>430</v>
      </c>
      <c r="H2678" s="216" t="s">
        <v>84</v>
      </c>
      <c r="I2678" s="182">
        <v>6.75</v>
      </c>
      <c r="J2678" s="182">
        <f>adopted_rate_sand</f>
        <v>3175.2000000000003</v>
      </c>
      <c r="K2678" s="182">
        <f t="shared" si="40"/>
        <v>21432.600000000002</v>
      </c>
      <c r="L2678" s="182" t="s">
        <v>76</v>
      </c>
      <c r="M2678" s="182" t="s">
        <v>58</v>
      </c>
      <c r="N2678" s="182">
        <v>6</v>
      </c>
      <c r="O2678" s="182">
        <f>generator</f>
        <v>855</v>
      </c>
      <c r="P2678" s="184">
        <f>(N2678*O2678)</f>
        <v>5130</v>
      </c>
    </row>
    <row r="2679" spans="1:21" x14ac:dyDescent="0.25">
      <c r="G2679" s="182" t="s">
        <v>733</v>
      </c>
      <c r="H2679" s="216" t="s">
        <v>84</v>
      </c>
      <c r="I2679" s="182">
        <v>8.1</v>
      </c>
      <c r="J2679" s="182">
        <f>adopted_rate_aggregate_10_20_mm</f>
        <v>3351.6</v>
      </c>
      <c r="K2679" s="182">
        <f t="shared" si="40"/>
        <v>27147.96</v>
      </c>
    </row>
    <row r="2680" spans="1:21" x14ac:dyDescent="0.25">
      <c r="G2680" s="182" t="s">
        <v>734</v>
      </c>
      <c r="H2680" s="216" t="s">
        <v>84</v>
      </c>
      <c r="I2680" s="182">
        <v>5.4</v>
      </c>
      <c r="J2680" s="182">
        <f>adopted_rate_aggregate_10_mm</f>
        <v>3175.2000000000003</v>
      </c>
      <c r="K2680" s="182">
        <f t="shared" si="40"/>
        <v>17146.080000000002</v>
      </c>
    </row>
    <row r="2681" spans="1:21" x14ac:dyDescent="0.25">
      <c r="G2681" s="182" t="s">
        <v>171</v>
      </c>
      <c r="H2681" s="216" t="s">
        <v>172</v>
      </c>
      <c r="I2681" s="182">
        <v>3</v>
      </c>
      <c r="J2681" s="182">
        <f>adopted_rate_water</f>
        <v>310</v>
      </c>
      <c r="K2681" s="182">
        <f t="shared" si="40"/>
        <v>930</v>
      </c>
    </row>
    <row r="2682" spans="1:21" x14ac:dyDescent="0.25">
      <c r="G2682" s="182" t="s">
        <v>745</v>
      </c>
      <c r="H2682" s="216" t="s">
        <v>144</v>
      </c>
      <c r="I2682" s="182">
        <v>24.4</v>
      </c>
      <c r="J2682" s="182">
        <f>adopted_rate_admixture</f>
        <v>266</v>
      </c>
      <c r="K2682" s="182">
        <f t="shared" si="40"/>
        <v>6490.4</v>
      </c>
    </row>
    <row r="2683" spans="1:21" x14ac:dyDescent="0.25">
      <c r="A2683" s="537" t="s">
        <v>30</v>
      </c>
      <c r="B2683" s="537"/>
      <c r="C2683" s="537"/>
      <c r="D2683" s="537"/>
      <c r="E2683" s="537"/>
      <c r="F2683" s="184">
        <f>SUM(F2676:F2682)</f>
        <v>33655</v>
      </c>
      <c r="G2683" s="537" t="s">
        <v>31</v>
      </c>
      <c r="H2683" s="537"/>
      <c r="I2683" s="537"/>
      <c r="J2683" s="537"/>
      <c r="K2683" s="184">
        <f>SUM(K2676:K2682)</f>
        <v>152636.13999999998</v>
      </c>
      <c r="L2683" s="537" t="s">
        <v>32</v>
      </c>
      <c r="M2683" s="537"/>
      <c r="N2683" s="537"/>
      <c r="O2683" s="537"/>
      <c r="P2683" s="184">
        <f>SUM(P2676:P2682)</f>
        <v>6906</v>
      </c>
      <c r="Q2683" s="537" t="s">
        <v>38</v>
      </c>
      <c r="R2683" s="537"/>
      <c r="S2683" s="537"/>
      <c r="T2683" s="537"/>
      <c r="U2683" s="223">
        <f>SUM(U2676:U2682)</f>
        <v>57959.141999999993</v>
      </c>
    </row>
    <row r="2684" spans="1:21" x14ac:dyDescent="0.25">
      <c r="A2684" s="537" t="s">
        <v>33</v>
      </c>
      <c r="B2684" s="537"/>
      <c r="C2684" s="537"/>
      <c r="D2684" s="537"/>
      <c r="E2684" s="537"/>
      <c r="F2684" s="184">
        <f>SUM(F2683+K2683+P2683)</f>
        <v>193197.13999999998</v>
      </c>
      <c r="G2684" s="537" t="s">
        <v>39</v>
      </c>
      <c r="H2684" s="537"/>
      <c r="I2684" s="537"/>
      <c r="J2684" s="537"/>
      <c r="K2684" s="184">
        <f>SUM(F2683+K2683+P2683+U2683)</f>
        <v>251156.28199999998</v>
      </c>
      <c r="L2684" s="537" t="s">
        <v>40</v>
      </c>
      <c r="M2684" s="537"/>
      <c r="N2684" s="537"/>
      <c r="O2684" s="537"/>
      <c r="P2684" s="184">
        <f>SUM(K2684*0.15)</f>
        <v>37673.442299999995</v>
      </c>
      <c r="Q2684" s="537" t="s">
        <v>41</v>
      </c>
      <c r="R2684" s="537"/>
      <c r="S2684" s="537"/>
      <c r="T2684" s="537"/>
      <c r="U2684" s="223">
        <f>SUM(K2684+P2684)</f>
        <v>288829.7243</v>
      </c>
    </row>
    <row r="2685" spans="1:21" x14ac:dyDescent="0.25">
      <c r="Q2685" s="537" t="s">
        <v>42</v>
      </c>
      <c r="R2685" s="537"/>
      <c r="S2685" s="537"/>
      <c r="T2685" s="537"/>
      <c r="U2685" s="224">
        <f>ROUND((U2684/15),2)</f>
        <v>19255.310000000001</v>
      </c>
    </row>
    <row r="2686" spans="1:21" x14ac:dyDescent="0.25">
      <c r="A2686" s="544"/>
      <c r="B2686" s="544"/>
      <c r="C2686" s="544"/>
      <c r="D2686" s="544"/>
      <c r="E2686" s="544"/>
      <c r="F2686" s="544"/>
      <c r="G2686" s="544"/>
      <c r="H2686" s="544"/>
      <c r="I2686" s="544"/>
      <c r="J2686" s="544"/>
      <c r="K2686" s="544"/>
      <c r="L2686" s="544"/>
      <c r="M2686" s="544"/>
      <c r="N2686" s="544"/>
      <c r="O2686" s="544"/>
      <c r="P2686" s="544"/>
      <c r="Q2686" s="544"/>
      <c r="R2686" s="544"/>
      <c r="S2686" s="544"/>
      <c r="T2686" s="544"/>
      <c r="U2686" s="544"/>
    </row>
    <row r="2687" spans="1:21" x14ac:dyDescent="0.25">
      <c r="A2687" s="538" t="s">
        <v>12</v>
      </c>
      <c r="B2687" s="538"/>
      <c r="C2687" s="540" t="s">
        <v>858</v>
      </c>
      <c r="D2687" s="540"/>
      <c r="E2687" s="540"/>
      <c r="F2687" s="540"/>
      <c r="G2687" s="540"/>
      <c r="H2687" s="540"/>
      <c r="I2687" s="540"/>
      <c r="J2687" s="540"/>
      <c r="K2687" s="540"/>
      <c r="L2687" s="540"/>
      <c r="M2687" s="540"/>
      <c r="N2687" s="540"/>
      <c r="O2687" s="540"/>
      <c r="P2687" s="540"/>
      <c r="Q2687" s="540"/>
      <c r="R2687" s="540"/>
      <c r="S2687" s="540"/>
      <c r="T2687" s="540"/>
      <c r="U2687" s="541" t="s">
        <v>726</v>
      </c>
    </row>
    <row r="2688" spans="1:21" x14ac:dyDescent="0.25">
      <c r="A2688" s="538"/>
      <c r="B2688" s="538"/>
      <c r="C2688" s="540"/>
      <c r="D2688" s="540"/>
      <c r="E2688" s="540"/>
      <c r="F2688" s="540"/>
      <c r="G2688" s="540"/>
      <c r="H2688" s="540"/>
      <c r="I2688" s="540"/>
      <c r="J2688" s="540"/>
      <c r="K2688" s="540"/>
      <c r="L2688" s="540"/>
      <c r="M2688" s="540"/>
      <c r="N2688" s="540"/>
      <c r="O2688" s="540"/>
      <c r="P2688" s="540"/>
      <c r="Q2688" s="540"/>
      <c r="R2688" s="540"/>
      <c r="S2688" s="540"/>
      <c r="T2688" s="540"/>
      <c r="U2688" s="541"/>
    </row>
    <row r="2689" spans="1:21" x14ac:dyDescent="0.25">
      <c r="A2689" s="539" t="s">
        <v>724</v>
      </c>
      <c r="B2689" s="539"/>
      <c r="C2689" s="540"/>
      <c r="D2689" s="540"/>
      <c r="E2689" s="540"/>
      <c r="F2689" s="540"/>
      <c r="G2689" s="540"/>
      <c r="H2689" s="540"/>
      <c r="I2689" s="540"/>
      <c r="J2689" s="540"/>
      <c r="K2689" s="540"/>
      <c r="L2689" s="540"/>
      <c r="M2689" s="540"/>
      <c r="N2689" s="540"/>
      <c r="O2689" s="540"/>
      <c r="P2689" s="540"/>
      <c r="Q2689" s="540"/>
      <c r="R2689" s="540"/>
      <c r="S2689" s="540"/>
      <c r="T2689" s="540"/>
      <c r="U2689" s="541"/>
    </row>
    <row r="2690" spans="1:21" x14ac:dyDescent="0.25">
      <c r="A2690" s="542" t="s">
        <v>16</v>
      </c>
      <c r="B2690" s="543" t="s">
        <v>18</v>
      </c>
      <c r="C2690" s="543"/>
      <c r="D2690" s="543"/>
      <c r="E2690" s="543"/>
      <c r="F2690" s="543"/>
      <c r="G2690" s="543" t="s">
        <v>24</v>
      </c>
      <c r="H2690" s="543"/>
      <c r="I2690" s="543"/>
      <c r="J2690" s="543"/>
      <c r="K2690" s="543"/>
      <c r="L2690" s="543" t="s">
        <v>25</v>
      </c>
      <c r="M2690" s="543"/>
      <c r="N2690" s="543"/>
      <c r="O2690" s="543"/>
      <c r="P2690" s="543"/>
      <c r="Q2690" s="543" t="s">
        <v>26</v>
      </c>
      <c r="R2690" s="543"/>
      <c r="S2690" s="543"/>
      <c r="T2690" s="543"/>
      <c r="U2690" s="543"/>
    </row>
    <row r="2691" spans="1:21" x14ac:dyDescent="0.25">
      <c r="A2691" s="542"/>
      <c r="B2691" s="182" t="s">
        <v>19</v>
      </c>
      <c r="C2691" s="182" t="s">
        <v>20</v>
      </c>
      <c r="D2691" s="182" t="s">
        <v>21</v>
      </c>
      <c r="E2691" s="182" t="s">
        <v>22</v>
      </c>
      <c r="F2691" s="182" t="s">
        <v>23</v>
      </c>
      <c r="G2691" s="182" t="s">
        <v>19</v>
      </c>
      <c r="H2691" s="216" t="s">
        <v>20</v>
      </c>
      <c r="I2691" s="182" t="s">
        <v>21</v>
      </c>
      <c r="J2691" s="182" t="s">
        <v>22</v>
      </c>
      <c r="K2691" s="182" t="s">
        <v>23</v>
      </c>
      <c r="L2691" s="182" t="s">
        <v>19</v>
      </c>
      <c r="M2691" s="182" t="s">
        <v>20</v>
      </c>
      <c r="N2691" s="182" t="s">
        <v>21</v>
      </c>
      <c r="O2691" s="182" t="s">
        <v>22</v>
      </c>
      <c r="P2691" s="182" t="s">
        <v>23</v>
      </c>
      <c r="Q2691" s="182" t="s">
        <v>19</v>
      </c>
      <c r="R2691" s="182" t="s">
        <v>20</v>
      </c>
      <c r="S2691" s="182" t="s">
        <v>21</v>
      </c>
      <c r="T2691" s="182" t="s">
        <v>22</v>
      </c>
      <c r="U2691" s="211" t="s">
        <v>23</v>
      </c>
    </row>
    <row r="2692" spans="1:21" ht="47.25" x14ac:dyDescent="0.25">
      <c r="A2692" s="183" t="s">
        <v>859</v>
      </c>
      <c r="B2692" s="182" t="s">
        <v>47</v>
      </c>
      <c r="C2692" s="182" t="s">
        <v>28</v>
      </c>
      <c r="D2692" s="182">
        <v>3</v>
      </c>
      <c r="E2692" s="182">
        <f>skilled</f>
        <v>1245</v>
      </c>
      <c r="F2692" s="184">
        <f>(D2692*E2692)</f>
        <v>3735</v>
      </c>
      <c r="G2692" s="182" t="s">
        <v>85</v>
      </c>
      <c r="H2692" s="216" t="s">
        <v>35</v>
      </c>
      <c r="I2692" s="182">
        <v>6.1</v>
      </c>
      <c r="J2692" s="182">
        <f>adopted_rate_cement</f>
        <v>13031</v>
      </c>
      <c r="K2692" s="182">
        <f t="shared" ref="K2692:K2697" si="41">(I2692*J2692)</f>
        <v>79489.099999999991</v>
      </c>
      <c r="L2692" s="182" t="s">
        <v>276</v>
      </c>
      <c r="M2692" s="182" t="s">
        <v>58</v>
      </c>
      <c r="N2692" s="182">
        <v>6</v>
      </c>
      <c r="O2692" s="182">
        <f>concrete_mixer</f>
        <v>296</v>
      </c>
      <c r="P2692" s="184">
        <f>(N2692*O2692)</f>
        <v>1776</v>
      </c>
      <c r="Q2692" s="182" t="s">
        <v>824</v>
      </c>
      <c r="R2692" s="182"/>
      <c r="U2692" s="223">
        <f>F2699*25/100</f>
        <v>48299.285000000003</v>
      </c>
    </row>
    <row r="2693" spans="1:21" x14ac:dyDescent="0.25">
      <c r="B2693" s="182" t="s">
        <v>29</v>
      </c>
      <c r="C2693" s="182" t="s">
        <v>28</v>
      </c>
      <c r="D2693" s="182">
        <v>32</v>
      </c>
      <c r="E2693" s="182">
        <f>unskilled</f>
        <v>935</v>
      </c>
      <c r="F2693" s="184">
        <f>(D2693*E2693)</f>
        <v>29920</v>
      </c>
      <c r="G2693" s="182" t="s">
        <v>430</v>
      </c>
      <c r="H2693" s="216" t="s">
        <v>84</v>
      </c>
      <c r="I2693" s="182">
        <v>6.75</v>
      </c>
      <c r="J2693" s="182">
        <f>adopted_rate_sand</f>
        <v>3175.2000000000003</v>
      </c>
      <c r="K2693" s="182">
        <f t="shared" si="41"/>
        <v>21432.600000000002</v>
      </c>
      <c r="L2693" s="182" t="s">
        <v>76</v>
      </c>
      <c r="M2693" s="182" t="s">
        <v>58</v>
      </c>
      <c r="N2693" s="182">
        <v>6</v>
      </c>
      <c r="O2693" s="182">
        <f>generator</f>
        <v>855</v>
      </c>
      <c r="P2693" s="184">
        <f>(N2693*O2693)</f>
        <v>5130</v>
      </c>
    </row>
    <row r="2694" spans="1:21" x14ac:dyDescent="0.25">
      <c r="G2694" s="182" t="s">
        <v>733</v>
      </c>
      <c r="H2694" s="216" t="s">
        <v>84</v>
      </c>
      <c r="I2694" s="182">
        <v>8.1</v>
      </c>
      <c r="J2694" s="182">
        <f>adopted_rate_aggregate_10_20_mm</f>
        <v>3351.6</v>
      </c>
      <c r="K2694" s="182">
        <f t="shared" si="41"/>
        <v>27147.96</v>
      </c>
    </row>
    <row r="2695" spans="1:21" x14ac:dyDescent="0.25">
      <c r="G2695" s="182" t="s">
        <v>734</v>
      </c>
      <c r="H2695" s="216" t="s">
        <v>84</v>
      </c>
      <c r="I2695" s="182">
        <v>5.4</v>
      </c>
      <c r="J2695" s="182">
        <f>adopted_rate_aggregate_10_mm</f>
        <v>3175.2000000000003</v>
      </c>
      <c r="K2695" s="182">
        <f t="shared" si="41"/>
        <v>17146.080000000002</v>
      </c>
    </row>
    <row r="2696" spans="1:21" x14ac:dyDescent="0.25">
      <c r="G2696" s="182" t="s">
        <v>171</v>
      </c>
      <c r="H2696" s="216" t="s">
        <v>172</v>
      </c>
      <c r="I2696" s="182">
        <v>3</v>
      </c>
      <c r="J2696" s="182">
        <f>adopted_rate_water</f>
        <v>310</v>
      </c>
      <c r="K2696" s="182">
        <f t="shared" si="41"/>
        <v>930</v>
      </c>
    </row>
    <row r="2697" spans="1:21" x14ac:dyDescent="0.25">
      <c r="G2697" s="182" t="s">
        <v>745</v>
      </c>
      <c r="H2697" s="216" t="s">
        <v>144</v>
      </c>
      <c r="I2697" s="182">
        <v>24.4</v>
      </c>
      <c r="J2697" s="182">
        <f>adopted_rate_admixture</f>
        <v>266</v>
      </c>
      <c r="K2697" s="182">
        <f t="shared" si="41"/>
        <v>6490.4</v>
      </c>
    </row>
    <row r="2698" spans="1:21" x14ac:dyDescent="0.25">
      <c r="A2698" s="537" t="s">
        <v>30</v>
      </c>
      <c r="B2698" s="537"/>
      <c r="C2698" s="537"/>
      <c r="D2698" s="537"/>
      <c r="E2698" s="537"/>
      <c r="F2698" s="184">
        <f>SUM(F2691:F2697)</f>
        <v>33655</v>
      </c>
      <c r="G2698" s="537" t="s">
        <v>31</v>
      </c>
      <c r="H2698" s="537"/>
      <c r="I2698" s="537"/>
      <c r="J2698" s="537"/>
      <c r="K2698" s="184">
        <f>SUM(K2691:K2697)</f>
        <v>152636.13999999998</v>
      </c>
      <c r="L2698" s="537" t="s">
        <v>32</v>
      </c>
      <c r="M2698" s="537"/>
      <c r="N2698" s="537"/>
      <c r="O2698" s="537"/>
      <c r="P2698" s="184">
        <f>SUM(P2691:P2697)</f>
        <v>6906</v>
      </c>
      <c r="Q2698" s="537" t="s">
        <v>38</v>
      </c>
      <c r="R2698" s="537"/>
      <c r="S2698" s="537"/>
      <c r="T2698" s="537"/>
      <c r="U2698" s="223">
        <f>SUM(U2691:U2697)</f>
        <v>48299.285000000003</v>
      </c>
    </row>
    <row r="2699" spans="1:21" x14ac:dyDescent="0.25">
      <c r="A2699" s="537" t="s">
        <v>33</v>
      </c>
      <c r="B2699" s="537"/>
      <c r="C2699" s="537"/>
      <c r="D2699" s="537"/>
      <c r="E2699" s="537"/>
      <c r="F2699" s="184">
        <f>SUM(F2698+K2698+P2698)</f>
        <v>193197.13999999998</v>
      </c>
      <c r="G2699" s="537" t="s">
        <v>39</v>
      </c>
      <c r="H2699" s="537"/>
      <c r="I2699" s="537"/>
      <c r="J2699" s="537"/>
      <c r="K2699" s="184">
        <f>SUM(F2698+K2698+P2698+U2698)</f>
        <v>241496.42499999999</v>
      </c>
      <c r="L2699" s="537" t="s">
        <v>40</v>
      </c>
      <c r="M2699" s="537"/>
      <c r="N2699" s="537"/>
      <c r="O2699" s="537"/>
      <c r="P2699" s="184">
        <f>SUM(K2699*0.15)</f>
        <v>36224.463749999995</v>
      </c>
      <c r="Q2699" s="537" t="s">
        <v>41</v>
      </c>
      <c r="R2699" s="537"/>
      <c r="S2699" s="537"/>
      <c r="T2699" s="537"/>
      <c r="U2699" s="223">
        <f>SUM(K2699+P2699)</f>
        <v>277720.88874999998</v>
      </c>
    </row>
    <row r="2700" spans="1:21" x14ac:dyDescent="0.25">
      <c r="Q2700" s="537" t="s">
        <v>42</v>
      </c>
      <c r="R2700" s="537"/>
      <c r="S2700" s="537"/>
      <c r="T2700" s="537"/>
      <c r="U2700" s="224">
        <f>ROUND((U2699/15),2)</f>
        <v>18514.73</v>
      </c>
    </row>
    <row r="2701" spans="1:21" x14ac:dyDescent="0.25">
      <c r="A2701" s="544"/>
      <c r="B2701" s="544"/>
      <c r="C2701" s="544"/>
      <c r="D2701" s="544"/>
      <c r="E2701" s="544"/>
      <c r="F2701" s="544"/>
      <c r="G2701" s="544"/>
      <c r="H2701" s="544"/>
      <c r="I2701" s="544"/>
      <c r="J2701" s="544"/>
      <c r="K2701" s="544"/>
      <c r="L2701" s="544"/>
      <c r="M2701" s="544"/>
      <c r="N2701" s="544"/>
      <c r="O2701" s="544"/>
      <c r="P2701" s="544"/>
      <c r="Q2701" s="544"/>
      <c r="R2701" s="544"/>
      <c r="S2701" s="544"/>
      <c r="T2701" s="544"/>
      <c r="U2701" s="544"/>
    </row>
    <row r="2702" spans="1:21" x14ac:dyDescent="0.25">
      <c r="A2702" s="538" t="s">
        <v>12</v>
      </c>
      <c r="B2702" s="538"/>
      <c r="C2702" s="540" t="s">
        <v>860</v>
      </c>
      <c r="D2702" s="540"/>
      <c r="E2702" s="540"/>
      <c r="F2702" s="540"/>
      <c r="G2702" s="540"/>
      <c r="H2702" s="540"/>
      <c r="I2702" s="540"/>
      <c r="J2702" s="540"/>
      <c r="K2702" s="540"/>
      <c r="L2702" s="540"/>
      <c r="M2702" s="540"/>
      <c r="N2702" s="540"/>
      <c r="O2702" s="540"/>
      <c r="P2702" s="540"/>
      <c r="Q2702" s="540"/>
      <c r="R2702" s="540"/>
      <c r="S2702" s="540"/>
      <c r="T2702" s="540"/>
      <c r="U2702" s="541" t="s">
        <v>726</v>
      </c>
    </row>
    <row r="2703" spans="1:21" x14ac:dyDescent="0.25">
      <c r="A2703" s="538"/>
      <c r="B2703" s="538"/>
      <c r="C2703" s="540"/>
      <c r="D2703" s="540"/>
      <c r="E2703" s="540"/>
      <c r="F2703" s="540"/>
      <c r="G2703" s="540"/>
      <c r="H2703" s="540"/>
      <c r="I2703" s="540"/>
      <c r="J2703" s="540"/>
      <c r="K2703" s="540"/>
      <c r="L2703" s="540"/>
      <c r="M2703" s="540"/>
      <c r="N2703" s="540"/>
      <c r="O2703" s="540"/>
      <c r="P2703" s="540"/>
      <c r="Q2703" s="540"/>
      <c r="R2703" s="540"/>
      <c r="S2703" s="540"/>
      <c r="T2703" s="540"/>
      <c r="U2703" s="541"/>
    </row>
    <row r="2704" spans="1:21" x14ac:dyDescent="0.25">
      <c r="A2704" s="539" t="s">
        <v>724</v>
      </c>
      <c r="B2704" s="539"/>
      <c r="C2704" s="540"/>
      <c r="D2704" s="540"/>
      <c r="E2704" s="540"/>
      <c r="F2704" s="540"/>
      <c r="G2704" s="540"/>
      <c r="H2704" s="540"/>
      <c r="I2704" s="540"/>
      <c r="J2704" s="540"/>
      <c r="K2704" s="540"/>
      <c r="L2704" s="540"/>
      <c r="M2704" s="540"/>
      <c r="N2704" s="540"/>
      <c r="O2704" s="540"/>
      <c r="P2704" s="540"/>
      <c r="Q2704" s="540"/>
      <c r="R2704" s="540"/>
      <c r="S2704" s="540"/>
      <c r="T2704" s="540"/>
      <c r="U2704" s="541"/>
    </row>
    <row r="2705" spans="1:21" x14ac:dyDescent="0.25">
      <c r="A2705" s="542" t="s">
        <v>16</v>
      </c>
      <c r="B2705" s="543" t="s">
        <v>18</v>
      </c>
      <c r="C2705" s="543"/>
      <c r="D2705" s="543"/>
      <c r="E2705" s="543"/>
      <c r="F2705" s="543"/>
      <c r="G2705" s="543" t="s">
        <v>24</v>
      </c>
      <c r="H2705" s="543"/>
      <c r="I2705" s="543"/>
      <c r="J2705" s="543"/>
      <c r="K2705" s="543"/>
      <c r="L2705" s="543" t="s">
        <v>25</v>
      </c>
      <c r="M2705" s="543"/>
      <c r="N2705" s="543"/>
      <c r="O2705" s="543"/>
      <c r="P2705" s="543"/>
      <c r="Q2705" s="543" t="s">
        <v>26</v>
      </c>
      <c r="R2705" s="543"/>
      <c r="S2705" s="543"/>
      <c r="T2705" s="543"/>
      <c r="U2705" s="543"/>
    </row>
    <row r="2706" spans="1:21" x14ac:dyDescent="0.25">
      <c r="A2706" s="542"/>
      <c r="B2706" s="182" t="s">
        <v>19</v>
      </c>
      <c r="C2706" s="182" t="s">
        <v>20</v>
      </c>
      <c r="D2706" s="182" t="s">
        <v>21</v>
      </c>
      <c r="E2706" s="182" t="s">
        <v>22</v>
      </c>
      <c r="F2706" s="182" t="s">
        <v>23</v>
      </c>
      <c r="G2706" s="182" t="s">
        <v>19</v>
      </c>
      <c r="H2706" s="216" t="s">
        <v>20</v>
      </c>
      <c r="I2706" s="182" t="s">
        <v>21</v>
      </c>
      <c r="J2706" s="182" t="s">
        <v>22</v>
      </c>
      <c r="K2706" s="182" t="s">
        <v>23</v>
      </c>
      <c r="L2706" s="182" t="s">
        <v>19</v>
      </c>
      <c r="M2706" s="182" t="s">
        <v>20</v>
      </c>
      <c r="N2706" s="182" t="s">
        <v>21</v>
      </c>
      <c r="O2706" s="182" t="s">
        <v>22</v>
      </c>
      <c r="P2706" s="182" t="s">
        <v>23</v>
      </c>
      <c r="Q2706" s="182" t="s">
        <v>19</v>
      </c>
      <c r="R2706" s="182" t="s">
        <v>20</v>
      </c>
      <c r="S2706" s="182" t="s">
        <v>21</v>
      </c>
      <c r="T2706" s="182" t="s">
        <v>22</v>
      </c>
      <c r="U2706" s="211" t="s">
        <v>23</v>
      </c>
    </row>
    <row r="2707" spans="1:21" ht="47.25" x14ac:dyDescent="0.25">
      <c r="A2707" s="183" t="s">
        <v>861</v>
      </c>
      <c r="B2707" s="182" t="s">
        <v>47</v>
      </c>
      <c r="C2707" s="182" t="s">
        <v>28</v>
      </c>
      <c r="D2707" s="182">
        <v>3</v>
      </c>
      <c r="E2707" s="182">
        <f>skilled</f>
        <v>1245</v>
      </c>
      <c r="F2707" s="184">
        <f>(D2707*E2707)</f>
        <v>3735</v>
      </c>
      <c r="G2707" s="182" t="s">
        <v>85</v>
      </c>
      <c r="H2707" s="216" t="s">
        <v>35</v>
      </c>
      <c r="I2707" s="182">
        <v>6.1</v>
      </c>
      <c r="J2707" s="182">
        <f>adopted_rate_cement</f>
        <v>13031</v>
      </c>
      <c r="K2707" s="182">
        <f t="shared" ref="K2707:K2712" si="42">(I2707*J2707)</f>
        <v>79489.099999999991</v>
      </c>
      <c r="L2707" s="182" t="s">
        <v>276</v>
      </c>
      <c r="M2707" s="182" t="s">
        <v>58</v>
      </c>
      <c r="N2707" s="182">
        <v>6</v>
      </c>
      <c r="O2707" s="182">
        <f>concrete_mixer</f>
        <v>296</v>
      </c>
      <c r="P2707" s="184">
        <f>(N2707*O2707)</f>
        <v>1776</v>
      </c>
      <c r="Q2707" s="182" t="s">
        <v>827</v>
      </c>
      <c r="R2707" s="182"/>
      <c r="U2707" s="223">
        <f>F2714*30/100</f>
        <v>57959.141999999993</v>
      </c>
    </row>
    <row r="2708" spans="1:21" x14ac:dyDescent="0.25">
      <c r="B2708" s="182" t="s">
        <v>29</v>
      </c>
      <c r="C2708" s="182" t="s">
        <v>28</v>
      </c>
      <c r="D2708" s="182">
        <v>32</v>
      </c>
      <c r="E2708" s="182">
        <f>unskilled</f>
        <v>935</v>
      </c>
      <c r="F2708" s="184">
        <f>(D2708*E2708)</f>
        <v>29920</v>
      </c>
      <c r="G2708" s="182" t="s">
        <v>430</v>
      </c>
      <c r="H2708" s="216" t="s">
        <v>84</v>
      </c>
      <c r="I2708" s="182">
        <v>6.75</v>
      </c>
      <c r="J2708" s="182">
        <f>adopted_rate_sand</f>
        <v>3175.2000000000003</v>
      </c>
      <c r="K2708" s="182">
        <f t="shared" si="42"/>
        <v>21432.600000000002</v>
      </c>
      <c r="L2708" s="182" t="s">
        <v>76</v>
      </c>
      <c r="M2708" s="182" t="s">
        <v>58</v>
      </c>
      <c r="N2708" s="182">
        <v>6</v>
      </c>
      <c r="O2708" s="182">
        <f>generator</f>
        <v>855</v>
      </c>
      <c r="P2708" s="184">
        <f>(N2708*O2708)</f>
        <v>5130</v>
      </c>
    </row>
    <row r="2709" spans="1:21" x14ac:dyDescent="0.25">
      <c r="G2709" s="182" t="s">
        <v>733</v>
      </c>
      <c r="H2709" s="216" t="s">
        <v>84</v>
      </c>
      <c r="I2709" s="182">
        <v>8.1</v>
      </c>
      <c r="J2709" s="182">
        <f>adopted_rate_aggregate_10_20_mm</f>
        <v>3351.6</v>
      </c>
      <c r="K2709" s="182">
        <f t="shared" si="42"/>
        <v>27147.96</v>
      </c>
    </row>
    <row r="2710" spans="1:21" x14ac:dyDescent="0.25">
      <c r="G2710" s="182" t="s">
        <v>734</v>
      </c>
      <c r="H2710" s="216" t="s">
        <v>84</v>
      </c>
      <c r="I2710" s="182">
        <v>5.4</v>
      </c>
      <c r="J2710" s="182">
        <f>adopted_rate_aggregate_10_mm</f>
        <v>3175.2000000000003</v>
      </c>
      <c r="K2710" s="182">
        <f t="shared" si="42"/>
        <v>17146.080000000002</v>
      </c>
    </row>
    <row r="2711" spans="1:21" x14ac:dyDescent="0.25">
      <c r="G2711" s="182" t="s">
        <v>171</v>
      </c>
      <c r="H2711" s="216" t="s">
        <v>172</v>
      </c>
      <c r="I2711" s="182">
        <v>3</v>
      </c>
      <c r="J2711" s="182">
        <f>adopted_rate_water</f>
        <v>310</v>
      </c>
      <c r="K2711" s="182">
        <f t="shared" si="42"/>
        <v>930</v>
      </c>
    </row>
    <row r="2712" spans="1:21" x14ac:dyDescent="0.25">
      <c r="G2712" s="182" t="s">
        <v>745</v>
      </c>
      <c r="H2712" s="216" t="s">
        <v>144</v>
      </c>
      <c r="I2712" s="182">
        <v>24.4</v>
      </c>
      <c r="J2712" s="182">
        <f>adopted_rate_admixture</f>
        <v>266</v>
      </c>
      <c r="K2712" s="182">
        <f t="shared" si="42"/>
        <v>6490.4</v>
      </c>
    </row>
    <row r="2713" spans="1:21" x14ac:dyDescent="0.25">
      <c r="A2713" s="537" t="s">
        <v>30</v>
      </c>
      <c r="B2713" s="537"/>
      <c r="C2713" s="537"/>
      <c r="D2713" s="537"/>
      <c r="E2713" s="537"/>
      <c r="F2713" s="184">
        <f>SUM(F2706:F2712)</f>
        <v>33655</v>
      </c>
      <c r="G2713" s="537" t="s">
        <v>31</v>
      </c>
      <c r="H2713" s="537"/>
      <c r="I2713" s="537"/>
      <c r="J2713" s="537"/>
      <c r="K2713" s="184">
        <f>SUM(K2706:K2712)</f>
        <v>152636.13999999998</v>
      </c>
      <c r="L2713" s="537" t="s">
        <v>32</v>
      </c>
      <c r="M2713" s="537"/>
      <c r="N2713" s="537"/>
      <c r="O2713" s="537"/>
      <c r="P2713" s="184">
        <f>SUM(P2706:P2712)</f>
        <v>6906</v>
      </c>
      <c r="Q2713" s="537" t="s">
        <v>38</v>
      </c>
      <c r="R2713" s="537"/>
      <c r="S2713" s="537"/>
      <c r="T2713" s="537"/>
      <c r="U2713" s="223">
        <f>SUM(U2706:U2712)</f>
        <v>57959.141999999993</v>
      </c>
    </row>
    <row r="2714" spans="1:21" x14ac:dyDescent="0.25">
      <c r="A2714" s="537" t="s">
        <v>33</v>
      </c>
      <c r="B2714" s="537"/>
      <c r="C2714" s="537"/>
      <c r="D2714" s="537"/>
      <c r="E2714" s="537"/>
      <c r="F2714" s="184">
        <f>SUM(F2713+K2713+P2713)</f>
        <v>193197.13999999998</v>
      </c>
      <c r="G2714" s="537" t="s">
        <v>39</v>
      </c>
      <c r="H2714" s="537"/>
      <c r="I2714" s="537"/>
      <c r="J2714" s="537"/>
      <c r="K2714" s="184">
        <f>SUM(F2713+K2713+P2713+U2713)</f>
        <v>251156.28199999998</v>
      </c>
      <c r="L2714" s="537" t="s">
        <v>40</v>
      </c>
      <c r="M2714" s="537"/>
      <c r="N2714" s="537"/>
      <c r="O2714" s="537"/>
      <c r="P2714" s="184">
        <f>SUM(K2714*0.15)</f>
        <v>37673.442299999995</v>
      </c>
      <c r="Q2714" s="537" t="s">
        <v>41</v>
      </c>
      <c r="R2714" s="537"/>
      <c r="S2714" s="537"/>
      <c r="T2714" s="537"/>
      <c r="U2714" s="223">
        <f>SUM(K2714+P2714)</f>
        <v>288829.7243</v>
      </c>
    </row>
    <row r="2715" spans="1:21" x14ac:dyDescent="0.25">
      <c r="Q2715" s="537" t="s">
        <v>42</v>
      </c>
      <c r="R2715" s="537"/>
      <c r="S2715" s="537"/>
      <c r="T2715" s="537"/>
      <c r="U2715" s="224">
        <f>ROUND((U2714/15),2)</f>
        <v>19255.310000000001</v>
      </c>
    </row>
    <row r="2716" spans="1:21" x14ac:dyDescent="0.25">
      <c r="A2716" s="544"/>
      <c r="B2716" s="544"/>
      <c r="C2716" s="544"/>
      <c r="D2716" s="544"/>
      <c r="E2716" s="544"/>
      <c r="F2716" s="544"/>
      <c r="G2716" s="544"/>
      <c r="H2716" s="544"/>
      <c r="I2716" s="544"/>
      <c r="J2716" s="544"/>
      <c r="K2716" s="544"/>
      <c r="L2716" s="544"/>
      <c r="M2716" s="544"/>
      <c r="N2716" s="544"/>
      <c r="O2716" s="544"/>
      <c r="P2716" s="544"/>
      <c r="Q2716" s="544"/>
      <c r="R2716" s="544"/>
      <c r="S2716" s="544"/>
      <c r="T2716" s="544"/>
      <c r="U2716" s="544"/>
    </row>
    <row r="2717" spans="1:21" x14ac:dyDescent="0.25">
      <c r="A2717" s="538" t="s">
        <v>12</v>
      </c>
      <c r="B2717" s="538"/>
      <c r="C2717" s="540" t="s">
        <v>862</v>
      </c>
      <c r="D2717" s="540"/>
      <c r="E2717" s="540"/>
      <c r="F2717" s="540"/>
      <c r="G2717" s="540"/>
      <c r="H2717" s="540"/>
      <c r="I2717" s="540"/>
      <c r="J2717" s="540"/>
      <c r="K2717" s="540"/>
      <c r="L2717" s="540"/>
      <c r="M2717" s="540"/>
      <c r="N2717" s="540"/>
      <c r="O2717" s="540"/>
      <c r="P2717" s="540"/>
      <c r="Q2717" s="540"/>
      <c r="R2717" s="540"/>
      <c r="S2717" s="540"/>
      <c r="T2717" s="540"/>
      <c r="U2717" s="541" t="s">
        <v>726</v>
      </c>
    </row>
    <row r="2718" spans="1:21" x14ac:dyDescent="0.25">
      <c r="A2718" s="538"/>
      <c r="B2718" s="538"/>
      <c r="C2718" s="540"/>
      <c r="D2718" s="540"/>
      <c r="E2718" s="540"/>
      <c r="F2718" s="540"/>
      <c r="G2718" s="540"/>
      <c r="H2718" s="540"/>
      <c r="I2718" s="540"/>
      <c r="J2718" s="540"/>
      <c r="K2718" s="540"/>
      <c r="L2718" s="540"/>
      <c r="M2718" s="540"/>
      <c r="N2718" s="540"/>
      <c r="O2718" s="540"/>
      <c r="P2718" s="540"/>
      <c r="Q2718" s="540"/>
      <c r="R2718" s="540"/>
      <c r="S2718" s="540"/>
      <c r="T2718" s="540"/>
      <c r="U2718" s="541"/>
    </row>
    <row r="2719" spans="1:21" x14ac:dyDescent="0.25">
      <c r="A2719" s="539" t="s">
        <v>724</v>
      </c>
      <c r="B2719" s="539"/>
      <c r="C2719" s="540"/>
      <c r="D2719" s="540"/>
      <c r="E2719" s="540"/>
      <c r="F2719" s="540"/>
      <c r="G2719" s="540"/>
      <c r="H2719" s="540"/>
      <c r="I2719" s="540"/>
      <c r="J2719" s="540"/>
      <c r="K2719" s="540"/>
      <c r="L2719" s="540"/>
      <c r="M2719" s="540"/>
      <c r="N2719" s="540"/>
      <c r="O2719" s="540"/>
      <c r="P2719" s="540"/>
      <c r="Q2719" s="540"/>
      <c r="R2719" s="540"/>
      <c r="S2719" s="540"/>
      <c r="T2719" s="540"/>
      <c r="U2719" s="541"/>
    </row>
    <row r="2720" spans="1:21" x14ac:dyDescent="0.25">
      <c r="A2720" s="542" t="s">
        <v>16</v>
      </c>
      <c r="B2720" s="543" t="s">
        <v>18</v>
      </c>
      <c r="C2720" s="543"/>
      <c r="D2720" s="543"/>
      <c r="E2720" s="543"/>
      <c r="F2720" s="543"/>
      <c r="G2720" s="543" t="s">
        <v>24</v>
      </c>
      <c r="H2720" s="543"/>
      <c r="I2720" s="543"/>
      <c r="J2720" s="543"/>
      <c r="K2720" s="543"/>
      <c r="L2720" s="543" t="s">
        <v>25</v>
      </c>
      <c r="M2720" s="543"/>
      <c r="N2720" s="543"/>
      <c r="O2720" s="543"/>
      <c r="P2720" s="543"/>
      <c r="Q2720" s="543" t="s">
        <v>26</v>
      </c>
      <c r="R2720" s="543"/>
      <c r="S2720" s="543"/>
      <c r="T2720" s="543"/>
      <c r="U2720" s="543"/>
    </row>
    <row r="2721" spans="1:21" x14ac:dyDescent="0.25">
      <c r="A2721" s="542"/>
      <c r="B2721" s="182" t="s">
        <v>19</v>
      </c>
      <c r="C2721" s="182" t="s">
        <v>20</v>
      </c>
      <c r="D2721" s="182" t="s">
        <v>21</v>
      </c>
      <c r="E2721" s="182" t="s">
        <v>22</v>
      </c>
      <c r="F2721" s="182" t="s">
        <v>23</v>
      </c>
      <c r="G2721" s="182" t="s">
        <v>19</v>
      </c>
      <c r="H2721" s="216" t="s">
        <v>20</v>
      </c>
      <c r="I2721" s="182" t="s">
        <v>21</v>
      </c>
      <c r="J2721" s="182" t="s">
        <v>22</v>
      </c>
      <c r="K2721" s="182" t="s">
        <v>23</v>
      </c>
      <c r="L2721" s="182" t="s">
        <v>19</v>
      </c>
      <c r="M2721" s="182" t="s">
        <v>20</v>
      </c>
      <c r="N2721" s="182" t="s">
        <v>21</v>
      </c>
      <c r="O2721" s="182" t="s">
        <v>22</v>
      </c>
      <c r="P2721" s="182" t="s">
        <v>23</v>
      </c>
      <c r="Q2721" s="182" t="s">
        <v>19</v>
      </c>
      <c r="R2721" s="182" t="s">
        <v>20</v>
      </c>
      <c r="S2721" s="182" t="s">
        <v>21</v>
      </c>
      <c r="T2721" s="182" t="s">
        <v>22</v>
      </c>
      <c r="U2721" s="211" t="s">
        <v>23</v>
      </c>
    </row>
    <row r="2722" spans="1:21" ht="47.25" x14ac:dyDescent="0.25">
      <c r="A2722" s="183" t="s">
        <v>863</v>
      </c>
      <c r="B2722" s="182" t="s">
        <v>47</v>
      </c>
      <c r="C2722" s="182" t="s">
        <v>28</v>
      </c>
      <c r="D2722" s="182">
        <v>3</v>
      </c>
      <c r="E2722" s="182">
        <f>skilled</f>
        <v>1245</v>
      </c>
      <c r="F2722" s="184">
        <f>(D2722*E2722)</f>
        <v>3735</v>
      </c>
      <c r="G2722" s="182" t="s">
        <v>85</v>
      </c>
      <c r="H2722" s="216" t="s">
        <v>35</v>
      </c>
      <c r="I2722" s="182">
        <v>6.1</v>
      </c>
      <c r="J2722" s="182">
        <f>adopted_rate_cement</f>
        <v>13031</v>
      </c>
      <c r="K2722" s="182">
        <f t="shared" ref="K2722:K2727" si="43">(I2722*J2722)</f>
        <v>79489.099999999991</v>
      </c>
      <c r="L2722" s="182" t="s">
        <v>276</v>
      </c>
      <c r="M2722" s="182" t="s">
        <v>58</v>
      </c>
      <c r="N2722" s="182">
        <v>6</v>
      </c>
      <c r="O2722" s="182">
        <f>concrete_mixer</f>
        <v>296</v>
      </c>
      <c r="P2722" s="184">
        <f>(N2722*O2722)</f>
        <v>1776</v>
      </c>
      <c r="Q2722" s="182" t="s">
        <v>834</v>
      </c>
      <c r="R2722" s="182"/>
      <c r="U2722" s="223">
        <f>F2729*35/100</f>
        <v>67618.998999999996</v>
      </c>
    </row>
    <row r="2723" spans="1:21" x14ac:dyDescent="0.25">
      <c r="B2723" s="182" t="s">
        <v>29</v>
      </c>
      <c r="C2723" s="182" t="s">
        <v>28</v>
      </c>
      <c r="D2723" s="182">
        <v>32</v>
      </c>
      <c r="E2723" s="182">
        <f>unskilled</f>
        <v>935</v>
      </c>
      <c r="F2723" s="184">
        <f>(D2723*E2723)</f>
        <v>29920</v>
      </c>
      <c r="G2723" s="182" t="s">
        <v>430</v>
      </c>
      <c r="H2723" s="216" t="s">
        <v>84</v>
      </c>
      <c r="I2723" s="182">
        <v>6.75</v>
      </c>
      <c r="J2723" s="182">
        <f>adopted_rate_sand</f>
        <v>3175.2000000000003</v>
      </c>
      <c r="K2723" s="182">
        <f t="shared" si="43"/>
        <v>21432.600000000002</v>
      </c>
      <c r="L2723" s="182" t="s">
        <v>76</v>
      </c>
      <c r="M2723" s="182" t="s">
        <v>58</v>
      </c>
      <c r="N2723" s="182">
        <v>6</v>
      </c>
      <c r="O2723" s="182">
        <f>generator</f>
        <v>855</v>
      </c>
      <c r="P2723" s="184">
        <f>(N2723*O2723)</f>
        <v>5130</v>
      </c>
    </row>
    <row r="2724" spans="1:21" x14ac:dyDescent="0.25">
      <c r="G2724" s="182" t="s">
        <v>733</v>
      </c>
      <c r="H2724" s="216" t="s">
        <v>84</v>
      </c>
      <c r="I2724" s="182">
        <v>8.1</v>
      </c>
      <c r="J2724" s="182">
        <f>adopted_rate_aggregate_10_20_mm</f>
        <v>3351.6</v>
      </c>
      <c r="K2724" s="182">
        <f t="shared" si="43"/>
        <v>27147.96</v>
      </c>
    </row>
    <row r="2725" spans="1:21" x14ac:dyDescent="0.25">
      <c r="G2725" s="182" t="s">
        <v>734</v>
      </c>
      <c r="H2725" s="216" t="s">
        <v>84</v>
      </c>
      <c r="I2725" s="182">
        <v>5.4</v>
      </c>
      <c r="J2725" s="182">
        <f>adopted_rate_aggregate_10_mm</f>
        <v>3175.2000000000003</v>
      </c>
      <c r="K2725" s="182">
        <f t="shared" si="43"/>
        <v>17146.080000000002</v>
      </c>
    </row>
    <row r="2726" spans="1:21" x14ac:dyDescent="0.25">
      <c r="G2726" s="182" t="s">
        <v>171</v>
      </c>
      <c r="H2726" s="216" t="s">
        <v>172</v>
      </c>
      <c r="I2726" s="182">
        <v>3</v>
      </c>
      <c r="J2726" s="182">
        <f>adopted_rate_water</f>
        <v>310</v>
      </c>
      <c r="K2726" s="182">
        <f t="shared" si="43"/>
        <v>930</v>
      </c>
    </row>
    <row r="2727" spans="1:21" x14ac:dyDescent="0.25">
      <c r="G2727" s="182" t="s">
        <v>745</v>
      </c>
      <c r="H2727" s="216" t="s">
        <v>144</v>
      </c>
      <c r="I2727" s="182">
        <v>24.4</v>
      </c>
      <c r="J2727" s="182">
        <f>adopted_rate_admixture</f>
        <v>266</v>
      </c>
      <c r="K2727" s="182">
        <f t="shared" si="43"/>
        <v>6490.4</v>
      </c>
    </row>
    <row r="2728" spans="1:21" x14ac:dyDescent="0.25">
      <c r="A2728" s="537" t="s">
        <v>30</v>
      </c>
      <c r="B2728" s="537"/>
      <c r="C2728" s="537"/>
      <c r="D2728" s="537"/>
      <c r="E2728" s="537"/>
      <c r="F2728" s="184">
        <f>SUM(F2721:F2727)</f>
        <v>33655</v>
      </c>
      <c r="G2728" s="537" t="s">
        <v>31</v>
      </c>
      <c r="H2728" s="537"/>
      <c r="I2728" s="537"/>
      <c r="J2728" s="537"/>
      <c r="K2728" s="184">
        <f>SUM(K2721:K2727)</f>
        <v>152636.13999999998</v>
      </c>
      <c r="L2728" s="537" t="s">
        <v>32</v>
      </c>
      <c r="M2728" s="537"/>
      <c r="N2728" s="537"/>
      <c r="O2728" s="537"/>
      <c r="P2728" s="184">
        <f>SUM(P2721:P2727)</f>
        <v>6906</v>
      </c>
      <c r="Q2728" s="537" t="s">
        <v>38</v>
      </c>
      <c r="R2728" s="537"/>
      <c r="S2728" s="537"/>
      <c r="T2728" s="537"/>
      <c r="U2728" s="223">
        <f>SUM(U2721:U2727)</f>
        <v>67618.998999999996</v>
      </c>
    </row>
    <row r="2729" spans="1:21" x14ac:dyDescent="0.25">
      <c r="A2729" s="537" t="s">
        <v>33</v>
      </c>
      <c r="B2729" s="537"/>
      <c r="C2729" s="537"/>
      <c r="D2729" s="537"/>
      <c r="E2729" s="537"/>
      <c r="F2729" s="184">
        <f>SUM(F2728+K2728+P2728)</f>
        <v>193197.13999999998</v>
      </c>
      <c r="G2729" s="537" t="s">
        <v>39</v>
      </c>
      <c r="H2729" s="537"/>
      <c r="I2729" s="537"/>
      <c r="J2729" s="537"/>
      <c r="K2729" s="184">
        <f>SUM(F2728+K2728+P2728+U2728)</f>
        <v>260816.13899999997</v>
      </c>
      <c r="L2729" s="537" t="s">
        <v>40</v>
      </c>
      <c r="M2729" s="537"/>
      <c r="N2729" s="537"/>
      <c r="O2729" s="537"/>
      <c r="P2729" s="184">
        <f>SUM(K2729*0.15)</f>
        <v>39122.420849999995</v>
      </c>
      <c r="Q2729" s="537" t="s">
        <v>41</v>
      </c>
      <c r="R2729" s="537"/>
      <c r="S2729" s="537"/>
      <c r="T2729" s="537"/>
      <c r="U2729" s="223">
        <f>SUM(K2729+P2729)</f>
        <v>299938.55984999996</v>
      </c>
    </row>
    <row r="2730" spans="1:21" x14ac:dyDescent="0.25">
      <c r="Q2730" s="537" t="s">
        <v>42</v>
      </c>
      <c r="R2730" s="537"/>
      <c r="S2730" s="537"/>
      <c r="T2730" s="537"/>
      <c r="U2730" s="224">
        <f>ROUND((U2729/15),2)</f>
        <v>19995.900000000001</v>
      </c>
    </row>
    <row r="2731" spans="1:21" x14ac:dyDescent="0.25">
      <c r="A2731" s="544"/>
      <c r="B2731" s="544"/>
      <c r="C2731" s="544"/>
      <c r="D2731" s="544"/>
      <c r="E2731" s="544"/>
      <c r="F2731" s="544"/>
      <c r="G2731" s="544"/>
      <c r="H2731" s="544"/>
      <c r="I2731" s="544"/>
      <c r="J2731" s="544"/>
      <c r="K2731" s="544"/>
      <c r="L2731" s="544"/>
      <c r="M2731" s="544"/>
      <c r="N2731" s="544"/>
      <c r="O2731" s="544"/>
      <c r="P2731" s="544"/>
      <c r="Q2731" s="544"/>
      <c r="R2731" s="544"/>
      <c r="S2731" s="544"/>
      <c r="T2731" s="544"/>
      <c r="U2731" s="544"/>
    </row>
    <row r="2732" spans="1:21" x14ac:dyDescent="0.25">
      <c r="A2732" s="538" t="s">
        <v>12</v>
      </c>
      <c r="B2732" s="538"/>
      <c r="C2732" s="540" t="s">
        <v>864</v>
      </c>
      <c r="D2732" s="540"/>
      <c r="E2732" s="540"/>
      <c r="F2732" s="540"/>
      <c r="G2732" s="540"/>
      <c r="H2732" s="540"/>
      <c r="I2732" s="540"/>
      <c r="J2732" s="540"/>
      <c r="K2732" s="540"/>
      <c r="L2732" s="540"/>
      <c r="M2732" s="540"/>
      <c r="N2732" s="540"/>
      <c r="O2732" s="540"/>
      <c r="P2732" s="540"/>
      <c r="Q2732" s="540"/>
      <c r="R2732" s="540"/>
      <c r="S2732" s="540"/>
      <c r="T2732" s="540"/>
      <c r="U2732" s="541" t="s">
        <v>726</v>
      </c>
    </row>
    <row r="2733" spans="1:21" x14ac:dyDescent="0.25">
      <c r="A2733" s="538"/>
      <c r="B2733" s="538"/>
      <c r="C2733" s="540"/>
      <c r="D2733" s="540"/>
      <c r="E2733" s="540"/>
      <c r="F2733" s="540"/>
      <c r="G2733" s="540"/>
      <c r="H2733" s="540"/>
      <c r="I2733" s="540"/>
      <c r="J2733" s="540"/>
      <c r="K2733" s="540"/>
      <c r="L2733" s="540"/>
      <c r="M2733" s="540"/>
      <c r="N2733" s="540"/>
      <c r="O2733" s="540"/>
      <c r="P2733" s="540"/>
      <c r="Q2733" s="540"/>
      <c r="R2733" s="540"/>
      <c r="S2733" s="540"/>
      <c r="T2733" s="540"/>
      <c r="U2733" s="541"/>
    </row>
    <row r="2734" spans="1:21" x14ac:dyDescent="0.25">
      <c r="A2734" s="539" t="s">
        <v>724</v>
      </c>
      <c r="B2734" s="539"/>
      <c r="C2734" s="540"/>
      <c r="D2734" s="540"/>
      <c r="E2734" s="540"/>
      <c r="F2734" s="540"/>
      <c r="G2734" s="540"/>
      <c r="H2734" s="540"/>
      <c r="I2734" s="540"/>
      <c r="J2734" s="540"/>
      <c r="K2734" s="540"/>
      <c r="L2734" s="540"/>
      <c r="M2734" s="540"/>
      <c r="N2734" s="540"/>
      <c r="O2734" s="540"/>
      <c r="P2734" s="540"/>
      <c r="Q2734" s="540"/>
      <c r="R2734" s="540"/>
      <c r="S2734" s="540"/>
      <c r="T2734" s="540"/>
      <c r="U2734" s="541"/>
    </row>
    <row r="2735" spans="1:21" x14ac:dyDescent="0.25">
      <c r="A2735" s="542" t="s">
        <v>16</v>
      </c>
      <c r="B2735" s="543" t="s">
        <v>18</v>
      </c>
      <c r="C2735" s="543"/>
      <c r="D2735" s="543"/>
      <c r="E2735" s="543"/>
      <c r="F2735" s="543"/>
      <c r="G2735" s="543" t="s">
        <v>24</v>
      </c>
      <c r="H2735" s="543"/>
      <c r="I2735" s="543"/>
      <c r="J2735" s="543"/>
      <c r="K2735" s="543"/>
      <c r="L2735" s="543" t="s">
        <v>25</v>
      </c>
      <c r="M2735" s="543"/>
      <c r="N2735" s="543"/>
      <c r="O2735" s="543"/>
      <c r="P2735" s="543"/>
      <c r="Q2735" s="543" t="s">
        <v>26</v>
      </c>
      <c r="R2735" s="543"/>
      <c r="S2735" s="543"/>
      <c r="T2735" s="543"/>
      <c r="U2735" s="543"/>
    </row>
    <row r="2736" spans="1:21" x14ac:dyDescent="0.25">
      <c r="A2736" s="542"/>
      <c r="B2736" s="182" t="s">
        <v>19</v>
      </c>
      <c r="C2736" s="182" t="s">
        <v>20</v>
      </c>
      <c r="D2736" s="182" t="s">
        <v>21</v>
      </c>
      <c r="E2736" s="182" t="s">
        <v>22</v>
      </c>
      <c r="F2736" s="182" t="s">
        <v>23</v>
      </c>
      <c r="G2736" s="182" t="s">
        <v>19</v>
      </c>
      <c r="H2736" s="216" t="s">
        <v>20</v>
      </c>
      <c r="I2736" s="182" t="s">
        <v>21</v>
      </c>
      <c r="J2736" s="182" t="s">
        <v>22</v>
      </c>
      <c r="K2736" s="182" t="s">
        <v>23</v>
      </c>
      <c r="L2736" s="182" t="s">
        <v>19</v>
      </c>
      <c r="M2736" s="182" t="s">
        <v>20</v>
      </c>
      <c r="N2736" s="182" t="s">
        <v>21</v>
      </c>
      <c r="O2736" s="182" t="s">
        <v>22</v>
      </c>
      <c r="P2736" s="182" t="s">
        <v>23</v>
      </c>
      <c r="Q2736" s="182" t="s">
        <v>19</v>
      </c>
      <c r="R2736" s="182" t="s">
        <v>20</v>
      </c>
      <c r="S2736" s="182" t="s">
        <v>21</v>
      </c>
      <c r="T2736" s="182" t="s">
        <v>22</v>
      </c>
      <c r="U2736" s="211" t="s">
        <v>23</v>
      </c>
    </row>
    <row r="2737" spans="1:21" x14ac:dyDescent="0.25">
      <c r="A2737" s="183" t="s">
        <v>865</v>
      </c>
      <c r="B2737" s="182" t="s">
        <v>47</v>
      </c>
      <c r="C2737" s="182" t="s">
        <v>28</v>
      </c>
      <c r="D2737" s="182">
        <v>3</v>
      </c>
      <c r="E2737" s="182">
        <f>skilled</f>
        <v>1245</v>
      </c>
      <c r="F2737" s="184">
        <f>(D2737*E2737)</f>
        <v>3735</v>
      </c>
      <c r="G2737" s="182" t="s">
        <v>85</v>
      </c>
      <c r="H2737" s="216" t="s">
        <v>35</v>
      </c>
      <c r="I2737" s="182">
        <v>6.33</v>
      </c>
      <c r="J2737" s="182">
        <f>adopted_rate_cement</f>
        <v>13031</v>
      </c>
      <c r="K2737" s="182">
        <f t="shared" ref="K2737:K2742" si="44">(I2737*J2737)</f>
        <v>82486.23</v>
      </c>
      <c r="L2737" s="182" t="s">
        <v>276</v>
      </c>
      <c r="M2737" s="182" t="s">
        <v>58</v>
      </c>
      <c r="N2737" s="182">
        <v>6</v>
      </c>
      <c r="O2737" s="182">
        <f>concrete_mixer</f>
        <v>296</v>
      </c>
      <c r="P2737" s="184">
        <f>(N2737*O2737)</f>
        <v>1776</v>
      </c>
    </row>
    <row r="2738" spans="1:21" x14ac:dyDescent="0.25">
      <c r="B2738" s="182" t="s">
        <v>29</v>
      </c>
      <c r="C2738" s="182" t="s">
        <v>28</v>
      </c>
      <c r="D2738" s="182">
        <v>32</v>
      </c>
      <c r="E2738" s="182">
        <f>unskilled</f>
        <v>935</v>
      </c>
      <c r="F2738" s="184">
        <f>(D2738*E2738)</f>
        <v>29920</v>
      </c>
      <c r="G2738" s="182" t="s">
        <v>430</v>
      </c>
      <c r="H2738" s="216" t="s">
        <v>84</v>
      </c>
      <c r="I2738" s="182">
        <v>6.75</v>
      </c>
      <c r="J2738" s="182">
        <f>adopted_rate_sand</f>
        <v>3175.2000000000003</v>
      </c>
      <c r="K2738" s="182">
        <f t="shared" si="44"/>
        <v>21432.600000000002</v>
      </c>
      <c r="L2738" s="182" t="s">
        <v>76</v>
      </c>
      <c r="M2738" s="182" t="s">
        <v>58</v>
      </c>
      <c r="N2738" s="182">
        <v>6</v>
      </c>
      <c r="O2738" s="182">
        <f>generator</f>
        <v>855</v>
      </c>
      <c r="P2738" s="184">
        <f>(N2738*O2738)</f>
        <v>5130</v>
      </c>
    </row>
    <row r="2739" spans="1:21" x14ac:dyDescent="0.25">
      <c r="G2739" s="182" t="s">
        <v>733</v>
      </c>
      <c r="H2739" s="216" t="s">
        <v>84</v>
      </c>
      <c r="I2739" s="182">
        <v>8.1</v>
      </c>
      <c r="J2739" s="182">
        <f>adopted_rate_aggregate_10_20_mm</f>
        <v>3351.6</v>
      </c>
      <c r="K2739" s="182">
        <f t="shared" si="44"/>
        <v>27147.96</v>
      </c>
    </row>
    <row r="2740" spans="1:21" x14ac:dyDescent="0.25">
      <c r="G2740" s="182" t="s">
        <v>734</v>
      </c>
      <c r="H2740" s="216" t="s">
        <v>84</v>
      </c>
      <c r="I2740" s="182">
        <v>5.4</v>
      </c>
      <c r="J2740" s="182">
        <f>adopted_rate_aggregate_10_mm</f>
        <v>3175.2000000000003</v>
      </c>
      <c r="K2740" s="182">
        <f t="shared" si="44"/>
        <v>17146.080000000002</v>
      </c>
    </row>
    <row r="2741" spans="1:21" x14ac:dyDescent="0.25">
      <c r="G2741" s="182" t="s">
        <v>171</v>
      </c>
      <c r="H2741" s="216" t="s">
        <v>172</v>
      </c>
      <c r="I2741" s="182">
        <v>3</v>
      </c>
      <c r="J2741" s="182">
        <f>adopted_rate_water</f>
        <v>310</v>
      </c>
      <c r="K2741" s="182">
        <f t="shared" si="44"/>
        <v>930</v>
      </c>
    </row>
    <row r="2742" spans="1:21" x14ac:dyDescent="0.25">
      <c r="G2742" s="182" t="s">
        <v>745</v>
      </c>
      <c r="H2742" s="216" t="s">
        <v>144</v>
      </c>
      <c r="I2742" s="182">
        <v>25.32</v>
      </c>
      <c r="J2742" s="182">
        <f>adopted_rate_admixture</f>
        <v>266</v>
      </c>
      <c r="K2742" s="182">
        <f t="shared" si="44"/>
        <v>6735.12</v>
      </c>
    </row>
    <row r="2743" spans="1:21" x14ac:dyDescent="0.25">
      <c r="A2743" s="537" t="s">
        <v>30</v>
      </c>
      <c r="B2743" s="537"/>
      <c r="C2743" s="537"/>
      <c r="D2743" s="537"/>
      <c r="E2743" s="537"/>
      <c r="F2743" s="184">
        <f>SUM(F2736:F2742)</f>
        <v>33655</v>
      </c>
      <c r="G2743" s="537" t="s">
        <v>31</v>
      </c>
      <c r="H2743" s="537"/>
      <c r="I2743" s="537"/>
      <c r="J2743" s="537"/>
      <c r="K2743" s="184">
        <f>SUM(K2736:K2742)</f>
        <v>155877.99</v>
      </c>
      <c r="L2743" s="537" t="s">
        <v>32</v>
      </c>
      <c r="M2743" s="537"/>
      <c r="N2743" s="537"/>
      <c r="O2743" s="537"/>
      <c r="P2743" s="184">
        <f>SUM(P2736:P2742)</f>
        <v>6906</v>
      </c>
      <c r="Q2743" s="537" t="s">
        <v>38</v>
      </c>
      <c r="R2743" s="537"/>
      <c r="S2743" s="537"/>
      <c r="T2743" s="537"/>
      <c r="U2743" s="223">
        <f>SUM(U2736:U2742)</f>
        <v>0</v>
      </c>
    </row>
    <row r="2744" spans="1:21" x14ac:dyDescent="0.25">
      <c r="A2744" s="537" t="s">
        <v>33</v>
      </c>
      <c r="B2744" s="537"/>
      <c r="C2744" s="537"/>
      <c r="D2744" s="537"/>
      <c r="E2744" s="537"/>
      <c r="F2744" s="184">
        <f>SUM(F2743+K2743+P2743)</f>
        <v>196438.99</v>
      </c>
      <c r="G2744" s="537" t="s">
        <v>39</v>
      </c>
      <c r="H2744" s="537"/>
      <c r="I2744" s="537"/>
      <c r="J2744" s="537"/>
      <c r="K2744" s="184">
        <f>SUM(F2743+K2743+P2743+U2743)</f>
        <v>196438.99</v>
      </c>
      <c r="L2744" s="537" t="s">
        <v>40</v>
      </c>
      <c r="M2744" s="537"/>
      <c r="N2744" s="537"/>
      <c r="O2744" s="537"/>
      <c r="P2744" s="184">
        <f>SUM(K2744*0.15)</f>
        <v>29465.848499999996</v>
      </c>
      <c r="Q2744" s="537" t="s">
        <v>41</v>
      </c>
      <c r="R2744" s="537"/>
      <c r="S2744" s="537"/>
      <c r="T2744" s="537"/>
      <c r="U2744" s="223">
        <f>SUM(K2744+P2744)</f>
        <v>225904.83849999998</v>
      </c>
    </row>
    <row r="2745" spans="1:21" x14ac:dyDescent="0.25">
      <c r="Q2745" s="537" t="s">
        <v>42</v>
      </c>
      <c r="R2745" s="537"/>
      <c r="S2745" s="537"/>
      <c r="T2745" s="537"/>
      <c r="U2745" s="224">
        <f>ROUND((U2744/15),2)</f>
        <v>15060.32</v>
      </c>
    </row>
    <row r="2746" spans="1:21" x14ac:dyDescent="0.25">
      <c r="A2746" s="544"/>
      <c r="B2746" s="544"/>
      <c r="C2746" s="544"/>
      <c r="D2746" s="544"/>
      <c r="E2746" s="544"/>
      <c r="F2746" s="544"/>
      <c r="G2746" s="544"/>
      <c r="H2746" s="544"/>
      <c r="I2746" s="544"/>
      <c r="J2746" s="544"/>
      <c r="K2746" s="544"/>
      <c r="L2746" s="544"/>
      <c r="M2746" s="544"/>
      <c r="N2746" s="544"/>
      <c r="O2746" s="544"/>
      <c r="P2746" s="544"/>
      <c r="Q2746" s="544"/>
      <c r="R2746" s="544"/>
      <c r="S2746" s="544"/>
      <c r="T2746" s="544"/>
      <c r="U2746" s="544"/>
    </row>
    <row r="2747" spans="1:21" x14ac:dyDescent="0.25">
      <c r="A2747" s="538" t="s">
        <v>12</v>
      </c>
      <c r="B2747" s="538"/>
      <c r="C2747" s="540" t="s">
        <v>866</v>
      </c>
      <c r="D2747" s="540"/>
      <c r="E2747" s="540"/>
      <c r="F2747" s="540"/>
      <c r="G2747" s="540"/>
      <c r="H2747" s="540"/>
      <c r="I2747" s="540"/>
      <c r="J2747" s="540"/>
      <c r="K2747" s="540"/>
      <c r="L2747" s="540"/>
      <c r="M2747" s="540"/>
      <c r="N2747" s="540"/>
      <c r="O2747" s="540"/>
      <c r="P2747" s="540"/>
      <c r="Q2747" s="540"/>
      <c r="R2747" s="540"/>
      <c r="S2747" s="540"/>
      <c r="T2747" s="540"/>
      <c r="U2747" s="541" t="s">
        <v>726</v>
      </c>
    </row>
    <row r="2748" spans="1:21" x14ac:dyDescent="0.25">
      <c r="A2748" s="538"/>
      <c r="B2748" s="538"/>
      <c r="C2748" s="540"/>
      <c r="D2748" s="540"/>
      <c r="E2748" s="540"/>
      <c r="F2748" s="540"/>
      <c r="G2748" s="540"/>
      <c r="H2748" s="540"/>
      <c r="I2748" s="540"/>
      <c r="J2748" s="540"/>
      <c r="K2748" s="540"/>
      <c r="L2748" s="540"/>
      <c r="M2748" s="540"/>
      <c r="N2748" s="540"/>
      <c r="O2748" s="540"/>
      <c r="P2748" s="540"/>
      <c r="Q2748" s="540"/>
      <c r="R2748" s="540"/>
      <c r="S2748" s="540"/>
      <c r="T2748" s="540"/>
      <c r="U2748" s="541"/>
    </row>
    <row r="2749" spans="1:21" x14ac:dyDescent="0.25">
      <c r="A2749" s="539" t="s">
        <v>724</v>
      </c>
      <c r="B2749" s="539"/>
      <c r="C2749" s="540"/>
      <c r="D2749" s="540"/>
      <c r="E2749" s="540"/>
      <c r="F2749" s="540"/>
      <c r="G2749" s="540"/>
      <c r="H2749" s="540"/>
      <c r="I2749" s="540"/>
      <c r="J2749" s="540"/>
      <c r="K2749" s="540"/>
      <c r="L2749" s="540"/>
      <c r="M2749" s="540"/>
      <c r="N2749" s="540"/>
      <c r="O2749" s="540"/>
      <c r="P2749" s="540"/>
      <c r="Q2749" s="540"/>
      <c r="R2749" s="540"/>
      <c r="S2749" s="540"/>
      <c r="T2749" s="540"/>
      <c r="U2749" s="541"/>
    </row>
    <row r="2750" spans="1:21" x14ac:dyDescent="0.25">
      <c r="A2750" s="542" t="s">
        <v>16</v>
      </c>
      <c r="B2750" s="543" t="s">
        <v>18</v>
      </c>
      <c r="C2750" s="543"/>
      <c r="D2750" s="543"/>
      <c r="E2750" s="543"/>
      <c r="F2750" s="543"/>
      <c r="G2750" s="543" t="s">
        <v>24</v>
      </c>
      <c r="H2750" s="543"/>
      <c r="I2750" s="543"/>
      <c r="J2750" s="543"/>
      <c r="K2750" s="543"/>
      <c r="L2750" s="543" t="s">
        <v>25</v>
      </c>
      <c r="M2750" s="543"/>
      <c r="N2750" s="543"/>
      <c r="O2750" s="543"/>
      <c r="P2750" s="543"/>
      <c r="Q2750" s="543" t="s">
        <v>26</v>
      </c>
      <c r="R2750" s="543"/>
      <c r="S2750" s="543"/>
      <c r="T2750" s="543"/>
      <c r="U2750" s="543"/>
    </row>
    <row r="2751" spans="1:21" x14ac:dyDescent="0.25">
      <c r="A2751" s="542"/>
      <c r="B2751" s="182" t="s">
        <v>19</v>
      </c>
      <c r="C2751" s="182" t="s">
        <v>20</v>
      </c>
      <c r="D2751" s="182" t="s">
        <v>21</v>
      </c>
      <c r="E2751" s="182" t="s">
        <v>22</v>
      </c>
      <c r="F2751" s="182" t="s">
        <v>23</v>
      </c>
      <c r="G2751" s="182" t="s">
        <v>19</v>
      </c>
      <c r="H2751" s="216" t="s">
        <v>20</v>
      </c>
      <c r="I2751" s="182" t="s">
        <v>21</v>
      </c>
      <c r="J2751" s="182" t="s">
        <v>22</v>
      </c>
      <c r="K2751" s="182" t="s">
        <v>23</v>
      </c>
      <c r="L2751" s="182" t="s">
        <v>19</v>
      </c>
      <c r="M2751" s="182" t="s">
        <v>20</v>
      </c>
      <c r="N2751" s="182" t="s">
        <v>21</v>
      </c>
      <c r="O2751" s="182" t="s">
        <v>22</v>
      </c>
      <c r="P2751" s="182" t="s">
        <v>23</v>
      </c>
      <c r="Q2751" s="182" t="s">
        <v>19</v>
      </c>
      <c r="R2751" s="182" t="s">
        <v>20</v>
      </c>
      <c r="S2751" s="182" t="s">
        <v>21</v>
      </c>
      <c r="T2751" s="182" t="s">
        <v>22</v>
      </c>
      <c r="U2751" s="211" t="s">
        <v>23</v>
      </c>
    </row>
    <row r="2752" spans="1:21" ht="47.25" x14ac:dyDescent="0.25">
      <c r="A2752" s="183" t="s">
        <v>867</v>
      </c>
      <c r="B2752" s="182" t="s">
        <v>47</v>
      </c>
      <c r="C2752" s="182" t="s">
        <v>28</v>
      </c>
      <c r="D2752" s="182">
        <v>3</v>
      </c>
      <c r="E2752" s="182">
        <f>skilled</f>
        <v>1245</v>
      </c>
      <c r="F2752" s="184">
        <f>(D2752*E2752)</f>
        <v>3735</v>
      </c>
      <c r="G2752" s="182" t="s">
        <v>85</v>
      </c>
      <c r="H2752" s="216" t="s">
        <v>35</v>
      </c>
      <c r="I2752" s="182">
        <v>6.33</v>
      </c>
      <c r="J2752" s="182">
        <f>adopted_rate_cement</f>
        <v>13031</v>
      </c>
      <c r="K2752" s="182">
        <f t="shared" ref="K2752:K2757" si="45">(I2752*J2752)</f>
        <v>82486.23</v>
      </c>
      <c r="L2752" s="182" t="s">
        <v>276</v>
      </c>
      <c r="M2752" s="182" t="s">
        <v>58</v>
      </c>
      <c r="N2752" s="182">
        <v>6</v>
      </c>
      <c r="O2752" s="182">
        <f>concrete_mixer</f>
        <v>296</v>
      </c>
      <c r="P2752" s="184">
        <f>(N2752*O2752)</f>
        <v>1776</v>
      </c>
      <c r="Q2752" s="182" t="s">
        <v>868</v>
      </c>
      <c r="R2752" s="182"/>
      <c r="U2752" s="223">
        <f>F2759*18/100</f>
        <v>35359.018199999999</v>
      </c>
    </row>
    <row r="2753" spans="1:21" x14ac:dyDescent="0.25">
      <c r="B2753" s="182" t="s">
        <v>29</v>
      </c>
      <c r="C2753" s="182" t="s">
        <v>28</v>
      </c>
      <c r="D2753" s="182">
        <v>32</v>
      </c>
      <c r="E2753" s="182">
        <f>unskilled</f>
        <v>935</v>
      </c>
      <c r="F2753" s="184">
        <f>(D2753*E2753)</f>
        <v>29920</v>
      </c>
      <c r="G2753" s="182" t="s">
        <v>430</v>
      </c>
      <c r="H2753" s="216" t="s">
        <v>84</v>
      </c>
      <c r="I2753" s="182">
        <v>6.75</v>
      </c>
      <c r="J2753" s="182">
        <f>adopted_rate_sand</f>
        <v>3175.2000000000003</v>
      </c>
      <c r="K2753" s="182">
        <f t="shared" si="45"/>
        <v>21432.600000000002</v>
      </c>
      <c r="L2753" s="182" t="s">
        <v>76</v>
      </c>
      <c r="M2753" s="182" t="s">
        <v>58</v>
      </c>
      <c r="N2753" s="182">
        <v>6</v>
      </c>
      <c r="O2753" s="182">
        <f>generator</f>
        <v>855</v>
      </c>
      <c r="P2753" s="184">
        <f>(N2753*O2753)</f>
        <v>5130</v>
      </c>
    </row>
    <row r="2754" spans="1:21" x14ac:dyDescent="0.25">
      <c r="G2754" s="182" t="s">
        <v>733</v>
      </c>
      <c r="H2754" s="216" t="s">
        <v>84</v>
      </c>
      <c r="I2754" s="182">
        <v>8.1</v>
      </c>
      <c r="J2754" s="182">
        <f>adopted_rate_aggregate_10_20_mm</f>
        <v>3351.6</v>
      </c>
      <c r="K2754" s="182">
        <f t="shared" si="45"/>
        <v>27147.96</v>
      </c>
    </row>
    <row r="2755" spans="1:21" x14ac:dyDescent="0.25">
      <c r="G2755" s="182" t="s">
        <v>734</v>
      </c>
      <c r="H2755" s="216" t="s">
        <v>84</v>
      </c>
      <c r="I2755" s="182">
        <v>5.4</v>
      </c>
      <c r="J2755" s="182">
        <f>adopted_rate_aggregate_10_mm</f>
        <v>3175.2000000000003</v>
      </c>
      <c r="K2755" s="182">
        <f t="shared" si="45"/>
        <v>17146.080000000002</v>
      </c>
    </row>
    <row r="2756" spans="1:21" x14ac:dyDescent="0.25">
      <c r="G2756" s="182" t="s">
        <v>171</v>
      </c>
      <c r="H2756" s="216" t="s">
        <v>172</v>
      </c>
      <c r="I2756" s="182">
        <v>3</v>
      </c>
      <c r="J2756" s="182">
        <f>adopted_rate_water</f>
        <v>310</v>
      </c>
      <c r="K2756" s="182">
        <f t="shared" si="45"/>
        <v>930</v>
      </c>
    </row>
    <row r="2757" spans="1:21" x14ac:dyDescent="0.25">
      <c r="G2757" s="182" t="s">
        <v>745</v>
      </c>
      <c r="H2757" s="216" t="s">
        <v>144</v>
      </c>
      <c r="I2757" s="182">
        <v>25.32</v>
      </c>
      <c r="J2757" s="182">
        <f>adopted_rate_admixture</f>
        <v>266</v>
      </c>
      <c r="K2757" s="182">
        <f t="shared" si="45"/>
        <v>6735.12</v>
      </c>
    </row>
    <row r="2758" spans="1:21" x14ac:dyDescent="0.25">
      <c r="A2758" s="537" t="s">
        <v>30</v>
      </c>
      <c r="B2758" s="537"/>
      <c r="C2758" s="537"/>
      <c r="D2758" s="537"/>
      <c r="E2758" s="537"/>
      <c r="F2758" s="184">
        <f>SUM(F2751:F2757)</f>
        <v>33655</v>
      </c>
      <c r="G2758" s="537" t="s">
        <v>31</v>
      </c>
      <c r="H2758" s="537"/>
      <c r="I2758" s="537"/>
      <c r="J2758" s="537"/>
      <c r="K2758" s="184">
        <f>SUM(K2751:K2757)</f>
        <v>155877.99</v>
      </c>
      <c r="L2758" s="537" t="s">
        <v>32</v>
      </c>
      <c r="M2758" s="537"/>
      <c r="N2758" s="537"/>
      <c r="O2758" s="537"/>
      <c r="P2758" s="184">
        <f>SUM(P2751:P2757)</f>
        <v>6906</v>
      </c>
      <c r="Q2758" s="537" t="s">
        <v>38</v>
      </c>
      <c r="R2758" s="537"/>
      <c r="S2758" s="537"/>
      <c r="T2758" s="537"/>
      <c r="U2758" s="223">
        <f>SUM(U2751:U2757)</f>
        <v>35359.018199999999</v>
      </c>
    </row>
    <row r="2759" spans="1:21" x14ac:dyDescent="0.25">
      <c r="A2759" s="537" t="s">
        <v>33</v>
      </c>
      <c r="B2759" s="537"/>
      <c r="C2759" s="537"/>
      <c r="D2759" s="537"/>
      <c r="E2759" s="537"/>
      <c r="F2759" s="184">
        <f>SUM(F2758+K2758+P2758)</f>
        <v>196438.99</v>
      </c>
      <c r="G2759" s="537" t="s">
        <v>39</v>
      </c>
      <c r="H2759" s="537"/>
      <c r="I2759" s="537"/>
      <c r="J2759" s="537"/>
      <c r="K2759" s="184">
        <f>SUM(F2758+K2758+P2758+U2758)</f>
        <v>231798.00819999998</v>
      </c>
      <c r="L2759" s="537" t="s">
        <v>40</v>
      </c>
      <c r="M2759" s="537"/>
      <c r="N2759" s="537"/>
      <c r="O2759" s="537"/>
      <c r="P2759" s="184">
        <f>SUM(K2759*0.15)</f>
        <v>34769.701229999999</v>
      </c>
      <c r="Q2759" s="537" t="s">
        <v>41</v>
      </c>
      <c r="R2759" s="537"/>
      <c r="S2759" s="537"/>
      <c r="T2759" s="537"/>
      <c r="U2759" s="223">
        <f>SUM(K2759+P2759)</f>
        <v>266567.70942999999</v>
      </c>
    </row>
    <row r="2760" spans="1:21" x14ac:dyDescent="0.25">
      <c r="Q2760" s="537" t="s">
        <v>42</v>
      </c>
      <c r="R2760" s="537"/>
      <c r="S2760" s="537"/>
      <c r="T2760" s="537"/>
      <c r="U2760" s="224">
        <f>ROUND((U2759/15),2)</f>
        <v>17771.18</v>
      </c>
    </row>
    <row r="2761" spans="1:21" x14ac:dyDescent="0.25">
      <c r="A2761" s="544"/>
      <c r="B2761" s="544"/>
      <c r="C2761" s="544"/>
      <c r="D2761" s="544"/>
      <c r="E2761" s="544"/>
      <c r="F2761" s="544"/>
      <c r="G2761" s="544"/>
      <c r="H2761" s="544"/>
      <c r="I2761" s="544"/>
      <c r="J2761" s="544"/>
      <c r="K2761" s="544"/>
      <c r="L2761" s="544"/>
      <c r="M2761" s="544"/>
      <c r="N2761" s="544"/>
      <c r="O2761" s="544"/>
      <c r="P2761" s="544"/>
      <c r="Q2761" s="544"/>
      <c r="R2761" s="544"/>
      <c r="S2761" s="544"/>
      <c r="T2761" s="544"/>
      <c r="U2761" s="544"/>
    </row>
    <row r="2762" spans="1:21" x14ac:dyDescent="0.25">
      <c r="A2762" s="538" t="s">
        <v>12</v>
      </c>
      <c r="B2762" s="538"/>
      <c r="C2762" s="540" t="s">
        <v>869</v>
      </c>
      <c r="D2762" s="540"/>
      <c r="E2762" s="540"/>
      <c r="F2762" s="540"/>
      <c r="G2762" s="540"/>
      <c r="H2762" s="540"/>
      <c r="I2762" s="540"/>
      <c r="J2762" s="540"/>
      <c r="K2762" s="540"/>
      <c r="L2762" s="540"/>
      <c r="M2762" s="540"/>
      <c r="N2762" s="540"/>
      <c r="O2762" s="540"/>
      <c r="P2762" s="540"/>
      <c r="Q2762" s="540"/>
      <c r="R2762" s="540"/>
      <c r="S2762" s="540"/>
      <c r="T2762" s="540"/>
      <c r="U2762" s="541" t="s">
        <v>726</v>
      </c>
    </row>
    <row r="2763" spans="1:21" x14ac:dyDescent="0.25">
      <c r="A2763" s="538"/>
      <c r="B2763" s="538"/>
      <c r="C2763" s="540"/>
      <c r="D2763" s="540"/>
      <c r="E2763" s="540"/>
      <c r="F2763" s="540"/>
      <c r="G2763" s="540"/>
      <c r="H2763" s="540"/>
      <c r="I2763" s="540"/>
      <c r="J2763" s="540"/>
      <c r="K2763" s="540"/>
      <c r="L2763" s="540"/>
      <c r="M2763" s="540"/>
      <c r="N2763" s="540"/>
      <c r="O2763" s="540"/>
      <c r="P2763" s="540"/>
      <c r="Q2763" s="540"/>
      <c r="R2763" s="540"/>
      <c r="S2763" s="540"/>
      <c r="T2763" s="540"/>
      <c r="U2763" s="541"/>
    </row>
    <row r="2764" spans="1:21" x14ac:dyDescent="0.25">
      <c r="A2764" s="539" t="s">
        <v>724</v>
      </c>
      <c r="B2764" s="539"/>
      <c r="C2764" s="540"/>
      <c r="D2764" s="540"/>
      <c r="E2764" s="540"/>
      <c r="F2764" s="540"/>
      <c r="G2764" s="540"/>
      <c r="H2764" s="540"/>
      <c r="I2764" s="540"/>
      <c r="J2764" s="540"/>
      <c r="K2764" s="540"/>
      <c r="L2764" s="540"/>
      <c r="M2764" s="540"/>
      <c r="N2764" s="540"/>
      <c r="O2764" s="540"/>
      <c r="P2764" s="540"/>
      <c r="Q2764" s="540"/>
      <c r="R2764" s="540"/>
      <c r="S2764" s="540"/>
      <c r="T2764" s="540"/>
      <c r="U2764" s="541"/>
    </row>
    <row r="2765" spans="1:21" x14ac:dyDescent="0.25">
      <c r="A2765" s="542" t="s">
        <v>16</v>
      </c>
      <c r="B2765" s="543" t="s">
        <v>18</v>
      </c>
      <c r="C2765" s="543"/>
      <c r="D2765" s="543"/>
      <c r="E2765" s="543"/>
      <c r="F2765" s="543"/>
      <c r="G2765" s="543" t="s">
        <v>24</v>
      </c>
      <c r="H2765" s="543"/>
      <c r="I2765" s="543"/>
      <c r="J2765" s="543"/>
      <c r="K2765" s="543"/>
      <c r="L2765" s="543" t="s">
        <v>25</v>
      </c>
      <c r="M2765" s="543"/>
      <c r="N2765" s="543"/>
      <c r="O2765" s="543"/>
      <c r="P2765" s="543"/>
      <c r="Q2765" s="543" t="s">
        <v>26</v>
      </c>
      <c r="R2765" s="543"/>
      <c r="S2765" s="543"/>
      <c r="T2765" s="543"/>
      <c r="U2765" s="543"/>
    </row>
    <row r="2766" spans="1:21" x14ac:dyDescent="0.25">
      <c r="A2766" s="542"/>
      <c r="B2766" s="182" t="s">
        <v>19</v>
      </c>
      <c r="C2766" s="182" t="s">
        <v>20</v>
      </c>
      <c r="D2766" s="182" t="s">
        <v>21</v>
      </c>
      <c r="E2766" s="182" t="s">
        <v>22</v>
      </c>
      <c r="F2766" s="182" t="s">
        <v>23</v>
      </c>
      <c r="G2766" s="182" t="s">
        <v>19</v>
      </c>
      <c r="H2766" s="216" t="s">
        <v>20</v>
      </c>
      <c r="I2766" s="182" t="s">
        <v>21</v>
      </c>
      <c r="J2766" s="182" t="s">
        <v>22</v>
      </c>
      <c r="K2766" s="182" t="s">
        <v>23</v>
      </c>
      <c r="L2766" s="182" t="s">
        <v>19</v>
      </c>
      <c r="M2766" s="182" t="s">
        <v>20</v>
      </c>
      <c r="N2766" s="182" t="s">
        <v>21</v>
      </c>
      <c r="O2766" s="182" t="s">
        <v>22</v>
      </c>
      <c r="P2766" s="182" t="s">
        <v>23</v>
      </c>
      <c r="Q2766" s="182" t="s">
        <v>19</v>
      </c>
      <c r="R2766" s="182" t="s">
        <v>20</v>
      </c>
      <c r="S2766" s="182" t="s">
        <v>21</v>
      </c>
      <c r="T2766" s="182" t="s">
        <v>22</v>
      </c>
      <c r="U2766" s="211" t="s">
        <v>23</v>
      </c>
    </row>
    <row r="2767" spans="1:21" ht="47.25" x14ac:dyDescent="0.25">
      <c r="A2767" s="183" t="s">
        <v>870</v>
      </c>
      <c r="B2767" s="182" t="s">
        <v>47</v>
      </c>
      <c r="C2767" s="182" t="s">
        <v>28</v>
      </c>
      <c r="D2767" s="182">
        <v>3</v>
      </c>
      <c r="E2767" s="182">
        <f>skilled</f>
        <v>1245</v>
      </c>
      <c r="F2767" s="184">
        <f>(D2767*E2767)</f>
        <v>3735</v>
      </c>
      <c r="G2767" s="182" t="s">
        <v>85</v>
      </c>
      <c r="H2767" s="216" t="s">
        <v>35</v>
      </c>
      <c r="I2767" s="182">
        <v>6.33</v>
      </c>
      <c r="J2767" s="182">
        <f>adopted_rate_cement</f>
        <v>13031</v>
      </c>
      <c r="K2767" s="182">
        <f t="shared" ref="K2767:K2772" si="46">(I2767*J2767)</f>
        <v>82486.23</v>
      </c>
      <c r="L2767" s="182" t="s">
        <v>276</v>
      </c>
      <c r="M2767" s="182" t="s">
        <v>58</v>
      </c>
      <c r="N2767" s="182">
        <v>6</v>
      </c>
      <c r="O2767" s="182">
        <f>concrete_mixer</f>
        <v>296</v>
      </c>
      <c r="P2767" s="184">
        <f>(N2767*O2767)</f>
        <v>1776</v>
      </c>
      <c r="Q2767" s="182" t="s">
        <v>871</v>
      </c>
      <c r="R2767" s="182"/>
      <c r="U2767" s="223">
        <f>F2774*23/100</f>
        <v>45180.967699999994</v>
      </c>
    </row>
    <row r="2768" spans="1:21" x14ac:dyDescent="0.25">
      <c r="B2768" s="182" t="s">
        <v>29</v>
      </c>
      <c r="C2768" s="182" t="s">
        <v>28</v>
      </c>
      <c r="D2768" s="182">
        <v>32</v>
      </c>
      <c r="E2768" s="182">
        <f>unskilled</f>
        <v>935</v>
      </c>
      <c r="F2768" s="184">
        <f>(D2768*E2768)</f>
        <v>29920</v>
      </c>
      <c r="G2768" s="182" t="s">
        <v>430</v>
      </c>
      <c r="H2768" s="216" t="s">
        <v>84</v>
      </c>
      <c r="I2768" s="182">
        <v>6.75</v>
      </c>
      <c r="J2768" s="182">
        <f>adopted_rate_sand</f>
        <v>3175.2000000000003</v>
      </c>
      <c r="K2768" s="182">
        <f t="shared" si="46"/>
        <v>21432.600000000002</v>
      </c>
      <c r="L2768" s="182" t="s">
        <v>76</v>
      </c>
      <c r="M2768" s="182" t="s">
        <v>58</v>
      </c>
      <c r="N2768" s="182">
        <v>6</v>
      </c>
      <c r="O2768" s="182">
        <f>generator</f>
        <v>855</v>
      </c>
      <c r="P2768" s="184">
        <f>(N2768*O2768)</f>
        <v>5130</v>
      </c>
    </row>
    <row r="2769" spans="1:21" x14ac:dyDescent="0.25">
      <c r="G2769" s="182" t="s">
        <v>733</v>
      </c>
      <c r="H2769" s="216" t="s">
        <v>84</v>
      </c>
      <c r="I2769" s="182">
        <v>8.1</v>
      </c>
      <c r="J2769" s="182">
        <f>adopted_rate_aggregate_10_20_mm</f>
        <v>3351.6</v>
      </c>
      <c r="K2769" s="182">
        <f t="shared" si="46"/>
        <v>27147.96</v>
      </c>
    </row>
    <row r="2770" spans="1:21" x14ac:dyDescent="0.25">
      <c r="G2770" s="182" t="s">
        <v>734</v>
      </c>
      <c r="H2770" s="216" t="s">
        <v>84</v>
      </c>
      <c r="I2770" s="182">
        <v>5.4</v>
      </c>
      <c r="J2770" s="182">
        <f>adopted_rate_aggregate_10_mm</f>
        <v>3175.2000000000003</v>
      </c>
      <c r="K2770" s="182">
        <f t="shared" si="46"/>
        <v>17146.080000000002</v>
      </c>
    </row>
    <row r="2771" spans="1:21" x14ac:dyDescent="0.25">
      <c r="G2771" s="182" t="s">
        <v>171</v>
      </c>
      <c r="H2771" s="216" t="s">
        <v>172</v>
      </c>
      <c r="I2771" s="182">
        <v>3</v>
      </c>
      <c r="J2771" s="182">
        <f>adopted_rate_water</f>
        <v>310</v>
      </c>
      <c r="K2771" s="182">
        <f t="shared" si="46"/>
        <v>930</v>
      </c>
    </row>
    <row r="2772" spans="1:21" x14ac:dyDescent="0.25">
      <c r="G2772" s="182" t="s">
        <v>745</v>
      </c>
      <c r="H2772" s="216" t="s">
        <v>144</v>
      </c>
      <c r="I2772" s="182">
        <v>25.32</v>
      </c>
      <c r="J2772" s="182">
        <f>adopted_rate_admixture</f>
        <v>266</v>
      </c>
      <c r="K2772" s="182">
        <f t="shared" si="46"/>
        <v>6735.12</v>
      </c>
    </row>
    <row r="2773" spans="1:21" x14ac:dyDescent="0.25">
      <c r="A2773" s="537" t="s">
        <v>30</v>
      </c>
      <c r="B2773" s="537"/>
      <c r="C2773" s="537"/>
      <c r="D2773" s="537"/>
      <c r="E2773" s="537"/>
      <c r="F2773" s="184">
        <f>SUM(F2766:F2772)</f>
        <v>33655</v>
      </c>
      <c r="G2773" s="537" t="s">
        <v>31</v>
      </c>
      <c r="H2773" s="537"/>
      <c r="I2773" s="537"/>
      <c r="J2773" s="537"/>
      <c r="K2773" s="184">
        <f>SUM(K2766:K2772)</f>
        <v>155877.99</v>
      </c>
      <c r="L2773" s="537" t="s">
        <v>32</v>
      </c>
      <c r="M2773" s="537"/>
      <c r="N2773" s="537"/>
      <c r="O2773" s="537"/>
      <c r="P2773" s="184">
        <f>SUM(P2766:P2772)</f>
        <v>6906</v>
      </c>
      <c r="Q2773" s="537" t="s">
        <v>38</v>
      </c>
      <c r="R2773" s="537"/>
      <c r="S2773" s="537"/>
      <c r="T2773" s="537"/>
      <c r="U2773" s="223">
        <f>SUM(U2766:U2772)</f>
        <v>45180.967699999994</v>
      </c>
    </row>
    <row r="2774" spans="1:21" x14ac:dyDescent="0.25">
      <c r="A2774" s="537" t="s">
        <v>33</v>
      </c>
      <c r="B2774" s="537"/>
      <c r="C2774" s="537"/>
      <c r="D2774" s="537"/>
      <c r="E2774" s="537"/>
      <c r="F2774" s="184">
        <f>SUM(F2773+K2773+P2773)</f>
        <v>196438.99</v>
      </c>
      <c r="G2774" s="537" t="s">
        <v>39</v>
      </c>
      <c r="H2774" s="537"/>
      <c r="I2774" s="537"/>
      <c r="J2774" s="537"/>
      <c r="K2774" s="184">
        <f>SUM(F2773+K2773+P2773+U2773)</f>
        <v>241619.95769999997</v>
      </c>
      <c r="L2774" s="537" t="s">
        <v>40</v>
      </c>
      <c r="M2774" s="537"/>
      <c r="N2774" s="537"/>
      <c r="O2774" s="537"/>
      <c r="P2774" s="184">
        <f>SUM(K2774*0.15)</f>
        <v>36242.993654999991</v>
      </c>
      <c r="Q2774" s="537" t="s">
        <v>41</v>
      </c>
      <c r="R2774" s="537"/>
      <c r="S2774" s="537"/>
      <c r="T2774" s="537"/>
      <c r="U2774" s="223">
        <f>SUM(K2774+P2774)</f>
        <v>277862.95135499997</v>
      </c>
    </row>
    <row r="2775" spans="1:21" x14ac:dyDescent="0.25">
      <c r="Q2775" s="537" t="s">
        <v>42</v>
      </c>
      <c r="R2775" s="537"/>
      <c r="S2775" s="537"/>
      <c r="T2775" s="537"/>
      <c r="U2775" s="224">
        <f>ROUND((U2774/15),2)</f>
        <v>18524.2</v>
      </c>
    </row>
    <row r="2776" spans="1:21" x14ac:dyDescent="0.25">
      <c r="A2776" s="544"/>
      <c r="B2776" s="544"/>
      <c r="C2776" s="544"/>
      <c r="D2776" s="544"/>
      <c r="E2776" s="544"/>
      <c r="F2776" s="544"/>
      <c r="G2776" s="544"/>
      <c r="H2776" s="544"/>
      <c r="I2776" s="544"/>
      <c r="J2776" s="544"/>
      <c r="K2776" s="544"/>
      <c r="L2776" s="544"/>
      <c r="M2776" s="544"/>
      <c r="N2776" s="544"/>
      <c r="O2776" s="544"/>
      <c r="P2776" s="544"/>
      <c r="Q2776" s="544"/>
      <c r="R2776" s="544"/>
      <c r="S2776" s="544"/>
      <c r="T2776" s="544"/>
      <c r="U2776" s="544"/>
    </row>
    <row r="2777" spans="1:21" x14ac:dyDescent="0.25">
      <c r="A2777" s="538" t="s">
        <v>12</v>
      </c>
      <c r="B2777" s="538"/>
      <c r="C2777" s="540" t="s">
        <v>872</v>
      </c>
      <c r="D2777" s="540"/>
      <c r="E2777" s="540"/>
      <c r="F2777" s="540"/>
      <c r="G2777" s="540"/>
      <c r="H2777" s="540"/>
      <c r="I2777" s="540"/>
      <c r="J2777" s="540"/>
      <c r="K2777" s="540"/>
      <c r="L2777" s="540"/>
      <c r="M2777" s="540"/>
      <c r="N2777" s="540"/>
      <c r="O2777" s="540"/>
      <c r="P2777" s="540"/>
      <c r="Q2777" s="540"/>
      <c r="R2777" s="540"/>
      <c r="S2777" s="540"/>
      <c r="T2777" s="540"/>
      <c r="U2777" s="541" t="s">
        <v>726</v>
      </c>
    </row>
    <row r="2778" spans="1:21" x14ac:dyDescent="0.25">
      <c r="A2778" s="538"/>
      <c r="B2778" s="538"/>
      <c r="C2778" s="540"/>
      <c r="D2778" s="540"/>
      <c r="E2778" s="540"/>
      <c r="F2778" s="540"/>
      <c r="G2778" s="540"/>
      <c r="H2778" s="540"/>
      <c r="I2778" s="540"/>
      <c r="J2778" s="540"/>
      <c r="K2778" s="540"/>
      <c r="L2778" s="540"/>
      <c r="M2778" s="540"/>
      <c r="N2778" s="540"/>
      <c r="O2778" s="540"/>
      <c r="P2778" s="540"/>
      <c r="Q2778" s="540"/>
      <c r="R2778" s="540"/>
      <c r="S2778" s="540"/>
      <c r="T2778" s="540"/>
      <c r="U2778" s="541"/>
    </row>
    <row r="2779" spans="1:21" x14ac:dyDescent="0.25">
      <c r="A2779" s="539" t="s">
        <v>724</v>
      </c>
      <c r="B2779" s="539"/>
      <c r="C2779" s="540"/>
      <c r="D2779" s="540"/>
      <c r="E2779" s="540"/>
      <c r="F2779" s="540"/>
      <c r="G2779" s="540"/>
      <c r="H2779" s="540"/>
      <c r="I2779" s="540"/>
      <c r="J2779" s="540"/>
      <c r="K2779" s="540"/>
      <c r="L2779" s="540"/>
      <c r="M2779" s="540"/>
      <c r="N2779" s="540"/>
      <c r="O2779" s="540"/>
      <c r="P2779" s="540"/>
      <c r="Q2779" s="540"/>
      <c r="R2779" s="540"/>
      <c r="S2779" s="540"/>
      <c r="T2779" s="540"/>
      <c r="U2779" s="541"/>
    </row>
    <row r="2780" spans="1:21" x14ac:dyDescent="0.25">
      <c r="A2780" s="542" t="s">
        <v>16</v>
      </c>
      <c r="B2780" s="543" t="s">
        <v>18</v>
      </c>
      <c r="C2780" s="543"/>
      <c r="D2780" s="543"/>
      <c r="E2780" s="543"/>
      <c r="F2780" s="543"/>
      <c r="G2780" s="543" t="s">
        <v>24</v>
      </c>
      <c r="H2780" s="543"/>
      <c r="I2780" s="543"/>
      <c r="J2780" s="543"/>
      <c r="K2780" s="543"/>
      <c r="L2780" s="543" t="s">
        <v>25</v>
      </c>
      <c r="M2780" s="543"/>
      <c r="N2780" s="543"/>
      <c r="O2780" s="543"/>
      <c r="P2780" s="543"/>
      <c r="Q2780" s="543" t="s">
        <v>26</v>
      </c>
      <c r="R2780" s="543"/>
      <c r="S2780" s="543"/>
      <c r="T2780" s="543"/>
      <c r="U2780" s="543"/>
    </row>
    <row r="2781" spans="1:21" x14ac:dyDescent="0.25">
      <c r="A2781" s="542"/>
      <c r="B2781" s="182" t="s">
        <v>19</v>
      </c>
      <c r="C2781" s="182" t="s">
        <v>20</v>
      </c>
      <c r="D2781" s="182" t="s">
        <v>21</v>
      </c>
      <c r="E2781" s="182" t="s">
        <v>22</v>
      </c>
      <c r="F2781" s="182" t="s">
        <v>23</v>
      </c>
      <c r="G2781" s="182" t="s">
        <v>19</v>
      </c>
      <c r="H2781" s="216" t="s">
        <v>20</v>
      </c>
      <c r="I2781" s="182" t="s">
        <v>21</v>
      </c>
      <c r="J2781" s="182" t="s">
        <v>22</v>
      </c>
      <c r="K2781" s="182" t="s">
        <v>23</v>
      </c>
      <c r="L2781" s="182" t="s">
        <v>19</v>
      </c>
      <c r="M2781" s="182" t="s">
        <v>20</v>
      </c>
      <c r="N2781" s="182" t="s">
        <v>21</v>
      </c>
      <c r="O2781" s="182" t="s">
        <v>22</v>
      </c>
      <c r="P2781" s="182" t="s">
        <v>23</v>
      </c>
      <c r="Q2781" s="182" t="s">
        <v>19</v>
      </c>
      <c r="R2781" s="182" t="s">
        <v>20</v>
      </c>
      <c r="S2781" s="182" t="s">
        <v>21</v>
      </c>
      <c r="T2781" s="182" t="s">
        <v>22</v>
      </c>
      <c r="U2781" s="211" t="s">
        <v>23</v>
      </c>
    </row>
    <row r="2782" spans="1:21" ht="47.25" x14ac:dyDescent="0.25">
      <c r="A2782" s="183" t="s">
        <v>873</v>
      </c>
      <c r="B2782" s="182" t="s">
        <v>47</v>
      </c>
      <c r="C2782" s="182" t="s">
        <v>28</v>
      </c>
      <c r="D2782" s="182">
        <v>3</v>
      </c>
      <c r="E2782" s="182">
        <f>skilled</f>
        <v>1245</v>
      </c>
      <c r="F2782" s="184">
        <f>(D2782*E2782)</f>
        <v>3735</v>
      </c>
      <c r="G2782" s="182" t="s">
        <v>85</v>
      </c>
      <c r="H2782" s="216" t="s">
        <v>35</v>
      </c>
      <c r="I2782" s="182">
        <v>6.33</v>
      </c>
      <c r="J2782" s="182">
        <f>adopted_rate_cement</f>
        <v>13031</v>
      </c>
      <c r="K2782" s="182">
        <f t="shared" ref="K2782:K2787" si="47">(I2782*J2782)</f>
        <v>82486.23</v>
      </c>
      <c r="L2782" s="182" t="s">
        <v>276</v>
      </c>
      <c r="M2782" s="182" t="s">
        <v>58</v>
      </c>
      <c r="N2782" s="182">
        <v>6</v>
      </c>
      <c r="O2782" s="182">
        <f>concrete_mixer</f>
        <v>296</v>
      </c>
      <c r="P2782" s="184">
        <f>(N2782*O2782)</f>
        <v>1776</v>
      </c>
      <c r="Q2782" s="182" t="s">
        <v>874</v>
      </c>
      <c r="R2782" s="182"/>
      <c r="U2782" s="223">
        <f>F2789*28/100</f>
        <v>55002.917199999996</v>
      </c>
    </row>
    <row r="2783" spans="1:21" x14ac:dyDescent="0.25">
      <c r="B2783" s="182" t="s">
        <v>29</v>
      </c>
      <c r="C2783" s="182" t="s">
        <v>28</v>
      </c>
      <c r="D2783" s="182">
        <v>32</v>
      </c>
      <c r="E2783" s="182">
        <f>unskilled</f>
        <v>935</v>
      </c>
      <c r="F2783" s="184">
        <f>(D2783*E2783)</f>
        <v>29920</v>
      </c>
      <c r="G2783" s="182" t="s">
        <v>430</v>
      </c>
      <c r="H2783" s="216" t="s">
        <v>84</v>
      </c>
      <c r="I2783" s="182">
        <v>6.75</v>
      </c>
      <c r="J2783" s="182">
        <f>adopted_rate_sand</f>
        <v>3175.2000000000003</v>
      </c>
      <c r="K2783" s="182">
        <f t="shared" si="47"/>
        <v>21432.600000000002</v>
      </c>
      <c r="L2783" s="182" t="s">
        <v>76</v>
      </c>
      <c r="M2783" s="182" t="s">
        <v>58</v>
      </c>
      <c r="N2783" s="182">
        <v>6</v>
      </c>
      <c r="O2783" s="182">
        <f>generator</f>
        <v>855</v>
      </c>
      <c r="P2783" s="184">
        <f>(N2783*O2783)</f>
        <v>5130</v>
      </c>
    </row>
    <row r="2784" spans="1:21" x14ac:dyDescent="0.25">
      <c r="G2784" s="182" t="s">
        <v>733</v>
      </c>
      <c r="H2784" s="216" t="s">
        <v>84</v>
      </c>
      <c r="I2784" s="182">
        <v>8.1</v>
      </c>
      <c r="J2784" s="182">
        <f>adopted_rate_aggregate_10_20_mm</f>
        <v>3351.6</v>
      </c>
      <c r="K2784" s="182">
        <f t="shared" si="47"/>
        <v>27147.96</v>
      </c>
    </row>
    <row r="2785" spans="1:21" x14ac:dyDescent="0.25">
      <c r="G2785" s="182" t="s">
        <v>734</v>
      </c>
      <c r="H2785" s="216" t="s">
        <v>84</v>
      </c>
      <c r="I2785" s="182">
        <v>5.4</v>
      </c>
      <c r="J2785" s="182">
        <f>adopted_rate_aggregate_10_mm</f>
        <v>3175.2000000000003</v>
      </c>
      <c r="K2785" s="182">
        <f t="shared" si="47"/>
        <v>17146.080000000002</v>
      </c>
    </row>
    <row r="2786" spans="1:21" x14ac:dyDescent="0.25">
      <c r="G2786" s="182" t="s">
        <v>171</v>
      </c>
      <c r="H2786" s="216" t="s">
        <v>172</v>
      </c>
      <c r="I2786" s="182">
        <v>3</v>
      </c>
      <c r="J2786" s="182">
        <f>adopted_rate_water</f>
        <v>310</v>
      </c>
      <c r="K2786" s="182">
        <f t="shared" si="47"/>
        <v>930</v>
      </c>
    </row>
    <row r="2787" spans="1:21" x14ac:dyDescent="0.25">
      <c r="G2787" s="182" t="s">
        <v>745</v>
      </c>
      <c r="H2787" s="216" t="s">
        <v>144</v>
      </c>
      <c r="I2787" s="182">
        <v>25.32</v>
      </c>
      <c r="J2787" s="182">
        <f>adopted_rate_admixture</f>
        <v>266</v>
      </c>
      <c r="K2787" s="182">
        <f t="shared" si="47"/>
        <v>6735.12</v>
      </c>
    </row>
    <row r="2788" spans="1:21" x14ac:dyDescent="0.25">
      <c r="A2788" s="537" t="s">
        <v>30</v>
      </c>
      <c r="B2788" s="537"/>
      <c r="C2788" s="537"/>
      <c r="D2788" s="537"/>
      <c r="E2788" s="537"/>
      <c r="F2788" s="184">
        <f>SUM(F2781:F2787)</f>
        <v>33655</v>
      </c>
      <c r="G2788" s="537" t="s">
        <v>31</v>
      </c>
      <c r="H2788" s="537"/>
      <c r="I2788" s="537"/>
      <c r="J2788" s="537"/>
      <c r="K2788" s="184">
        <f>SUM(K2781:K2787)</f>
        <v>155877.99</v>
      </c>
      <c r="L2788" s="537" t="s">
        <v>32</v>
      </c>
      <c r="M2788" s="537"/>
      <c r="N2788" s="537"/>
      <c r="O2788" s="537"/>
      <c r="P2788" s="184">
        <f>SUM(P2781:P2787)</f>
        <v>6906</v>
      </c>
      <c r="Q2788" s="537" t="s">
        <v>38</v>
      </c>
      <c r="R2788" s="537"/>
      <c r="S2788" s="537"/>
      <c r="T2788" s="537"/>
      <c r="U2788" s="223">
        <f>SUM(U2781:U2787)</f>
        <v>55002.917199999996</v>
      </c>
    </row>
    <row r="2789" spans="1:21" x14ac:dyDescent="0.25">
      <c r="A2789" s="537" t="s">
        <v>33</v>
      </c>
      <c r="B2789" s="537"/>
      <c r="C2789" s="537"/>
      <c r="D2789" s="537"/>
      <c r="E2789" s="537"/>
      <c r="F2789" s="184">
        <f>SUM(F2788+K2788+P2788)</f>
        <v>196438.99</v>
      </c>
      <c r="G2789" s="537" t="s">
        <v>39</v>
      </c>
      <c r="H2789" s="537"/>
      <c r="I2789" s="537"/>
      <c r="J2789" s="537"/>
      <c r="K2789" s="184">
        <f>SUM(F2788+K2788+P2788+U2788)</f>
        <v>251441.90719999999</v>
      </c>
      <c r="L2789" s="537" t="s">
        <v>40</v>
      </c>
      <c r="M2789" s="537"/>
      <c r="N2789" s="537"/>
      <c r="O2789" s="537"/>
      <c r="P2789" s="184">
        <f>SUM(K2789*0.15)</f>
        <v>37716.286079999998</v>
      </c>
      <c r="Q2789" s="537" t="s">
        <v>41</v>
      </c>
      <c r="R2789" s="537"/>
      <c r="S2789" s="537"/>
      <c r="T2789" s="537"/>
      <c r="U2789" s="223">
        <f>SUM(K2789+P2789)</f>
        <v>289158.19328000001</v>
      </c>
    </row>
    <row r="2790" spans="1:21" x14ac:dyDescent="0.25">
      <c r="Q2790" s="537" t="s">
        <v>42</v>
      </c>
      <c r="R2790" s="537"/>
      <c r="S2790" s="537"/>
      <c r="T2790" s="537"/>
      <c r="U2790" s="224">
        <f>ROUND((U2789/15),2)</f>
        <v>19277.21</v>
      </c>
    </row>
    <row r="2791" spans="1:21" x14ac:dyDescent="0.25">
      <c r="A2791" s="544"/>
      <c r="B2791" s="544"/>
      <c r="C2791" s="544"/>
      <c r="D2791" s="544"/>
      <c r="E2791" s="544"/>
      <c r="F2791" s="544"/>
      <c r="G2791" s="544"/>
      <c r="H2791" s="544"/>
      <c r="I2791" s="544"/>
      <c r="J2791" s="544"/>
      <c r="K2791" s="544"/>
      <c r="L2791" s="544"/>
      <c r="M2791" s="544"/>
      <c r="N2791" s="544"/>
      <c r="O2791" s="544"/>
      <c r="P2791" s="544"/>
      <c r="Q2791" s="544"/>
      <c r="R2791" s="544"/>
      <c r="S2791" s="544"/>
      <c r="T2791" s="544"/>
      <c r="U2791" s="544"/>
    </row>
    <row r="2792" spans="1:21" x14ac:dyDescent="0.25">
      <c r="A2792" s="538" t="s">
        <v>12</v>
      </c>
      <c r="B2792" s="538"/>
      <c r="C2792" s="540" t="s">
        <v>875</v>
      </c>
      <c r="D2792" s="540"/>
      <c r="E2792" s="540"/>
      <c r="F2792" s="540"/>
      <c r="G2792" s="540"/>
      <c r="H2792" s="540"/>
      <c r="I2792" s="540"/>
      <c r="J2792" s="540"/>
      <c r="K2792" s="540"/>
      <c r="L2792" s="540"/>
      <c r="M2792" s="540"/>
      <c r="N2792" s="540"/>
      <c r="O2792" s="540"/>
      <c r="P2792" s="540"/>
      <c r="Q2792" s="540"/>
      <c r="R2792" s="540"/>
      <c r="S2792" s="540"/>
      <c r="T2792" s="540"/>
      <c r="U2792" s="541" t="s">
        <v>726</v>
      </c>
    </row>
    <row r="2793" spans="1:21" x14ac:dyDescent="0.25">
      <c r="A2793" s="538"/>
      <c r="B2793" s="538"/>
      <c r="C2793" s="540"/>
      <c r="D2793" s="540"/>
      <c r="E2793" s="540"/>
      <c r="F2793" s="540"/>
      <c r="G2793" s="540"/>
      <c r="H2793" s="540"/>
      <c r="I2793" s="540"/>
      <c r="J2793" s="540"/>
      <c r="K2793" s="540"/>
      <c r="L2793" s="540"/>
      <c r="M2793" s="540"/>
      <c r="N2793" s="540"/>
      <c r="O2793" s="540"/>
      <c r="P2793" s="540"/>
      <c r="Q2793" s="540"/>
      <c r="R2793" s="540"/>
      <c r="S2793" s="540"/>
      <c r="T2793" s="540"/>
      <c r="U2793" s="541"/>
    </row>
    <row r="2794" spans="1:21" x14ac:dyDescent="0.25">
      <c r="A2794" s="539" t="s">
        <v>724</v>
      </c>
      <c r="B2794" s="539"/>
      <c r="C2794" s="540"/>
      <c r="D2794" s="540"/>
      <c r="E2794" s="540"/>
      <c r="F2794" s="540"/>
      <c r="G2794" s="540"/>
      <c r="H2794" s="540"/>
      <c r="I2794" s="540"/>
      <c r="J2794" s="540"/>
      <c r="K2794" s="540"/>
      <c r="L2794" s="540"/>
      <c r="M2794" s="540"/>
      <c r="N2794" s="540"/>
      <c r="O2794" s="540"/>
      <c r="P2794" s="540"/>
      <c r="Q2794" s="540"/>
      <c r="R2794" s="540"/>
      <c r="S2794" s="540"/>
      <c r="T2794" s="540"/>
      <c r="U2794" s="541"/>
    </row>
    <row r="2795" spans="1:21" x14ac:dyDescent="0.25">
      <c r="A2795" s="542" t="s">
        <v>16</v>
      </c>
      <c r="B2795" s="543" t="s">
        <v>18</v>
      </c>
      <c r="C2795" s="543"/>
      <c r="D2795" s="543"/>
      <c r="E2795" s="543"/>
      <c r="F2795" s="543"/>
      <c r="G2795" s="543" t="s">
        <v>24</v>
      </c>
      <c r="H2795" s="543"/>
      <c r="I2795" s="543"/>
      <c r="J2795" s="543"/>
      <c r="K2795" s="543"/>
      <c r="L2795" s="543" t="s">
        <v>25</v>
      </c>
      <c r="M2795" s="543"/>
      <c r="N2795" s="543"/>
      <c r="O2795" s="543"/>
      <c r="P2795" s="543"/>
      <c r="Q2795" s="543" t="s">
        <v>26</v>
      </c>
      <c r="R2795" s="543"/>
      <c r="S2795" s="543"/>
      <c r="T2795" s="543"/>
      <c r="U2795" s="543"/>
    </row>
    <row r="2796" spans="1:21" x14ac:dyDescent="0.25">
      <c r="A2796" s="542"/>
      <c r="B2796" s="182" t="s">
        <v>19</v>
      </c>
      <c r="C2796" s="182" t="s">
        <v>20</v>
      </c>
      <c r="D2796" s="182" t="s">
        <v>21</v>
      </c>
      <c r="E2796" s="182" t="s">
        <v>22</v>
      </c>
      <c r="F2796" s="182" t="s">
        <v>23</v>
      </c>
      <c r="G2796" s="182" t="s">
        <v>19</v>
      </c>
      <c r="H2796" s="216" t="s">
        <v>20</v>
      </c>
      <c r="I2796" s="182" t="s">
        <v>21</v>
      </c>
      <c r="J2796" s="182" t="s">
        <v>22</v>
      </c>
      <c r="K2796" s="182" t="s">
        <v>23</v>
      </c>
      <c r="L2796" s="182" t="s">
        <v>19</v>
      </c>
      <c r="M2796" s="182" t="s">
        <v>20</v>
      </c>
      <c r="N2796" s="182" t="s">
        <v>21</v>
      </c>
      <c r="O2796" s="182" t="s">
        <v>22</v>
      </c>
      <c r="P2796" s="182" t="s">
        <v>23</v>
      </c>
      <c r="Q2796" s="182" t="s">
        <v>19</v>
      </c>
      <c r="R2796" s="182" t="s">
        <v>20</v>
      </c>
      <c r="S2796" s="182" t="s">
        <v>21</v>
      </c>
      <c r="T2796" s="182" t="s">
        <v>22</v>
      </c>
      <c r="U2796" s="211" t="s">
        <v>23</v>
      </c>
    </row>
    <row r="2797" spans="1:21" ht="47.25" x14ac:dyDescent="0.25">
      <c r="A2797" s="183" t="s">
        <v>876</v>
      </c>
      <c r="B2797" s="182" t="s">
        <v>47</v>
      </c>
      <c r="C2797" s="182" t="s">
        <v>28</v>
      </c>
      <c r="D2797" s="182">
        <v>3</v>
      </c>
      <c r="E2797" s="182">
        <f>skilled</f>
        <v>1245</v>
      </c>
      <c r="F2797" s="184">
        <f>(D2797*E2797)</f>
        <v>3735</v>
      </c>
      <c r="G2797" s="182" t="s">
        <v>85</v>
      </c>
      <c r="H2797" s="216" t="s">
        <v>35</v>
      </c>
      <c r="I2797" s="182">
        <v>6.33</v>
      </c>
      <c r="J2797" s="182">
        <f>adopted_rate_cement</f>
        <v>13031</v>
      </c>
      <c r="K2797" s="182">
        <f t="shared" ref="K2797:K2802" si="48">(I2797*J2797)</f>
        <v>82486.23</v>
      </c>
      <c r="L2797" s="182" t="s">
        <v>276</v>
      </c>
      <c r="M2797" s="182" t="s">
        <v>58</v>
      </c>
      <c r="N2797" s="182">
        <v>6</v>
      </c>
      <c r="O2797" s="182">
        <f>concrete_mixer</f>
        <v>296</v>
      </c>
      <c r="P2797" s="184">
        <f>(N2797*O2797)</f>
        <v>1776</v>
      </c>
      <c r="Q2797" s="182" t="s">
        <v>871</v>
      </c>
      <c r="R2797" s="182"/>
      <c r="U2797" s="223">
        <f>F2804*23/100</f>
        <v>45180.967699999994</v>
      </c>
    </row>
    <row r="2798" spans="1:21" x14ac:dyDescent="0.25">
      <c r="B2798" s="182" t="s">
        <v>29</v>
      </c>
      <c r="C2798" s="182" t="s">
        <v>28</v>
      </c>
      <c r="D2798" s="182">
        <v>32</v>
      </c>
      <c r="E2798" s="182">
        <f>unskilled</f>
        <v>935</v>
      </c>
      <c r="F2798" s="184">
        <f>(D2798*E2798)</f>
        <v>29920</v>
      </c>
      <c r="G2798" s="182" t="s">
        <v>430</v>
      </c>
      <c r="H2798" s="216" t="s">
        <v>84</v>
      </c>
      <c r="I2798" s="182">
        <v>6.75</v>
      </c>
      <c r="J2798" s="182">
        <f>adopted_rate_sand</f>
        <v>3175.2000000000003</v>
      </c>
      <c r="K2798" s="182">
        <f t="shared" si="48"/>
        <v>21432.600000000002</v>
      </c>
      <c r="L2798" s="182" t="s">
        <v>76</v>
      </c>
      <c r="M2798" s="182" t="s">
        <v>58</v>
      </c>
      <c r="N2798" s="182">
        <v>6</v>
      </c>
      <c r="O2798" s="182">
        <f>generator</f>
        <v>855</v>
      </c>
      <c r="P2798" s="184">
        <f>(N2798*O2798)</f>
        <v>5130</v>
      </c>
    </row>
    <row r="2799" spans="1:21" x14ac:dyDescent="0.25">
      <c r="G2799" s="182" t="s">
        <v>733</v>
      </c>
      <c r="H2799" s="216" t="s">
        <v>84</v>
      </c>
      <c r="I2799" s="182">
        <v>8.1</v>
      </c>
      <c r="J2799" s="182">
        <f>adopted_rate_aggregate_10_20_mm</f>
        <v>3351.6</v>
      </c>
      <c r="K2799" s="182">
        <f t="shared" si="48"/>
        <v>27147.96</v>
      </c>
    </row>
    <row r="2800" spans="1:21" x14ac:dyDescent="0.25">
      <c r="G2800" s="182" t="s">
        <v>734</v>
      </c>
      <c r="H2800" s="216" t="s">
        <v>84</v>
      </c>
      <c r="I2800" s="182">
        <v>5.4</v>
      </c>
      <c r="J2800" s="182">
        <f>adopted_rate_aggregate_10_mm</f>
        <v>3175.2000000000003</v>
      </c>
      <c r="K2800" s="182">
        <f t="shared" si="48"/>
        <v>17146.080000000002</v>
      </c>
    </row>
    <row r="2801" spans="1:21" x14ac:dyDescent="0.25">
      <c r="G2801" s="182" t="s">
        <v>171</v>
      </c>
      <c r="H2801" s="216" t="s">
        <v>172</v>
      </c>
      <c r="I2801" s="182">
        <v>3</v>
      </c>
      <c r="J2801" s="182">
        <f>adopted_rate_water</f>
        <v>310</v>
      </c>
      <c r="K2801" s="182">
        <f t="shared" si="48"/>
        <v>930</v>
      </c>
    </row>
    <row r="2802" spans="1:21" x14ac:dyDescent="0.25">
      <c r="G2802" s="182" t="s">
        <v>745</v>
      </c>
      <c r="H2802" s="216" t="s">
        <v>144</v>
      </c>
      <c r="I2802" s="182">
        <v>25.32</v>
      </c>
      <c r="J2802" s="182">
        <f>adopted_rate_admixture</f>
        <v>266</v>
      </c>
      <c r="K2802" s="182">
        <f t="shared" si="48"/>
        <v>6735.12</v>
      </c>
    </row>
    <row r="2803" spans="1:21" x14ac:dyDescent="0.25">
      <c r="A2803" s="537" t="s">
        <v>30</v>
      </c>
      <c r="B2803" s="537"/>
      <c r="C2803" s="537"/>
      <c r="D2803" s="537"/>
      <c r="E2803" s="537"/>
      <c r="F2803" s="184">
        <f>SUM(F2796:F2802)</f>
        <v>33655</v>
      </c>
      <c r="G2803" s="537" t="s">
        <v>31</v>
      </c>
      <c r="H2803" s="537"/>
      <c r="I2803" s="537"/>
      <c r="J2803" s="537"/>
      <c r="K2803" s="184">
        <f>SUM(K2796:K2802)</f>
        <v>155877.99</v>
      </c>
      <c r="L2803" s="537" t="s">
        <v>32</v>
      </c>
      <c r="M2803" s="537"/>
      <c r="N2803" s="537"/>
      <c r="O2803" s="537"/>
      <c r="P2803" s="184">
        <f>SUM(P2796:P2802)</f>
        <v>6906</v>
      </c>
      <c r="Q2803" s="537" t="s">
        <v>38</v>
      </c>
      <c r="R2803" s="537"/>
      <c r="S2803" s="537"/>
      <c r="T2803" s="537"/>
      <c r="U2803" s="223">
        <f>SUM(U2796:U2802)</f>
        <v>45180.967699999994</v>
      </c>
    </row>
    <row r="2804" spans="1:21" x14ac:dyDescent="0.25">
      <c r="A2804" s="537" t="s">
        <v>33</v>
      </c>
      <c r="B2804" s="537"/>
      <c r="C2804" s="537"/>
      <c r="D2804" s="537"/>
      <c r="E2804" s="537"/>
      <c r="F2804" s="184">
        <f>SUM(F2803+K2803+P2803)</f>
        <v>196438.99</v>
      </c>
      <c r="G2804" s="537" t="s">
        <v>39</v>
      </c>
      <c r="H2804" s="537"/>
      <c r="I2804" s="537"/>
      <c r="J2804" s="537"/>
      <c r="K2804" s="184">
        <f>SUM(F2803+K2803+P2803+U2803)</f>
        <v>241619.95769999997</v>
      </c>
      <c r="L2804" s="537" t="s">
        <v>40</v>
      </c>
      <c r="M2804" s="537"/>
      <c r="N2804" s="537"/>
      <c r="O2804" s="537"/>
      <c r="P2804" s="184">
        <f>SUM(K2804*0.15)</f>
        <v>36242.993654999991</v>
      </c>
      <c r="Q2804" s="537" t="s">
        <v>41</v>
      </c>
      <c r="R2804" s="537"/>
      <c r="S2804" s="537"/>
      <c r="T2804" s="537"/>
      <c r="U2804" s="223">
        <f>SUM(K2804+P2804)</f>
        <v>277862.95135499997</v>
      </c>
    </row>
    <row r="2805" spans="1:21" x14ac:dyDescent="0.25">
      <c r="Q2805" s="537" t="s">
        <v>42</v>
      </c>
      <c r="R2805" s="537"/>
      <c r="S2805" s="537"/>
      <c r="T2805" s="537"/>
      <c r="U2805" s="224">
        <f>ROUND((U2804/15),2)</f>
        <v>18524.2</v>
      </c>
    </row>
    <row r="2806" spans="1:21" x14ac:dyDescent="0.25">
      <c r="A2806" s="544"/>
      <c r="B2806" s="544"/>
      <c r="C2806" s="544"/>
      <c r="D2806" s="544"/>
      <c r="E2806" s="544"/>
      <c r="F2806" s="544"/>
      <c r="G2806" s="544"/>
      <c r="H2806" s="544"/>
      <c r="I2806" s="544"/>
      <c r="J2806" s="544"/>
      <c r="K2806" s="544"/>
      <c r="L2806" s="544"/>
      <c r="M2806" s="544"/>
      <c r="N2806" s="544"/>
      <c r="O2806" s="544"/>
      <c r="P2806" s="544"/>
      <c r="Q2806" s="544"/>
      <c r="R2806" s="544"/>
      <c r="S2806" s="544"/>
      <c r="T2806" s="544"/>
      <c r="U2806" s="544"/>
    </row>
    <row r="2807" spans="1:21" x14ac:dyDescent="0.25">
      <c r="A2807" s="538" t="s">
        <v>12</v>
      </c>
      <c r="B2807" s="538"/>
      <c r="C2807" s="540" t="s">
        <v>877</v>
      </c>
      <c r="D2807" s="540"/>
      <c r="E2807" s="540"/>
      <c r="F2807" s="540"/>
      <c r="G2807" s="540"/>
      <c r="H2807" s="540"/>
      <c r="I2807" s="540"/>
      <c r="J2807" s="540"/>
      <c r="K2807" s="540"/>
      <c r="L2807" s="540"/>
      <c r="M2807" s="540"/>
      <c r="N2807" s="540"/>
      <c r="O2807" s="540"/>
      <c r="P2807" s="540"/>
      <c r="Q2807" s="540"/>
      <c r="R2807" s="540"/>
      <c r="S2807" s="540"/>
      <c r="T2807" s="540"/>
      <c r="U2807" s="541" t="s">
        <v>726</v>
      </c>
    </row>
    <row r="2808" spans="1:21" x14ac:dyDescent="0.25">
      <c r="A2808" s="538"/>
      <c r="B2808" s="538"/>
      <c r="C2808" s="540"/>
      <c r="D2808" s="540"/>
      <c r="E2808" s="540"/>
      <c r="F2808" s="540"/>
      <c r="G2808" s="540"/>
      <c r="H2808" s="540"/>
      <c r="I2808" s="540"/>
      <c r="J2808" s="540"/>
      <c r="K2808" s="540"/>
      <c r="L2808" s="540"/>
      <c r="M2808" s="540"/>
      <c r="N2808" s="540"/>
      <c r="O2808" s="540"/>
      <c r="P2808" s="540"/>
      <c r="Q2808" s="540"/>
      <c r="R2808" s="540"/>
      <c r="S2808" s="540"/>
      <c r="T2808" s="540"/>
      <c r="U2808" s="541"/>
    </row>
    <row r="2809" spans="1:21" x14ac:dyDescent="0.25">
      <c r="A2809" s="539" t="s">
        <v>724</v>
      </c>
      <c r="B2809" s="539"/>
      <c r="C2809" s="540"/>
      <c r="D2809" s="540"/>
      <c r="E2809" s="540"/>
      <c r="F2809" s="540"/>
      <c r="G2809" s="540"/>
      <c r="H2809" s="540"/>
      <c r="I2809" s="540"/>
      <c r="J2809" s="540"/>
      <c r="K2809" s="540"/>
      <c r="L2809" s="540"/>
      <c r="M2809" s="540"/>
      <c r="N2809" s="540"/>
      <c r="O2809" s="540"/>
      <c r="P2809" s="540"/>
      <c r="Q2809" s="540"/>
      <c r="R2809" s="540"/>
      <c r="S2809" s="540"/>
      <c r="T2809" s="540"/>
      <c r="U2809" s="541"/>
    </row>
    <row r="2810" spans="1:21" x14ac:dyDescent="0.25">
      <c r="A2810" s="542" t="s">
        <v>16</v>
      </c>
      <c r="B2810" s="543" t="s">
        <v>18</v>
      </c>
      <c r="C2810" s="543"/>
      <c r="D2810" s="543"/>
      <c r="E2810" s="543"/>
      <c r="F2810" s="543"/>
      <c r="G2810" s="543" t="s">
        <v>24</v>
      </c>
      <c r="H2810" s="543"/>
      <c r="I2810" s="543"/>
      <c r="J2810" s="543"/>
      <c r="K2810" s="543"/>
      <c r="L2810" s="543" t="s">
        <v>25</v>
      </c>
      <c r="M2810" s="543"/>
      <c r="N2810" s="543"/>
      <c r="O2810" s="543"/>
      <c r="P2810" s="543"/>
      <c r="Q2810" s="543" t="s">
        <v>26</v>
      </c>
      <c r="R2810" s="543"/>
      <c r="S2810" s="543"/>
      <c r="T2810" s="543"/>
      <c r="U2810" s="543"/>
    </row>
    <row r="2811" spans="1:21" x14ac:dyDescent="0.25">
      <c r="A2811" s="542"/>
      <c r="B2811" s="182" t="s">
        <v>19</v>
      </c>
      <c r="C2811" s="182" t="s">
        <v>20</v>
      </c>
      <c r="D2811" s="182" t="s">
        <v>21</v>
      </c>
      <c r="E2811" s="182" t="s">
        <v>22</v>
      </c>
      <c r="F2811" s="182" t="s">
        <v>23</v>
      </c>
      <c r="G2811" s="182" t="s">
        <v>19</v>
      </c>
      <c r="H2811" s="216" t="s">
        <v>20</v>
      </c>
      <c r="I2811" s="182" t="s">
        <v>21</v>
      </c>
      <c r="J2811" s="182" t="s">
        <v>22</v>
      </c>
      <c r="K2811" s="182" t="s">
        <v>23</v>
      </c>
      <c r="L2811" s="182" t="s">
        <v>19</v>
      </c>
      <c r="M2811" s="182" t="s">
        <v>20</v>
      </c>
      <c r="N2811" s="182" t="s">
        <v>21</v>
      </c>
      <c r="O2811" s="182" t="s">
        <v>22</v>
      </c>
      <c r="P2811" s="182" t="s">
        <v>23</v>
      </c>
      <c r="Q2811" s="182" t="s">
        <v>19</v>
      </c>
      <c r="R2811" s="182" t="s">
        <v>20</v>
      </c>
      <c r="S2811" s="182" t="s">
        <v>21</v>
      </c>
      <c r="T2811" s="182" t="s">
        <v>22</v>
      </c>
      <c r="U2811" s="211" t="s">
        <v>23</v>
      </c>
    </row>
    <row r="2812" spans="1:21" ht="47.25" x14ac:dyDescent="0.25">
      <c r="A2812" s="183" t="s">
        <v>878</v>
      </c>
      <c r="B2812" s="182" t="s">
        <v>47</v>
      </c>
      <c r="C2812" s="182" t="s">
        <v>28</v>
      </c>
      <c r="D2812" s="182">
        <v>4</v>
      </c>
      <c r="E2812" s="182">
        <f>skilled</f>
        <v>1245</v>
      </c>
      <c r="F2812" s="184">
        <f>(D2812*E2812)</f>
        <v>4980</v>
      </c>
      <c r="G2812" s="182" t="s">
        <v>85</v>
      </c>
      <c r="H2812" s="216" t="s">
        <v>35</v>
      </c>
      <c r="I2812" s="182">
        <v>6.45</v>
      </c>
      <c r="J2812" s="182">
        <f>adopted_rate_cement</f>
        <v>13031</v>
      </c>
      <c r="K2812" s="182">
        <f t="shared" ref="K2812:K2817" si="49">(I2812*J2812)</f>
        <v>84049.95</v>
      </c>
      <c r="L2812" s="182" t="s">
        <v>276</v>
      </c>
      <c r="M2812" s="182" t="s">
        <v>58</v>
      </c>
      <c r="N2812" s="182">
        <v>6</v>
      </c>
      <c r="O2812" s="182">
        <f>concrete_mixer</f>
        <v>296</v>
      </c>
      <c r="P2812" s="184">
        <f>(N2812*O2812)</f>
        <v>1776</v>
      </c>
      <c r="Q2812" s="182" t="s">
        <v>879</v>
      </c>
      <c r="R2812" s="182"/>
      <c r="U2812" s="223">
        <f>F2819*20/100</f>
        <v>40062.078000000001</v>
      </c>
    </row>
    <row r="2813" spans="1:21" x14ac:dyDescent="0.25">
      <c r="B2813" s="182" t="s">
        <v>29</v>
      </c>
      <c r="C2813" s="182" t="s">
        <v>28</v>
      </c>
      <c r="D2813" s="182">
        <v>33</v>
      </c>
      <c r="E2813" s="182">
        <f>unskilled</f>
        <v>935</v>
      </c>
      <c r="F2813" s="184">
        <f>(D2813*E2813)</f>
        <v>30855</v>
      </c>
      <c r="G2813" s="182" t="s">
        <v>430</v>
      </c>
      <c r="H2813" s="216" t="s">
        <v>84</v>
      </c>
      <c r="I2813" s="182">
        <v>6.75</v>
      </c>
      <c r="J2813" s="182">
        <f>adopted_rate_sand</f>
        <v>3175.2000000000003</v>
      </c>
      <c r="K2813" s="182">
        <f t="shared" si="49"/>
        <v>21432.600000000002</v>
      </c>
      <c r="L2813" s="182" t="s">
        <v>76</v>
      </c>
      <c r="M2813" s="182" t="s">
        <v>58</v>
      </c>
      <c r="N2813" s="182">
        <v>6</v>
      </c>
      <c r="O2813" s="182">
        <f>generator</f>
        <v>855</v>
      </c>
      <c r="P2813" s="184">
        <f>(N2813*O2813)</f>
        <v>5130</v>
      </c>
    </row>
    <row r="2814" spans="1:21" x14ac:dyDescent="0.25">
      <c r="G2814" s="182" t="s">
        <v>733</v>
      </c>
      <c r="H2814" s="216" t="s">
        <v>84</v>
      </c>
      <c r="I2814" s="182">
        <v>8.1</v>
      </c>
      <c r="J2814" s="182">
        <f>adopted_rate_aggregate_10_20_mm</f>
        <v>3351.6</v>
      </c>
      <c r="K2814" s="182">
        <f t="shared" si="49"/>
        <v>27147.96</v>
      </c>
    </row>
    <row r="2815" spans="1:21" x14ac:dyDescent="0.25">
      <c r="G2815" s="182" t="s">
        <v>734</v>
      </c>
      <c r="H2815" s="216" t="s">
        <v>84</v>
      </c>
      <c r="I2815" s="182">
        <v>5.4</v>
      </c>
      <c r="J2815" s="182">
        <f>adopted_rate_aggregate_10_mm</f>
        <v>3175.2000000000003</v>
      </c>
      <c r="K2815" s="182">
        <f t="shared" si="49"/>
        <v>17146.080000000002</v>
      </c>
    </row>
    <row r="2816" spans="1:21" x14ac:dyDescent="0.25">
      <c r="G2816" s="182" t="s">
        <v>745</v>
      </c>
      <c r="H2816" s="216" t="s">
        <v>144</v>
      </c>
      <c r="I2816" s="182">
        <v>25.8</v>
      </c>
      <c r="J2816" s="182">
        <f>adopted_rate_admixture</f>
        <v>266</v>
      </c>
      <c r="K2816" s="182">
        <f t="shared" si="49"/>
        <v>6862.8</v>
      </c>
    </row>
    <row r="2817" spans="1:21" x14ac:dyDescent="0.25">
      <c r="G2817" s="182" t="s">
        <v>171</v>
      </c>
      <c r="H2817" s="216" t="s">
        <v>172</v>
      </c>
      <c r="I2817" s="182">
        <v>3</v>
      </c>
      <c r="J2817" s="182">
        <f>adopted_rate_water</f>
        <v>310</v>
      </c>
      <c r="K2817" s="182">
        <f t="shared" si="49"/>
        <v>930</v>
      </c>
    </row>
    <row r="2818" spans="1:21" x14ac:dyDescent="0.25">
      <c r="A2818" s="537" t="s">
        <v>30</v>
      </c>
      <c r="B2818" s="537"/>
      <c r="C2818" s="537"/>
      <c r="D2818" s="537"/>
      <c r="E2818" s="537"/>
      <c r="F2818" s="184">
        <f>SUM(F2811:F2817)</f>
        <v>35835</v>
      </c>
      <c r="G2818" s="537" t="s">
        <v>31</v>
      </c>
      <c r="H2818" s="537"/>
      <c r="I2818" s="537"/>
      <c r="J2818" s="537"/>
      <c r="K2818" s="184">
        <f>SUM(K2811:K2817)</f>
        <v>157569.39000000001</v>
      </c>
      <c r="L2818" s="537" t="s">
        <v>32</v>
      </c>
      <c r="M2818" s="537"/>
      <c r="N2818" s="537"/>
      <c r="O2818" s="537"/>
      <c r="P2818" s="184">
        <f>SUM(P2811:P2817)</f>
        <v>6906</v>
      </c>
      <c r="Q2818" s="537" t="s">
        <v>38</v>
      </c>
      <c r="R2818" s="537"/>
      <c r="S2818" s="537"/>
      <c r="T2818" s="537"/>
      <c r="U2818" s="223">
        <f>SUM(U2811:U2817)</f>
        <v>40062.078000000001</v>
      </c>
    </row>
    <row r="2819" spans="1:21" x14ac:dyDescent="0.25">
      <c r="A2819" s="537" t="s">
        <v>33</v>
      </c>
      <c r="B2819" s="537"/>
      <c r="C2819" s="537"/>
      <c r="D2819" s="537"/>
      <c r="E2819" s="537"/>
      <c r="F2819" s="184">
        <f>SUM(F2818+K2818+P2818)</f>
        <v>200310.39</v>
      </c>
      <c r="G2819" s="537" t="s">
        <v>39</v>
      </c>
      <c r="H2819" s="537"/>
      <c r="I2819" s="537"/>
      <c r="J2819" s="537"/>
      <c r="K2819" s="184">
        <f>SUM(F2818+K2818+P2818+U2818)</f>
        <v>240372.46800000002</v>
      </c>
      <c r="L2819" s="537" t="s">
        <v>40</v>
      </c>
      <c r="M2819" s="537"/>
      <c r="N2819" s="537"/>
      <c r="O2819" s="537"/>
      <c r="P2819" s="184">
        <f>SUM(K2819*0.15)</f>
        <v>36055.870200000005</v>
      </c>
      <c r="Q2819" s="537" t="s">
        <v>41</v>
      </c>
      <c r="R2819" s="537"/>
      <c r="S2819" s="537"/>
      <c r="T2819" s="537"/>
      <c r="U2819" s="223">
        <f>SUM(K2819+P2819)</f>
        <v>276428.3382</v>
      </c>
    </row>
    <row r="2820" spans="1:21" x14ac:dyDescent="0.25">
      <c r="Q2820" s="537" t="s">
        <v>42</v>
      </c>
      <c r="R2820" s="537"/>
      <c r="S2820" s="537"/>
      <c r="T2820" s="537"/>
      <c r="U2820" s="224">
        <f>ROUND((U2819/15),2)</f>
        <v>18428.560000000001</v>
      </c>
    </row>
    <row r="2821" spans="1:21" x14ac:dyDescent="0.25">
      <c r="A2821" s="544"/>
      <c r="B2821" s="544"/>
      <c r="C2821" s="544"/>
      <c r="D2821" s="544"/>
      <c r="E2821" s="544"/>
      <c r="F2821" s="544"/>
      <c r="G2821" s="544"/>
      <c r="H2821" s="544"/>
      <c r="I2821" s="544"/>
      <c r="J2821" s="544"/>
      <c r="K2821" s="544"/>
      <c r="L2821" s="544"/>
      <c r="M2821" s="544"/>
      <c r="N2821" s="544"/>
      <c r="O2821" s="544"/>
      <c r="P2821" s="544"/>
      <c r="Q2821" s="544"/>
      <c r="R2821" s="544"/>
      <c r="S2821" s="544"/>
      <c r="T2821" s="544"/>
      <c r="U2821" s="544"/>
    </row>
    <row r="2822" spans="1:21" x14ac:dyDescent="0.25">
      <c r="A2822" s="538" t="s">
        <v>12</v>
      </c>
      <c r="B2822" s="538"/>
      <c r="C2822" s="540" t="s">
        <v>880</v>
      </c>
      <c r="D2822" s="540"/>
      <c r="E2822" s="540"/>
      <c r="F2822" s="540"/>
      <c r="G2822" s="540"/>
      <c r="H2822" s="540"/>
      <c r="I2822" s="540"/>
      <c r="J2822" s="540"/>
      <c r="K2822" s="540"/>
      <c r="L2822" s="540"/>
      <c r="M2822" s="540"/>
      <c r="N2822" s="540"/>
      <c r="O2822" s="540"/>
      <c r="P2822" s="540"/>
      <c r="Q2822" s="540"/>
      <c r="R2822" s="540"/>
      <c r="S2822" s="540"/>
      <c r="T2822" s="540"/>
      <c r="U2822" s="541" t="s">
        <v>726</v>
      </c>
    </row>
    <row r="2823" spans="1:21" x14ac:dyDescent="0.25">
      <c r="A2823" s="538"/>
      <c r="B2823" s="538"/>
      <c r="C2823" s="540"/>
      <c r="D2823" s="540"/>
      <c r="E2823" s="540"/>
      <c r="F2823" s="540"/>
      <c r="G2823" s="540"/>
      <c r="H2823" s="540"/>
      <c r="I2823" s="540"/>
      <c r="J2823" s="540"/>
      <c r="K2823" s="540"/>
      <c r="L2823" s="540"/>
      <c r="M2823" s="540"/>
      <c r="N2823" s="540"/>
      <c r="O2823" s="540"/>
      <c r="P2823" s="540"/>
      <c r="Q2823" s="540"/>
      <c r="R2823" s="540"/>
      <c r="S2823" s="540"/>
      <c r="T2823" s="540"/>
      <c r="U2823" s="541"/>
    </row>
    <row r="2824" spans="1:21" x14ac:dyDescent="0.25">
      <c r="A2824" s="539" t="s">
        <v>724</v>
      </c>
      <c r="B2824" s="539"/>
      <c r="C2824" s="540"/>
      <c r="D2824" s="540"/>
      <c r="E2824" s="540"/>
      <c r="F2824" s="540"/>
      <c r="G2824" s="540"/>
      <c r="H2824" s="540"/>
      <c r="I2824" s="540"/>
      <c r="J2824" s="540"/>
      <c r="K2824" s="540"/>
      <c r="L2824" s="540"/>
      <c r="M2824" s="540"/>
      <c r="N2824" s="540"/>
      <c r="O2824" s="540"/>
      <c r="P2824" s="540"/>
      <c r="Q2824" s="540"/>
      <c r="R2824" s="540"/>
      <c r="S2824" s="540"/>
      <c r="T2824" s="540"/>
      <c r="U2824" s="541"/>
    </row>
    <row r="2825" spans="1:21" x14ac:dyDescent="0.25">
      <c r="A2825" s="542" t="s">
        <v>16</v>
      </c>
      <c r="B2825" s="543" t="s">
        <v>18</v>
      </c>
      <c r="C2825" s="543"/>
      <c r="D2825" s="543"/>
      <c r="E2825" s="543"/>
      <c r="F2825" s="543"/>
      <c r="G2825" s="543" t="s">
        <v>24</v>
      </c>
      <c r="H2825" s="543"/>
      <c r="I2825" s="543"/>
      <c r="J2825" s="543"/>
      <c r="K2825" s="543"/>
      <c r="L2825" s="543" t="s">
        <v>25</v>
      </c>
      <c r="M2825" s="543"/>
      <c r="N2825" s="543"/>
      <c r="O2825" s="543"/>
      <c r="P2825" s="543"/>
      <c r="Q2825" s="543" t="s">
        <v>26</v>
      </c>
      <c r="R2825" s="543"/>
      <c r="S2825" s="543"/>
      <c r="T2825" s="543"/>
      <c r="U2825" s="543"/>
    </row>
    <row r="2826" spans="1:21" x14ac:dyDescent="0.25">
      <c r="A2826" s="542"/>
      <c r="B2826" s="182" t="s">
        <v>19</v>
      </c>
      <c r="C2826" s="182" t="s">
        <v>20</v>
      </c>
      <c r="D2826" s="182" t="s">
        <v>21</v>
      </c>
      <c r="E2826" s="182" t="s">
        <v>22</v>
      </c>
      <c r="F2826" s="182" t="s">
        <v>23</v>
      </c>
      <c r="G2826" s="182" t="s">
        <v>19</v>
      </c>
      <c r="H2826" s="216" t="s">
        <v>20</v>
      </c>
      <c r="I2826" s="182" t="s">
        <v>21</v>
      </c>
      <c r="J2826" s="182" t="s">
        <v>22</v>
      </c>
      <c r="K2826" s="182" t="s">
        <v>23</v>
      </c>
      <c r="L2826" s="182" t="s">
        <v>19</v>
      </c>
      <c r="M2826" s="182" t="s">
        <v>20</v>
      </c>
      <c r="N2826" s="182" t="s">
        <v>21</v>
      </c>
      <c r="O2826" s="182" t="s">
        <v>22</v>
      </c>
      <c r="P2826" s="182" t="s">
        <v>23</v>
      </c>
      <c r="Q2826" s="182" t="s">
        <v>19</v>
      </c>
      <c r="R2826" s="182" t="s">
        <v>20</v>
      </c>
      <c r="S2826" s="182" t="s">
        <v>21</v>
      </c>
      <c r="T2826" s="182" t="s">
        <v>22</v>
      </c>
      <c r="U2826" s="211" t="s">
        <v>23</v>
      </c>
    </row>
    <row r="2827" spans="1:21" x14ac:dyDescent="0.25">
      <c r="A2827" s="183" t="s">
        <v>881</v>
      </c>
      <c r="B2827" s="182" t="s">
        <v>47</v>
      </c>
      <c r="C2827" s="182" t="s">
        <v>28</v>
      </c>
      <c r="D2827" s="182">
        <v>4</v>
      </c>
      <c r="E2827" s="182">
        <f>skilled</f>
        <v>1245</v>
      </c>
      <c r="F2827" s="184">
        <f>(D2827*E2827)</f>
        <v>4980</v>
      </c>
      <c r="G2827" s="182" t="s">
        <v>85</v>
      </c>
      <c r="H2827" s="216" t="s">
        <v>35</v>
      </c>
      <c r="I2827" s="182">
        <v>6.45</v>
      </c>
      <c r="J2827" s="182">
        <f>adopted_rate_cement</f>
        <v>13031</v>
      </c>
      <c r="K2827" s="182">
        <f t="shared" ref="K2827:K2832" si="50">(I2827*J2827)</f>
        <v>84049.95</v>
      </c>
      <c r="L2827" s="182" t="s">
        <v>276</v>
      </c>
      <c r="M2827" s="182" t="s">
        <v>58</v>
      </c>
      <c r="N2827" s="182">
        <v>6</v>
      </c>
      <c r="O2827" s="182">
        <f>concrete_mixer</f>
        <v>296</v>
      </c>
      <c r="P2827" s="184">
        <f>(N2827*O2827)</f>
        <v>1776</v>
      </c>
    </row>
    <row r="2828" spans="1:21" x14ac:dyDescent="0.25">
      <c r="B2828" s="182" t="s">
        <v>29</v>
      </c>
      <c r="C2828" s="182" t="s">
        <v>28</v>
      </c>
      <c r="D2828" s="182">
        <v>33</v>
      </c>
      <c r="E2828" s="182">
        <f>unskilled</f>
        <v>935</v>
      </c>
      <c r="F2828" s="184">
        <f>(D2828*E2828)</f>
        <v>30855</v>
      </c>
      <c r="G2828" s="182" t="s">
        <v>430</v>
      </c>
      <c r="H2828" s="216" t="s">
        <v>84</v>
      </c>
      <c r="I2828" s="182">
        <v>6.75</v>
      </c>
      <c r="J2828" s="182">
        <f>adopted_rate_sand</f>
        <v>3175.2000000000003</v>
      </c>
      <c r="K2828" s="182">
        <f t="shared" si="50"/>
        <v>21432.600000000002</v>
      </c>
      <c r="L2828" s="182" t="s">
        <v>76</v>
      </c>
      <c r="M2828" s="182" t="s">
        <v>58</v>
      </c>
      <c r="N2828" s="182">
        <v>6</v>
      </c>
      <c r="O2828" s="182">
        <f>generator</f>
        <v>855</v>
      </c>
      <c r="P2828" s="184">
        <f>(N2828*O2828)</f>
        <v>5130</v>
      </c>
    </row>
    <row r="2829" spans="1:21" x14ac:dyDescent="0.25">
      <c r="G2829" s="182" t="s">
        <v>733</v>
      </c>
      <c r="H2829" s="216" t="s">
        <v>84</v>
      </c>
      <c r="I2829" s="182">
        <v>8.1</v>
      </c>
      <c r="J2829" s="182">
        <f>adopted_rate_aggregate_10_20_mm</f>
        <v>3351.6</v>
      </c>
      <c r="K2829" s="182">
        <f t="shared" si="50"/>
        <v>27147.96</v>
      </c>
    </row>
    <row r="2830" spans="1:21" x14ac:dyDescent="0.25">
      <c r="G2830" s="182" t="s">
        <v>734</v>
      </c>
      <c r="H2830" s="216" t="s">
        <v>84</v>
      </c>
      <c r="I2830" s="182">
        <v>5.4</v>
      </c>
      <c r="J2830" s="182">
        <f>adopted_rate_aggregate_10_mm</f>
        <v>3175.2000000000003</v>
      </c>
      <c r="K2830" s="182">
        <f t="shared" si="50"/>
        <v>17146.080000000002</v>
      </c>
    </row>
    <row r="2831" spans="1:21" x14ac:dyDescent="0.25">
      <c r="G2831" s="182" t="s">
        <v>745</v>
      </c>
      <c r="H2831" s="216" t="s">
        <v>144</v>
      </c>
      <c r="I2831" s="182">
        <v>25.8</v>
      </c>
      <c r="J2831" s="182">
        <f>adopted_rate_admixture</f>
        <v>266</v>
      </c>
      <c r="K2831" s="182">
        <f t="shared" si="50"/>
        <v>6862.8</v>
      </c>
    </row>
    <row r="2832" spans="1:21" x14ac:dyDescent="0.25">
      <c r="G2832" s="182" t="s">
        <v>171</v>
      </c>
      <c r="H2832" s="216" t="s">
        <v>172</v>
      </c>
      <c r="I2832" s="182">
        <v>3</v>
      </c>
      <c r="J2832" s="182">
        <f>adopted_rate_water</f>
        <v>310</v>
      </c>
      <c r="K2832" s="182">
        <f t="shared" si="50"/>
        <v>930</v>
      </c>
    </row>
    <row r="2833" spans="1:21" x14ac:dyDescent="0.25">
      <c r="A2833" s="537" t="s">
        <v>30</v>
      </c>
      <c r="B2833" s="537"/>
      <c r="C2833" s="537"/>
      <c r="D2833" s="537"/>
      <c r="E2833" s="537"/>
      <c r="F2833" s="184">
        <f>SUM(F2826:F2832)</f>
        <v>35835</v>
      </c>
      <c r="G2833" s="537" t="s">
        <v>31</v>
      </c>
      <c r="H2833" s="537"/>
      <c r="I2833" s="537"/>
      <c r="J2833" s="537"/>
      <c r="K2833" s="184">
        <f>SUM(K2826:K2832)</f>
        <v>157569.39000000001</v>
      </c>
      <c r="L2833" s="537" t="s">
        <v>32</v>
      </c>
      <c r="M2833" s="537"/>
      <c r="N2833" s="537"/>
      <c r="O2833" s="537"/>
      <c r="P2833" s="184">
        <f>SUM(P2826:P2832)</f>
        <v>6906</v>
      </c>
      <c r="Q2833" s="537" t="s">
        <v>38</v>
      </c>
      <c r="R2833" s="537"/>
      <c r="S2833" s="537"/>
      <c r="T2833" s="537"/>
      <c r="U2833" s="223">
        <f>SUM(U2826:U2832)</f>
        <v>0</v>
      </c>
    </row>
    <row r="2834" spans="1:21" x14ac:dyDescent="0.25">
      <c r="A2834" s="537" t="s">
        <v>33</v>
      </c>
      <c r="B2834" s="537"/>
      <c r="C2834" s="537"/>
      <c r="D2834" s="537"/>
      <c r="E2834" s="537"/>
      <c r="F2834" s="184">
        <f>SUM(F2833+K2833+P2833)</f>
        <v>200310.39</v>
      </c>
      <c r="G2834" s="537" t="s">
        <v>39</v>
      </c>
      <c r="H2834" s="537"/>
      <c r="I2834" s="537"/>
      <c r="J2834" s="537"/>
      <c r="K2834" s="184">
        <f>SUM(F2833+K2833+P2833+U2833)</f>
        <v>200310.39</v>
      </c>
      <c r="L2834" s="537" t="s">
        <v>40</v>
      </c>
      <c r="M2834" s="537"/>
      <c r="N2834" s="537"/>
      <c r="O2834" s="537"/>
      <c r="P2834" s="184">
        <f>SUM(K2834*0.15)</f>
        <v>30046.558499999999</v>
      </c>
      <c r="Q2834" s="537" t="s">
        <v>41</v>
      </c>
      <c r="R2834" s="537"/>
      <c r="S2834" s="537"/>
      <c r="T2834" s="537"/>
      <c r="U2834" s="223">
        <f>SUM(K2834+P2834)</f>
        <v>230356.9485</v>
      </c>
    </row>
    <row r="2835" spans="1:21" x14ac:dyDescent="0.25">
      <c r="Q2835" s="537" t="s">
        <v>42</v>
      </c>
      <c r="R2835" s="537"/>
      <c r="S2835" s="537"/>
      <c r="T2835" s="537"/>
      <c r="U2835" s="224">
        <f>ROUND((U2834/15),2)</f>
        <v>15357.13</v>
      </c>
    </row>
    <row r="2836" spans="1:21" x14ac:dyDescent="0.25">
      <c r="A2836" s="544"/>
      <c r="B2836" s="544"/>
      <c r="C2836" s="544"/>
      <c r="D2836" s="544"/>
      <c r="E2836" s="544"/>
      <c r="F2836" s="544"/>
      <c r="G2836" s="544"/>
      <c r="H2836" s="544"/>
      <c r="I2836" s="544"/>
      <c r="J2836" s="544"/>
      <c r="K2836" s="544"/>
      <c r="L2836" s="544"/>
      <c r="M2836" s="544"/>
      <c r="N2836" s="544"/>
      <c r="O2836" s="544"/>
      <c r="P2836" s="544"/>
      <c r="Q2836" s="544"/>
      <c r="R2836" s="544"/>
      <c r="S2836" s="544"/>
      <c r="T2836" s="544"/>
      <c r="U2836" s="544"/>
    </row>
    <row r="2837" spans="1:21" x14ac:dyDescent="0.25">
      <c r="A2837" s="538" t="s">
        <v>12</v>
      </c>
      <c r="B2837" s="538"/>
      <c r="C2837" s="540" t="s">
        <v>883</v>
      </c>
      <c r="D2837" s="540"/>
      <c r="E2837" s="540"/>
      <c r="F2837" s="540"/>
      <c r="G2837" s="540"/>
      <c r="H2837" s="540"/>
      <c r="I2837" s="540"/>
      <c r="J2837" s="540"/>
      <c r="K2837" s="540"/>
      <c r="L2837" s="540"/>
      <c r="M2837" s="540"/>
      <c r="N2837" s="540"/>
      <c r="O2837" s="540"/>
      <c r="P2837" s="540"/>
      <c r="Q2837" s="540"/>
      <c r="R2837" s="540"/>
      <c r="S2837" s="540"/>
      <c r="T2837" s="540"/>
      <c r="U2837" s="541" t="s">
        <v>726</v>
      </c>
    </row>
    <row r="2838" spans="1:21" x14ac:dyDescent="0.25">
      <c r="A2838" s="538"/>
      <c r="B2838" s="538"/>
      <c r="C2838" s="540"/>
      <c r="D2838" s="540"/>
      <c r="E2838" s="540"/>
      <c r="F2838" s="540"/>
      <c r="G2838" s="540"/>
      <c r="H2838" s="540"/>
      <c r="I2838" s="540"/>
      <c r="J2838" s="540"/>
      <c r="K2838" s="540"/>
      <c r="L2838" s="540"/>
      <c r="M2838" s="540"/>
      <c r="N2838" s="540"/>
      <c r="O2838" s="540"/>
      <c r="P2838" s="540"/>
      <c r="Q2838" s="540"/>
      <c r="R2838" s="540"/>
      <c r="S2838" s="540"/>
      <c r="T2838" s="540"/>
      <c r="U2838" s="541"/>
    </row>
    <row r="2839" spans="1:21" x14ac:dyDescent="0.25">
      <c r="A2839" s="539" t="s">
        <v>882</v>
      </c>
      <c r="B2839" s="539"/>
      <c r="C2839" s="540"/>
      <c r="D2839" s="540"/>
      <c r="E2839" s="540"/>
      <c r="F2839" s="540"/>
      <c r="G2839" s="540"/>
      <c r="H2839" s="540"/>
      <c r="I2839" s="540"/>
      <c r="J2839" s="540"/>
      <c r="K2839" s="540"/>
      <c r="L2839" s="540"/>
      <c r="M2839" s="540"/>
      <c r="N2839" s="540"/>
      <c r="O2839" s="540"/>
      <c r="P2839" s="540"/>
      <c r="Q2839" s="540"/>
      <c r="R2839" s="540"/>
      <c r="S2839" s="540"/>
      <c r="T2839" s="540"/>
      <c r="U2839" s="541"/>
    </row>
    <row r="2840" spans="1:21" x14ac:dyDescent="0.25">
      <c r="A2840" s="542" t="s">
        <v>16</v>
      </c>
      <c r="B2840" s="543" t="s">
        <v>18</v>
      </c>
      <c r="C2840" s="543"/>
      <c r="D2840" s="543"/>
      <c r="E2840" s="543"/>
      <c r="F2840" s="543"/>
      <c r="G2840" s="543" t="s">
        <v>24</v>
      </c>
      <c r="H2840" s="543"/>
      <c r="I2840" s="543"/>
      <c r="J2840" s="543"/>
      <c r="K2840" s="543"/>
      <c r="L2840" s="543" t="s">
        <v>25</v>
      </c>
      <c r="M2840" s="543"/>
      <c r="N2840" s="543"/>
      <c r="O2840" s="543"/>
      <c r="P2840" s="543"/>
      <c r="Q2840" s="543" t="s">
        <v>26</v>
      </c>
      <c r="R2840" s="543"/>
      <c r="S2840" s="543"/>
      <c r="T2840" s="543"/>
      <c r="U2840" s="543"/>
    </row>
    <row r="2841" spans="1:21" x14ac:dyDescent="0.25">
      <c r="A2841" s="542"/>
      <c r="B2841" s="182" t="s">
        <v>19</v>
      </c>
      <c r="C2841" s="182" t="s">
        <v>20</v>
      </c>
      <c r="D2841" s="182" t="s">
        <v>21</v>
      </c>
      <c r="E2841" s="182" t="s">
        <v>22</v>
      </c>
      <c r="F2841" s="182" t="s">
        <v>23</v>
      </c>
      <c r="G2841" s="182" t="s">
        <v>19</v>
      </c>
      <c r="H2841" s="216" t="s">
        <v>20</v>
      </c>
      <c r="I2841" s="182" t="s">
        <v>21</v>
      </c>
      <c r="J2841" s="182" t="s">
        <v>22</v>
      </c>
      <c r="K2841" s="182" t="s">
        <v>23</v>
      </c>
      <c r="L2841" s="182" t="s">
        <v>19</v>
      </c>
      <c r="M2841" s="182" t="s">
        <v>20</v>
      </c>
      <c r="N2841" s="182" t="s">
        <v>21</v>
      </c>
      <c r="O2841" s="182" t="s">
        <v>22</v>
      </c>
      <c r="P2841" s="182" t="s">
        <v>23</v>
      </c>
      <c r="Q2841" s="182" t="s">
        <v>19</v>
      </c>
      <c r="R2841" s="182" t="s">
        <v>20</v>
      </c>
      <c r="S2841" s="182" t="s">
        <v>21</v>
      </c>
      <c r="T2841" s="182" t="s">
        <v>22</v>
      </c>
      <c r="U2841" s="211" t="s">
        <v>23</v>
      </c>
    </row>
    <row r="2842" spans="1:21" x14ac:dyDescent="0.25">
      <c r="A2842" s="183" t="s">
        <v>884</v>
      </c>
      <c r="B2842" s="182" t="s">
        <v>47</v>
      </c>
      <c r="C2842" s="182" t="s">
        <v>28</v>
      </c>
      <c r="D2842" s="182">
        <v>3</v>
      </c>
      <c r="E2842" s="182">
        <f>skilled</f>
        <v>1245</v>
      </c>
      <c r="F2842" s="184">
        <f>(D2842*E2842)</f>
        <v>3735</v>
      </c>
      <c r="G2842" s="182" t="s">
        <v>85</v>
      </c>
      <c r="H2842" s="216" t="s">
        <v>35</v>
      </c>
      <c r="I2842" s="182">
        <v>4.13</v>
      </c>
      <c r="J2842" s="182">
        <f>adopted_rate_cement</f>
        <v>13031</v>
      </c>
      <c r="K2842" s="182">
        <f t="shared" ref="K2842:K2847" si="51">(I2842*J2842)</f>
        <v>53818.03</v>
      </c>
      <c r="L2842" s="182" t="s">
        <v>276</v>
      </c>
      <c r="M2842" s="182" t="s">
        <v>58</v>
      </c>
      <c r="N2842" s="182">
        <v>6</v>
      </c>
      <c r="O2842" s="182">
        <f>concrete_mixer</f>
        <v>296</v>
      </c>
      <c r="P2842" s="184">
        <f>(N2842*O2842)</f>
        <v>1776</v>
      </c>
    </row>
    <row r="2843" spans="1:21" x14ac:dyDescent="0.25">
      <c r="B2843" s="182" t="s">
        <v>29</v>
      </c>
      <c r="C2843" s="182" t="s">
        <v>28</v>
      </c>
      <c r="D2843" s="182">
        <v>30</v>
      </c>
      <c r="E2843" s="182">
        <f>unskilled</f>
        <v>935</v>
      </c>
      <c r="F2843" s="184">
        <f>(D2843*E2843)</f>
        <v>28050</v>
      </c>
      <c r="G2843" s="182" t="s">
        <v>430</v>
      </c>
      <c r="H2843" s="216" t="s">
        <v>84</v>
      </c>
      <c r="I2843" s="182">
        <v>6.75</v>
      </c>
      <c r="J2843" s="182">
        <f>adopted_rate_sand</f>
        <v>3175.2000000000003</v>
      </c>
      <c r="K2843" s="182">
        <f t="shared" si="51"/>
        <v>21432.600000000002</v>
      </c>
      <c r="L2843" s="182" t="s">
        <v>76</v>
      </c>
      <c r="M2843" s="182" t="s">
        <v>58</v>
      </c>
      <c r="N2843" s="182">
        <v>6</v>
      </c>
      <c r="O2843" s="182">
        <f>generator</f>
        <v>855</v>
      </c>
      <c r="P2843" s="184">
        <f>(N2843*O2843)</f>
        <v>5130</v>
      </c>
    </row>
    <row r="2844" spans="1:21" x14ac:dyDescent="0.25">
      <c r="G2844" s="182" t="s">
        <v>728</v>
      </c>
      <c r="H2844" s="216" t="s">
        <v>84</v>
      </c>
      <c r="I2844" s="182">
        <v>8.1</v>
      </c>
      <c r="J2844" s="182">
        <f>adopted_rate_aggregate_20_40_mm</f>
        <v>3175.2000000000003</v>
      </c>
      <c r="K2844" s="182">
        <f t="shared" si="51"/>
        <v>25719.120000000003</v>
      </c>
    </row>
    <row r="2845" spans="1:21" x14ac:dyDescent="0.25">
      <c r="G2845" s="182" t="s">
        <v>733</v>
      </c>
      <c r="H2845" s="216" t="s">
        <v>84</v>
      </c>
      <c r="I2845" s="182">
        <v>4.05</v>
      </c>
      <c r="J2845" s="182">
        <f>adopted_rate_aggregate_10_20_mm</f>
        <v>3351.6</v>
      </c>
      <c r="K2845" s="182">
        <f t="shared" si="51"/>
        <v>13573.98</v>
      </c>
    </row>
    <row r="2846" spans="1:21" x14ac:dyDescent="0.25">
      <c r="G2846" s="182" t="s">
        <v>734</v>
      </c>
      <c r="H2846" s="216" t="s">
        <v>84</v>
      </c>
      <c r="I2846" s="182">
        <v>1.35</v>
      </c>
      <c r="J2846" s="182">
        <f>adopted_rate_aggregate_10_mm</f>
        <v>3175.2000000000003</v>
      </c>
      <c r="K2846" s="182">
        <f t="shared" si="51"/>
        <v>4286.5200000000004</v>
      </c>
    </row>
    <row r="2847" spans="1:21" x14ac:dyDescent="0.25">
      <c r="G2847" s="182" t="s">
        <v>171</v>
      </c>
      <c r="H2847" s="216" t="s">
        <v>172</v>
      </c>
      <c r="I2847" s="182">
        <v>2</v>
      </c>
      <c r="J2847" s="182">
        <f>adopted_rate_water</f>
        <v>310</v>
      </c>
      <c r="K2847" s="182">
        <f t="shared" si="51"/>
        <v>620</v>
      </c>
    </row>
    <row r="2848" spans="1:21" x14ac:dyDescent="0.25">
      <c r="A2848" s="537" t="s">
        <v>30</v>
      </c>
      <c r="B2848" s="537"/>
      <c r="C2848" s="537"/>
      <c r="D2848" s="537"/>
      <c r="E2848" s="537"/>
      <c r="F2848" s="184">
        <f>SUM(F2841:F2847)</f>
        <v>31785</v>
      </c>
      <c r="G2848" s="537" t="s">
        <v>31</v>
      </c>
      <c r="H2848" s="537"/>
      <c r="I2848" s="537"/>
      <c r="J2848" s="537"/>
      <c r="K2848" s="184">
        <f>SUM(K2841:K2847)</f>
        <v>119450.25</v>
      </c>
      <c r="L2848" s="537" t="s">
        <v>32</v>
      </c>
      <c r="M2848" s="537"/>
      <c r="N2848" s="537"/>
      <c r="O2848" s="537"/>
      <c r="P2848" s="184">
        <f>SUM(P2841:P2847)</f>
        <v>6906</v>
      </c>
      <c r="Q2848" s="537" t="s">
        <v>38</v>
      </c>
      <c r="R2848" s="537"/>
      <c r="S2848" s="537"/>
      <c r="T2848" s="537"/>
      <c r="U2848" s="223">
        <f>SUM(U2841:U2847)</f>
        <v>0</v>
      </c>
    </row>
    <row r="2849" spans="1:21" x14ac:dyDescent="0.25">
      <c r="A2849" s="537" t="s">
        <v>33</v>
      </c>
      <c r="B2849" s="537"/>
      <c r="C2849" s="537"/>
      <c r="D2849" s="537"/>
      <c r="E2849" s="537"/>
      <c r="F2849" s="184">
        <f>SUM(F2848+K2848+P2848)</f>
        <v>158141.25</v>
      </c>
      <c r="G2849" s="537" t="s">
        <v>39</v>
      </c>
      <c r="H2849" s="537"/>
      <c r="I2849" s="537"/>
      <c r="J2849" s="537"/>
      <c r="K2849" s="184">
        <f>SUM(F2848+K2848+P2848+U2848)</f>
        <v>158141.25</v>
      </c>
      <c r="L2849" s="537" t="s">
        <v>40</v>
      </c>
      <c r="M2849" s="537"/>
      <c r="N2849" s="537"/>
      <c r="O2849" s="537"/>
      <c r="P2849" s="184">
        <f>SUM(K2849*0.15)</f>
        <v>23721.1875</v>
      </c>
      <c r="Q2849" s="537" t="s">
        <v>41</v>
      </c>
      <c r="R2849" s="537"/>
      <c r="S2849" s="537"/>
      <c r="T2849" s="537"/>
      <c r="U2849" s="223">
        <f>SUM(K2849+P2849)</f>
        <v>181862.4375</v>
      </c>
    </row>
    <row r="2850" spans="1:21" x14ac:dyDescent="0.25">
      <c r="Q2850" s="537" t="s">
        <v>42</v>
      </c>
      <c r="R2850" s="537"/>
      <c r="S2850" s="537"/>
      <c r="T2850" s="537"/>
      <c r="U2850" s="224">
        <f>ROUND((U2849/15),2)</f>
        <v>12124.16</v>
      </c>
    </row>
    <row r="2851" spans="1:21" x14ac:dyDescent="0.25">
      <c r="A2851" s="544"/>
      <c r="B2851" s="544"/>
      <c r="C2851" s="544"/>
      <c r="D2851" s="544"/>
      <c r="E2851" s="544"/>
      <c r="F2851" s="544"/>
      <c r="G2851" s="544"/>
      <c r="H2851" s="544"/>
      <c r="I2851" s="544"/>
      <c r="J2851" s="544"/>
      <c r="K2851" s="544"/>
      <c r="L2851" s="544"/>
      <c r="M2851" s="544"/>
      <c r="N2851" s="544"/>
      <c r="O2851" s="544"/>
      <c r="P2851" s="544"/>
      <c r="Q2851" s="544"/>
      <c r="R2851" s="544"/>
      <c r="S2851" s="544"/>
      <c r="T2851" s="544"/>
      <c r="U2851" s="544"/>
    </row>
    <row r="2852" spans="1:21" x14ac:dyDescent="0.25">
      <c r="A2852" s="538" t="s">
        <v>12</v>
      </c>
      <c r="B2852" s="538"/>
      <c r="C2852" s="540" t="s">
        <v>885</v>
      </c>
      <c r="D2852" s="540"/>
      <c r="E2852" s="540"/>
      <c r="F2852" s="540"/>
      <c r="G2852" s="540"/>
      <c r="H2852" s="540"/>
      <c r="I2852" s="540"/>
      <c r="J2852" s="540"/>
      <c r="K2852" s="540"/>
      <c r="L2852" s="540"/>
      <c r="M2852" s="540"/>
      <c r="N2852" s="540"/>
      <c r="O2852" s="540"/>
      <c r="P2852" s="540"/>
      <c r="Q2852" s="540"/>
      <c r="R2852" s="540"/>
      <c r="S2852" s="540"/>
      <c r="T2852" s="540"/>
      <c r="U2852" s="541" t="s">
        <v>197</v>
      </c>
    </row>
    <row r="2853" spans="1:21" x14ac:dyDescent="0.25">
      <c r="A2853" s="538"/>
      <c r="B2853" s="538"/>
      <c r="C2853" s="540"/>
      <c r="D2853" s="540"/>
      <c r="E2853" s="540"/>
      <c r="F2853" s="540"/>
      <c r="G2853" s="540"/>
      <c r="H2853" s="540"/>
      <c r="I2853" s="540"/>
      <c r="J2853" s="540"/>
      <c r="K2853" s="540"/>
      <c r="L2853" s="540"/>
      <c r="M2853" s="540"/>
      <c r="N2853" s="540"/>
      <c r="O2853" s="540"/>
      <c r="P2853" s="540"/>
      <c r="Q2853" s="540"/>
      <c r="R2853" s="540"/>
      <c r="S2853" s="540"/>
      <c r="T2853" s="540"/>
      <c r="U2853" s="541"/>
    </row>
    <row r="2854" spans="1:21" x14ac:dyDescent="0.25">
      <c r="A2854" s="539" t="s">
        <v>13</v>
      </c>
      <c r="B2854" s="539"/>
      <c r="C2854" s="540"/>
      <c r="D2854" s="540"/>
      <c r="E2854" s="540"/>
      <c r="F2854" s="540"/>
      <c r="G2854" s="540"/>
      <c r="H2854" s="540"/>
      <c r="I2854" s="540"/>
      <c r="J2854" s="540"/>
      <c r="K2854" s="540"/>
      <c r="L2854" s="540"/>
      <c r="M2854" s="540"/>
      <c r="N2854" s="540"/>
      <c r="O2854" s="540"/>
      <c r="P2854" s="540"/>
      <c r="Q2854" s="540"/>
      <c r="R2854" s="540"/>
      <c r="S2854" s="540"/>
      <c r="T2854" s="540"/>
      <c r="U2854" s="541"/>
    </row>
    <row r="2855" spans="1:21" x14ac:dyDescent="0.25">
      <c r="A2855" s="542" t="s">
        <v>16</v>
      </c>
      <c r="B2855" s="543" t="s">
        <v>18</v>
      </c>
      <c r="C2855" s="543"/>
      <c r="D2855" s="543"/>
      <c r="E2855" s="543"/>
      <c r="F2855" s="543"/>
      <c r="G2855" s="543" t="s">
        <v>24</v>
      </c>
      <c r="H2855" s="543"/>
      <c r="I2855" s="543"/>
      <c r="J2855" s="543"/>
      <c r="K2855" s="543"/>
      <c r="L2855" s="543" t="s">
        <v>25</v>
      </c>
      <c r="M2855" s="543"/>
      <c r="N2855" s="543"/>
      <c r="O2855" s="543"/>
      <c r="P2855" s="543"/>
      <c r="Q2855" s="543" t="s">
        <v>26</v>
      </c>
      <c r="R2855" s="543"/>
      <c r="S2855" s="543"/>
      <c r="T2855" s="543"/>
      <c r="U2855" s="543"/>
    </row>
    <row r="2856" spans="1:21" x14ac:dyDescent="0.25">
      <c r="A2856" s="542"/>
      <c r="B2856" s="182" t="s">
        <v>19</v>
      </c>
      <c r="C2856" s="182" t="s">
        <v>20</v>
      </c>
      <c r="D2856" s="182" t="s">
        <v>21</v>
      </c>
      <c r="E2856" s="182" t="s">
        <v>22</v>
      </c>
      <c r="F2856" s="182" t="s">
        <v>23</v>
      </c>
      <c r="G2856" s="182" t="s">
        <v>19</v>
      </c>
      <c r="H2856" s="216" t="s">
        <v>20</v>
      </c>
      <c r="I2856" s="182" t="s">
        <v>21</v>
      </c>
      <c r="J2856" s="182" t="s">
        <v>22</v>
      </c>
      <c r="K2856" s="182" t="s">
        <v>23</v>
      </c>
      <c r="L2856" s="182" t="s">
        <v>19</v>
      </c>
      <c r="M2856" s="182" t="s">
        <v>20</v>
      </c>
      <c r="N2856" s="182" t="s">
        <v>21</v>
      </c>
      <c r="O2856" s="182" t="s">
        <v>22</v>
      </c>
      <c r="P2856" s="182" t="s">
        <v>23</v>
      </c>
      <c r="Q2856" s="182" t="s">
        <v>19</v>
      </c>
      <c r="R2856" s="182" t="s">
        <v>20</v>
      </c>
      <c r="S2856" s="182" t="s">
        <v>21</v>
      </c>
      <c r="T2856" s="182" t="s">
        <v>22</v>
      </c>
      <c r="U2856" s="211" t="s">
        <v>23</v>
      </c>
    </row>
    <row r="2857" spans="1:21" ht="31.5" x14ac:dyDescent="0.25">
      <c r="A2857" s="183" t="s">
        <v>886</v>
      </c>
      <c r="G2857" s="182" t="s">
        <v>887</v>
      </c>
      <c r="H2857" s="216" t="s">
        <v>84</v>
      </c>
      <c r="I2857" s="182">
        <v>1</v>
      </c>
      <c r="J2857" s="183">
        <f>(K2047/15)</f>
        <v>12000.501066666669</v>
      </c>
      <c r="K2857" s="184">
        <f>(I2857*J2857)</f>
        <v>12000.501066666669</v>
      </c>
    </row>
    <row r="2858" spans="1:21" ht="63" x14ac:dyDescent="0.25">
      <c r="G2858" s="182" t="s">
        <v>888</v>
      </c>
      <c r="H2858" s="216"/>
    </row>
    <row r="2859" spans="1:21" x14ac:dyDescent="0.25">
      <c r="G2859" s="182" t="s">
        <v>889</v>
      </c>
      <c r="H2859" s="216" t="s">
        <v>35</v>
      </c>
      <c r="I2859" s="182">
        <v>0.05</v>
      </c>
      <c r="J2859" s="183">
        <f>(K4448/1)</f>
        <v>127160.00000000001</v>
      </c>
      <c r="K2859" s="184">
        <f>(I2859*J2859)</f>
        <v>6358.0000000000009</v>
      </c>
    </row>
    <row r="2860" spans="1:21" x14ac:dyDescent="0.25">
      <c r="A2860" s="537" t="s">
        <v>30</v>
      </c>
      <c r="B2860" s="537"/>
      <c r="C2860" s="537"/>
      <c r="D2860" s="537"/>
      <c r="E2860" s="537"/>
      <c r="F2860" s="184">
        <f>SUM(F2856:F2859)</f>
        <v>0</v>
      </c>
      <c r="G2860" s="537" t="s">
        <v>31</v>
      </c>
      <c r="H2860" s="537"/>
      <c r="I2860" s="537"/>
      <c r="J2860" s="537"/>
      <c r="K2860" s="184">
        <f>SUM(K2856:K2859)</f>
        <v>18358.501066666671</v>
      </c>
      <c r="L2860" s="537" t="s">
        <v>32</v>
      </c>
      <c r="M2860" s="537"/>
      <c r="N2860" s="537"/>
      <c r="O2860" s="537"/>
      <c r="P2860" s="184">
        <f>SUM(P2856:P2859)</f>
        <v>0</v>
      </c>
      <c r="Q2860" s="537" t="s">
        <v>38</v>
      </c>
      <c r="R2860" s="537"/>
      <c r="S2860" s="537"/>
      <c r="T2860" s="537"/>
      <c r="U2860" s="223">
        <f>SUM(U2856:U2859)</f>
        <v>0</v>
      </c>
    </row>
    <row r="2861" spans="1:21" x14ac:dyDescent="0.25">
      <c r="A2861" s="537" t="s">
        <v>33</v>
      </c>
      <c r="B2861" s="537"/>
      <c r="C2861" s="537"/>
      <c r="D2861" s="537"/>
      <c r="E2861" s="537"/>
      <c r="F2861" s="184">
        <f>SUM(F2860+K2860+P2860)</f>
        <v>18358.501066666671</v>
      </c>
      <c r="G2861" s="537" t="s">
        <v>39</v>
      </c>
      <c r="H2861" s="537"/>
      <c r="I2861" s="537"/>
      <c r="J2861" s="537"/>
      <c r="K2861" s="184">
        <f>SUM(F2860+K2860+P2860+U2860)</f>
        <v>18358.501066666671</v>
      </c>
      <c r="L2861" s="537" t="s">
        <v>40</v>
      </c>
      <c r="M2861" s="537"/>
      <c r="N2861" s="537"/>
      <c r="O2861" s="537"/>
      <c r="P2861" s="184">
        <f>SUM(K2861*0.15)</f>
        <v>2753.7751600000006</v>
      </c>
      <c r="Q2861" s="537" t="s">
        <v>41</v>
      </c>
      <c r="R2861" s="537"/>
      <c r="S2861" s="537"/>
      <c r="T2861" s="537"/>
      <c r="U2861" s="223">
        <f>SUM(K2861+P2861)</f>
        <v>21112.276226666672</v>
      </c>
    </row>
    <row r="2862" spans="1:21" x14ac:dyDescent="0.25">
      <c r="Q2862" s="537" t="s">
        <v>42</v>
      </c>
      <c r="R2862" s="537"/>
      <c r="S2862" s="537"/>
      <c r="T2862" s="537"/>
      <c r="U2862" s="224">
        <f>ROUND((U2861/1),2)</f>
        <v>21112.28</v>
      </c>
    </row>
    <row r="2863" spans="1:21" x14ac:dyDescent="0.25">
      <c r="A2863" s="544"/>
      <c r="B2863" s="544"/>
      <c r="C2863" s="544"/>
      <c r="D2863" s="544"/>
      <c r="E2863" s="544"/>
      <c r="F2863" s="544"/>
      <c r="G2863" s="544"/>
      <c r="H2863" s="544"/>
      <c r="I2863" s="544"/>
      <c r="J2863" s="544"/>
      <c r="K2863" s="544"/>
      <c r="L2863" s="544"/>
      <c r="M2863" s="544"/>
      <c r="N2863" s="544"/>
      <c r="O2863" s="544"/>
      <c r="P2863" s="544"/>
      <c r="Q2863" s="544"/>
      <c r="R2863" s="544"/>
      <c r="S2863" s="544"/>
      <c r="T2863" s="544"/>
      <c r="U2863" s="544"/>
    </row>
    <row r="2864" spans="1:21" x14ac:dyDescent="0.25">
      <c r="A2864" s="538" t="s">
        <v>12</v>
      </c>
      <c r="B2864" s="538"/>
      <c r="C2864" s="540" t="s">
        <v>891</v>
      </c>
      <c r="D2864" s="540"/>
      <c r="E2864" s="540"/>
      <c r="F2864" s="540"/>
      <c r="G2864" s="540"/>
      <c r="H2864" s="540"/>
      <c r="I2864" s="540"/>
      <c r="J2864" s="540"/>
      <c r="K2864" s="540"/>
      <c r="L2864" s="540"/>
      <c r="M2864" s="540"/>
      <c r="N2864" s="540"/>
      <c r="O2864" s="540"/>
      <c r="P2864" s="540"/>
      <c r="Q2864" s="540"/>
      <c r="R2864" s="540"/>
      <c r="S2864" s="540"/>
      <c r="T2864" s="540"/>
      <c r="U2864" s="541" t="s">
        <v>15</v>
      </c>
    </row>
    <row r="2865" spans="1:21" x14ac:dyDescent="0.25">
      <c r="A2865" s="538"/>
      <c r="B2865" s="538"/>
      <c r="C2865" s="540"/>
      <c r="D2865" s="540"/>
      <c r="E2865" s="540"/>
      <c r="F2865" s="540"/>
      <c r="G2865" s="540"/>
      <c r="H2865" s="540"/>
      <c r="I2865" s="540"/>
      <c r="J2865" s="540"/>
      <c r="K2865" s="540"/>
      <c r="L2865" s="540"/>
      <c r="M2865" s="540"/>
      <c r="N2865" s="540"/>
      <c r="O2865" s="540"/>
      <c r="P2865" s="540"/>
      <c r="Q2865" s="540"/>
      <c r="R2865" s="540"/>
      <c r="S2865" s="540"/>
      <c r="T2865" s="540"/>
      <c r="U2865" s="541"/>
    </row>
    <row r="2866" spans="1:21" x14ac:dyDescent="0.25">
      <c r="A2866" s="539" t="s">
        <v>890</v>
      </c>
      <c r="B2866" s="539"/>
      <c r="C2866" s="540"/>
      <c r="D2866" s="540"/>
      <c r="E2866" s="540"/>
      <c r="F2866" s="540"/>
      <c r="G2866" s="540"/>
      <c r="H2866" s="540"/>
      <c r="I2866" s="540"/>
      <c r="J2866" s="540"/>
      <c r="K2866" s="540"/>
      <c r="L2866" s="540"/>
      <c r="M2866" s="540"/>
      <c r="N2866" s="540"/>
      <c r="O2866" s="540"/>
      <c r="P2866" s="540"/>
      <c r="Q2866" s="540"/>
      <c r="R2866" s="540"/>
      <c r="S2866" s="540"/>
      <c r="T2866" s="540"/>
      <c r="U2866" s="541"/>
    </row>
    <row r="2867" spans="1:21" x14ac:dyDescent="0.25">
      <c r="A2867" s="542" t="s">
        <v>16</v>
      </c>
      <c r="B2867" s="543" t="s">
        <v>18</v>
      </c>
      <c r="C2867" s="543"/>
      <c r="D2867" s="543"/>
      <c r="E2867" s="543"/>
      <c r="F2867" s="543"/>
      <c r="G2867" s="543" t="s">
        <v>24</v>
      </c>
      <c r="H2867" s="543"/>
      <c r="I2867" s="543"/>
      <c r="J2867" s="543"/>
      <c r="K2867" s="543"/>
      <c r="L2867" s="543" t="s">
        <v>25</v>
      </c>
      <c r="M2867" s="543"/>
      <c r="N2867" s="543"/>
      <c r="O2867" s="543"/>
      <c r="P2867" s="543"/>
      <c r="Q2867" s="543" t="s">
        <v>26</v>
      </c>
      <c r="R2867" s="543"/>
      <c r="S2867" s="543"/>
      <c r="T2867" s="543"/>
      <c r="U2867" s="543"/>
    </row>
    <row r="2868" spans="1:21" x14ac:dyDescent="0.25">
      <c r="A2868" s="542"/>
      <c r="B2868" s="182" t="s">
        <v>19</v>
      </c>
      <c r="C2868" s="182" t="s">
        <v>20</v>
      </c>
      <c r="D2868" s="182" t="s">
        <v>21</v>
      </c>
      <c r="E2868" s="182" t="s">
        <v>22</v>
      </c>
      <c r="F2868" s="182" t="s">
        <v>23</v>
      </c>
      <c r="G2868" s="182" t="s">
        <v>19</v>
      </c>
      <c r="H2868" s="216" t="s">
        <v>20</v>
      </c>
      <c r="I2868" s="182" t="s">
        <v>21</v>
      </c>
      <c r="J2868" s="182" t="s">
        <v>22</v>
      </c>
      <c r="K2868" s="182" t="s">
        <v>23</v>
      </c>
      <c r="L2868" s="182" t="s">
        <v>19</v>
      </c>
      <c r="M2868" s="182" t="s">
        <v>20</v>
      </c>
      <c r="N2868" s="182" t="s">
        <v>21</v>
      </c>
      <c r="O2868" s="182" t="s">
        <v>22</v>
      </c>
      <c r="P2868" s="182" t="s">
        <v>23</v>
      </c>
      <c r="Q2868" s="182" t="s">
        <v>19</v>
      </c>
      <c r="R2868" s="182" t="s">
        <v>20</v>
      </c>
      <c r="S2868" s="182" t="s">
        <v>21</v>
      </c>
      <c r="T2868" s="182" t="s">
        <v>22</v>
      </c>
      <c r="U2868" s="211" t="s">
        <v>23</v>
      </c>
    </row>
    <row r="2869" spans="1:21" ht="47.25" x14ac:dyDescent="0.25">
      <c r="A2869" s="183" t="s">
        <v>892</v>
      </c>
      <c r="B2869" s="182" t="s">
        <v>893</v>
      </c>
      <c r="C2869" s="182"/>
      <c r="G2869" s="182" t="s">
        <v>642</v>
      </c>
      <c r="H2869" s="216" t="s">
        <v>35</v>
      </c>
      <c r="I2869" s="182">
        <v>1.1000000000000001</v>
      </c>
      <c r="J2869" s="182">
        <f>adopted_rate_structural_steel</f>
        <v>96000</v>
      </c>
      <c r="K2869" s="182">
        <f>(I2869*J2869)</f>
        <v>105600.00000000001</v>
      </c>
      <c r="L2869" s="182" t="s">
        <v>477</v>
      </c>
      <c r="M2869" s="182" t="s">
        <v>58</v>
      </c>
      <c r="N2869" s="182">
        <v>1</v>
      </c>
      <c r="O2869" s="182">
        <f>crane</f>
        <v>2903</v>
      </c>
      <c r="P2869" s="184">
        <f>(N2869*O2869)</f>
        <v>2903</v>
      </c>
    </row>
    <row r="2870" spans="1:21" ht="63" x14ac:dyDescent="0.25">
      <c r="B2870" s="182" t="s">
        <v>894</v>
      </c>
      <c r="C2870" s="182" t="s">
        <v>28</v>
      </c>
      <c r="D2870" s="182">
        <v>1</v>
      </c>
      <c r="E2870" s="182">
        <f>technician</f>
        <v>825</v>
      </c>
      <c r="F2870" s="184">
        <f>(D2870*E2870)</f>
        <v>825</v>
      </c>
      <c r="G2870" s="182" t="s">
        <v>897</v>
      </c>
      <c r="H2870" s="216"/>
      <c r="K2870" s="184">
        <f>(K2869*3/100)</f>
        <v>3168.0000000000005</v>
      </c>
      <c r="L2870" s="182" t="s">
        <v>900</v>
      </c>
      <c r="M2870" s="182"/>
      <c r="P2870" s="184">
        <f>K2869*5/100</f>
        <v>5280.0000000000009</v>
      </c>
    </row>
    <row r="2871" spans="1:21" ht="31.5" x14ac:dyDescent="0.25">
      <c r="B2871" s="182" t="s">
        <v>27</v>
      </c>
      <c r="C2871" s="182" t="s">
        <v>28</v>
      </c>
      <c r="D2871" s="182">
        <v>2</v>
      </c>
      <c r="E2871" s="182">
        <f>skilled_blacksmith</f>
        <v>1245</v>
      </c>
      <c r="F2871" s="184">
        <f>(D2871*E2871)</f>
        <v>2490</v>
      </c>
      <c r="G2871" s="182" t="s">
        <v>898</v>
      </c>
      <c r="H2871" s="216"/>
      <c r="K2871" s="184">
        <f>(SUM(K2869:K2869)*12/100)</f>
        <v>12672.000000000002</v>
      </c>
    </row>
    <row r="2872" spans="1:21" ht="63" x14ac:dyDescent="0.25">
      <c r="B2872" s="182" t="s">
        <v>895</v>
      </c>
      <c r="C2872" s="182" t="s">
        <v>28</v>
      </c>
      <c r="D2872" s="182">
        <v>2</v>
      </c>
      <c r="E2872" s="182">
        <f>semiskilled</f>
        <v>1035</v>
      </c>
      <c r="F2872" s="184">
        <f>(D2872*E2872)</f>
        <v>2070</v>
      </c>
      <c r="G2872" s="182" t="s">
        <v>899</v>
      </c>
      <c r="H2872" s="216"/>
      <c r="K2872" s="184">
        <f>(K2869*5/100)</f>
        <v>5280.0000000000009</v>
      </c>
    </row>
    <row r="2873" spans="1:21" x14ac:dyDescent="0.25">
      <c r="B2873" s="182" t="s">
        <v>29</v>
      </c>
      <c r="C2873" s="182" t="s">
        <v>28</v>
      </c>
      <c r="D2873" s="182">
        <v>2</v>
      </c>
      <c r="E2873" s="182">
        <f>unskilled</f>
        <v>935</v>
      </c>
      <c r="F2873" s="184">
        <f>(D2873*E2873)</f>
        <v>1870</v>
      </c>
    </row>
    <row r="2874" spans="1:21" x14ac:dyDescent="0.25">
      <c r="B2874" s="182" t="s">
        <v>896</v>
      </c>
      <c r="C2874" s="182"/>
    </row>
    <row r="2875" spans="1:21" x14ac:dyDescent="0.25">
      <c r="B2875" s="182" t="s">
        <v>894</v>
      </c>
      <c r="C2875" s="182" t="s">
        <v>28</v>
      </c>
      <c r="D2875" s="182">
        <v>1</v>
      </c>
      <c r="E2875" s="182">
        <f>technician</f>
        <v>825</v>
      </c>
      <c r="F2875" s="184">
        <f>(D2875*E2875)</f>
        <v>825</v>
      </c>
    </row>
    <row r="2876" spans="1:21" ht="31.5" x14ac:dyDescent="0.25">
      <c r="B2876" s="182" t="s">
        <v>27</v>
      </c>
      <c r="C2876" s="182" t="s">
        <v>28</v>
      </c>
      <c r="D2876" s="182">
        <v>2</v>
      </c>
      <c r="E2876" s="182">
        <f>skilled_blacksmith</f>
        <v>1245</v>
      </c>
      <c r="F2876" s="184">
        <f>(D2876*E2876)</f>
        <v>2490</v>
      </c>
    </row>
    <row r="2877" spans="1:21" x14ac:dyDescent="0.25">
      <c r="B2877" s="182" t="s">
        <v>895</v>
      </c>
      <c r="C2877" s="182" t="s">
        <v>28</v>
      </c>
      <c r="D2877" s="182">
        <v>4</v>
      </c>
      <c r="E2877" s="182">
        <f>semiskilled</f>
        <v>1035</v>
      </c>
      <c r="F2877" s="184">
        <f>(D2877*E2877)</f>
        <v>4140</v>
      </c>
    </row>
    <row r="2878" spans="1:21" x14ac:dyDescent="0.25">
      <c r="B2878" s="182" t="s">
        <v>29</v>
      </c>
      <c r="C2878" s="182" t="s">
        <v>28</v>
      </c>
      <c r="D2878" s="182">
        <v>4</v>
      </c>
      <c r="E2878" s="182">
        <f>unskilled</f>
        <v>935</v>
      </c>
      <c r="F2878" s="184">
        <f>(D2878*E2878)</f>
        <v>3740</v>
      </c>
    </row>
    <row r="2879" spans="1:21" x14ac:dyDescent="0.25">
      <c r="A2879" s="537" t="s">
        <v>30</v>
      </c>
      <c r="B2879" s="537"/>
      <c r="C2879" s="537"/>
      <c r="D2879" s="537"/>
      <c r="E2879" s="537"/>
      <c r="F2879" s="184">
        <f>SUM(F2868:F2878)</f>
        <v>18450</v>
      </c>
      <c r="G2879" s="537" t="s">
        <v>31</v>
      </c>
      <c r="H2879" s="537"/>
      <c r="I2879" s="537"/>
      <c r="J2879" s="537"/>
      <c r="K2879" s="184">
        <f>SUM(K2868:K2878)</f>
        <v>126720.00000000001</v>
      </c>
      <c r="L2879" s="537" t="s">
        <v>32</v>
      </c>
      <c r="M2879" s="537"/>
      <c r="N2879" s="537"/>
      <c r="O2879" s="537"/>
      <c r="P2879" s="184">
        <f>SUM(P2868:P2878)</f>
        <v>8183.0000000000009</v>
      </c>
      <c r="Q2879" s="537" t="s">
        <v>38</v>
      </c>
      <c r="R2879" s="537"/>
      <c r="S2879" s="537"/>
      <c r="T2879" s="537"/>
      <c r="U2879" s="223">
        <f>SUM(U2868:U2878)</f>
        <v>0</v>
      </c>
    </row>
    <row r="2880" spans="1:21" x14ac:dyDescent="0.25">
      <c r="A2880" s="537" t="s">
        <v>33</v>
      </c>
      <c r="B2880" s="537"/>
      <c r="C2880" s="537"/>
      <c r="D2880" s="537"/>
      <c r="E2880" s="537"/>
      <c r="F2880" s="184">
        <f>SUM(F2879+K2879+P2879)</f>
        <v>153353</v>
      </c>
      <c r="G2880" s="537" t="s">
        <v>39</v>
      </c>
      <c r="H2880" s="537"/>
      <c r="I2880" s="537"/>
      <c r="J2880" s="537"/>
      <c r="K2880" s="184">
        <f>SUM(F2879+K2879+P2879+U2879)</f>
        <v>153353</v>
      </c>
      <c r="L2880" s="537" t="s">
        <v>40</v>
      </c>
      <c r="M2880" s="537"/>
      <c r="N2880" s="537"/>
      <c r="O2880" s="537"/>
      <c r="P2880" s="184">
        <f>SUM(K2880*0.15)</f>
        <v>23002.95</v>
      </c>
      <c r="Q2880" s="537" t="s">
        <v>41</v>
      </c>
      <c r="R2880" s="537"/>
      <c r="S2880" s="537"/>
      <c r="T2880" s="537"/>
      <c r="U2880" s="223">
        <f>SUM(K2880+P2880)</f>
        <v>176355.95</v>
      </c>
    </row>
    <row r="2881" spans="1:21" x14ac:dyDescent="0.25">
      <c r="Q2881" s="537" t="s">
        <v>42</v>
      </c>
      <c r="R2881" s="537"/>
      <c r="S2881" s="537"/>
      <c r="T2881" s="537"/>
      <c r="U2881" s="224">
        <f>ROUND((U2880/1),2)</f>
        <v>176355.95</v>
      </c>
    </row>
    <row r="2882" spans="1:21" x14ac:dyDescent="0.25">
      <c r="A2882" s="544"/>
      <c r="B2882" s="544"/>
      <c r="C2882" s="544"/>
      <c r="D2882" s="544"/>
      <c r="E2882" s="544"/>
      <c r="F2882" s="544"/>
      <c r="G2882" s="544"/>
      <c r="H2882" s="544"/>
      <c r="I2882" s="544"/>
      <c r="J2882" s="544"/>
      <c r="K2882" s="544"/>
      <c r="L2882" s="544"/>
      <c r="M2882" s="544"/>
      <c r="N2882" s="544"/>
      <c r="O2882" s="544"/>
      <c r="P2882" s="544"/>
      <c r="Q2882" s="544"/>
      <c r="R2882" s="544"/>
      <c r="S2882" s="544"/>
      <c r="T2882" s="544"/>
      <c r="U2882" s="544"/>
    </row>
    <row r="2883" spans="1:21" x14ac:dyDescent="0.25">
      <c r="A2883" s="538" t="s">
        <v>12</v>
      </c>
      <c r="B2883" s="538"/>
      <c r="C2883" s="540" t="s">
        <v>901</v>
      </c>
      <c r="D2883" s="540"/>
      <c r="E2883" s="540"/>
      <c r="F2883" s="540"/>
      <c r="G2883" s="540"/>
      <c r="H2883" s="540"/>
      <c r="I2883" s="540"/>
      <c r="J2883" s="540"/>
      <c r="K2883" s="540"/>
      <c r="L2883" s="540"/>
      <c r="M2883" s="540"/>
      <c r="N2883" s="540"/>
      <c r="O2883" s="540"/>
      <c r="P2883" s="540"/>
      <c r="Q2883" s="540"/>
      <c r="R2883" s="540"/>
      <c r="S2883" s="540"/>
      <c r="T2883" s="540"/>
      <c r="U2883" s="541" t="s">
        <v>15</v>
      </c>
    </row>
    <row r="2884" spans="1:21" x14ac:dyDescent="0.25">
      <c r="A2884" s="538"/>
      <c r="B2884" s="538"/>
      <c r="C2884" s="540"/>
      <c r="D2884" s="540"/>
      <c r="E2884" s="540"/>
      <c r="F2884" s="540"/>
      <c r="G2884" s="540"/>
      <c r="H2884" s="540"/>
      <c r="I2884" s="540"/>
      <c r="J2884" s="540"/>
      <c r="K2884" s="540"/>
      <c r="L2884" s="540"/>
      <c r="M2884" s="540"/>
      <c r="N2884" s="540"/>
      <c r="O2884" s="540"/>
      <c r="P2884" s="540"/>
      <c r="Q2884" s="540"/>
      <c r="R2884" s="540"/>
      <c r="S2884" s="540"/>
      <c r="T2884" s="540"/>
      <c r="U2884" s="541"/>
    </row>
    <row r="2885" spans="1:21" x14ac:dyDescent="0.25">
      <c r="A2885" s="539" t="s">
        <v>890</v>
      </c>
      <c r="B2885" s="539"/>
      <c r="C2885" s="540"/>
      <c r="D2885" s="540"/>
      <c r="E2885" s="540"/>
      <c r="F2885" s="540"/>
      <c r="G2885" s="540"/>
      <c r="H2885" s="540"/>
      <c r="I2885" s="540"/>
      <c r="J2885" s="540"/>
      <c r="K2885" s="540"/>
      <c r="L2885" s="540"/>
      <c r="M2885" s="540"/>
      <c r="N2885" s="540"/>
      <c r="O2885" s="540"/>
      <c r="P2885" s="540"/>
      <c r="Q2885" s="540"/>
      <c r="R2885" s="540"/>
      <c r="S2885" s="540"/>
      <c r="T2885" s="540"/>
      <c r="U2885" s="541"/>
    </row>
    <row r="2886" spans="1:21" x14ac:dyDescent="0.25">
      <c r="A2886" s="542" t="s">
        <v>16</v>
      </c>
      <c r="B2886" s="543" t="s">
        <v>18</v>
      </c>
      <c r="C2886" s="543"/>
      <c r="D2886" s="543"/>
      <c r="E2886" s="543"/>
      <c r="F2886" s="543"/>
      <c r="G2886" s="543" t="s">
        <v>24</v>
      </c>
      <c r="H2886" s="543"/>
      <c r="I2886" s="543"/>
      <c r="J2886" s="543"/>
      <c r="K2886" s="543"/>
      <c r="L2886" s="543" t="s">
        <v>25</v>
      </c>
      <c r="M2886" s="543"/>
      <c r="N2886" s="543"/>
      <c r="O2886" s="543"/>
      <c r="P2886" s="543"/>
      <c r="Q2886" s="543" t="s">
        <v>26</v>
      </c>
      <c r="R2886" s="543"/>
      <c r="S2886" s="543"/>
      <c r="T2886" s="543"/>
      <c r="U2886" s="543"/>
    </row>
    <row r="2887" spans="1:21" x14ac:dyDescent="0.25">
      <c r="A2887" s="542"/>
      <c r="B2887" s="182" t="s">
        <v>19</v>
      </c>
      <c r="C2887" s="182" t="s">
        <v>20</v>
      </c>
      <c r="D2887" s="182" t="s">
        <v>21</v>
      </c>
      <c r="E2887" s="182" t="s">
        <v>22</v>
      </c>
      <c r="F2887" s="182" t="s">
        <v>23</v>
      </c>
      <c r="G2887" s="182" t="s">
        <v>19</v>
      </c>
      <c r="H2887" s="216" t="s">
        <v>20</v>
      </c>
      <c r="I2887" s="182" t="s">
        <v>21</v>
      </c>
      <c r="J2887" s="182" t="s">
        <v>22</v>
      </c>
      <c r="K2887" s="182" t="s">
        <v>23</v>
      </c>
      <c r="L2887" s="182" t="s">
        <v>19</v>
      </c>
      <c r="M2887" s="182" t="s">
        <v>20</v>
      </c>
      <c r="N2887" s="182" t="s">
        <v>21</v>
      </c>
      <c r="O2887" s="182" t="s">
        <v>22</v>
      </c>
      <c r="P2887" s="182" t="s">
        <v>23</v>
      </c>
      <c r="Q2887" s="182" t="s">
        <v>19</v>
      </c>
      <c r="R2887" s="182" t="s">
        <v>20</v>
      </c>
      <c r="S2887" s="182" t="s">
        <v>21</v>
      </c>
      <c r="T2887" s="182" t="s">
        <v>22</v>
      </c>
      <c r="U2887" s="211" t="s">
        <v>23</v>
      </c>
    </row>
    <row r="2888" spans="1:21" ht="47.25" x14ac:dyDescent="0.25">
      <c r="A2888" s="183" t="s">
        <v>902</v>
      </c>
      <c r="B2888" s="182" t="s">
        <v>893</v>
      </c>
      <c r="C2888" s="182"/>
      <c r="G2888" s="182" t="s">
        <v>642</v>
      </c>
      <c r="H2888" s="216" t="s">
        <v>35</v>
      </c>
      <c r="I2888" s="182">
        <v>1.1000000000000001</v>
      </c>
      <c r="J2888" s="182">
        <f>adopted_rate_structural_steel</f>
        <v>96000</v>
      </c>
      <c r="K2888" s="182">
        <f>(I2888*J2888)</f>
        <v>105600.00000000001</v>
      </c>
      <c r="L2888" s="182" t="s">
        <v>477</v>
      </c>
      <c r="M2888" s="182" t="s">
        <v>58</v>
      </c>
      <c r="N2888" s="182">
        <v>1</v>
      </c>
      <c r="O2888" s="182">
        <f>crane</f>
        <v>2903</v>
      </c>
      <c r="P2888" s="184">
        <f>(N2888*O2888)</f>
        <v>2903</v>
      </c>
    </row>
    <row r="2889" spans="1:21" ht="63" x14ac:dyDescent="0.25">
      <c r="B2889" s="182" t="s">
        <v>894</v>
      </c>
      <c r="C2889" s="182" t="s">
        <v>28</v>
      </c>
      <c r="D2889" s="182">
        <v>1</v>
      </c>
      <c r="E2889" s="182">
        <f>technician</f>
        <v>825</v>
      </c>
      <c r="F2889" s="184">
        <f>(D2889*E2889)</f>
        <v>825</v>
      </c>
      <c r="G2889" s="182" t="s">
        <v>897</v>
      </c>
      <c r="H2889" s="216"/>
      <c r="K2889" s="184">
        <f>(K2888*3/100)</f>
        <v>3168.0000000000005</v>
      </c>
      <c r="L2889" s="182" t="s">
        <v>900</v>
      </c>
      <c r="M2889" s="182"/>
      <c r="P2889" s="184">
        <f>K2888*5/100</f>
        <v>5280.0000000000009</v>
      </c>
    </row>
    <row r="2890" spans="1:21" ht="47.25" x14ac:dyDescent="0.25">
      <c r="B2890" s="182" t="s">
        <v>27</v>
      </c>
      <c r="C2890" s="182" t="s">
        <v>28</v>
      </c>
      <c r="D2890" s="182">
        <v>2</v>
      </c>
      <c r="E2890" s="182">
        <f>skilled_blacksmith</f>
        <v>1245</v>
      </c>
      <c r="F2890" s="184">
        <f>(D2890*E2890)</f>
        <v>2490</v>
      </c>
      <c r="G2890" s="182" t="s">
        <v>903</v>
      </c>
      <c r="H2890" s="216"/>
      <c r="K2890" s="184">
        <f>(SUM(K2888:K2888)*5/100)</f>
        <v>5280.0000000000009</v>
      </c>
    </row>
    <row r="2891" spans="1:21" x14ac:dyDescent="0.25">
      <c r="B2891" s="182" t="s">
        <v>895</v>
      </c>
      <c r="C2891" s="182" t="s">
        <v>28</v>
      </c>
      <c r="D2891" s="182">
        <v>2</v>
      </c>
      <c r="E2891" s="182">
        <f>semiskilled</f>
        <v>1035</v>
      </c>
      <c r="F2891" s="184">
        <f>(D2891*E2891)</f>
        <v>2070</v>
      </c>
      <c r="G2891" s="620" t="s">
        <v>899</v>
      </c>
      <c r="H2891" s="216"/>
      <c r="K2891" s="184">
        <f>(K2888*5/100)</f>
        <v>5280.0000000000009</v>
      </c>
    </row>
    <row r="2892" spans="1:21" x14ac:dyDescent="0.25">
      <c r="B2892" s="182" t="s">
        <v>29</v>
      </c>
      <c r="C2892" s="182" t="s">
        <v>28</v>
      </c>
      <c r="D2892" s="182">
        <v>2</v>
      </c>
      <c r="E2892" s="182">
        <f>unskilled</f>
        <v>935</v>
      </c>
      <c r="F2892" s="184">
        <f>(D2892*E2892)</f>
        <v>1870</v>
      </c>
      <c r="G2892" s="622"/>
    </row>
    <row r="2893" spans="1:21" x14ac:dyDescent="0.25">
      <c r="B2893" s="182" t="s">
        <v>896</v>
      </c>
      <c r="C2893" s="182"/>
      <c r="G2893" s="622"/>
    </row>
    <row r="2894" spans="1:21" x14ac:dyDescent="0.25">
      <c r="B2894" s="182" t="s">
        <v>894</v>
      </c>
      <c r="C2894" s="182" t="s">
        <v>28</v>
      </c>
      <c r="D2894" s="182">
        <v>1</v>
      </c>
      <c r="E2894" s="182">
        <f>technician</f>
        <v>825</v>
      </c>
      <c r="F2894" s="184">
        <f>(D2894*E2894)</f>
        <v>825</v>
      </c>
    </row>
    <row r="2895" spans="1:21" ht="31.5" x14ac:dyDescent="0.25">
      <c r="B2895" s="182" t="s">
        <v>27</v>
      </c>
      <c r="C2895" s="182" t="s">
        <v>28</v>
      </c>
      <c r="D2895" s="182">
        <v>2</v>
      </c>
      <c r="E2895" s="182">
        <f>skilled_blacksmith</f>
        <v>1245</v>
      </c>
      <c r="F2895" s="184">
        <f>(D2895*E2895)</f>
        <v>2490</v>
      </c>
    </row>
    <row r="2896" spans="1:21" x14ac:dyDescent="0.25">
      <c r="B2896" s="182" t="s">
        <v>895</v>
      </c>
      <c r="C2896" s="182" t="s">
        <v>28</v>
      </c>
      <c r="D2896" s="182">
        <v>4</v>
      </c>
      <c r="E2896" s="182">
        <f>semiskilled</f>
        <v>1035</v>
      </c>
      <c r="F2896" s="184">
        <f>(D2896*E2896)</f>
        <v>4140</v>
      </c>
    </row>
    <row r="2897" spans="1:21" x14ac:dyDescent="0.25">
      <c r="B2897" s="182" t="s">
        <v>29</v>
      </c>
      <c r="C2897" s="182" t="s">
        <v>28</v>
      </c>
      <c r="D2897" s="182">
        <v>4</v>
      </c>
      <c r="E2897" s="182">
        <f>unskilled</f>
        <v>935</v>
      </c>
      <c r="F2897" s="184">
        <f>(D2897*E2897)</f>
        <v>3740</v>
      </c>
    </row>
    <row r="2898" spans="1:21" x14ac:dyDescent="0.25">
      <c r="A2898" s="537" t="s">
        <v>30</v>
      </c>
      <c r="B2898" s="537"/>
      <c r="C2898" s="537"/>
      <c r="D2898" s="537"/>
      <c r="E2898" s="537"/>
      <c r="F2898" s="184">
        <f>SUM(F2887:F2897)</f>
        <v>18450</v>
      </c>
      <c r="G2898" s="537" t="s">
        <v>31</v>
      </c>
      <c r="H2898" s="537"/>
      <c r="I2898" s="537"/>
      <c r="J2898" s="537"/>
      <c r="K2898" s="184">
        <f>SUM(K2887:K2897)</f>
        <v>119328.00000000001</v>
      </c>
      <c r="L2898" s="537" t="s">
        <v>32</v>
      </c>
      <c r="M2898" s="537"/>
      <c r="N2898" s="537"/>
      <c r="O2898" s="537"/>
      <c r="P2898" s="184">
        <f>SUM(P2887:P2897)</f>
        <v>8183.0000000000009</v>
      </c>
      <c r="Q2898" s="537" t="s">
        <v>38</v>
      </c>
      <c r="R2898" s="537"/>
      <c r="S2898" s="537"/>
      <c r="T2898" s="537"/>
      <c r="U2898" s="223">
        <f>SUM(U2887:U2897)</f>
        <v>0</v>
      </c>
    </row>
    <row r="2899" spans="1:21" x14ac:dyDescent="0.25">
      <c r="A2899" s="537" t="s">
        <v>33</v>
      </c>
      <c r="B2899" s="537"/>
      <c r="C2899" s="537"/>
      <c r="D2899" s="537"/>
      <c r="E2899" s="537"/>
      <c r="F2899" s="184">
        <f>SUM(F2898+K2898+P2898)</f>
        <v>145961</v>
      </c>
      <c r="G2899" s="537" t="s">
        <v>39</v>
      </c>
      <c r="H2899" s="537"/>
      <c r="I2899" s="537"/>
      <c r="J2899" s="537"/>
      <c r="K2899" s="184">
        <f>SUM(F2898+K2898+P2898+U2898)</f>
        <v>145961</v>
      </c>
      <c r="L2899" s="537" t="s">
        <v>40</v>
      </c>
      <c r="M2899" s="537"/>
      <c r="N2899" s="537"/>
      <c r="O2899" s="537"/>
      <c r="P2899" s="184">
        <f>SUM(K2899*0.15)</f>
        <v>21894.149999999998</v>
      </c>
      <c r="Q2899" s="537" t="s">
        <v>41</v>
      </c>
      <c r="R2899" s="537"/>
      <c r="S2899" s="537"/>
      <c r="T2899" s="537"/>
      <c r="U2899" s="223">
        <f>SUM(K2899+P2899)</f>
        <v>167855.15</v>
      </c>
    </row>
    <row r="2900" spans="1:21" x14ac:dyDescent="0.25">
      <c r="Q2900" s="537" t="s">
        <v>42</v>
      </c>
      <c r="R2900" s="537"/>
      <c r="S2900" s="537"/>
      <c r="T2900" s="537"/>
      <c r="U2900" s="224">
        <f>ROUND((U2899/1),2)</f>
        <v>167855.15</v>
      </c>
    </row>
    <row r="2901" spans="1:21" x14ac:dyDescent="0.25">
      <c r="A2901" s="544"/>
      <c r="B2901" s="544"/>
      <c r="C2901" s="544"/>
      <c r="D2901" s="544"/>
      <c r="E2901" s="544"/>
      <c r="F2901" s="544"/>
      <c r="G2901" s="544"/>
      <c r="H2901" s="544"/>
      <c r="I2901" s="544"/>
      <c r="J2901" s="544"/>
      <c r="K2901" s="544"/>
      <c r="L2901" s="544"/>
      <c r="M2901" s="544"/>
      <c r="N2901" s="544"/>
      <c r="O2901" s="544"/>
      <c r="P2901" s="544"/>
      <c r="Q2901" s="544"/>
      <c r="R2901" s="544"/>
      <c r="S2901" s="544"/>
      <c r="T2901" s="544"/>
      <c r="U2901" s="544"/>
    </row>
    <row r="2902" spans="1:21" x14ac:dyDescent="0.25">
      <c r="A2902" s="538" t="s">
        <v>12</v>
      </c>
      <c r="B2902" s="538"/>
      <c r="C2902" s="540" t="s">
        <v>904</v>
      </c>
      <c r="D2902" s="540"/>
      <c r="E2902" s="540"/>
      <c r="F2902" s="540"/>
      <c r="G2902" s="540"/>
      <c r="H2902" s="540"/>
      <c r="I2902" s="540"/>
      <c r="J2902" s="540"/>
      <c r="K2902" s="540"/>
      <c r="L2902" s="540"/>
      <c r="M2902" s="540"/>
      <c r="N2902" s="540"/>
      <c r="O2902" s="540"/>
      <c r="P2902" s="540"/>
      <c r="Q2902" s="540"/>
      <c r="R2902" s="540"/>
      <c r="S2902" s="540"/>
      <c r="T2902" s="540"/>
      <c r="U2902" s="541" t="s">
        <v>15</v>
      </c>
    </row>
    <row r="2903" spans="1:21" x14ac:dyDescent="0.25">
      <c r="A2903" s="538"/>
      <c r="B2903" s="538"/>
      <c r="C2903" s="540"/>
      <c r="D2903" s="540"/>
      <c r="E2903" s="540"/>
      <c r="F2903" s="540"/>
      <c r="G2903" s="540"/>
      <c r="H2903" s="540"/>
      <c r="I2903" s="540"/>
      <c r="J2903" s="540"/>
      <c r="K2903" s="540"/>
      <c r="L2903" s="540"/>
      <c r="M2903" s="540"/>
      <c r="N2903" s="540"/>
      <c r="O2903" s="540"/>
      <c r="P2903" s="540"/>
      <c r="Q2903" s="540"/>
      <c r="R2903" s="540"/>
      <c r="S2903" s="540"/>
      <c r="T2903" s="540"/>
      <c r="U2903" s="541"/>
    </row>
    <row r="2904" spans="1:21" x14ac:dyDescent="0.25">
      <c r="A2904" s="539" t="s">
        <v>890</v>
      </c>
      <c r="B2904" s="539"/>
      <c r="C2904" s="540"/>
      <c r="D2904" s="540"/>
      <c r="E2904" s="540"/>
      <c r="F2904" s="540"/>
      <c r="G2904" s="540"/>
      <c r="H2904" s="540"/>
      <c r="I2904" s="540"/>
      <c r="J2904" s="540"/>
      <c r="K2904" s="540"/>
      <c r="L2904" s="540"/>
      <c r="M2904" s="540"/>
      <c r="N2904" s="540"/>
      <c r="O2904" s="540"/>
      <c r="P2904" s="540"/>
      <c r="Q2904" s="540"/>
      <c r="R2904" s="540"/>
      <c r="S2904" s="540"/>
      <c r="T2904" s="540"/>
      <c r="U2904" s="541"/>
    </row>
    <row r="2905" spans="1:21" x14ac:dyDescent="0.25">
      <c r="A2905" s="542" t="s">
        <v>16</v>
      </c>
      <c r="B2905" s="543" t="s">
        <v>18</v>
      </c>
      <c r="C2905" s="543"/>
      <c r="D2905" s="543"/>
      <c r="E2905" s="543"/>
      <c r="F2905" s="543"/>
      <c r="G2905" s="543" t="s">
        <v>24</v>
      </c>
      <c r="H2905" s="543"/>
      <c r="I2905" s="543"/>
      <c r="J2905" s="543"/>
      <c r="K2905" s="543"/>
      <c r="L2905" s="543" t="s">
        <v>25</v>
      </c>
      <c r="M2905" s="543"/>
      <c r="N2905" s="543"/>
      <c r="O2905" s="543"/>
      <c r="P2905" s="543"/>
      <c r="Q2905" s="543" t="s">
        <v>26</v>
      </c>
      <c r="R2905" s="543"/>
      <c r="S2905" s="543"/>
      <c r="T2905" s="543"/>
      <c r="U2905" s="543"/>
    </row>
    <row r="2906" spans="1:21" x14ac:dyDescent="0.25">
      <c r="A2906" s="542"/>
      <c r="B2906" s="182" t="s">
        <v>19</v>
      </c>
      <c r="C2906" s="182" t="s">
        <v>20</v>
      </c>
      <c r="D2906" s="182" t="s">
        <v>21</v>
      </c>
      <c r="E2906" s="182" t="s">
        <v>22</v>
      </c>
      <c r="F2906" s="182" t="s">
        <v>23</v>
      </c>
      <c r="G2906" s="182" t="s">
        <v>19</v>
      </c>
      <c r="H2906" s="216" t="s">
        <v>20</v>
      </c>
      <c r="I2906" s="182" t="s">
        <v>21</v>
      </c>
      <c r="J2906" s="182" t="s">
        <v>22</v>
      </c>
      <c r="K2906" s="182" t="s">
        <v>23</v>
      </c>
      <c r="L2906" s="182" t="s">
        <v>19</v>
      </c>
      <c r="M2906" s="182" t="s">
        <v>20</v>
      </c>
      <c r="N2906" s="182" t="s">
        <v>21</v>
      </c>
      <c r="O2906" s="182" t="s">
        <v>22</v>
      </c>
      <c r="P2906" s="182" t="s">
        <v>23</v>
      </c>
      <c r="Q2906" s="182" t="s">
        <v>19</v>
      </c>
      <c r="R2906" s="182" t="s">
        <v>20</v>
      </c>
      <c r="S2906" s="182" t="s">
        <v>21</v>
      </c>
      <c r="T2906" s="182" t="s">
        <v>22</v>
      </c>
      <c r="U2906" s="211" t="s">
        <v>23</v>
      </c>
    </row>
    <row r="2907" spans="1:21" ht="47.25" x14ac:dyDescent="0.25">
      <c r="A2907" s="183" t="s">
        <v>905</v>
      </c>
      <c r="B2907" s="182" t="s">
        <v>893</v>
      </c>
      <c r="C2907" s="182"/>
      <c r="G2907" s="182" t="s">
        <v>642</v>
      </c>
      <c r="H2907" s="216" t="s">
        <v>35</v>
      </c>
      <c r="I2907" s="182">
        <v>1.1000000000000001</v>
      </c>
      <c r="J2907" s="182">
        <f>adopted_rate_structural_steel</f>
        <v>96000</v>
      </c>
      <c r="K2907" s="182">
        <f>(I2907*J2907)</f>
        <v>105600.00000000001</v>
      </c>
      <c r="L2907" s="182" t="s">
        <v>477</v>
      </c>
      <c r="M2907" s="182" t="s">
        <v>58</v>
      </c>
      <c r="N2907" s="182">
        <v>1</v>
      </c>
      <c r="O2907" s="182">
        <f>crane</f>
        <v>2903</v>
      </c>
      <c r="P2907" s="184">
        <f>(N2907*O2907)</f>
        <v>2903</v>
      </c>
      <c r="Q2907" s="182" t="s">
        <v>906</v>
      </c>
      <c r="R2907" s="182"/>
      <c r="U2907" s="223">
        <f>(S2907*T2907)</f>
        <v>0</v>
      </c>
    </row>
    <row r="2908" spans="1:21" ht="31.5" x14ac:dyDescent="0.25">
      <c r="B2908" s="182" t="s">
        <v>894</v>
      </c>
      <c r="C2908" s="182" t="s">
        <v>28</v>
      </c>
      <c r="D2908" s="182">
        <v>1</v>
      </c>
      <c r="E2908" s="182">
        <f>technician</f>
        <v>825</v>
      </c>
      <c r="F2908" s="184">
        <f>(D2908*E2908)</f>
        <v>825</v>
      </c>
      <c r="G2908" s="182" t="s">
        <v>897</v>
      </c>
      <c r="H2908" s="216"/>
      <c r="K2908" s="184">
        <f>(K2907*3/100)</f>
        <v>3168.0000000000005</v>
      </c>
      <c r="L2908" s="618" t="s">
        <v>900</v>
      </c>
      <c r="M2908" s="182"/>
      <c r="P2908" s="184">
        <f>K2907*5/100</f>
        <v>5280.0000000000009</v>
      </c>
      <c r="Q2908" s="620" t="s">
        <v>906</v>
      </c>
      <c r="R2908" s="182"/>
      <c r="U2908" s="223">
        <f>(S2908*T2908)</f>
        <v>0</v>
      </c>
    </row>
    <row r="2909" spans="1:21" ht="31.5" x14ac:dyDescent="0.25">
      <c r="B2909" s="182" t="s">
        <v>27</v>
      </c>
      <c r="C2909" s="182" t="s">
        <v>28</v>
      </c>
      <c r="D2909" s="182">
        <v>2</v>
      </c>
      <c r="E2909" s="182">
        <f>skilled_blacksmith</f>
        <v>1245</v>
      </c>
      <c r="F2909" s="184">
        <f>(D2909*E2909)</f>
        <v>2490</v>
      </c>
      <c r="G2909" s="182" t="s">
        <v>898</v>
      </c>
      <c r="H2909" s="216"/>
      <c r="K2909" s="184">
        <f>(SUM(K2907:K2907)*12/100)</f>
        <v>12672.000000000002</v>
      </c>
      <c r="L2909" s="619"/>
      <c r="Q2909" s="621"/>
    </row>
    <row r="2910" spans="1:21" ht="63" x14ac:dyDescent="0.25">
      <c r="B2910" s="182" t="s">
        <v>895</v>
      </c>
      <c r="C2910" s="182" t="s">
        <v>28</v>
      </c>
      <c r="D2910" s="182">
        <v>2</v>
      </c>
      <c r="E2910" s="182">
        <f>semiskilled</f>
        <v>1035</v>
      </c>
      <c r="F2910" s="184">
        <f>(D2910*E2910)</f>
        <v>2070</v>
      </c>
      <c r="G2910" s="182" t="s">
        <v>899</v>
      </c>
      <c r="H2910" s="216"/>
      <c r="K2910" s="184">
        <f>(K2907*5/100)</f>
        <v>5280.0000000000009</v>
      </c>
    </row>
    <row r="2911" spans="1:21" x14ac:dyDescent="0.25">
      <c r="B2911" s="182" t="s">
        <v>29</v>
      </c>
      <c r="C2911" s="182" t="s">
        <v>28</v>
      </c>
      <c r="D2911" s="182">
        <v>2</v>
      </c>
      <c r="E2911" s="182">
        <f>unskilled</f>
        <v>935</v>
      </c>
      <c r="F2911" s="184">
        <f>(D2911*E2911)</f>
        <v>1870</v>
      </c>
    </row>
    <row r="2912" spans="1:21" x14ac:dyDescent="0.25">
      <c r="B2912" s="182" t="s">
        <v>896</v>
      </c>
      <c r="C2912" s="182"/>
    </row>
    <row r="2913" spans="1:21" x14ac:dyDescent="0.25">
      <c r="B2913" s="182" t="s">
        <v>894</v>
      </c>
      <c r="C2913" s="182" t="s">
        <v>28</v>
      </c>
      <c r="D2913" s="182">
        <v>1</v>
      </c>
      <c r="E2913" s="182">
        <f>technician</f>
        <v>825</v>
      </c>
      <c r="F2913" s="184">
        <f>(D2913*E2913)</f>
        <v>825</v>
      </c>
    </row>
    <row r="2914" spans="1:21" ht="31.5" x14ac:dyDescent="0.25">
      <c r="B2914" s="182" t="s">
        <v>27</v>
      </c>
      <c r="C2914" s="182" t="s">
        <v>28</v>
      </c>
      <c r="D2914" s="182">
        <v>2</v>
      </c>
      <c r="E2914" s="182">
        <f>skilled_blacksmith</f>
        <v>1245</v>
      </c>
      <c r="F2914" s="184">
        <f>(D2914*E2914)</f>
        <v>2490</v>
      </c>
    </row>
    <row r="2915" spans="1:21" x14ac:dyDescent="0.25">
      <c r="B2915" s="182" t="s">
        <v>895</v>
      </c>
      <c r="C2915" s="182" t="s">
        <v>28</v>
      </c>
      <c r="D2915" s="182">
        <v>4</v>
      </c>
      <c r="E2915" s="182">
        <f>semiskilled</f>
        <v>1035</v>
      </c>
      <c r="F2915" s="184">
        <f>(D2915*E2915)</f>
        <v>4140</v>
      </c>
    </row>
    <row r="2916" spans="1:21" x14ac:dyDescent="0.25">
      <c r="B2916" s="182" t="s">
        <v>29</v>
      </c>
      <c r="C2916" s="182" t="s">
        <v>28</v>
      </c>
      <c r="D2916" s="182">
        <v>4</v>
      </c>
      <c r="E2916" s="182">
        <f>unskilled</f>
        <v>935</v>
      </c>
      <c r="F2916" s="184">
        <f>(D2916*E2916)</f>
        <v>3740</v>
      </c>
    </row>
    <row r="2917" spans="1:21" x14ac:dyDescent="0.25">
      <c r="A2917" s="537" t="s">
        <v>30</v>
      </c>
      <c r="B2917" s="537"/>
      <c r="C2917" s="537"/>
      <c r="D2917" s="537"/>
      <c r="E2917" s="537"/>
      <c r="F2917" s="184">
        <f>SUM(F2906:F2916)</f>
        <v>18450</v>
      </c>
      <c r="G2917" s="537" t="s">
        <v>31</v>
      </c>
      <c r="H2917" s="537"/>
      <c r="I2917" s="537"/>
      <c r="J2917" s="537"/>
      <c r="K2917" s="184">
        <f>SUM(K2906:K2916)</f>
        <v>126720.00000000001</v>
      </c>
      <c r="L2917" s="537" t="s">
        <v>32</v>
      </c>
      <c r="M2917" s="537"/>
      <c r="N2917" s="537"/>
      <c r="O2917" s="537"/>
      <c r="P2917" s="184">
        <f>SUM(P2906:P2916)</f>
        <v>8183.0000000000009</v>
      </c>
      <c r="Q2917" s="537" t="s">
        <v>38</v>
      </c>
      <c r="R2917" s="537"/>
      <c r="S2917" s="537"/>
      <c r="T2917" s="537"/>
      <c r="U2917" s="223">
        <f>SUM(U2906:U2916)</f>
        <v>0</v>
      </c>
    </row>
    <row r="2918" spans="1:21" x14ac:dyDescent="0.25">
      <c r="A2918" s="537" t="s">
        <v>33</v>
      </c>
      <c r="B2918" s="537"/>
      <c r="C2918" s="537"/>
      <c r="D2918" s="537"/>
      <c r="E2918" s="537"/>
      <c r="F2918" s="184">
        <f>SUM(F2917+K2917+P2917)</f>
        <v>153353</v>
      </c>
      <c r="G2918" s="537" t="s">
        <v>39</v>
      </c>
      <c r="H2918" s="537"/>
      <c r="I2918" s="537"/>
      <c r="J2918" s="537"/>
      <c r="K2918" s="184">
        <f>SUM(F2917+K2917+P2917+U2917)</f>
        <v>153353</v>
      </c>
      <c r="L2918" s="537" t="s">
        <v>40</v>
      </c>
      <c r="M2918" s="537"/>
      <c r="N2918" s="537"/>
      <c r="O2918" s="537"/>
      <c r="P2918" s="184">
        <f>SUM(K2918*0.15)</f>
        <v>23002.95</v>
      </c>
      <c r="Q2918" s="537" t="s">
        <v>41</v>
      </c>
      <c r="R2918" s="537"/>
      <c r="S2918" s="537"/>
      <c r="T2918" s="537"/>
      <c r="U2918" s="223">
        <f>SUM(K2918+P2918)</f>
        <v>176355.95</v>
      </c>
    </row>
    <row r="2919" spans="1:21" x14ac:dyDescent="0.25">
      <c r="Q2919" s="537" t="s">
        <v>42</v>
      </c>
      <c r="R2919" s="537"/>
      <c r="S2919" s="537"/>
      <c r="T2919" s="537"/>
      <c r="U2919" s="224">
        <f>ROUND((U2918/1),2)</f>
        <v>176355.95</v>
      </c>
    </row>
    <row r="2920" spans="1:21" x14ac:dyDescent="0.25">
      <c r="A2920" s="544"/>
      <c r="B2920" s="544"/>
      <c r="C2920" s="544"/>
      <c r="D2920" s="544"/>
      <c r="E2920" s="544"/>
      <c r="F2920" s="544"/>
      <c r="G2920" s="544"/>
      <c r="H2920" s="544"/>
      <c r="I2920" s="544"/>
      <c r="J2920" s="544"/>
      <c r="K2920" s="544"/>
      <c r="L2920" s="544"/>
      <c r="M2920" s="544"/>
      <c r="N2920" s="544"/>
      <c r="O2920" s="544"/>
      <c r="P2920" s="544"/>
      <c r="Q2920" s="544"/>
      <c r="R2920" s="544"/>
      <c r="S2920" s="544"/>
      <c r="T2920" s="544"/>
      <c r="U2920" s="544"/>
    </row>
    <row r="2921" spans="1:21" x14ac:dyDescent="0.25">
      <c r="A2921" s="538" t="s">
        <v>12</v>
      </c>
      <c r="B2921" s="538"/>
      <c r="C2921" s="540" t="s">
        <v>907</v>
      </c>
      <c r="D2921" s="540"/>
      <c r="E2921" s="540"/>
      <c r="F2921" s="540"/>
      <c r="G2921" s="540"/>
      <c r="H2921" s="540"/>
      <c r="I2921" s="540"/>
      <c r="J2921" s="540"/>
      <c r="K2921" s="540"/>
      <c r="L2921" s="540"/>
      <c r="M2921" s="540"/>
      <c r="N2921" s="540"/>
      <c r="O2921" s="540"/>
      <c r="P2921" s="540"/>
      <c r="Q2921" s="540"/>
      <c r="R2921" s="540"/>
      <c r="S2921" s="540"/>
      <c r="T2921" s="540"/>
      <c r="U2921" s="541" t="s">
        <v>15</v>
      </c>
    </row>
    <row r="2922" spans="1:21" x14ac:dyDescent="0.25">
      <c r="A2922" s="538"/>
      <c r="B2922" s="538"/>
      <c r="C2922" s="540"/>
      <c r="D2922" s="540"/>
      <c r="E2922" s="540"/>
      <c r="F2922" s="540"/>
      <c r="G2922" s="540"/>
      <c r="H2922" s="540"/>
      <c r="I2922" s="540"/>
      <c r="J2922" s="540"/>
      <c r="K2922" s="540"/>
      <c r="L2922" s="540"/>
      <c r="M2922" s="540"/>
      <c r="N2922" s="540"/>
      <c r="O2922" s="540"/>
      <c r="P2922" s="540"/>
      <c r="Q2922" s="540"/>
      <c r="R2922" s="540"/>
      <c r="S2922" s="540"/>
      <c r="T2922" s="540"/>
      <c r="U2922" s="541"/>
    </row>
    <row r="2923" spans="1:21" x14ac:dyDescent="0.25">
      <c r="A2923" s="539" t="s">
        <v>50</v>
      </c>
      <c r="B2923" s="539"/>
      <c r="C2923" s="540"/>
      <c r="D2923" s="540"/>
      <c r="E2923" s="540"/>
      <c r="F2923" s="540"/>
      <c r="G2923" s="540"/>
      <c r="H2923" s="540"/>
      <c r="I2923" s="540"/>
      <c r="J2923" s="540"/>
      <c r="K2923" s="540"/>
      <c r="L2923" s="540"/>
      <c r="M2923" s="540"/>
      <c r="N2923" s="540"/>
      <c r="O2923" s="540"/>
      <c r="P2923" s="540"/>
      <c r="Q2923" s="540"/>
      <c r="R2923" s="540"/>
      <c r="S2923" s="540"/>
      <c r="T2923" s="540"/>
      <c r="U2923" s="541"/>
    </row>
    <row r="2924" spans="1:21" x14ac:dyDescent="0.25">
      <c r="A2924" s="542" t="s">
        <v>16</v>
      </c>
      <c r="B2924" s="543" t="s">
        <v>18</v>
      </c>
      <c r="C2924" s="543"/>
      <c r="D2924" s="543"/>
      <c r="E2924" s="543"/>
      <c r="F2924" s="543"/>
      <c r="G2924" s="543" t="s">
        <v>24</v>
      </c>
      <c r="H2924" s="543"/>
      <c r="I2924" s="543"/>
      <c r="J2924" s="543"/>
      <c r="K2924" s="543"/>
      <c r="L2924" s="543" t="s">
        <v>25</v>
      </c>
      <c r="M2924" s="543"/>
      <c r="N2924" s="543"/>
      <c r="O2924" s="543"/>
      <c r="P2924" s="543"/>
      <c r="Q2924" s="543" t="s">
        <v>26</v>
      </c>
      <c r="R2924" s="543"/>
      <c r="S2924" s="543"/>
      <c r="T2924" s="543"/>
      <c r="U2924" s="543"/>
    </row>
    <row r="2925" spans="1:21" x14ac:dyDescent="0.25">
      <c r="A2925" s="542"/>
      <c r="B2925" s="182" t="s">
        <v>19</v>
      </c>
      <c r="C2925" s="182" t="s">
        <v>20</v>
      </c>
      <c r="D2925" s="182" t="s">
        <v>21</v>
      </c>
      <c r="E2925" s="182" t="s">
        <v>22</v>
      </c>
      <c r="F2925" s="182" t="s">
        <v>23</v>
      </c>
      <c r="G2925" s="182" t="s">
        <v>19</v>
      </c>
      <c r="H2925" s="216" t="s">
        <v>20</v>
      </c>
      <c r="I2925" s="182" t="s">
        <v>21</v>
      </c>
      <c r="J2925" s="182" t="s">
        <v>22</v>
      </c>
      <c r="K2925" s="182" t="s">
        <v>23</v>
      </c>
      <c r="L2925" s="182" t="s">
        <v>19</v>
      </c>
      <c r="M2925" s="182" t="s">
        <v>20</v>
      </c>
      <c r="N2925" s="182" t="s">
        <v>21</v>
      </c>
      <c r="O2925" s="182" t="s">
        <v>22</v>
      </c>
      <c r="P2925" s="182" t="s">
        <v>23</v>
      </c>
      <c r="Q2925" s="182" t="s">
        <v>19</v>
      </c>
      <c r="R2925" s="182" t="s">
        <v>20</v>
      </c>
      <c r="S2925" s="182" t="s">
        <v>21</v>
      </c>
      <c r="T2925" s="182" t="s">
        <v>22</v>
      </c>
      <c r="U2925" s="211" t="s">
        <v>23</v>
      </c>
    </row>
    <row r="2926" spans="1:21" ht="47.25" x14ac:dyDescent="0.25">
      <c r="A2926" s="183" t="s">
        <v>908</v>
      </c>
      <c r="B2926" s="182" t="s">
        <v>893</v>
      </c>
      <c r="C2926" s="182"/>
      <c r="G2926" s="182" t="s">
        <v>642</v>
      </c>
      <c r="H2926" s="216" t="s">
        <v>35</v>
      </c>
      <c r="I2926" s="182">
        <v>1.1000000000000001</v>
      </c>
      <c r="J2926" s="182">
        <f>adopted_rate_structural_steel</f>
        <v>96000</v>
      </c>
      <c r="K2926" s="182">
        <f>(I2926*J2926)</f>
        <v>105600.00000000001</v>
      </c>
      <c r="L2926" s="182" t="s">
        <v>477</v>
      </c>
      <c r="M2926" s="182" t="s">
        <v>58</v>
      </c>
      <c r="N2926" s="182">
        <v>1</v>
      </c>
      <c r="O2926" s="182">
        <f>crane</f>
        <v>2903</v>
      </c>
      <c r="P2926" s="184">
        <f>(N2926*O2926)</f>
        <v>2903</v>
      </c>
      <c r="Q2926" s="182" t="s">
        <v>906</v>
      </c>
      <c r="R2926" s="182"/>
      <c r="U2926" s="223">
        <f>(S2926*T2926)</f>
        <v>0</v>
      </c>
    </row>
    <row r="2927" spans="1:21" ht="31.5" x14ac:dyDescent="0.25">
      <c r="B2927" s="182" t="s">
        <v>894</v>
      </c>
      <c r="C2927" s="182" t="s">
        <v>28</v>
      </c>
      <c r="D2927" s="182">
        <v>1</v>
      </c>
      <c r="E2927" s="182">
        <f>technician</f>
        <v>825</v>
      </c>
      <c r="F2927" s="184">
        <f>(D2927*E2927)</f>
        <v>825</v>
      </c>
      <c r="G2927" s="182" t="s">
        <v>897</v>
      </c>
      <c r="H2927" s="216"/>
      <c r="K2927" s="184">
        <f>(K2926*3/100)</f>
        <v>3168.0000000000005</v>
      </c>
      <c r="L2927" s="618" t="s">
        <v>900</v>
      </c>
      <c r="M2927" s="182"/>
      <c r="P2927" s="184">
        <f>K2926*5/100</f>
        <v>5280.0000000000009</v>
      </c>
    </row>
    <row r="2928" spans="1:21" ht="31.5" x14ac:dyDescent="0.25">
      <c r="B2928" s="182" t="s">
        <v>27</v>
      </c>
      <c r="C2928" s="182" t="s">
        <v>28</v>
      </c>
      <c r="D2928" s="182">
        <v>2</v>
      </c>
      <c r="E2928" s="182">
        <f>skilled_blacksmith</f>
        <v>1245</v>
      </c>
      <c r="F2928" s="184">
        <f>(D2928*E2928)</f>
        <v>2490</v>
      </c>
      <c r="G2928" s="182" t="s">
        <v>898</v>
      </c>
      <c r="H2928" s="216"/>
      <c r="K2928" s="184">
        <f>(SUM(K2926:K2926)*12/100)</f>
        <v>12672.000000000002</v>
      </c>
      <c r="L2928" s="619"/>
    </row>
    <row r="2929" spans="1:21" ht="63" x14ac:dyDescent="0.25">
      <c r="B2929" s="182" t="s">
        <v>895</v>
      </c>
      <c r="C2929" s="182" t="s">
        <v>28</v>
      </c>
      <c r="D2929" s="182">
        <v>2</v>
      </c>
      <c r="E2929" s="182">
        <f>semiskilled</f>
        <v>1035</v>
      </c>
      <c r="F2929" s="184">
        <f>(D2929*E2929)</f>
        <v>2070</v>
      </c>
      <c r="G2929" s="182" t="s">
        <v>899</v>
      </c>
      <c r="H2929" s="216"/>
      <c r="K2929" s="184">
        <f>(K2926*5/100)</f>
        <v>5280.0000000000009</v>
      </c>
    </row>
    <row r="2930" spans="1:21" x14ac:dyDescent="0.25">
      <c r="B2930" s="182" t="s">
        <v>29</v>
      </c>
      <c r="C2930" s="182" t="s">
        <v>28</v>
      </c>
      <c r="D2930" s="182">
        <v>2</v>
      </c>
      <c r="E2930" s="182">
        <f>unskilled</f>
        <v>935</v>
      </c>
      <c r="F2930" s="184">
        <f>(D2930*E2930)</f>
        <v>1870</v>
      </c>
    </row>
    <row r="2931" spans="1:21" x14ac:dyDescent="0.25">
      <c r="B2931" s="182" t="s">
        <v>896</v>
      </c>
      <c r="C2931" s="182"/>
    </row>
    <row r="2932" spans="1:21" x14ac:dyDescent="0.25">
      <c r="B2932" s="182" t="s">
        <v>894</v>
      </c>
      <c r="C2932" s="182" t="s">
        <v>28</v>
      </c>
      <c r="D2932" s="182">
        <v>1</v>
      </c>
      <c r="E2932" s="182">
        <f>technician</f>
        <v>825</v>
      </c>
      <c r="F2932" s="184">
        <f>(D2932*E2932)</f>
        <v>825</v>
      </c>
    </row>
    <row r="2933" spans="1:21" ht="31.5" x14ac:dyDescent="0.25">
      <c r="B2933" s="182" t="s">
        <v>27</v>
      </c>
      <c r="C2933" s="182" t="s">
        <v>28</v>
      </c>
      <c r="D2933" s="182">
        <v>2</v>
      </c>
      <c r="E2933" s="182">
        <f>skilled_blacksmith</f>
        <v>1245</v>
      </c>
      <c r="F2933" s="184">
        <f>(D2933*E2933)</f>
        <v>2490</v>
      </c>
    </row>
    <row r="2934" spans="1:21" x14ac:dyDescent="0.25">
      <c r="B2934" s="182" t="s">
        <v>895</v>
      </c>
      <c r="C2934" s="182" t="s">
        <v>28</v>
      </c>
      <c r="D2934" s="182">
        <v>4</v>
      </c>
      <c r="E2934" s="182">
        <f>semiskilled</f>
        <v>1035</v>
      </c>
      <c r="F2934" s="184">
        <f>(D2934*E2934)</f>
        <v>4140</v>
      </c>
    </row>
    <row r="2935" spans="1:21" x14ac:dyDescent="0.25">
      <c r="B2935" s="182" t="s">
        <v>29</v>
      </c>
      <c r="C2935" s="182" t="s">
        <v>28</v>
      </c>
      <c r="D2935" s="182">
        <v>4</v>
      </c>
      <c r="E2935" s="182">
        <f>unskilled</f>
        <v>935</v>
      </c>
      <c r="F2935" s="184">
        <f>(D2935*E2935)</f>
        <v>3740</v>
      </c>
    </row>
    <row r="2936" spans="1:21" x14ac:dyDescent="0.25">
      <c r="A2936" s="537" t="s">
        <v>30</v>
      </c>
      <c r="B2936" s="537"/>
      <c r="C2936" s="537"/>
      <c r="D2936" s="537"/>
      <c r="E2936" s="537"/>
      <c r="F2936" s="184">
        <f>SUM(F2925:F2935)</f>
        <v>18450</v>
      </c>
      <c r="G2936" s="537" t="s">
        <v>31</v>
      </c>
      <c r="H2936" s="537"/>
      <c r="I2936" s="537"/>
      <c r="J2936" s="537"/>
      <c r="K2936" s="184">
        <f>SUM(K2925:K2935)</f>
        <v>126720.00000000001</v>
      </c>
      <c r="L2936" s="537" t="s">
        <v>32</v>
      </c>
      <c r="M2936" s="537"/>
      <c r="N2936" s="537"/>
      <c r="O2936" s="537"/>
      <c r="P2936" s="184">
        <f>SUM(P2925:P2935)</f>
        <v>8183.0000000000009</v>
      </c>
      <c r="Q2936" s="537" t="s">
        <v>38</v>
      </c>
      <c r="R2936" s="537"/>
      <c r="S2936" s="537"/>
      <c r="T2936" s="537"/>
      <c r="U2936" s="223">
        <f>SUM(U2925:U2935)</f>
        <v>0</v>
      </c>
    </row>
    <row r="2937" spans="1:21" x14ac:dyDescent="0.25">
      <c r="A2937" s="537" t="s">
        <v>33</v>
      </c>
      <c r="B2937" s="537"/>
      <c r="C2937" s="537"/>
      <c r="D2937" s="537"/>
      <c r="E2937" s="537"/>
      <c r="F2937" s="184">
        <f>SUM(F2936+K2936+P2936)</f>
        <v>153353</v>
      </c>
      <c r="G2937" s="537" t="s">
        <v>39</v>
      </c>
      <c r="H2937" s="537"/>
      <c r="I2937" s="537"/>
      <c r="J2937" s="537"/>
      <c r="K2937" s="184">
        <f>SUM(F2936+K2936+P2936+U2936)</f>
        <v>153353</v>
      </c>
      <c r="L2937" s="537" t="s">
        <v>40</v>
      </c>
      <c r="M2937" s="537"/>
      <c r="N2937" s="537"/>
      <c r="O2937" s="537"/>
      <c r="P2937" s="184">
        <f>SUM(K2937*0.15)</f>
        <v>23002.95</v>
      </c>
      <c r="Q2937" s="537" t="s">
        <v>41</v>
      </c>
      <c r="R2937" s="537"/>
      <c r="S2937" s="537"/>
      <c r="T2937" s="537"/>
      <c r="U2937" s="223">
        <f>SUM(K2937+P2937)</f>
        <v>176355.95</v>
      </c>
    </row>
    <row r="2938" spans="1:21" x14ac:dyDescent="0.25">
      <c r="Q2938" s="537" t="s">
        <v>42</v>
      </c>
      <c r="R2938" s="537"/>
      <c r="S2938" s="537"/>
      <c r="T2938" s="537"/>
      <c r="U2938" s="224">
        <f>ROUND((U2937/1),2)</f>
        <v>176355.95</v>
      </c>
    </row>
    <row r="2939" spans="1:21" x14ac:dyDescent="0.25">
      <c r="A2939" s="544"/>
      <c r="B2939" s="544"/>
      <c r="C2939" s="544"/>
      <c r="D2939" s="544"/>
      <c r="E2939" s="544"/>
      <c r="F2939" s="544"/>
      <c r="G2939" s="544"/>
      <c r="H2939" s="544"/>
      <c r="I2939" s="544"/>
      <c r="J2939" s="544"/>
      <c r="K2939" s="544"/>
      <c r="L2939" s="544"/>
      <c r="M2939" s="544"/>
      <c r="N2939" s="544"/>
      <c r="O2939" s="544"/>
      <c r="P2939" s="544"/>
      <c r="Q2939" s="544"/>
      <c r="R2939" s="544"/>
      <c r="S2939" s="544"/>
      <c r="T2939" s="544"/>
      <c r="U2939" s="544"/>
    </row>
    <row r="2940" spans="1:21" x14ac:dyDescent="0.25">
      <c r="A2940" s="538" t="s">
        <v>12</v>
      </c>
      <c r="B2940" s="538"/>
      <c r="C2940" s="540" t="s">
        <v>909</v>
      </c>
      <c r="D2940" s="540"/>
      <c r="E2940" s="540"/>
      <c r="F2940" s="540"/>
      <c r="G2940" s="540"/>
      <c r="H2940" s="540"/>
      <c r="I2940" s="540"/>
      <c r="J2940" s="540"/>
      <c r="K2940" s="540"/>
      <c r="L2940" s="540"/>
      <c r="M2940" s="540"/>
      <c r="N2940" s="540"/>
      <c r="O2940" s="540"/>
      <c r="P2940" s="540"/>
      <c r="Q2940" s="540"/>
      <c r="R2940" s="540"/>
      <c r="S2940" s="540"/>
      <c r="T2940" s="540"/>
      <c r="U2940" s="541" t="s">
        <v>15</v>
      </c>
    </row>
    <row r="2941" spans="1:21" x14ac:dyDescent="0.25">
      <c r="A2941" s="538"/>
      <c r="B2941" s="538"/>
      <c r="C2941" s="540"/>
      <c r="D2941" s="540"/>
      <c r="E2941" s="540"/>
      <c r="F2941" s="540"/>
      <c r="G2941" s="540"/>
      <c r="H2941" s="540"/>
      <c r="I2941" s="540"/>
      <c r="J2941" s="540"/>
      <c r="K2941" s="540"/>
      <c r="L2941" s="540"/>
      <c r="M2941" s="540"/>
      <c r="N2941" s="540"/>
      <c r="O2941" s="540"/>
      <c r="P2941" s="540"/>
      <c r="Q2941" s="540"/>
      <c r="R2941" s="540"/>
      <c r="S2941" s="540"/>
      <c r="T2941" s="540"/>
      <c r="U2941" s="541"/>
    </row>
    <row r="2942" spans="1:21" x14ac:dyDescent="0.25">
      <c r="A2942" s="539" t="s">
        <v>890</v>
      </c>
      <c r="B2942" s="539"/>
      <c r="C2942" s="540"/>
      <c r="D2942" s="540"/>
      <c r="E2942" s="540"/>
      <c r="F2942" s="540"/>
      <c r="G2942" s="540"/>
      <c r="H2942" s="540"/>
      <c r="I2942" s="540"/>
      <c r="J2942" s="540"/>
      <c r="K2942" s="540"/>
      <c r="L2942" s="540"/>
      <c r="M2942" s="540"/>
      <c r="N2942" s="540"/>
      <c r="O2942" s="540"/>
      <c r="P2942" s="540"/>
      <c r="Q2942" s="540"/>
      <c r="R2942" s="540"/>
      <c r="S2942" s="540"/>
      <c r="T2942" s="540"/>
      <c r="U2942" s="541"/>
    </row>
    <row r="2943" spans="1:21" x14ac:dyDescent="0.25">
      <c r="A2943" s="542" t="s">
        <v>16</v>
      </c>
      <c r="B2943" s="543" t="s">
        <v>18</v>
      </c>
      <c r="C2943" s="543"/>
      <c r="D2943" s="543"/>
      <c r="E2943" s="543"/>
      <c r="F2943" s="543"/>
      <c r="G2943" s="543" t="s">
        <v>24</v>
      </c>
      <c r="H2943" s="543"/>
      <c r="I2943" s="543"/>
      <c r="J2943" s="543"/>
      <c r="K2943" s="543"/>
      <c r="L2943" s="543" t="s">
        <v>25</v>
      </c>
      <c r="M2943" s="543"/>
      <c r="N2943" s="543"/>
      <c r="O2943" s="543"/>
      <c r="P2943" s="543"/>
      <c r="Q2943" s="543" t="s">
        <v>26</v>
      </c>
      <c r="R2943" s="543"/>
      <c r="S2943" s="543"/>
      <c r="T2943" s="543"/>
      <c r="U2943" s="543"/>
    </row>
    <row r="2944" spans="1:21" x14ac:dyDescent="0.25">
      <c r="A2944" s="542"/>
      <c r="B2944" s="182" t="s">
        <v>19</v>
      </c>
      <c r="C2944" s="182" t="s">
        <v>20</v>
      </c>
      <c r="D2944" s="182" t="s">
        <v>21</v>
      </c>
      <c r="E2944" s="182" t="s">
        <v>22</v>
      </c>
      <c r="F2944" s="182" t="s">
        <v>23</v>
      </c>
      <c r="G2944" s="182" t="s">
        <v>19</v>
      </c>
      <c r="H2944" s="216" t="s">
        <v>20</v>
      </c>
      <c r="I2944" s="182" t="s">
        <v>21</v>
      </c>
      <c r="J2944" s="182" t="s">
        <v>22</v>
      </c>
      <c r="K2944" s="182" t="s">
        <v>23</v>
      </c>
      <c r="L2944" s="182" t="s">
        <v>19</v>
      </c>
      <c r="M2944" s="182" t="s">
        <v>20</v>
      </c>
      <c r="N2944" s="182" t="s">
        <v>21</v>
      </c>
      <c r="O2944" s="182" t="s">
        <v>22</v>
      </c>
      <c r="P2944" s="182" t="s">
        <v>23</v>
      </c>
      <c r="Q2944" s="182" t="s">
        <v>19</v>
      </c>
      <c r="R2944" s="182" t="s">
        <v>20</v>
      </c>
      <c r="S2944" s="182" t="s">
        <v>21</v>
      </c>
      <c r="T2944" s="182" t="s">
        <v>22</v>
      </c>
      <c r="U2944" s="211" t="s">
        <v>23</v>
      </c>
    </row>
    <row r="2945" spans="1:21" ht="47.25" x14ac:dyDescent="0.25">
      <c r="A2945" s="183" t="s">
        <v>910</v>
      </c>
      <c r="B2945" s="182" t="s">
        <v>893</v>
      </c>
      <c r="C2945" s="182"/>
      <c r="G2945" s="182" t="s">
        <v>642</v>
      </c>
      <c r="H2945" s="216" t="s">
        <v>35</v>
      </c>
      <c r="I2945" s="182">
        <v>1.1000000000000001</v>
      </c>
      <c r="J2945" s="182">
        <f>adopted_rate_structural_steel</f>
        <v>96000</v>
      </c>
      <c r="K2945" s="182">
        <f>(I2945*J2945)</f>
        <v>105600.00000000001</v>
      </c>
      <c r="L2945" s="182" t="s">
        <v>477</v>
      </c>
      <c r="M2945" s="182" t="s">
        <v>58</v>
      </c>
      <c r="N2945" s="182">
        <v>6</v>
      </c>
      <c r="O2945" s="182">
        <f>crane</f>
        <v>2903</v>
      </c>
      <c r="P2945" s="184">
        <f>(N2945*O2945)</f>
        <v>17418</v>
      </c>
    </row>
    <row r="2946" spans="1:21" ht="63" x14ac:dyDescent="0.25">
      <c r="B2946" s="182" t="s">
        <v>894</v>
      </c>
      <c r="C2946" s="182" t="s">
        <v>28</v>
      </c>
      <c r="D2946" s="182">
        <v>1</v>
      </c>
      <c r="E2946" s="182">
        <f>technician</f>
        <v>825</v>
      </c>
      <c r="F2946" s="184">
        <f>(D2946*E2946)</f>
        <v>825</v>
      </c>
      <c r="G2946" s="182" t="s">
        <v>897</v>
      </c>
      <c r="H2946" s="216"/>
      <c r="K2946" s="184">
        <f>(K2945*3/100)</f>
        <v>3168.0000000000005</v>
      </c>
      <c r="L2946" s="182" t="s">
        <v>900</v>
      </c>
      <c r="M2946" s="182"/>
      <c r="P2946" s="184">
        <f>K2945*5/100</f>
        <v>5280.0000000000009</v>
      </c>
    </row>
    <row r="2947" spans="1:21" ht="31.5" hidden="1" x14ac:dyDescent="0.25">
      <c r="B2947" s="182" t="s">
        <v>27</v>
      </c>
      <c r="C2947" s="182" t="s">
        <v>28</v>
      </c>
      <c r="D2947" s="182">
        <v>3</v>
      </c>
      <c r="E2947" s="182">
        <f>skilled_blacksmith</f>
        <v>1245</v>
      </c>
      <c r="F2947" s="184">
        <f>(D2947*E2947)</f>
        <v>3735</v>
      </c>
      <c r="G2947" s="182" t="s">
        <v>911</v>
      </c>
      <c r="H2947" s="216"/>
      <c r="K2947" s="184">
        <f>(SUM(K2945:K2945)*12/100)</f>
        <v>12672.000000000002</v>
      </c>
    </row>
    <row r="2948" spans="1:21" ht="63" x14ac:dyDescent="0.25">
      <c r="B2948" s="182" t="s">
        <v>895</v>
      </c>
      <c r="C2948" s="182" t="s">
        <v>28</v>
      </c>
      <c r="D2948" s="182">
        <v>5</v>
      </c>
      <c r="E2948" s="182">
        <f>semiskilled</f>
        <v>1035</v>
      </c>
      <c r="F2948" s="184">
        <f>(D2948*E2948)</f>
        <v>5175</v>
      </c>
      <c r="G2948" s="182" t="s">
        <v>912</v>
      </c>
      <c r="H2948" s="216"/>
      <c r="K2948" s="184">
        <f>(K2945*5/100)</f>
        <v>5280.0000000000009</v>
      </c>
    </row>
    <row r="2949" spans="1:21" x14ac:dyDescent="0.25">
      <c r="B2949" s="182" t="s">
        <v>29</v>
      </c>
      <c r="C2949" s="182" t="s">
        <v>28</v>
      </c>
      <c r="D2949" s="182">
        <v>5</v>
      </c>
      <c r="E2949" s="182">
        <f>unskilled</f>
        <v>935</v>
      </c>
      <c r="F2949" s="184">
        <f>(D2949*E2949)</f>
        <v>4675</v>
      </c>
    </row>
    <row r="2950" spans="1:21" x14ac:dyDescent="0.25">
      <c r="B2950" s="182" t="s">
        <v>896</v>
      </c>
      <c r="C2950" s="182"/>
    </row>
    <row r="2951" spans="1:21" x14ac:dyDescent="0.25">
      <c r="B2951" s="182" t="s">
        <v>894</v>
      </c>
      <c r="C2951" s="182" t="s">
        <v>28</v>
      </c>
      <c r="D2951" s="182">
        <v>1</v>
      </c>
      <c r="E2951" s="182">
        <f>technician</f>
        <v>825</v>
      </c>
      <c r="F2951" s="184">
        <f>(D2951*E2951)</f>
        <v>825</v>
      </c>
    </row>
    <row r="2952" spans="1:21" ht="31.5" x14ac:dyDescent="0.25">
      <c r="B2952" s="182" t="s">
        <v>27</v>
      </c>
      <c r="C2952" s="182" t="s">
        <v>28</v>
      </c>
      <c r="D2952" s="182">
        <v>3</v>
      </c>
      <c r="E2952" s="182">
        <f>skilled_blacksmith</f>
        <v>1245</v>
      </c>
      <c r="F2952" s="184">
        <f>(D2952*E2952)</f>
        <v>3735</v>
      </c>
    </row>
    <row r="2953" spans="1:21" x14ac:dyDescent="0.25">
      <c r="B2953" s="182" t="s">
        <v>895</v>
      </c>
      <c r="C2953" s="182" t="s">
        <v>28</v>
      </c>
      <c r="D2953" s="182">
        <v>6</v>
      </c>
      <c r="E2953" s="182">
        <f>semiskilled</f>
        <v>1035</v>
      </c>
      <c r="F2953" s="184">
        <f>(D2953*E2953)</f>
        <v>6210</v>
      </c>
    </row>
    <row r="2954" spans="1:21" x14ac:dyDescent="0.25">
      <c r="B2954" s="182" t="s">
        <v>29</v>
      </c>
      <c r="C2954" s="182" t="s">
        <v>28</v>
      </c>
      <c r="D2954" s="182">
        <v>6</v>
      </c>
      <c r="E2954" s="182">
        <f>unskilled</f>
        <v>935</v>
      </c>
      <c r="F2954" s="184">
        <f>(D2954*E2954)</f>
        <v>5610</v>
      </c>
    </row>
    <row r="2955" spans="1:21" x14ac:dyDescent="0.25">
      <c r="A2955" s="537" t="s">
        <v>30</v>
      </c>
      <c r="B2955" s="537"/>
      <c r="C2955" s="537"/>
      <c r="D2955" s="537"/>
      <c r="E2955" s="537"/>
      <c r="F2955" s="184">
        <f>SUM(F2944:F2954)</f>
        <v>30790</v>
      </c>
      <c r="G2955" s="537" t="s">
        <v>31</v>
      </c>
      <c r="H2955" s="537"/>
      <c r="I2955" s="537"/>
      <c r="J2955" s="537"/>
      <c r="K2955" s="184">
        <f>SUM(K2944:K2954)</f>
        <v>126720.00000000001</v>
      </c>
      <c r="L2955" s="537" t="s">
        <v>32</v>
      </c>
      <c r="M2955" s="537"/>
      <c r="N2955" s="537"/>
      <c r="O2955" s="537"/>
      <c r="P2955" s="184">
        <f>SUM(P2944:P2954)</f>
        <v>22698</v>
      </c>
      <c r="Q2955" s="537" t="s">
        <v>38</v>
      </c>
      <c r="R2955" s="537"/>
      <c r="S2955" s="537"/>
      <c r="T2955" s="537"/>
      <c r="U2955" s="223">
        <f>SUM(U2944:U2954)</f>
        <v>0</v>
      </c>
    </row>
    <row r="2956" spans="1:21" x14ac:dyDescent="0.25">
      <c r="A2956" s="537" t="s">
        <v>33</v>
      </c>
      <c r="B2956" s="537"/>
      <c r="C2956" s="537"/>
      <c r="D2956" s="537"/>
      <c r="E2956" s="537"/>
      <c r="F2956" s="184">
        <f>SUM(F2955+K2955+P2955)</f>
        <v>180208</v>
      </c>
      <c r="G2956" s="537" t="s">
        <v>39</v>
      </c>
      <c r="H2956" s="537"/>
      <c r="I2956" s="537"/>
      <c r="J2956" s="537"/>
      <c r="K2956" s="184">
        <f>SUM(F2955+K2955+P2955+U2955)</f>
        <v>180208</v>
      </c>
      <c r="L2956" s="537" t="s">
        <v>40</v>
      </c>
      <c r="M2956" s="537"/>
      <c r="N2956" s="537"/>
      <c r="O2956" s="537"/>
      <c r="P2956" s="184">
        <f>SUM(K2956*0.15)</f>
        <v>27031.200000000001</v>
      </c>
      <c r="Q2956" s="537" t="s">
        <v>41</v>
      </c>
      <c r="R2956" s="537"/>
      <c r="S2956" s="537"/>
      <c r="T2956" s="537"/>
      <c r="U2956" s="223">
        <f>SUM(K2956+P2956)</f>
        <v>207239.2</v>
      </c>
    </row>
    <row r="2957" spans="1:21" x14ac:dyDescent="0.25">
      <c r="Q2957" s="537" t="s">
        <v>42</v>
      </c>
      <c r="R2957" s="537"/>
      <c r="S2957" s="537"/>
      <c r="T2957" s="537"/>
      <c r="U2957" s="224">
        <f>ROUND((U2956/1),2)</f>
        <v>207239.2</v>
      </c>
    </row>
    <row r="2958" spans="1:21" x14ac:dyDescent="0.25">
      <c r="A2958" s="544"/>
      <c r="B2958" s="544"/>
      <c r="C2958" s="544"/>
      <c r="D2958" s="544"/>
      <c r="E2958" s="544"/>
      <c r="F2958" s="544"/>
      <c r="G2958" s="544"/>
      <c r="H2958" s="544"/>
      <c r="I2958" s="544"/>
      <c r="J2958" s="544"/>
      <c r="K2958" s="544"/>
      <c r="L2958" s="544"/>
      <c r="M2958" s="544"/>
      <c r="N2958" s="544"/>
      <c r="O2958" s="544"/>
      <c r="P2958" s="544"/>
      <c r="Q2958" s="544"/>
      <c r="R2958" s="544"/>
      <c r="S2958" s="544"/>
      <c r="T2958" s="544"/>
      <c r="U2958" s="544"/>
    </row>
    <row r="2959" spans="1:21" x14ac:dyDescent="0.25">
      <c r="A2959" s="538" t="s">
        <v>12</v>
      </c>
      <c r="B2959" s="538"/>
      <c r="C2959" s="540" t="s">
        <v>909</v>
      </c>
      <c r="D2959" s="540"/>
      <c r="E2959" s="540"/>
      <c r="F2959" s="540"/>
      <c r="G2959" s="540"/>
      <c r="H2959" s="540"/>
      <c r="I2959" s="540"/>
      <c r="J2959" s="540"/>
      <c r="K2959" s="540"/>
      <c r="L2959" s="540"/>
      <c r="M2959" s="540"/>
      <c r="N2959" s="540"/>
      <c r="O2959" s="540"/>
      <c r="P2959" s="540"/>
      <c r="Q2959" s="540"/>
      <c r="R2959" s="540"/>
      <c r="S2959" s="540"/>
      <c r="T2959" s="540"/>
      <c r="U2959" s="541" t="s">
        <v>15</v>
      </c>
    </row>
    <row r="2960" spans="1:21" x14ac:dyDescent="0.25">
      <c r="A2960" s="538"/>
      <c r="B2960" s="538"/>
      <c r="C2960" s="540"/>
      <c r="D2960" s="540"/>
      <c r="E2960" s="540"/>
      <c r="F2960" s="540"/>
      <c r="G2960" s="540"/>
      <c r="H2960" s="540"/>
      <c r="I2960" s="540"/>
      <c r="J2960" s="540"/>
      <c r="K2960" s="540"/>
      <c r="L2960" s="540"/>
      <c r="M2960" s="540"/>
      <c r="N2960" s="540"/>
      <c r="O2960" s="540"/>
      <c r="P2960" s="540"/>
      <c r="Q2960" s="540"/>
      <c r="R2960" s="540"/>
      <c r="S2960" s="540"/>
      <c r="T2960" s="540"/>
      <c r="U2960" s="541"/>
    </row>
    <row r="2961" spans="1:21" x14ac:dyDescent="0.25">
      <c r="A2961" s="539" t="s">
        <v>890</v>
      </c>
      <c r="B2961" s="539"/>
      <c r="C2961" s="540"/>
      <c r="D2961" s="540"/>
      <c r="E2961" s="540"/>
      <c r="F2961" s="540"/>
      <c r="G2961" s="540"/>
      <c r="H2961" s="540"/>
      <c r="I2961" s="540"/>
      <c r="J2961" s="540"/>
      <c r="K2961" s="540"/>
      <c r="L2961" s="540"/>
      <c r="M2961" s="540"/>
      <c r="N2961" s="540"/>
      <c r="O2961" s="540"/>
      <c r="P2961" s="540"/>
      <c r="Q2961" s="540"/>
      <c r="R2961" s="540"/>
      <c r="S2961" s="540"/>
      <c r="T2961" s="540"/>
      <c r="U2961" s="541"/>
    </row>
    <row r="2962" spans="1:21" x14ac:dyDescent="0.25">
      <c r="A2962" s="542" t="s">
        <v>16</v>
      </c>
      <c r="B2962" s="543" t="s">
        <v>18</v>
      </c>
      <c r="C2962" s="543"/>
      <c r="D2962" s="543"/>
      <c r="E2962" s="543"/>
      <c r="F2962" s="543"/>
      <c r="G2962" s="543" t="s">
        <v>24</v>
      </c>
      <c r="H2962" s="543"/>
      <c r="I2962" s="543"/>
      <c r="J2962" s="543"/>
      <c r="K2962" s="543"/>
      <c r="L2962" s="543" t="s">
        <v>25</v>
      </c>
      <c r="M2962" s="543"/>
      <c r="N2962" s="543"/>
      <c r="O2962" s="543"/>
      <c r="P2962" s="543"/>
      <c r="Q2962" s="543" t="s">
        <v>26</v>
      </c>
      <c r="R2962" s="543"/>
      <c r="S2962" s="543"/>
      <c r="T2962" s="543"/>
      <c r="U2962" s="543"/>
    </row>
    <row r="2963" spans="1:21" x14ac:dyDescent="0.25">
      <c r="A2963" s="542"/>
      <c r="B2963" s="182" t="s">
        <v>19</v>
      </c>
      <c r="C2963" s="182" t="s">
        <v>20</v>
      </c>
      <c r="D2963" s="182" t="s">
        <v>21</v>
      </c>
      <c r="E2963" s="182" t="s">
        <v>22</v>
      </c>
      <c r="F2963" s="182" t="s">
        <v>23</v>
      </c>
      <c r="G2963" s="182" t="s">
        <v>19</v>
      </c>
      <c r="H2963" s="216" t="s">
        <v>20</v>
      </c>
      <c r="I2963" s="182" t="s">
        <v>21</v>
      </c>
      <c r="J2963" s="182" t="s">
        <v>22</v>
      </c>
      <c r="K2963" s="182" t="s">
        <v>23</v>
      </c>
      <c r="L2963" s="182" t="s">
        <v>19</v>
      </c>
      <c r="M2963" s="182" t="s">
        <v>20</v>
      </c>
      <c r="N2963" s="182" t="s">
        <v>21</v>
      </c>
      <c r="O2963" s="182" t="s">
        <v>22</v>
      </c>
      <c r="P2963" s="182" t="s">
        <v>23</v>
      </c>
      <c r="Q2963" s="182" t="s">
        <v>19</v>
      </c>
      <c r="R2963" s="182" t="s">
        <v>20</v>
      </c>
      <c r="S2963" s="182" t="s">
        <v>21</v>
      </c>
      <c r="T2963" s="182" t="s">
        <v>22</v>
      </c>
      <c r="U2963" s="211" t="s">
        <v>23</v>
      </c>
    </row>
    <row r="2964" spans="1:21" ht="47.25" x14ac:dyDescent="0.25">
      <c r="A2964" s="183" t="s">
        <v>913</v>
      </c>
      <c r="B2964" s="182" t="s">
        <v>893</v>
      </c>
      <c r="C2964" s="182"/>
      <c r="G2964" s="182" t="s">
        <v>642</v>
      </c>
      <c r="H2964" s="216" t="s">
        <v>35</v>
      </c>
      <c r="I2964" s="182">
        <v>1.1000000000000001</v>
      </c>
      <c r="J2964" s="182">
        <f>adopted_rate_structural_steel</f>
        <v>96000</v>
      </c>
      <c r="K2964" s="182">
        <f>(I2964*J2964)</f>
        <v>105600.00000000001</v>
      </c>
      <c r="L2964" s="182" t="s">
        <v>477</v>
      </c>
      <c r="M2964" s="182" t="s">
        <v>58</v>
      </c>
      <c r="N2964" s="182">
        <v>6</v>
      </c>
      <c r="O2964" s="182">
        <f>crane</f>
        <v>2903</v>
      </c>
      <c r="P2964" s="184">
        <f>(N2964*O2964)</f>
        <v>17418</v>
      </c>
    </row>
    <row r="2965" spans="1:21" ht="31.5" x14ac:dyDescent="0.25">
      <c r="B2965" s="182" t="s">
        <v>894</v>
      </c>
      <c r="C2965" s="182" t="s">
        <v>28</v>
      </c>
      <c r="D2965" s="182">
        <v>1</v>
      </c>
      <c r="E2965" s="182">
        <f>technician</f>
        <v>825</v>
      </c>
      <c r="F2965" s="184">
        <f>(D2965*E2965)</f>
        <v>825</v>
      </c>
      <c r="G2965" s="182" t="s">
        <v>897</v>
      </c>
      <c r="H2965" s="216"/>
      <c r="K2965" s="184">
        <f>(K2964*3/100)</f>
        <v>3168.0000000000005</v>
      </c>
      <c r="L2965" s="618" t="s">
        <v>900</v>
      </c>
      <c r="M2965" s="182"/>
      <c r="P2965" s="184">
        <f>K2964*5/100</f>
        <v>5280.0000000000009</v>
      </c>
    </row>
    <row r="2966" spans="1:21" ht="47.25" x14ac:dyDescent="0.25">
      <c r="B2966" s="182" t="s">
        <v>27</v>
      </c>
      <c r="C2966" s="182" t="s">
        <v>28</v>
      </c>
      <c r="D2966" s="182">
        <v>3</v>
      </c>
      <c r="E2966" s="182">
        <f>skilled_blacksmith</f>
        <v>1245</v>
      </c>
      <c r="F2966" s="184">
        <f>(D2966*E2966)</f>
        <v>3735</v>
      </c>
      <c r="G2966" s="182" t="s">
        <v>903</v>
      </c>
      <c r="H2966" s="216"/>
      <c r="K2966" s="184">
        <f>(SUM(K2964:K2964)*5/100)</f>
        <v>5280.0000000000009</v>
      </c>
      <c r="L2966" s="619"/>
    </row>
    <row r="2967" spans="1:21" ht="63" x14ac:dyDescent="0.25">
      <c r="B2967" s="182" t="s">
        <v>895</v>
      </c>
      <c r="C2967" s="182" t="s">
        <v>28</v>
      </c>
      <c r="D2967" s="182">
        <v>5</v>
      </c>
      <c r="E2967" s="182">
        <f>semiskilled</f>
        <v>1035</v>
      </c>
      <c r="F2967" s="184">
        <f>(D2967*E2967)</f>
        <v>5175</v>
      </c>
      <c r="G2967" s="182" t="s">
        <v>912</v>
      </c>
      <c r="H2967" s="216"/>
      <c r="K2967" s="184">
        <f>(K2964*5/100)</f>
        <v>5280.0000000000009</v>
      </c>
    </row>
    <row r="2968" spans="1:21" x14ac:dyDescent="0.25">
      <c r="B2968" s="182" t="s">
        <v>29</v>
      </c>
      <c r="C2968" s="182" t="s">
        <v>28</v>
      </c>
      <c r="D2968" s="182">
        <v>5</v>
      </c>
      <c r="E2968" s="182">
        <f>unskilled</f>
        <v>935</v>
      </c>
      <c r="F2968" s="184">
        <f>(D2968*E2968)</f>
        <v>4675</v>
      </c>
    </row>
    <row r="2969" spans="1:21" x14ac:dyDescent="0.25">
      <c r="B2969" s="182" t="s">
        <v>896</v>
      </c>
      <c r="C2969" s="182"/>
    </row>
    <row r="2970" spans="1:21" x14ac:dyDescent="0.25">
      <c r="B2970" s="182" t="s">
        <v>894</v>
      </c>
      <c r="C2970" s="182" t="s">
        <v>28</v>
      </c>
      <c r="D2970" s="182">
        <v>1</v>
      </c>
      <c r="E2970" s="182">
        <f>technician</f>
        <v>825</v>
      </c>
      <c r="F2970" s="184">
        <f>(D2970*E2970)</f>
        <v>825</v>
      </c>
    </row>
    <row r="2971" spans="1:21" ht="31.5" x14ac:dyDescent="0.25">
      <c r="B2971" s="182" t="s">
        <v>27</v>
      </c>
      <c r="C2971" s="182" t="s">
        <v>28</v>
      </c>
      <c r="D2971" s="182">
        <v>3</v>
      </c>
      <c r="E2971" s="182">
        <f>skilled_blacksmith</f>
        <v>1245</v>
      </c>
      <c r="F2971" s="184">
        <f>(D2971*E2971)</f>
        <v>3735</v>
      </c>
    </row>
    <row r="2972" spans="1:21" x14ac:dyDescent="0.25">
      <c r="B2972" s="182" t="s">
        <v>895</v>
      </c>
      <c r="C2972" s="182" t="s">
        <v>28</v>
      </c>
      <c r="D2972" s="182">
        <v>6</v>
      </c>
      <c r="E2972" s="182">
        <f>semiskilled</f>
        <v>1035</v>
      </c>
      <c r="F2972" s="184">
        <f>(D2972*E2972)</f>
        <v>6210</v>
      </c>
    </row>
    <row r="2973" spans="1:21" x14ac:dyDescent="0.25">
      <c r="B2973" s="182" t="s">
        <v>29</v>
      </c>
      <c r="C2973" s="182" t="s">
        <v>28</v>
      </c>
      <c r="D2973" s="182">
        <v>6</v>
      </c>
      <c r="E2973" s="182">
        <f>unskilled</f>
        <v>935</v>
      </c>
      <c r="F2973" s="184">
        <f>(D2973*E2973)</f>
        <v>5610</v>
      </c>
    </row>
    <row r="2974" spans="1:21" x14ac:dyDescent="0.25">
      <c r="A2974" s="537" t="s">
        <v>30</v>
      </c>
      <c r="B2974" s="537"/>
      <c r="C2974" s="537"/>
      <c r="D2974" s="537"/>
      <c r="E2974" s="537"/>
      <c r="F2974" s="184">
        <f>SUM(F2963:F2973)</f>
        <v>30790</v>
      </c>
      <c r="G2974" s="537" t="s">
        <v>31</v>
      </c>
      <c r="H2974" s="537"/>
      <c r="I2974" s="537"/>
      <c r="J2974" s="537"/>
      <c r="K2974" s="184">
        <f>SUM(K2963:K2973)</f>
        <v>119328.00000000001</v>
      </c>
      <c r="L2974" s="537" t="s">
        <v>32</v>
      </c>
      <c r="M2974" s="537"/>
      <c r="N2974" s="537"/>
      <c r="O2974" s="537"/>
      <c r="P2974" s="184">
        <f>SUM(P2963:P2973)</f>
        <v>22698</v>
      </c>
      <c r="Q2974" s="537" t="s">
        <v>38</v>
      </c>
      <c r="R2974" s="537"/>
      <c r="S2974" s="537"/>
      <c r="T2974" s="537"/>
      <c r="U2974" s="223">
        <f>SUM(U2963:U2973)</f>
        <v>0</v>
      </c>
    </row>
    <row r="2975" spans="1:21" x14ac:dyDescent="0.25">
      <c r="A2975" s="537" t="s">
        <v>33</v>
      </c>
      <c r="B2975" s="537"/>
      <c r="C2975" s="537"/>
      <c r="D2975" s="537"/>
      <c r="E2975" s="537"/>
      <c r="F2975" s="184">
        <f>SUM(F2974+K2974+P2974)</f>
        <v>172816</v>
      </c>
      <c r="G2975" s="537" t="s">
        <v>39</v>
      </c>
      <c r="H2975" s="537"/>
      <c r="I2975" s="537"/>
      <c r="J2975" s="537"/>
      <c r="K2975" s="184">
        <f>SUM(F2974+K2974+P2974+U2974)</f>
        <v>172816</v>
      </c>
      <c r="L2975" s="537" t="s">
        <v>40</v>
      </c>
      <c r="M2975" s="537"/>
      <c r="N2975" s="537"/>
      <c r="O2975" s="537"/>
      <c r="P2975" s="184">
        <f>SUM(K2975*0.15)</f>
        <v>25922.399999999998</v>
      </c>
      <c r="Q2975" s="537" t="s">
        <v>41</v>
      </c>
      <c r="R2975" s="537"/>
      <c r="S2975" s="537"/>
      <c r="T2975" s="537"/>
      <c r="U2975" s="223">
        <f>SUM(K2975+P2975)</f>
        <v>198738.4</v>
      </c>
    </row>
    <row r="2976" spans="1:21" x14ac:dyDescent="0.25">
      <c r="Q2976" s="537" t="s">
        <v>42</v>
      </c>
      <c r="R2976" s="537"/>
      <c r="S2976" s="537"/>
      <c r="T2976" s="537"/>
      <c r="U2976" s="224">
        <f>ROUND((U2975/1),2)</f>
        <v>198738.4</v>
      </c>
    </row>
    <row r="2977" spans="1:21" x14ac:dyDescent="0.25">
      <c r="A2977" s="544"/>
      <c r="B2977" s="544"/>
      <c r="C2977" s="544"/>
      <c r="D2977" s="544"/>
      <c r="E2977" s="544"/>
      <c r="F2977" s="544"/>
      <c r="G2977" s="544"/>
      <c r="H2977" s="544"/>
      <c r="I2977" s="544"/>
      <c r="J2977" s="544"/>
      <c r="K2977" s="544"/>
      <c r="L2977" s="544"/>
      <c r="M2977" s="544"/>
      <c r="N2977" s="544"/>
      <c r="O2977" s="544"/>
      <c r="P2977" s="544"/>
      <c r="Q2977" s="544"/>
      <c r="R2977" s="544"/>
      <c r="S2977" s="544"/>
      <c r="T2977" s="544"/>
      <c r="U2977" s="544"/>
    </row>
    <row r="2978" spans="1:21" x14ac:dyDescent="0.25">
      <c r="A2978" s="538" t="s">
        <v>12</v>
      </c>
      <c r="B2978" s="538"/>
      <c r="C2978" s="540" t="s">
        <v>914</v>
      </c>
      <c r="D2978" s="540"/>
      <c r="E2978" s="540"/>
      <c r="F2978" s="540"/>
      <c r="G2978" s="540"/>
      <c r="H2978" s="540"/>
      <c r="I2978" s="540"/>
      <c r="J2978" s="540"/>
      <c r="K2978" s="540"/>
      <c r="L2978" s="540"/>
      <c r="M2978" s="540"/>
      <c r="N2978" s="540"/>
      <c r="O2978" s="540"/>
      <c r="P2978" s="540"/>
      <c r="Q2978" s="540"/>
      <c r="R2978" s="540"/>
      <c r="S2978" s="540"/>
      <c r="T2978" s="540"/>
      <c r="U2978" s="541" t="s">
        <v>15</v>
      </c>
    </row>
    <row r="2979" spans="1:21" x14ac:dyDescent="0.25">
      <c r="A2979" s="538"/>
      <c r="B2979" s="538"/>
      <c r="C2979" s="540"/>
      <c r="D2979" s="540"/>
      <c r="E2979" s="540"/>
      <c r="F2979" s="540"/>
      <c r="G2979" s="540"/>
      <c r="H2979" s="540"/>
      <c r="I2979" s="540"/>
      <c r="J2979" s="540"/>
      <c r="K2979" s="540"/>
      <c r="L2979" s="540"/>
      <c r="M2979" s="540"/>
      <c r="N2979" s="540"/>
      <c r="O2979" s="540"/>
      <c r="P2979" s="540"/>
      <c r="Q2979" s="540"/>
      <c r="R2979" s="540"/>
      <c r="S2979" s="540"/>
      <c r="T2979" s="540"/>
      <c r="U2979" s="541"/>
    </row>
    <row r="2980" spans="1:21" x14ac:dyDescent="0.25">
      <c r="A2980" s="539" t="s">
        <v>890</v>
      </c>
      <c r="B2980" s="539"/>
      <c r="C2980" s="540"/>
      <c r="D2980" s="540"/>
      <c r="E2980" s="540"/>
      <c r="F2980" s="540"/>
      <c r="G2980" s="540"/>
      <c r="H2980" s="540"/>
      <c r="I2980" s="540"/>
      <c r="J2980" s="540"/>
      <c r="K2980" s="540"/>
      <c r="L2980" s="540"/>
      <c r="M2980" s="540"/>
      <c r="N2980" s="540"/>
      <c r="O2980" s="540"/>
      <c r="P2980" s="540"/>
      <c r="Q2980" s="540"/>
      <c r="R2980" s="540"/>
      <c r="S2980" s="540"/>
      <c r="T2980" s="540"/>
      <c r="U2980" s="541"/>
    </row>
    <row r="2981" spans="1:21" x14ac:dyDescent="0.25">
      <c r="A2981" s="542" t="s">
        <v>16</v>
      </c>
      <c r="B2981" s="543" t="s">
        <v>18</v>
      </c>
      <c r="C2981" s="543"/>
      <c r="D2981" s="543"/>
      <c r="E2981" s="543"/>
      <c r="F2981" s="543"/>
      <c r="G2981" s="543" t="s">
        <v>24</v>
      </c>
      <c r="H2981" s="543"/>
      <c r="I2981" s="543"/>
      <c r="J2981" s="543"/>
      <c r="K2981" s="543"/>
      <c r="L2981" s="543" t="s">
        <v>25</v>
      </c>
      <c r="M2981" s="543"/>
      <c r="N2981" s="543"/>
      <c r="O2981" s="543"/>
      <c r="P2981" s="543"/>
      <c r="Q2981" s="543" t="s">
        <v>26</v>
      </c>
      <c r="R2981" s="543"/>
      <c r="S2981" s="543"/>
      <c r="T2981" s="543"/>
      <c r="U2981" s="543"/>
    </row>
    <row r="2982" spans="1:21" x14ac:dyDescent="0.25">
      <c r="A2982" s="542"/>
      <c r="B2982" s="182" t="s">
        <v>19</v>
      </c>
      <c r="C2982" s="182" t="s">
        <v>20</v>
      </c>
      <c r="D2982" s="182" t="s">
        <v>21</v>
      </c>
      <c r="E2982" s="182" t="s">
        <v>22</v>
      </c>
      <c r="F2982" s="182" t="s">
        <v>23</v>
      </c>
      <c r="G2982" s="182" t="s">
        <v>19</v>
      </c>
      <c r="H2982" s="216" t="s">
        <v>20</v>
      </c>
      <c r="I2982" s="182" t="s">
        <v>21</v>
      </c>
      <c r="J2982" s="182" t="s">
        <v>22</v>
      </c>
      <c r="K2982" s="182" t="s">
        <v>23</v>
      </c>
      <c r="L2982" s="182" t="s">
        <v>19</v>
      </c>
      <c r="M2982" s="182" t="s">
        <v>20</v>
      </c>
      <c r="N2982" s="182" t="s">
        <v>21</v>
      </c>
      <c r="O2982" s="182" t="s">
        <v>22</v>
      </c>
      <c r="P2982" s="182" t="s">
        <v>23</v>
      </c>
      <c r="Q2982" s="182" t="s">
        <v>19</v>
      </c>
      <c r="R2982" s="182" t="s">
        <v>20</v>
      </c>
      <c r="S2982" s="182" t="s">
        <v>21</v>
      </c>
      <c r="T2982" s="182" t="s">
        <v>22</v>
      </c>
      <c r="U2982" s="211" t="s">
        <v>23</v>
      </c>
    </row>
    <row r="2983" spans="1:21" ht="47.25" x14ac:dyDescent="0.25">
      <c r="A2983" s="183" t="s">
        <v>915</v>
      </c>
      <c r="B2983" s="182" t="s">
        <v>893</v>
      </c>
      <c r="C2983" s="182"/>
      <c r="G2983" s="182" t="s">
        <v>642</v>
      </c>
      <c r="H2983" s="216" t="s">
        <v>35</v>
      </c>
      <c r="I2983" s="182">
        <v>1.1000000000000001</v>
      </c>
      <c r="J2983" s="182">
        <f>adopted_rate_structural_steel</f>
        <v>96000</v>
      </c>
      <c r="K2983" s="182">
        <f>(I2983*J2983)</f>
        <v>105600.00000000001</v>
      </c>
      <c r="L2983" s="182" t="s">
        <v>477</v>
      </c>
      <c r="M2983" s="182" t="s">
        <v>58</v>
      </c>
      <c r="N2983" s="182">
        <v>6</v>
      </c>
      <c r="O2983" s="182">
        <f>crane</f>
        <v>2903</v>
      </c>
      <c r="P2983" s="184">
        <f>(N2983*O2983)</f>
        <v>17418</v>
      </c>
      <c r="Q2983" s="182" t="s">
        <v>824</v>
      </c>
      <c r="R2983" s="182"/>
      <c r="U2983" s="223">
        <f>F2994*25/100</f>
        <v>45052</v>
      </c>
    </row>
    <row r="2984" spans="1:21" ht="31.5" x14ac:dyDescent="0.25">
      <c r="B2984" s="182" t="s">
        <v>894</v>
      </c>
      <c r="C2984" s="182" t="s">
        <v>28</v>
      </c>
      <c r="D2984" s="182">
        <v>1</v>
      </c>
      <c r="E2984" s="182">
        <f>technician</f>
        <v>825</v>
      </c>
      <c r="F2984" s="184">
        <f>(D2984*E2984)</f>
        <v>825</v>
      </c>
      <c r="G2984" s="182" t="s">
        <v>897</v>
      </c>
      <c r="H2984" s="216"/>
      <c r="K2984" s="184">
        <f>(K2983*3/100)</f>
        <v>3168.0000000000005</v>
      </c>
      <c r="L2984" s="618" t="s">
        <v>900</v>
      </c>
      <c r="M2984" s="182"/>
      <c r="P2984" s="184">
        <f>K2983*5/100</f>
        <v>5280.0000000000009</v>
      </c>
    </row>
    <row r="2985" spans="1:21" ht="31.5" x14ac:dyDescent="0.25">
      <c r="B2985" s="182" t="s">
        <v>27</v>
      </c>
      <c r="C2985" s="182" t="s">
        <v>28</v>
      </c>
      <c r="D2985" s="182">
        <v>3</v>
      </c>
      <c r="E2985" s="182">
        <f>skilled_blacksmith</f>
        <v>1245</v>
      </c>
      <c r="F2985" s="184">
        <f>(D2985*E2985)</f>
        <v>3735</v>
      </c>
      <c r="G2985" s="182" t="s">
        <v>911</v>
      </c>
      <c r="H2985" s="216"/>
      <c r="K2985" s="184">
        <f>(SUM(K2983:K2983)*12/100)</f>
        <v>12672.000000000002</v>
      </c>
      <c r="L2985" s="619"/>
    </row>
    <row r="2986" spans="1:21" ht="63" x14ac:dyDescent="0.25">
      <c r="B2986" s="182" t="s">
        <v>895</v>
      </c>
      <c r="C2986" s="182" t="s">
        <v>28</v>
      </c>
      <c r="D2986" s="182">
        <v>5</v>
      </c>
      <c r="E2986" s="182">
        <f>semiskilled</f>
        <v>1035</v>
      </c>
      <c r="F2986" s="184">
        <f>(D2986*E2986)</f>
        <v>5175</v>
      </c>
      <c r="G2986" s="182" t="s">
        <v>912</v>
      </c>
      <c r="H2986" s="216"/>
      <c r="K2986" s="184">
        <f>(K2983*5/100)</f>
        <v>5280.0000000000009</v>
      </c>
    </row>
    <row r="2987" spans="1:21" x14ac:dyDescent="0.25">
      <c r="B2987" s="182" t="s">
        <v>29</v>
      </c>
      <c r="C2987" s="182" t="s">
        <v>28</v>
      </c>
      <c r="D2987" s="182">
        <v>5</v>
      </c>
      <c r="E2987" s="182">
        <f>unskilled</f>
        <v>935</v>
      </c>
      <c r="F2987" s="184">
        <f>(D2987*E2987)</f>
        <v>4675</v>
      </c>
    </row>
    <row r="2988" spans="1:21" x14ac:dyDescent="0.25">
      <c r="B2988" s="182" t="s">
        <v>896</v>
      </c>
      <c r="C2988" s="182"/>
    </row>
    <row r="2989" spans="1:21" x14ac:dyDescent="0.25">
      <c r="B2989" s="182" t="s">
        <v>894</v>
      </c>
      <c r="C2989" s="182" t="s">
        <v>28</v>
      </c>
      <c r="D2989" s="182">
        <v>1</v>
      </c>
      <c r="E2989" s="182">
        <f>technician</f>
        <v>825</v>
      </c>
      <c r="F2989" s="184">
        <f>(D2989*E2989)</f>
        <v>825</v>
      </c>
    </row>
    <row r="2990" spans="1:21" ht="31.5" x14ac:dyDescent="0.25">
      <c r="B2990" s="182" t="s">
        <v>27</v>
      </c>
      <c r="C2990" s="182" t="s">
        <v>28</v>
      </c>
      <c r="D2990" s="182">
        <v>3</v>
      </c>
      <c r="E2990" s="182">
        <f>skilled_blacksmith</f>
        <v>1245</v>
      </c>
      <c r="F2990" s="184">
        <f>(D2990*E2990)</f>
        <v>3735</v>
      </c>
    </row>
    <row r="2991" spans="1:21" x14ac:dyDescent="0.25">
      <c r="B2991" s="182" t="s">
        <v>895</v>
      </c>
      <c r="C2991" s="182" t="s">
        <v>28</v>
      </c>
      <c r="D2991" s="182">
        <v>6</v>
      </c>
      <c r="E2991" s="182">
        <f>semiskilled</f>
        <v>1035</v>
      </c>
      <c r="F2991" s="184">
        <f>(D2991*E2991)</f>
        <v>6210</v>
      </c>
    </row>
    <row r="2992" spans="1:21" x14ac:dyDescent="0.25">
      <c r="B2992" s="182" t="s">
        <v>29</v>
      </c>
      <c r="C2992" s="182" t="s">
        <v>28</v>
      </c>
      <c r="D2992" s="182">
        <v>6</v>
      </c>
      <c r="E2992" s="182">
        <f>unskilled</f>
        <v>935</v>
      </c>
      <c r="F2992" s="184">
        <f>(D2992*E2992)</f>
        <v>5610</v>
      </c>
    </row>
    <row r="2993" spans="1:21" x14ac:dyDescent="0.25">
      <c r="A2993" s="537" t="s">
        <v>30</v>
      </c>
      <c r="B2993" s="537"/>
      <c r="C2993" s="537"/>
      <c r="D2993" s="537"/>
      <c r="E2993" s="537"/>
      <c r="F2993" s="184">
        <f>SUM(F2982:F2992)</f>
        <v>30790</v>
      </c>
      <c r="G2993" s="537" t="s">
        <v>31</v>
      </c>
      <c r="H2993" s="537"/>
      <c r="I2993" s="537"/>
      <c r="J2993" s="537"/>
      <c r="K2993" s="184">
        <f>SUM(K2982:K2992)</f>
        <v>126720.00000000001</v>
      </c>
      <c r="L2993" s="537" t="s">
        <v>32</v>
      </c>
      <c r="M2993" s="537"/>
      <c r="N2993" s="537"/>
      <c r="O2993" s="537"/>
      <c r="P2993" s="184">
        <f>SUM(P2982:P2992)</f>
        <v>22698</v>
      </c>
      <c r="Q2993" s="537" t="s">
        <v>38</v>
      </c>
      <c r="R2993" s="537"/>
      <c r="S2993" s="537"/>
      <c r="T2993" s="537"/>
      <c r="U2993" s="223">
        <f>SUM(U2982:U2992)</f>
        <v>45052</v>
      </c>
    </row>
    <row r="2994" spans="1:21" x14ac:dyDescent="0.25">
      <c r="A2994" s="537" t="s">
        <v>33</v>
      </c>
      <c r="B2994" s="537"/>
      <c r="C2994" s="537"/>
      <c r="D2994" s="537"/>
      <c r="E2994" s="537"/>
      <c r="F2994" s="184">
        <f>SUM(F2993+K2993+P2993)</f>
        <v>180208</v>
      </c>
      <c r="G2994" s="537" t="s">
        <v>39</v>
      </c>
      <c r="H2994" s="537"/>
      <c r="I2994" s="537"/>
      <c r="J2994" s="537"/>
      <c r="K2994" s="184">
        <f>SUM(F2993+K2993+P2993+U2993)</f>
        <v>225260</v>
      </c>
      <c r="L2994" s="537" t="s">
        <v>40</v>
      </c>
      <c r="M2994" s="537"/>
      <c r="N2994" s="537"/>
      <c r="O2994" s="537"/>
      <c r="P2994" s="184">
        <f>SUM(K2994*0.15)</f>
        <v>33789</v>
      </c>
      <c r="Q2994" s="537" t="s">
        <v>41</v>
      </c>
      <c r="R2994" s="537"/>
      <c r="S2994" s="537"/>
      <c r="T2994" s="537"/>
      <c r="U2994" s="223">
        <f>SUM(K2994+P2994)</f>
        <v>259049</v>
      </c>
    </row>
    <row r="2995" spans="1:21" x14ac:dyDescent="0.25">
      <c r="Q2995" s="537" t="s">
        <v>42</v>
      </c>
      <c r="R2995" s="537"/>
      <c r="S2995" s="537"/>
      <c r="T2995" s="537"/>
      <c r="U2995" s="224">
        <f>ROUND((U2994/1),2)</f>
        <v>259049</v>
      </c>
    </row>
    <row r="2996" spans="1:21" x14ac:dyDescent="0.25">
      <c r="A2996" s="544"/>
      <c r="B2996" s="544"/>
      <c r="C2996" s="544"/>
      <c r="D2996" s="544"/>
      <c r="E2996" s="544"/>
      <c r="F2996" s="544"/>
      <c r="G2996" s="544"/>
      <c r="H2996" s="544"/>
      <c r="I2996" s="544"/>
      <c r="J2996" s="544"/>
      <c r="K2996" s="544"/>
      <c r="L2996" s="544"/>
      <c r="M2996" s="544"/>
      <c r="N2996" s="544"/>
      <c r="O2996" s="544"/>
      <c r="P2996" s="544"/>
      <c r="Q2996" s="544"/>
      <c r="R2996" s="544"/>
      <c r="S2996" s="544"/>
      <c r="T2996" s="544"/>
      <c r="U2996" s="544"/>
    </row>
    <row r="2997" spans="1:21" x14ac:dyDescent="0.25">
      <c r="A2997" s="538" t="s">
        <v>12</v>
      </c>
      <c r="B2997" s="538"/>
      <c r="C2997" s="540" t="s">
        <v>916</v>
      </c>
      <c r="D2997" s="540"/>
      <c r="E2997" s="540"/>
      <c r="F2997" s="540"/>
      <c r="G2997" s="540"/>
      <c r="H2997" s="540"/>
      <c r="I2997" s="540"/>
      <c r="J2997" s="540"/>
      <c r="K2997" s="540"/>
      <c r="L2997" s="540"/>
      <c r="M2997" s="540"/>
      <c r="N2997" s="540"/>
      <c r="O2997" s="540"/>
      <c r="P2997" s="540"/>
      <c r="Q2997" s="540"/>
      <c r="R2997" s="540"/>
      <c r="S2997" s="540"/>
      <c r="T2997" s="540"/>
      <c r="U2997" s="541" t="s">
        <v>15</v>
      </c>
    </row>
    <row r="2998" spans="1:21" x14ac:dyDescent="0.25">
      <c r="A2998" s="538"/>
      <c r="B2998" s="538"/>
      <c r="C2998" s="540"/>
      <c r="D2998" s="540"/>
      <c r="E2998" s="540"/>
      <c r="F2998" s="540"/>
      <c r="G2998" s="540"/>
      <c r="H2998" s="540"/>
      <c r="I2998" s="540"/>
      <c r="J2998" s="540"/>
      <c r="K2998" s="540"/>
      <c r="L2998" s="540"/>
      <c r="M2998" s="540"/>
      <c r="N2998" s="540"/>
      <c r="O2998" s="540"/>
      <c r="P2998" s="540"/>
      <c r="Q2998" s="540"/>
      <c r="R2998" s="540"/>
      <c r="S2998" s="540"/>
      <c r="T2998" s="540"/>
      <c r="U2998" s="541"/>
    </row>
    <row r="2999" spans="1:21" x14ac:dyDescent="0.25">
      <c r="A2999" s="539" t="s">
        <v>890</v>
      </c>
      <c r="B2999" s="539"/>
      <c r="C2999" s="540"/>
      <c r="D2999" s="540"/>
      <c r="E2999" s="540"/>
      <c r="F2999" s="540"/>
      <c r="G2999" s="540"/>
      <c r="H2999" s="540"/>
      <c r="I2999" s="540"/>
      <c r="J2999" s="540"/>
      <c r="K2999" s="540"/>
      <c r="L2999" s="540"/>
      <c r="M2999" s="540"/>
      <c r="N2999" s="540"/>
      <c r="O2999" s="540"/>
      <c r="P2999" s="540"/>
      <c r="Q2999" s="540"/>
      <c r="R2999" s="540"/>
      <c r="S2999" s="540"/>
      <c r="T2999" s="540"/>
      <c r="U2999" s="541"/>
    </row>
    <row r="3000" spans="1:21" x14ac:dyDescent="0.25">
      <c r="A3000" s="542" t="s">
        <v>16</v>
      </c>
      <c r="B3000" s="543" t="s">
        <v>18</v>
      </c>
      <c r="C3000" s="543"/>
      <c r="D3000" s="543"/>
      <c r="E3000" s="543"/>
      <c r="F3000" s="543"/>
      <c r="G3000" s="543" t="s">
        <v>24</v>
      </c>
      <c r="H3000" s="543"/>
      <c r="I3000" s="543"/>
      <c r="J3000" s="543"/>
      <c r="K3000" s="543"/>
      <c r="L3000" s="543" t="s">
        <v>25</v>
      </c>
      <c r="M3000" s="543"/>
      <c r="N3000" s="543"/>
      <c r="O3000" s="543"/>
      <c r="P3000" s="543"/>
      <c r="Q3000" s="543" t="s">
        <v>26</v>
      </c>
      <c r="R3000" s="543"/>
      <c r="S3000" s="543"/>
      <c r="T3000" s="543"/>
      <c r="U3000" s="543"/>
    </row>
    <row r="3001" spans="1:21" x14ac:dyDescent="0.25">
      <c r="A3001" s="542"/>
      <c r="B3001" s="182" t="s">
        <v>19</v>
      </c>
      <c r="C3001" s="182" t="s">
        <v>20</v>
      </c>
      <c r="D3001" s="182" t="s">
        <v>21</v>
      </c>
      <c r="E3001" s="182" t="s">
        <v>22</v>
      </c>
      <c r="F3001" s="182" t="s">
        <v>23</v>
      </c>
      <c r="G3001" s="182" t="s">
        <v>19</v>
      </c>
      <c r="H3001" s="216" t="s">
        <v>20</v>
      </c>
      <c r="I3001" s="182" t="s">
        <v>21</v>
      </c>
      <c r="J3001" s="182" t="s">
        <v>22</v>
      </c>
      <c r="K3001" s="182" t="s">
        <v>23</v>
      </c>
      <c r="L3001" s="182" t="s">
        <v>19</v>
      </c>
      <c r="M3001" s="182" t="s">
        <v>20</v>
      </c>
      <c r="N3001" s="182" t="s">
        <v>21</v>
      </c>
      <c r="O3001" s="182" t="s">
        <v>22</v>
      </c>
      <c r="P3001" s="182" t="s">
        <v>23</v>
      </c>
      <c r="Q3001" s="182" t="s">
        <v>19</v>
      </c>
      <c r="R3001" s="182" t="s">
        <v>20</v>
      </c>
      <c r="S3001" s="182" t="s">
        <v>21</v>
      </c>
      <c r="T3001" s="182" t="s">
        <v>22</v>
      </c>
      <c r="U3001" s="211" t="s">
        <v>23</v>
      </c>
    </row>
    <row r="3002" spans="1:21" ht="47.25" x14ac:dyDescent="0.25">
      <c r="A3002" s="183" t="s">
        <v>917</v>
      </c>
      <c r="B3002" s="182" t="s">
        <v>893</v>
      </c>
      <c r="C3002" s="182"/>
      <c r="G3002" s="182" t="s">
        <v>642</v>
      </c>
      <c r="H3002" s="216" t="s">
        <v>35</v>
      </c>
      <c r="I3002" s="182">
        <v>1.1000000000000001</v>
      </c>
      <c r="J3002" s="182">
        <f>adopted_rate_structural_steel</f>
        <v>96000</v>
      </c>
      <c r="K3002" s="182">
        <f>(I3002*J3002)</f>
        <v>105600.00000000001</v>
      </c>
      <c r="L3002" s="182" t="s">
        <v>477</v>
      </c>
      <c r="M3002" s="182" t="s">
        <v>58</v>
      </c>
      <c r="N3002" s="182">
        <v>6</v>
      </c>
      <c r="O3002" s="182">
        <f>crane</f>
        <v>2903</v>
      </c>
      <c r="P3002" s="184">
        <f>(N3002*O3002)</f>
        <v>17418</v>
      </c>
      <c r="Q3002" s="182" t="s">
        <v>827</v>
      </c>
      <c r="R3002" s="182"/>
      <c r="U3002" s="223">
        <f>F3013*30/100</f>
        <v>54062.400000000001</v>
      </c>
    </row>
    <row r="3003" spans="1:21" ht="31.5" x14ac:dyDescent="0.25">
      <c r="B3003" s="182" t="s">
        <v>894</v>
      </c>
      <c r="C3003" s="182" t="s">
        <v>28</v>
      </c>
      <c r="D3003" s="182">
        <v>1</v>
      </c>
      <c r="E3003" s="182">
        <f>technician</f>
        <v>825</v>
      </c>
      <c r="F3003" s="184">
        <f>(D3003*E3003)</f>
        <v>825</v>
      </c>
      <c r="G3003" s="182" t="s">
        <v>897</v>
      </c>
      <c r="H3003" s="216"/>
      <c r="K3003" s="184">
        <f>(K3002*3/100)</f>
        <v>3168.0000000000005</v>
      </c>
      <c r="L3003" s="618" t="s">
        <v>900</v>
      </c>
      <c r="M3003" s="182"/>
      <c r="P3003" s="184">
        <f>K3002*5/100</f>
        <v>5280.0000000000009</v>
      </c>
    </row>
    <row r="3004" spans="1:21" ht="31.5" x14ac:dyDescent="0.25">
      <c r="B3004" s="182" t="s">
        <v>27</v>
      </c>
      <c r="C3004" s="182" t="s">
        <v>28</v>
      </c>
      <c r="D3004" s="182">
        <v>3</v>
      </c>
      <c r="E3004" s="182">
        <f>skilled_blacksmith</f>
        <v>1245</v>
      </c>
      <c r="F3004" s="184">
        <f>(D3004*E3004)</f>
        <v>3735</v>
      </c>
      <c r="G3004" s="182" t="s">
        <v>911</v>
      </c>
      <c r="H3004" s="216"/>
      <c r="K3004" s="184">
        <f>(SUM(K3002:K3002)*12/100)</f>
        <v>12672.000000000002</v>
      </c>
      <c r="L3004" s="619"/>
    </row>
    <row r="3005" spans="1:21" ht="63" x14ac:dyDescent="0.25">
      <c r="B3005" s="182" t="s">
        <v>895</v>
      </c>
      <c r="C3005" s="182" t="s">
        <v>28</v>
      </c>
      <c r="D3005" s="182">
        <v>5</v>
      </c>
      <c r="E3005" s="182">
        <f>semiskilled</f>
        <v>1035</v>
      </c>
      <c r="F3005" s="184">
        <f>(D3005*E3005)</f>
        <v>5175</v>
      </c>
      <c r="G3005" s="182" t="s">
        <v>912</v>
      </c>
      <c r="H3005" s="216"/>
      <c r="K3005" s="184">
        <f>(K3002*5/100)</f>
        <v>5280.0000000000009</v>
      </c>
    </row>
    <row r="3006" spans="1:21" x14ac:dyDescent="0.25">
      <c r="B3006" s="182" t="s">
        <v>29</v>
      </c>
      <c r="C3006" s="182" t="s">
        <v>28</v>
      </c>
      <c r="D3006" s="182">
        <v>5</v>
      </c>
      <c r="E3006" s="182">
        <f>unskilled</f>
        <v>935</v>
      </c>
      <c r="F3006" s="184">
        <f>(D3006*E3006)</f>
        <v>4675</v>
      </c>
    </row>
    <row r="3007" spans="1:21" x14ac:dyDescent="0.25">
      <c r="B3007" s="182" t="s">
        <v>896</v>
      </c>
      <c r="C3007" s="182"/>
    </row>
    <row r="3008" spans="1:21" x14ac:dyDescent="0.25">
      <c r="B3008" s="182" t="s">
        <v>894</v>
      </c>
      <c r="C3008" s="182" t="s">
        <v>28</v>
      </c>
      <c r="D3008" s="182">
        <v>1</v>
      </c>
      <c r="E3008" s="182">
        <f>technician</f>
        <v>825</v>
      </c>
      <c r="F3008" s="184">
        <f>(D3008*E3008)</f>
        <v>825</v>
      </c>
    </row>
    <row r="3009" spans="1:21" ht="31.5" x14ac:dyDescent="0.25">
      <c r="B3009" s="182" t="s">
        <v>27</v>
      </c>
      <c r="C3009" s="182" t="s">
        <v>28</v>
      </c>
      <c r="D3009" s="182">
        <v>3</v>
      </c>
      <c r="E3009" s="182">
        <f>skilled_blacksmith</f>
        <v>1245</v>
      </c>
      <c r="F3009" s="184">
        <f>(D3009*E3009)</f>
        <v>3735</v>
      </c>
    </row>
    <row r="3010" spans="1:21" x14ac:dyDescent="0.25">
      <c r="B3010" s="182" t="s">
        <v>895</v>
      </c>
      <c r="C3010" s="182" t="s">
        <v>28</v>
      </c>
      <c r="D3010" s="182">
        <v>6</v>
      </c>
      <c r="E3010" s="182">
        <f>semiskilled</f>
        <v>1035</v>
      </c>
      <c r="F3010" s="184">
        <f>(D3010*E3010)</f>
        <v>6210</v>
      </c>
    </row>
    <row r="3011" spans="1:21" x14ac:dyDescent="0.25">
      <c r="B3011" s="182" t="s">
        <v>29</v>
      </c>
      <c r="C3011" s="182" t="s">
        <v>28</v>
      </c>
      <c r="D3011" s="182">
        <v>6</v>
      </c>
      <c r="E3011" s="182">
        <f>unskilled</f>
        <v>935</v>
      </c>
      <c r="F3011" s="184">
        <f>(D3011*E3011)</f>
        <v>5610</v>
      </c>
    </row>
    <row r="3012" spans="1:21" x14ac:dyDescent="0.25">
      <c r="A3012" s="537" t="s">
        <v>30</v>
      </c>
      <c r="B3012" s="537"/>
      <c r="C3012" s="537"/>
      <c r="D3012" s="537"/>
      <c r="E3012" s="537"/>
      <c r="F3012" s="184">
        <f>SUM(F3001:F3011)</f>
        <v>30790</v>
      </c>
      <c r="G3012" s="537" t="s">
        <v>31</v>
      </c>
      <c r="H3012" s="537"/>
      <c r="I3012" s="537"/>
      <c r="J3012" s="537"/>
      <c r="K3012" s="184">
        <f>SUM(K3001:K3011)</f>
        <v>126720.00000000001</v>
      </c>
      <c r="L3012" s="537" t="s">
        <v>32</v>
      </c>
      <c r="M3012" s="537"/>
      <c r="N3012" s="537"/>
      <c r="O3012" s="537"/>
      <c r="P3012" s="184">
        <f>SUM(P3001:P3011)</f>
        <v>22698</v>
      </c>
      <c r="Q3012" s="537" t="s">
        <v>38</v>
      </c>
      <c r="R3012" s="537"/>
      <c r="S3012" s="537"/>
      <c r="T3012" s="537"/>
      <c r="U3012" s="223">
        <f>SUM(U3001:U3011)</f>
        <v>54062.400000000001</v>
      </c>
    </row>
    <row r="3013" spans="1:21" x14ac:dyDescent="0.25">
      <c r="A3013" s="537" t="s">
        <v>33</v>
      </c>
      <c r="B3013" s="537"/>
      <c r="C3013" s="537"/>
      <c r="D3013" s="537"/>
      <c r="E3013" s="537"/>
      <c r="F3013" s="184">
        <f>SUM(F3012+K3012+P3012)</f>
        <v>180208</v>
      </c>
      <c r="G3013" s="537" t="s">
        <v>39</v>
      </c>
      <c r="H3013" s="537"/>
      <c r="I3013" s="537"/>
      <c r="J3013" s="537"/>
      <c r="K3013" s="184">
        <f>SUM(F3012+K3012+P3012+U3012)</f>
        <v>234270.4</v>
      </c>
      <c r="L3013" s="537" t="s">
        <v>40</v>
      </c>
      <c r="M3013" s="537"/>
      <c r="N3013" s="537"/>
      <c r="O3013" s="537"/>
      <c r="P3013" s="184">
        <f>SUM(K3013*0.15)</f>
        <v>35140.559999999998</v>
      </c>
      <c r="Q3013" s="537" t="s">
        <v>41</v>
      </c>
      <c r="R3013" s="537"/>
      <c r="S3013" s="537"/>
      <c r="T3013" s="537"/>
      <c r="U3013" s="223">
        <f>SUM(K3013+P3013)</f>
        <v>269410.95999999996</v>
      </c>
    </row>
    <row r="3014" spans="1:21" x14ac:dyDescent="0.25">
      <c r="Q3014" s="537" t="s">
        <v>42</v>
      </c>
      <c r="R3014" s="537"/>
      <c r="S3014" s="537"/>
      <c r="T3014" s="537"/>
      <c r="U3014" s="224">
        <f>ROUND((U3013/1),2)</f>
        <v>269410.96000000002</v>
      </c>
    </row>
    <row r="3015" spans="1:21" x14ac:dyDescent="0.25">
      <c r="A3015" s="544"/>
      <c r="B3015" s="544"/>
      <c r="C3015" s="544"/>
      <c r="D3015" s="544"/>
      <c r="E3015" s="544"/>
      <c r="F3015" s="544"/>
      <c r="G3015" s="544"/>
      <c r="H3015" s="544"/>
      <c r="I3015" s="544"/>
      <c r="J3015" s="544"/>
      <c r="K3015" s="544"/>
      <c r="L3015" s="544"/>
      <c r="M3015" s="544"/>
      <c r="N3015" s="544"/>
      <c r="O3015" s="544"/>
      <c r="P3015" s="544"/>
      <c r="Q3015" s="544"/>
      <c r="R3015" s="544"/>
      <c r="S3015" s="544"/>
      <c r="T3015" s="544"/>
      <c r="U3015" s="544"/>
    </row>
    <row r="3016" spans="1:21" x14ac:dyDescent="0.25">
      <c r="A3016" s="538" t="s">
        <v>12</v>
      </c>
      <c r="B3016" s="538"/>
      <c r="C3016" s="540" t="s">
        <v>918</v>
      </c>
      <c r="D3016" s="540"/>
      <c r="E3016" s="540"/>
      <c r="F3016" s="540"/>
      <c r="G3016" s="540"/>
      <c r="H3016" s="540"/>
      <c r="I3016" s="540"/>
      <c r="J3016" s="540"/>
      <c r="K3016" s="540"/>
      <c r="L3016" s="540"/>
      <c r="M3016" s="540"/>
      <c r="N3016" s="540"/>
      <c r="O3016" s="540"/>
      <c r="P3016" s="540"/>
      <c r="Q3016" s="540"/>
      <c r="R3016" s="540"/>
      <c r="S3016" s="540"/>
      <c r="T3016" s="540"/>
      <c r="U3016" s="541" t="s">
        <v>15</v>
      </c>
    </row>
    <row r="3017" spans="1:21" x14ac:dyDescent="0.25">
      <c r="A3017" s="538"/>
      <c r="B3017" s="538"/>
      <c r="C3017" s="540"/>
      <c r="D3017" s="540"/>
      <c r="E3017" s="540"/>
      <c r="F3017" s="540"/>
      <c r="G3017" s="540"/>
      <c r="H3017" s="540"/>
      <c r="I3017" s="540"/>
      <c r="J3017" s="540"/>
      <c r="K3017" s="540"/>
      <c r="L3017" s="540"/>
      <c r="M3017" s="540"/>
      <c r="N3017" s="540"/>
      <c r="O3017" s="540"/>
      <c r="P3017" s="540"/>
      <c r="Q3017" s="540"/>
      <c r="R3017" s="540"/>
      <c r="S3017" s="540"/>
      <c r="T3017" s="540"/>
      <c r="U3017" s="541"/>
    </row>
    <row r="3018" spans="1:21" x14ac:dyDescent="0.25">
      <c r="A3018" s="539" t="s">
        <v>890</v>
      </c>
      <c r="B3018" s="539"/>
      <c r="C3018" s="540"/>
      <c r="D3018" s="540"/>
      <c r="E3018" s="540"/>
      <c r="F3018" s="540"/>
      <c r="G3018" s="540"/>
      <c r="H3018" s="540"/>
      <c r="I3018" s="540"/>
      <c r="J3018" s="540"/>
      <c r="K3018" s="540"/>
      <c r="L3018" s="540"/>
      <c r="M3018" s="540"/>
      <c r="N3018" s="540"/>
      <c r="O3018" s="540"/>
      <c r="P3018" s="540"/>
      <c r="Q3018" s="540"/>
      <c r="R3018" s="540"/>
      <c r="S3018" s="540"/>
      <c r="T3018" s="540"/>
      <c r="U3018" s="541"/>
    </row>
    <row r="3019" spans="1:21" x14ac:dyDescent="0.25">
      <c r="A3019" s="542" t="s">
        <v>16</v>
      </c>
      <c r="B3019" s="543" t="s">
        <v>18</v>
      </c>
      <c r="C3019" s="543"/>
      <c r="D3019" s="543"/>
      <c r="E3019" s="543"/>
      <c r="F3019" s="543"/>
      <c r="G3019" s="543" t="s">
        <v>24</v>
      </c>
      <c r="H3019" s="543"/>
      <c r="I3019" s="543"/>
      <c r="J3019" s="543"/>
      <c r="K3019" s="543"/>
      <c r="L3019" s="543" t="s">
        <v>25</v>
      </c>
      <c r="M3019" s="543"/>
      <c r="N3019" s="543"/>
      <c r="O3019" s="543"/>
      <c r="P3019" s="543"/>
      <c r="Q3019" s="543" t="s">
        <v>26</v>
      </c>
      <c r="R3019" s="543"/>
      <c r="S3019" s="543"/>
      <c r="T3019" s="543"/>
      <c r="U3019" s="543"/>
    </row>
    <row r="3020" spans="1:21" x14ac:dyDescent="0.25">
      <c r="A3020" s="542"/>
      <c r="B3020" s="182" t="s">
        <v>19</v>
      </c>
      <c r="C3020" s="182" t="s">
        <v>20</v>
      </c>
      <c r="D3020" s="182" t="s">
        <v>21</v>
      </c>
      <c r="E3020" s="182" t="s">
        <v>22</v>
      </c>
      <c r="F3020" s="182" t="s">
        <v>23</v>
      </c>
      <c r="G3020" s="182" t="s">
        <v>19</v>
      </c>
      <c r="H3020" s="216" t="s">
        <v>20</v>
      </c>
      <c r="I3020" s="182" t="s">
        <v>21</v>
      </c>
      <c r="J3020" s="182" t="s">
        <v>22</v>
      </c>
      <c r="K3020" s="182" t="s">
        <v>23</v>
      </c>
      <c r="L3020" s="182" t="s">
        <v>19</v>
      </c>
      <c r="M3020" s="182" t="s">
        <v>20</v>
      </c>
      <c r="N3020" s="182" t="s">
        <v>21</v>
      </c>
      <c r="O3020" s="182" t="s">
        <v>22</v>
      </c>
      <c r="P3020" s="182" t="s">
        <v>23</v>
      </c>
      <c r="Q3020" s="182" t="s">
        <v>19</v>
      </c>
      <c r="R3020" s="182" t="s">
        <v>20</v>
      </c>
      <c r="S3020" s="182" t="s">
        <v>21</v>
      </c>
      <c r="T3020" s="182" t="s">
        <v>22</v>
      </c>
      <c r="U3020" s="211" t="s">
        <v>23</v>
      </c>
    </row>
    <row r="3021" spans="1:21" ht="47.25" x14ac:dyDescent="0.25">
      <c r="A3021" s="183" t="s">
        <v>919</v>
      </c>
      <c r="B3021" s="182" t="s">
        <v>893</v>
      </c>
      <c r="C3021" s="182"/>
      <c r="G3021" s="182" t="s">
        <v>642</v>
      </c>
      <c r="H3021" s="216" t="s">
        <v>35</v>
      </c>
      <c r="I3021" s="182">
        <v>1.1000000000000001</v>
      </c>
      <c r="J3021" s="182">
        <f>adopted_rate_structural_steel</f>
        <v>96000</v>
      </c>
      <c r="K3021" s="182">
        <f>(I3021*J3021)</f>
        <v>105600.00000000001</v>
      </c>
      <c r="L3021" s="182" t="s">
        <v>477</v>
      </c>
      <c r="M3021" s="182" t="s">
        <v>58</v>
      </c>
      <c r="N3021" s="182">
        <v>6</v>
      </c>
      <c r="O3021" s="182">
        <f>crane</f>
        <v>2903</v>
      </c>
      <c r="P3021" s="184">
        <f>(N3021*O3021)</f>
        <v>17418</v>
      </c>
      <c r="Q3021" s="182" t="s">
        <v>834</v>
      </c>
      <c r="R3021" s="182"/>
      <c r="U3021" s="223">
        <f>F3032*35/100</f>
        <v>63072.800000000003</v>
      </c>
    </row>
    <row r="3022" spans="1:21" ht="31.5" x14ac:dyDescent="0.25">
      <c r="B3022" s="182" t="s">
        <v>894</v>
      </c>
      <c r="C3022" s="182" t="s">
        <v>28</v>
      </c>
      <c r="D3022" s="182">
        <v>1</v>
      </c>
      <c r="E3022" s="182">
        <f>technician</f>
        <v>825</v>
      </c>
      <c r="F3022" s="184">
        <f>(D3022*E3022)</f>
        <v>825</v>
      </c>
      <c r="G3022" s="182" t="s">
        <v>897</v>
      </c>
      <c r="H3022" s="216"/>
      <c r="K3022" s="184">
        <f>(K3021*3/100)</f>
        <v>3168.0000000000005</v>
      </c>
      <c r="L3022" s="618" t="s">
        <v>900</v>
      </c>
      <c r="M3022" s="182"/>
      <c r="P3022" s="184">
        <f>K3021*5/100</f>
        <v>5280.0000000000009</v>
      </c>
    </row>
    <row r="3023" spans="1:21" ht="31.5" x14ac:dyDescent="0.25">
      <c r="B3023" s="182" t="s">
        <v>27</v>
      </c>
      <c r="C3023" s="182" t="s">
        <v>28</v>
      </c>
      <c r="D3023" s="182">
        <v>3</v>
      </c>
      <c r="E3023" s="182">
        <f>skilled_blacksmith</f>
        <v>1245</v>
      </c>
      <c r="F3023" s="184">
        <f>(D3023*E3023)</f>
        <v>3735</v>
      </c>
      <c r="G3023" s="182" t="s">
        <v>911</v>
      </c>
      <c r="H3023" s="216"/>
      <c r="K3023" s="184">
        <f>(SUM(K3021:K3021)*12/100)</f>
        <v>12672.000000000002</v>
      </c>
      <c r="L3023" s="619"/>
    </row>
    <row r="3024" spans="1:21" ht="63" x14ac:dyDescent="0.25">
      <c r="B3024" s="182" t="s">
        <v>895</v>
      </c>
      <c r="C3024" s="182" t="s">
        <v>28</v>
      </c>
      <c r="D3024" s="182">
        <v>5</v>
      </c>
      <c r="E3024" s="182">
        <f>semiskilled</f>
        <v>1035</v>
      </c>
      <c r="F3024" s="184">
        <f>(D3024*E3024)</f>
        <v>5175</v>
      </c>
      <c r="G3024" s="182" t="s">
        <v>912</v>
      </c>
      <c r="H3024" s="216"/>
      <c r="K3024" s="184">
        <f>(K3021*5/100)</f>
        <v>5280.0000000000009</v>
      </c>
    </row>
    <row r="3025" spans="1:21" x14ac:dyDescent="0.25">
      <c r="B3025" s="182" t="s">
        <v>29</v>
      </c>
      <c r="C3025" s="182" t="s">
        <v>28</v>
      </c>
      <c r="D3025" s="182">
        <v>5</v>
      </c>
      <c r="E3025" s="182">
        <f>unskilled</f>
        <v>935</v>
      </c>
      <c r="F3025" s="184">
        <f>(D3025*E3025)</f>
        <v>4675</v>
      </c>
    </row>
    <row r="3026" spans="1:21" x14ac:dyDescent="0.25">
      <c r="B3026" s="182" t="s">
        <v>896</v>
      </c>
      <c r="C3026" s="182"/>
    </row>
    <row r="3027" spans="1:21" x14ac:dyDescent="0.25">
      <c r="B3027" s="182" t="s">
        <v>894</v>
      </c>
      <c r="C3027" s="182" t="s">
        <v>28</v>
      </c>
      <c r="D3027" s="182">
        <v>1</v>
      </c>
      <c r="E3027" s="182">
        <f>technician</f>
        <v>825</v>
      </c>
      <c r="F3027" s="184">
        <f>(D3027*E3027)</f>
        <v>825</v>
      </c>
    </row>
    <row r="3028" spans="1:21" ht="31.5" x14ac:dyDescent="0.25">
      <c r="B3028" s="182" t="s">
        <v>27</v>
      </c>
      <c r="C3028" s="182" t="s">
        <v>28</v>
      </c>
      <c r="D3028" s="182">
        <v>3</v>
      </c>
      <c r="E3028" s="182">
        <f>skilled_blacksmith</f>
        <v>1245</v>
      </c>
      <c r="F3028" s="184">
        <f>(D3028*E3028)</f>
        <v>3735</v>
      </c>
    </row>
    <row r="3029" spans="1:21" x14ac:dyDescent="0.25">
      <c r="B3029" s="182" t="s">
        <v>895</v>
      </c>
      <c r="C3029" s="182" t="s">
        <v>28</v>
      </c>
      <c r="D3029" s="182">
        <v>6</v>
      </c>
      <c r="E3029" s="182">
        <f>semiskilled</f>
        <v>1035</v>
      </c>
      <c r="F3029" s="184">
        <f>(D3029*E3029)</f>
        <v>6210</v>
      </c>
    </row>
    <row r="3030" spans="1:21" x14ac:dyDescent="0.25">
      <c r="B3030" s="182" t="s">
        <v>29</v>
      </c>
      <c r="C3030" s="182" t="s">
        <v>28</v>
      </c>
      <c r="D3030" s="182">
        <v>6</v>
      </c>
      <c r="E3030" s="182">
        <f>unskilled</f>
        <v>935</v>
      </c>
      <c r="F3030" s="184">
        <f>(D3030*E3030)</f>
        <v>5610</v>
      </c>
    </row>
    <row r="3031" spans="1:21" x14ac:dyDescent="0.25">
      <c r="A3031" s="537" t="s">
        <v>30</v>
      </c>
      <c r="B3031" s="537"/>
      <c r="C3031" s="537"/>
      <c r="D3031" s="537"/>
      <c r="E3031" s="537"/>
      <c r="F3031" s="184">
        <f>SUM(F3020:F3030)</f>
        <v>30790</v>
      </c>
      <c r="G3031" s="537" t="s">
        <v>31</v>
      </c>
      <c r="H3031" s="537"/>
      <c r="I3031" s="537"/>
      <c r="J3031" s="537"/>
      <c r="K3031" s="184">
        <f>SUM(K3020:K3030)</f>
        <v>126720.00000000001</v>
      </c>
      <c r="L3031" s="537" t="s">
        <v>32</v>
      </c>
      <c r="M3031" s="537"/>
      <c r="N3031" s="537"/>
      <c r="O3031" s="537"/>
      <c r="P3031" s="184">
        <f>SUM(P3020:P3030)</f>
        <v>22698</v>
      </c>
      <c r="Q3031" s="537" t="s">
        <v>38</v>
      </c>
      <c r="R3031" s="537"/>
      <c r="S3031" s="537"/>
      <c r="T3031" s="537"/>
      <c r="U3031" s="223">
        <f>SUM(U3020:U3030)</f>
        <v>63072.800000000003</v>
      </c>
    </row>
    <row r="3032" spans="1:21" x14ac:dyDescent="0.25">
      <c r="A3032" s="537" t="s">
        <v>33</v>
      </c>
      <c r="B3032" s="537"/>
      <c r="C3032" s="537"/>
      <c r="D3032" s="537"/>
      <c r="E3032" s="537"/>
      <c r="F3032" s="184">
        <f>SUM(F3031+K3031+P3031)</f>
        <v>180208</v>
      </c>
      <c r="G3032" s="537" t="s">
        <v>39</v>
      </c>
      <c r="H3032" s="537"/>
      <c r="I3032" s="537"/>
      <c r="J3032" s="537"/>
      <c r="K3032" s="184">
        <f>SUM(F3031+K3031+P3031+U3031)</f>
        <v>243280.8</v>
      </c>
      <c r="L3032" s="537" t="s">
        <v>40</v>
      </c>
      <c r="M3032" s="537"/>
      <c r="N3032" s="537"/>
      <c r="O3032" s="537"/>
      <c r="P3032" s="184">
        <f>SUM(K3032*0.15)</f>
        <v>36492.119999999995</v>
      </c>
      <c r="Q3032" s="537" t="s">
        <v>41</v>
      </c>
      <c r="R3032" s="537"/>
      <c r="S3032" s="537"/>
      <c r="T3032" s="537"/>
      <c r="U3032" s="223">
        <f>SUM(K3032+P3032)</f>
        <v>279772.92</v>
      </c>
    </row>
    <row r="3033" spans="1:21" x14ac:dyDescent="0.25">
      <c r="Q3033" s="537" t="s">
        <v>42</v>
      </c>
      <c r="R3033" s="537"/>
      <c r="S3033" s="537"/>
      <c r="T3033" s="537"/>
      <c r="U3033" s="224">
        <f>ROUND((U3032/1),2)</f>
        <v>279772.92</v>
      </c>
    </row>
    <row r="3034" spans="1:21" x14ac:dyDescent="0.25">
      <c r="A3034" s="544"/>
      <c r="B3034" s="544"/>
      <c r="C3034" s="544"/>
      <c r="D3034" s="544"/>
      <c r="E3034" s="544"/>
      <c r="F3034" s="544"/>
      <c r="G3034" s="544"/>
      <c r="H3034" s="544"/>
      <c r="I3034" s="544"/>
      <c r="J3034" s="544"/>
      <c r="K3034" s="544"/>
      <c r="L3034" s="544"/>
      <c r="M3034" s="544"/>
      <c r="N3034" s="544"/>
      <c r="O3034" s="544"/>
      <c r="P3034" s="544"/>
      <c r="Q3034" s="544"/>
      <c r="R3034" s="544"/>
      <c r="S3034" s="544"/>
      <c r="T3034" s="544"/>
      <c r="U3034" s="544"/>
    </row>
    <row r="3035" spans="1:21" x14ac:dyDescent="0.25">
      <c r="A3035" s="538" t="s">
        <v>12</v>
      </c>
      <c r="B3035" s="538"/>
      <c r="C3035" s="540" t="s">
        <v>920</v>
      </c>
      <c r="D3035" s="540"/>
      <c r="E3035" s="540"/>
      <c r="F3035" s="540"/>
      <c r="G3035" s="540"/>
      <c r="H3035" s="540"/>
      <c r="I3035" s="540"/>
      <c r="J3035" s="540"/>
      <c r="K3035" s="540"/>
      <c r="L3035" s="540"/>
      <c r="M3035" s="540"/>
      <c r="N3035" s="540"/>
      <c r="O3035" s="540"/>
      <c r="P3035" s="540"/>
      <c r="Q3035" s="540"/>
      <c r="R3035" s="540"/>
      <c r="S3035" s="540"/>
      <c r="T3035" s="540"/>
      <c r="U3035" s="541" t="s">
        <v>15</v>
      </c>
    </row>
    <row r="3036" spans="1:21" x14ac:dyDescent="0.25">
      <c r="A3036" s="538"/>
      <c r="B3036" s="538"/>
      <c r="C3036" s="540"/>
      <c r="D3036" s="540"/>
      <c r="E3036" s="540"/>
      <c r="F3036" s="540"/>
      <c r="G3036" s="540"/>
      <c r="H3036" s="540"/>
      <c r="I3036" s="540"/>
      <c r="J3036" s="540"/>
      <c r="K3036" s="540"/>
      <c r="L3036" s="540"/>
      <c r="M3036" s="540"/>
      <c r="N3036" s="540"/>
      <c r="O3036" s="540"/>
      <c r="P3036" s="540"/>
      <c r="Q3036" s="540"/>
      <c r="R3036" s="540"/>
      <c r="S3036" s="540"/>
      <c r="T3036" s="540"/>
      <c r="U3036" s="541"/>
    </row>
    <row r="3037" spans="1:21" x14ac:dyDescent="0.25">
      <c r="A3037" s="539" t="s">
        <v>890</v>
      </c>
      <c r="B3037" s="539"/>
      <c r="C3037" s="540"/>
      <c r="D3037" s="540"/>
      <c r="E3037" s="540"/>
      <c r="F3037" s="540"/>
      <c r="G3037" s="540"/>
      <c r="H3037" s="540"/>
      <c r="I3037" s="540"/>
      <c r="J3037" s="540"/>
      <c r="K3037" s="540"/>
      <c r="L3037" s="540"/>
      <c r="M3037" s="540"/>
      <c r="N3037" s="540"/>
      <c r="O3037" s="540"/>
      <c r="P3037" s="540"/>
      <c r="Q3037" s="540"/>
      <c r="R3037" s="540"/>
      <c r="S3037" s="540"/>
      <c r="T3037" s="540"/>
      <c r="U3037" s="541"/>
    </row>
    <row r="3038" spans="1:21" x14ac:dyDescent="0.25">
      <c r="A3038" s="542" t="s">
        <v>16</v>
      </c>
      <c r="B3038" s="543" t="s">
        <v>18</v>
      </c>
      <c r="C3038" s="543"/>
      <c r="D3038" s="543"/>
      <c r="E3038" s="543"/>
      <c r="F3038" s="543"/>
      <c r="G3038" s="543" t="s">
        <v>24</v>
      </c>
      <c r="H3038" s="543"/>
      <c r="I3038" s="543"/>
      <c r="J3038" s="543"/>
      <c r="K3038" s="543"/>
      <c r="L3038" s="543" t="s">
        <v>25</v>
      </c>
      <c r="M3038" s="543"/>
      <c r="N3038" s="543"/>
      <c r="O3038" s="543"/>
      <c r="P3038" s="543"/>
      <c r="Q3038" s="543" t="s">
        <v>26</v>
      </c>
      <c r="R3038" s="543"/>
      <c r="S3038" s="543"/>
      <c r="T3038" s="543"/>
      <c r="U3038" s="543"/>
    </row>
    <row r="3039" spans="1:21" x14ac:dyDescent="0.25">
      <c r="A3039" s="542"/>
      <c r="B3039" s="182" t="s">
        <v>19</v>
      </c>
      <c r="C3039" s="182" t="s">
        <v>20</v>
      </c>
      <c r="D3039" s="182" t="s">
        <v>21</v>
      </c>
      <c r="E3039" s="182" t="s">
        <v>22</v>
      </c>
      <c r="F3039" s="182" t="s">
        <v>23</v>
      </c>
      <c r="G3039" s="182" t="s">
        <v>19</v>
      </c>
      <c r="H3039" s="216" t="s">
        <v>20</v>
      </c>
      <c r="I3039" s="182" t="s">
        <v>21</v>
      </c>
      <c r="J3039" s="182" t="s">
        <v>22</v>
      </c>
      <c r="K3039" s="182" t="s">
        <v>23</v>
      </c>
      <c r="L3039" s="182" t="s">
        <v>19</v>
      </c>
      <c r="M3039" s="182" t="s">
        <v>20</v>
      </c>
      <c r="N3039" s="182" t="s">
        <v>21</v>
      </c>
      <c r="O3039" s="182" t="s">
        <v>22</v>
      </c>
      <c r="P3039" s="182" t="s">
        <v>23</v>
      </c>
      <c r="Q3039" s="182" t="s">
        <v>19</v>
      </c>
      <c r="R3039" s="182" t="s">
        <v>20</v>
      </c>
      <c r="S3039" s="182" t="s">
        <v>21</v>
      </c>
      <c r="T3039" s="182" t="s">
        <v>22</v>
      </c>
      <c r="U3039" s="211" t="s">
        <v>23</v>
      </c>
    </row>
    <row r="3040" spans="1:21" ht="47.25" x14ac:dyDescent="0.25">
      <c r="A3040" s="183" t="s">
        <v>921</v>
      </c>
      <c r="B3040" s="182" t="s">
        <v>893</v>
      </c>
      <c r="C3040" s="182"/>
      <c r="G3040" s="182" t="s">
        <v>642</v>
      </c>
      <c r="H3040" s="216" t="s">
        <v>35</v>
      </c>
      <c r="I3040" s="182">
        <v>1.1000000000000001</v>
      </c>
      <c r="J3040" s="182">
        <f>adopted_rate_structural_steel</f>
        <v>96000</v>
      </c>
      <c r="K3040" s="182">
        <f>(I3040*J3040)</f>
        <v>105600.00000000001</v>
      </c>
      <c r="L3040" s="182" t="s">
        <v>477</v>
      </c>
      <c r="M3040" s="182" t="s">
        <v>58</v>
      </c>
      <c r="N3040" s="182">
        <v>6</v>
      </c>
      <c r="O3040" s="182">
        <f>crane</f>
        <v>2903</v>
      </c>
      <c r="P3040" s="184">
        <f>(N3040*O3040)</f>
        <v>17418</v>
      </c>
    </row>
    <row r="3041" spans="1:21" ht="63" x14ac:dyDescent="0.25">
      <c r="B3041" s="182" t="s">
        <v>894</v>
      </c>
      <c r="C3041" s="182" t="s">
        <v>28</v>
      </c>
      <c r="D3041" s="182">
        <v>2</v>
      </c>
      <c r="E3041" s="182">
        <f>technician</f>
        <v>825</v>
      </c>
      <c r="F3041" s="184">
        <f>(D3041*E3041)</f>
        <v>1650</v>
      </c>
      <c r="G3041" s="182" t="s">
        <v>897</v>
      </c>
      <c r="H3041" s="216"/>
      <c r="K3041" s="184">
        <f>(K3040*3/100)</f>
        <v>3168.0000000000005</v>
      </c>
      <c r="L3041" s="182" t="s">
        <v>924</v>
      </c>
      <c r="M3041" s="182"/>
      <c r="P3041" s="184">
        <f>K3040*5/100</f>
        <v>5280.0000000000009</v>
      </c>
    </row>
    <row r="3042" spans="1:21" ht="31.5" x14ac:dyDescent="0.25">
      <c r="B3042" s="182" t="s">
        <v>27</v>
      </c>
      <c r="C3042" s="182" t="s">
        <v>28</v>
      </c>
      <c r="D3042" s="182">
        <v>4</v>
      </c>
      <c r="E3042" s="182">
        <f>skilled_blacksmith</f>
        <v>1245</v>
      </c>
      <c r="F3042" s="184">
        <f>(D3042*E3042)</f>
        <v>4980</v>
      </c>
      <c r="G3042" s="182" t="s">
        <v>922</v>
      </c>
      <c r="H3042" s="216"/>
      <c r="K3042" s="184">
        <f>(SUM(K3040:K3040)*12/100)</f>
        <v>12672.000000000002</v>
      </c>
    </row>
    <row r="3043" spans="1:21" s="199" customFormat="1" ht="63" x14ac:dyDescent="0.25">
      <c r="A3043" s="195"/>
      <c r="B3043" s="182" t="s">
        <v>895</v>
      </c>
      <c r="C3043" s="182" t="s">
        <v>28</v>
      </c>
      <c r="D3043" s="182">
        <v>6</v>
      </c>
      <c r="E3043" s="182">
        <f>semiskilled</f>
        <v>1035</v>
      </c>
      <c r="F3043" s="184">
        <f>(D3043*E3043)</f>
        <v>6210</v>
      </c>
      <c r="G3043" s="182" t="s">
        <v>923</v>
      </c>
      <c r="H3043" s="216"/>
      <c r="I3043" s="195"/>
      <c r="J3043" s="195"/>
      <c r="K3043" s="184">
        <f>(K3040*5/100)</f>
        <v>5280.0000000000009</v>
      </c>
      <c r="L3043" s="195"/>
      <c r="M3043" s="195"/>
      <c r="N3043" s="195"/>
      <c r="O3043" s="195"/>
      <c r="P3043" s="195"/>
      <c r="Q3043" s="195"/>
      <c r="R3043" s="195"/>
      <c r="S3043" s="195"/>
      <c r="T3043" s="195"/>
      <c r="U3043" s="212"/>
    </row>
    <row r="3044" spans="1:21" s="199" customFormat="1" x14ac:dyDescent="0.25">
      <c r="A3044" s="195"/>
      <c r="B3044" s="182" t="s">
        <v>29</v>
      </c>
      <c r="C3044" s="182" t="s">
        <v>28</v>
      </c>
      <c r="D3044" s="182">
        <v>6</v>
      </c>
      <c r="E3044" s="182">
        <f>unskilled</f>
        <v>935</v>
      </c>
      <c r="F3044" s="184">
        <f>(D3044*E3044)</f>
        <v>5610</v>
      </c>
      <c r="G3044" s="195"/>
      <c r="H3044" s="217"/>
      <c r="I3044" s="195"/>
      <c r="J3044" s="195"/>
      <c r="K3044" s="195"/>
      <c r="L3044" s="195"/>
      <c r="M3044" s="195"/>
      <c r="N3044" s="195"/>
      <c r="O3044" s="195"/>
      <c r="P3044" s="195"/>
      <c r="Q3044" s="195"/>
      <c r="R3044" s="195"/>
      <c r="S3044" s="195"/>
      <c r="T3044" s="195"/>
      <c r="U3044" s="212"/>
    </row>
    <row r="3045" spans="1:21" s="199" customFormat="1" x14ac:dyDescent="0.25">
      <c r="A3045" s="195"/>
      <c r="B3045" s="182" t="s">
        <v>896</v>
      </c>
      <c r="C3045" s="182"/>
      <c r="D3045" s="195"/>
      <c r="E3045" s="195"/>
      <c r="F3045" s="195"/>
      <c r="G3045" s="195"/>
      <c r="H3045" s="217"/>
      <c r="I3045" s="195"/>
      <c r="J3045" s="195"/>
      <c r="K3045" s="195"/>
      <c r="L3045" s="195"/>
      <c r="M3045" s="195"/>
      <c r="N3045" s="195"/>
      <c r="O3045" s="195"/>
      <c r="P3045" s="195"/>
      <c r="Q3045" s="195"/>
      <c r="R3045" s="195"/>
      <c r="S3045" s="195"/>
      <c r="T3045" s="195"/>
      <c r="U3045" s="212"/>
    </row>
    <row r="3046" spans="1:21" s="199" customFormat="1" x14ac:dyDescent="0.25">
      <c r="A3046" s="195"/>
      <c r="B3046" s="182" t="s">
        <v>894</v>
      </c>
      <c r="C3046" s="182" t="s">
        <v>28</v>
      </c>
      <c r="D3046" s="182">
        <v>2</v>
      </c>
      <c r="E3046" s="182">
        <f>technician</f>
        <v>825</v>
      </c>
      <c r="F3046" s="184">
        <f>(D3046*E3046)</f>
        <v>1650</v>
      </c>
      <c r="G3046" s="195"/>
      <c r="H3046" s="217"/>
      <c r="I3046" s="195"/>
      <c r="J3046" s="195"/>
      <c r="K3046" s="195"/>
      <c r="L3046" s="195"/>
      <c r="M3046" s="195"/>
      <c r="N3046" s="195"/>
      <c r="O3046" s="195"/>
      <c r="P3046" s="195"/>
      <c r="Q3046" s="195"/>
      <c r="R3046" s="195"/>
      <c r="S3046" s="195"/>
      <c r="T3046" s="195"/>
      <c r="U3046" s="212"/>
    </row>
    <row r="3047" spans="1:21" s="199" customFormat="1" ht="31.5" x14ac:dyDescent="0.25">
      <c r="A3047" s="195"/>
      <c r="B3047" s="182" t="s">
        <v>27</v>
      </c>
      <c r="C3047" s="182" t="s">
        <v>28</v>
      </c>
      <c r="D3047" s="182">
        <v>4</v>
      </c>
      <c r="E3047" s="182">
        <f>skilled_blacksmith</f>
        <v>1245</v>
      </c>
      <c r="F3047" s="184">
        <f>(D3047*E3047)</f>
        <v>4980</v>
      </c>
      <c r="G3047" s="195"/>
      <c r="H3047" s="217"/>
      <c r="I3047" s="195"/>
      <c r="J3047" s="195"/>
      <c r="K3047" s="195"/>
      <c r="L3047" s="195"/>
      <c r="M3047" s="195"/>
      <c r="N3047" s="195"/>
      <c r="O3047" s="195"/>
      <c r="P3047" s="195"/>
      <c r="Q3047" s="195"/>
      <c r="R3047" s="195"/>
      <c r="S3047" s="195"/>
      <c r="T3047" s="195"/>
      <c r="U3047" s="212"/>
    </row>
    <row r="3048" spans="1:21" s="199" customFormat="1" x14ac:dyDescent="0.25">
      <c r="A3048" s="195"/>
      <c r="B3048" s="182" t="s">
        <v>895</v>
      </c>
      <c r="C3048" s="182" t="s">
        <v>28</v>
      </c>
      <c r="D3048" s="182">
        <v>8</v>
      </c>
      <c r="E3048" s="182">
        <f>semiskilled</f>
        <v>1035</v>
      </c>
      <c r="F3048" s="184">
        <f>(D3048*E3048)</f>
        <v>8280</v>
      </c>
      <c r="G3048" s="195"/>
      <c r="H3048" s="217"/>
      <c r="I3048" s="195"/>
      <c r="J3048" s="195"/>
      <c r="K3048" s="195"/>
      <c r="L3048" s="195"/>
      <c r="M3048" s="195"/>
      <c r="N3048" s="195"/>
      <c r="O3048" s="195"/>
      <c r="P3048" s="195"/>
      <c r="Q3048" s="195"/>
      <c r="R3048" s="195"/>
      <c r="S3048" s="195"/>
      <c r="T3048" s="195"/>
      <c r="U3048" s="212"/>
    </row>
    <row r="3049" spans="1:21" s="199" customFormat="1" x14ac:dyDescent="0.25">
      <c r="A3049" s="195"/>
      <c r="B3049" s="182" t="s">
        <v>29</v>
      </c>
      <c r="C3049" s="182" t="s">
        <v>28</v>
      </c>
      <c r="D3049" s="182">
        <v>8</v>
      </c>
      <c r="E3049" s="182">
        <f>unskilled</f>
        <v>935</v>
      </c>
      <c r="F3049" s="184">
        <f>(D3049*E3049)</f>
        <v>7480</v>
      </c>
      <c r="G3049" s="195"/>
      <c r="H3049" s="217"/>
      <c r="I3049" s="195"/>
      <c r="J3049" s="195"/>
      <c r="K3049" s="195"/>
      <c r="L3049" s="195"/>
      <c r="M3049" s="195"/>
      <c r="N3049" s="195"/>
      <c r="O3049" s="195"/>
      <c r="P3049" s="195"/>
      <c r="Q3049" s="195"/>
      <c r="R3049" s="195"/>
      <c r="S3049" s="195"/>
      <c r="T3049" s="195"/>
      <c r="U3049" s="212"/>
    </row>
    <row r="3050" spans="1:21" s="199" customFormat="1" x14ac:dyDescent="0.25">
      <c r="A3050" s="537" t="s">
        <v>30</v>
      </c>
      <c r="B3050" s="537"/>
      <c r="C3050" s="537"/>
      <c r="D3050" s="537"/>
      <c r="E3050" s="537"/>
      <c r="F3050" s="184">
        <f>SUM(F3039:F3049)</f>
        <v>40840</v>
      </c>
      <c r="G3050" s="537" t="s">
        <v>31</v>
      </c>
      <c r="H3050" s="537"/>
      <c r="I3050" s="537"/>
      <c r="J3050" s="537"/>
      <c r="K3050" s="184">
        <f>SUM(K3039:K3049)</f>
        <v>126720.00000000001</v>
      </c>
      <c r="L3050" s="537" t="s">
        <v>32</v>
      </c>
      <c r="M3050" s="537"/>
      <c r="N3050" s="537"/>
      <c r="O3050" s="537"/>
      <c r="P3050" s="184">
        <f>SUM(P3039:P3049)</f>
        <v>22698</v>
      </c>
      <c r="Q3050" s="537" t="s">
        <v>38</v>
      </c>
      <c r="R3050" s="537"/>
      <c r="S3050" s="537"/>
      <c r="T3050" s="537"/>
      <c r="U3050" s="223">
        <f>SUM(U3039:U3049)</f>
        <v>0</v>
      </c>
    </row>
    <row r="3051" spans="1:21" s="199" customFormat="1" x14ac:dyDescent="0.25">
      <c r="A3051" s="537" t="s">
        <v>33</v>
      </c>
      <c r="B3051" s="537"/>
      <c r="C3051" s="537"/>
      <c r="D3051" s="537"/>
      <c r="E3051" s="537"/>
      <c r="F3051" s="184">
        <f>SUM(F3050+K3050+P3050)</f>
        <v>190258</v>
      </c>
      <c r="G3051" s="537" t="s">
        <v>39</v>
      </c>
      <c r="H3051" s="537"/>
      <c r="I3051" s="537"/>
      <c r="J3051" s="537"/>
      <c r="K3051" s="184">
        <f>SUM(F3050+K3050+P3050+U3050)</f>
        <v>190258</v>
      </c>
      <c r="L3051" s="537" t="s">
        <v>40</v>
      </c>
      <c r="M3051" s="537"/>
      <c r="N3051" s="537"/>
      <c r="O3051" s="537"/>
      <c r="P3051" s="184">
        <f>SUM(K3051*0.15)</f>
        <v>28538.7</v>
      </c>
      <c r="Q3051" s="537" t="s">
        <v>41</v>
      </c>
      <c r="R3051" s="537"/>
      <c r="S3051" s="537"/>
      <c r="T3051" s="537"/>
      <c r="U3051" s="223">
        <f>SUM(K3051+P3051)</f>
        <v>218796.7</v>
      </c>
    </row>
    <row r="3052" spans="1:21" s="199" customFormat="1" x14ac:dyDescent="0.25">
      <c r="A3052" s="195"/>
      <c r="B3052" s="195"/>
      <c r="C3052" s="195"/>
      <c r="D3052" s="195"/>
      <c r="E3052" s="195"/>
      <c r="F3052" s="195"/>
      <c r="G3052" s="195"/>
      <c r="H3052" s="217"/>
      <c r="I3052" s="195"/>
      <c r="J3052" s="195"/>
      <c r="K3052" s="195"/>
      <c r="L3052" s="195"/>
      <c r="M3052" s="195"/>
      <c r="N3052" s="195"/>
      <c r="O3052" s="195"/>
      <c r="P3052" s="195"/>
      <c r="Q3052" s="537" t="s">
        <v>42</v>
      </c>
      <c r="R3052" s="537"/>
      <c r="S3052" s="537"/>
      <c r="T3052" s="537"/>
      <c r="U3052" s="224">
        <f>ROUND((U3051/1),2)</f>
        <v>218796.7</v>
      </c>
    </row>
    <row r="3053" spans="1:21" s="199" customFormat="1" x14ac:dyDescent="0.25">
      <c r="A3053" s="544"/>
      <c r="B3053" s="544"/>
      <c r="C3053" s="544"/>
      <c r="D3053" s="544"/>
      <c r="E3053" s="544"/>
      <c r="F3053" s="544"/>
      <c r="G3053" s="544"/>
      <c r="H3053" s="544"/>
      <c r="I3053" s="544"/>
      <c r="J3053" s="544"/>
      <c r="K3053" s="544"/>
      <c r="L3053" s="544"/>
      <c r="M3053" s="544"/>
      <c r="N3053" s="544"/>
      <c r="O3053" s="544"/>
      <c r="P3053" s="544"/>
      <c r="Q3053" s="544"/>
      <c r="R3053" s="544"/>
      <c r="S3053" s="544"/>
      <c r="T3053" s="544"/>
      <c r="U3053" s="544"/>
    </row>
    <row r="3054" spans="1:21" s="199" customFormat="1" x14ac:dyDescent="0.25">
      <c r="A3054" s="525" t="s">
        <v>12</v>
      </c>
      <c r="B3054" s="525"/>
      <c r="C3054" s="526" t="s">
        <v>2278</v>
      </c>
      <c r="D3054" s="526"/>
      <c r="E3054" s="526"/>
      <c r="F3054" s="526"/>
      <c r="G3054" s="526"/>
      <c r="H3054" s="526"/>
      <c r="I3054" s="526"/>
      <c r="J3054" s="526"/>
      <c r="K3054" s="526"/>
      <c r="L3054" s="526"/>
      <c r="M3054" s="526"/>
      <c r="N3054" s="526"/>
      <c r="O3054" s="526"/>
      <c r="P3054" s="526"/>
      <c r="Q3054" s="526"/>
      <c r="R3054" s="526"/>
      <c r="S3054" s="526"/>
      <c r="T3054" s="526"/>
      <c r="U3054" s="524" t="s">
        <v>927</v>
      </c>
    </row>
    <row r="3055" spans="1:21" s="199" customFormat="1" x14ac:dyDescent="0.25">
      <c r="A3055" s="525"/>
      <c r="B3055" s="525"/>
      <c r="C3055" s="526"/>
      <c r="D3055" s="526"/>
      <c r="E3055" s="526"/>
      <c r="F3055" s="526"/>
      <c r="G3055" s="526"/>
      <c r="H3055" s="526"/>
      <c r="I3055" s="526"/>
      <c r="J3055" s="526"/>
      <c r="K3055" s="526"/>
      <c r="L3055" s="526"/>
      <c r="M3055" s="526"/>
      <c r="N3055" s="526"/>
      <c r="O3055" s="526"/>
      <c r="P3055" s="526"/>
      <c r="Q3055" s="526"/>
      <c r="R3055" s="526"/>
      <c r="S3055" s="526"/>
      <c r="T3055" s="526"/>
      <c r="U3055" s="524"/>
    </row>
    <row r="3056" spans="1:21" s="199" customFormat="1" x14ac:dyDescent="0.25">
      <c r="A3056" s="527" t="s">
        <v>925</v>
      </c>
      <c r="B3056" s="527"/>
      <c r="C3056" s="526"/>
      <c r="D3056" s="526"/>
      <c r="E3056" s="526"/>
      <c r="F3056" s="526"/>
      <c r="G3056" s="526"/>
      <c r="H3056" s="526"/>
      <c r="I3056" s="526"/>
      <c r="J3056" s="526"/>
      <c r="K3056" s="526"/>
      <c r="L3056" s="526"/>
      <c r="M3056" s="526"/>
      <c r="N3056" s="526"/>
      <c r="O3056" s="526"/>
      <c r="P3056" s="526"/>
      <c r="Q3056" s="526"/>
      <c r="R3056" s="526"/>
      <c r="S3056" s="526"/>
      <c r="T3056" s="526"/>
      <c r="U3056" s="524"/>
    </row>
    <row r="3057" spans="1:21" s="199" customFormat="1" x14ac:dyDescent="0.25">
      <c r="A3057" s="528" t="s">
        <v>16</v>
      </c>
      <c r="B3057" s="529" t="s">
        <v>18</v>
      </c>
      <c r="C3057" s="529"/>
      <c r="D3057" s="529"/>
      <c r="E3057" s="529"/>
      <c r="F3057" s="529"/>
      <c r="G3057" s="529" t="s">
        <v>24</v>
      </c>
      <c r="H3057" s="529"/>
      <c r="I3057" s="529"/>
      <c r="J3057" s="529"/>
      <c r="K3057" s="529"/>
      <c r="L3057" s="529" t="s">
        <v>25</v>
      </c>
      <c r="M3057" s="529"/>
      <c r="N3057" s="529"/>
      <c r="O3057" s="529"/>
      <c r="P3057" s="529"/>
      <c r="Q3057" s="529" t="s">
        <v>26</v>
      </c>
      <c r="R3057" s="529"/>
      <c r="S3057" s="529"/>
      <c r="T3057" s="529"/>
      <c r="U3057" s="529"/>
    </row>
    <row r="3058" spans="1:21" s="199" customFormat="1" x14ac:dyDescent="0.25">
      <c r="A3058" s="528"/>
      <c r="B3058" s="197" t="s">
        <v>19</v>
      </c>
      <c r="C3058" s="197" t="s">
        <v>20</v>
      </c>
      <c r="D3058" s="197" t="s">
        <v>21</v>
      </c>
      <c r="E3058" s="197" t="s">
        <v>22</v>
      </c>
      <c r="F3058" s="197" t="s">
        <v>23</v>
      </c>
      <c r="G3058" s="197" t="s">
        <v>19</v>
      </c>
      <c r="H3058" s="219" t="s">
        <v>20</v>
      </c>
      <c r="I3058" s="197" t="s">
        <v>21</v>
      </c>
      <c r="J3058" s="197" t="s">
        <v>22</v>
      </c>
      <c r="K3058" s="197" t="s">
        <v>23</v>
      </c>
      <c r="L3058" s="197" t="s">
        <v>19</v>
      </c>
      <c r="M3058" s="197" t="s">
        <v>20</v>
      </c>
      <c r="N3058" s="197" t="s">
        <v>21</v>
      </c>
      <c r="O3058" s="197" t="s">
        <v>22</v>
      </c>
      <c r="P3058" s="197" t="s">
        <v>23</v>
      </c>
      <c r="Q3058" s="197" t="s">
        <v>19</v>
      </c>
      <c r="R3058" s="197" t="s">
        <v>20</v>
      </c>
      <c r="S3058" s="197" t="s">
        <v>21</v>
      </c>
      <c r="T3058" s="197" t="s">
        <v>22</v>
      </c>
      <c r="U3058" s="214" t="s">
        <v>23</v>
      </c>
    </row>
    <row r="3059" spans="1:21" s="199" customFormat="1" x14ac:dyDescent="0.25">
      <c r="A3059" s="205" t="s">
        <v>928</v>
      </c>
      <c r="B3059" s="197" t="s">
        <v>29</v>
      </c>
      <c r="C3059" s="197" t="s">
        <v>28</v>
      </c>
      <c r="D3059" s="197">
        <v>7</v>
      </c>
      <c r="E3059" s="197">
        <f>unskilled</f>
        <v>935</v>
      </c>
      <c r="F3059" s="201">
        <f>(D3059*E3059)</f>
        <v>6545</v>
      </c>
      <c r="G3059" s="197" t="s">
        <v>929</v>
      </c>
      <c r="H3059" s="219" t="s">
        <v>144</v>
      </c>
      <c r="I3059" s="197">
        <v>70.2</v>
      </c>
      <c r="J3059" s="197">
        <f>adopted_rate_gabion_mesh_wire</f>
        <v>129</v>
      </c>
      <c r="K3059" s="197">
        <f>(I3059*J3059)</f>
        <v>9055.8000000000011</v>
      </c>
      <c r="U3059" s="215"/>
    </row>
    <row r="3060" spans="1:21" s="199" customFormat="1" x14ac:dyDescent="0.25">
      <c r="B3060" s="197" t="s">
        <v>47</v>
      </c>
      <c r="C3060" s="197" t="s">
        <v>28</v>
      </c>
      <c r="D3060" s="197">
        <v>3</v>
      </c>
      <c r="E3060" s="197">
        <f>skilled</f>
        <v>1245</v>
      </c>
      <c r="F3060" s="201">
        <f>(D3060*E3060)</f>
        <v>3735</v>
      </c>
      <c r="G3060" s="197" t="s">
        <v>930</v>
      </c>
      <c r="H3060" s="219" t="s">
        <v>144</v>
      </c>
      <c r="I3060" s="197">
        <v>7.82</v>
      </c>
      <c r="J3060" s="197">
        <f>adopted_rate_gi_wire</f>
        <v>129</v>
      </c>
      <c r="K3060" s="197">
        <f>(I3060*J3060)</f>
        <v>1008.7800000000001</v>
      </c>
      <c r="U3060" s="215"/>
    </row>
    <row r="3061" spans="1:21" s="199" customFormat="1" x14ac:dyDescent="0.25">
      <c r="G3061" s="197" t="s">
        <v>36</v>
      </c>
      <c r="H3061" s="219" t="s">
        <v>144</v>
      </c>
      <c r="I3061" s="197">
        <v>3.62</v>
      </c>
      <c r="J3061" s="197">
        <f>adopted_rate_binding_wire</f>
        <v>120</v>
      </c>
      <c r="K3061" s="197">
        <f>(I3061*J3061)</f>
        <v>434.40000000000003</v>
      </c>
      <c r="U3061" s="215"/>
    </row>
    <row r="3062" spans="1:21" s="199" customFormat="1" x14ac:dyDescent="0.25">
      <c r="G3062" s="197" t="s">
        <v>931</v>
      </c>
      <c r="H3062" s="219" t="s">
        <v>84</v>
      </c>
      <c r="I3062" s="197">
        <v>6.6</v>
      </c>
      <c r="J3062" s="197">
        <f>adopted_rate_rubble</f>
        <v>2575.44</v>
      </c>
      <c r="K3062" s="197">
        <f>(I3062*J3062)</f>
        <v>16997.903999999999</v>
      </c>
      <c r="U3062" s="215"/>
    </row>
    <row r="3063" spans="1:21" s="199" customFormat="1" x14ac:dyDescent="0.25">
      <c r="A3063" s="524" t="s">
        <v>30</v>
      </c>
      <c r="B3063" s="524"/>
      <c r="C3063" s="524"/>
      <c r="D3063" s="524"/>
      <c r="E3063" s="524"/>
      <c r="F3063" s="201">
        <f>SUM(F3058:F3062)</f>
        <v>10280</v>
      </c>
      <c r="G3063" s="524" t="s">
        <v>31</v>
      </c>
      <c r="H3063" s="524"/>
      <c r="I3063" s="524"/>
      <c r="J3063" s="524"/>
      <c r="K3063" s="201">
        <f>SUM(K3058:K3062)</f>
        <v>27496.883999999998</v>
      </c>
      <c r="L3063" s="524" t="s">
        <v>32</v>
      </c>
      <c r="M3063" s="524"/>
      <c r="N3063" s="524"/>
      <c r="O3063" s="524"/>
      <c r="P3063" s="201">
        <f>SUM(P3058:P3062)</f>
        <v>0</v>
      </c>
      <c r="Q3063" s="524" t="s">
        <v>38</v>
      </c>
      <c r="R3063" s="524"/>
      <c r="S3063" s="524"/>
      <c r="T3063" s="524"/>
      <c r="U3063" s="225">
        <f>SUM(U3058:U3062)</f>
        <v>0</v>
      </c>
    </row>
    <row r="3064" spans="1:21" s="199" customFormat="1" x14ac:dyDescent="0.25">
      <c r="A3064" s="524" t="s">
        <v>33</v>
      </c>
      <c r="B3064" s="524"/>
      <c r="C3064" s="524"/>
      <c r="D3064" s="524"/>
      <c r="E3064" s="524"/>
      <c r="F3064" s="201">
        <f>SUM(F3063+K3063+P3063)</f>
        <v>37776.883999999998</v>
      </c>
      <c r="G3064" s="524" t="s">
        <v>39</v>
      </c>
      <c r="H3064" s="524"/>
      <c r="I3064" s="524"/>
      <c r="J3064" s="524"/>
      <c r="K3064" s="201">
        <f>SUM(F3063+K3063+P3063+U3063)</f>
        <v>37776.883999999998</v>
      </c>
      <c r="L3064" s="524" t="s">
        <v>40</v>
      </c>
      <c r="M3064" s="524"/>
      <c r="N3064" s="524"/>
      <c r="O3064" s="524"/>
      <c r="P3064" s="201">
        <f>SUM(K3064*0.15)</f>
        <v>5666.5325999999995</v>
      </c>
      <c r="Q3064" s="524" t="s">
        <v>41</v>
      </c>
      <c r="R3064" s="524"/>
      <c r="S3064" s="524"/>
      <c r="T3064" s="524"/>
      <c r="U3064" s="225">
        <f>SUM(K3064+P3064)</f>
        <v>43443.416599999997</v>
      </c>
    </row>
    <row r="3065" spans="1:21" s="199" customFormat="1" x14ac:dyDescent="0.25">
      <c r="H3065" s="220"/>
      <c r="Q3065" s="524" t="s">
        <v>42</v>
      </c>
      <c r="R3065" s="524"/>
      <c r="S3065" s="524"/>
      <c r="T3065" s="524"/>
      <c r="U3065" s="206">
        <f>ROUND((U3064/6),2)</f>
        <v>7240.57</v>
      </c>
    </row>
    <row r="3066" spans="1:21" s="199" customFormat="1" x14ac:dyDescent="0.25">
      <c r="A3066" s="598"/>
      <c r="B3066" s="598"/>
      <c r="C3066" s="598"/>
      <c r="D3066" s="598"/>
      <c r="E3066" s="598"/>
      <c r="F3066" s="598"/>
      <c r="G3066" s="598"/>
      <c r="H3066" s="598"/>
      <c r="I3066" s="598"/>
      <c r="J3066" s="598"/>
      <c r="K3066" s="598"/>
      <c r="L3066" s="598"/>
      <c r="M3066" s="598"/>
      <c r="N3066" s="598"/>
      <c r="O3066" s="598"/>
      <c r="P3066" s="598"/>
      <c r="Q3066" s="598"/>
      <c r="R3066" s="598"/>
      <c r="S3066" s="598"/>
      <c r="T3066" s="598"/>
      <c r="U3066" s="598"/>
    </row>
    <row r="3067" spans="1:21" s="199" customFormat="1" x14ac:dyDescent="0.25">
      <c r="A3067" s="525" t="s">
        <v>12</v>
      </c>
      <c r="B3067" s="525"/>
      <c r="C3067" s="526" t="s">
        <v>2109</v>
      </c>
      <c r="D3067" s="526"/>
      <c r="E3067" s="526"/>
      <c r="F3067" s="526"/>
      <c r="G3067" s="526"/>
      <c r="H3067" s="526"/>
      <c r="I3067" s="526"/>
      <c r="J3067" s="526"/>
      <c r="K3067" s="526"/>
      <c r="L3067" s="526"/>
      <c r="M3067" s="526"/>
      <c r="N3067" s="526"/>
      <c r="O3067" s="526"/>
      <c r="P3067" s="526"/>
      <c r="Q3067" s="526"/>
      <c r="R3067" s="526"/>
      <c r="S3067" s="526"/>
      <c r="T3067" s="526"/>
      <c r="U3067" s="524" t="s">
        <v>927</v>
      </c>
    </row>
    <row r="3068" spans="1:21" s="199" customFormat="1" x14ac:dyDescent="0.25">
      <c r="A3068" s="525"/>
      <c r="B3068" s="525"/>
      <c r="C3068" s="526"/>
      <c r="D3068" s="526"/>
      <c r="E3068" s="526"/>
      <c r="F3068" s="526"/>
      <c r="G3068" s="526"/>
      <c r="H3068" s="526"/>
      <c r="I3068" s="526"/>
      <c r="J3068" s="526"/>
      <c r="K3068" s="526"/>
      <c r="L3068" s="526"/>
      <c r="M3068" s="526"/>
      <c r="N3068" s="526"/>
      <c r="O3068" s="526"/>
      <c r="P3068" s="526"/>
      <c r="Q3068" s="526"/>
      <c r="R3068" s="526"/>
      <c r="S3068" s="526"/>
      <c r="T3068" s="526"/>
      <c r="U3068" s="524"/>
    </row>
    <row r="3069" spans="1:21" s="199" customFormat="1" x14ac:dyDescent="0.25">
      <c r="A3069" s="527" t="s">
        <v>925</v>
      </c>
      <c r="B3069" s="527"/>
      <c r="C3069" s="526"/>
      <c r="D3069" s="526"/>
      <c r="E3069" s="526"/>
      <c r="F3069" s="526"/>
      <c r="G3069" s="526"/>
      <c r="H3069" s="526"/>
      <c r="I3069" s="526"/>
      <c r="J3069" s="526"/>
      <c r="K3069" s="526"/>
      <c r="L3069" s="526"/>
      <c r="M3069" s="526"/>
      <c r="N3069" s="526"/>
      <c r="O3069" s="526"/>
      <c r="P3069" s="526"/>
      <c r="Q3069" s="526"/>
      <c r="R3069" s="526"/>
      <c r="S3069" s="526"/>
      <c r="T3069" s="526"/>
      <c r="U3069" s="524"/>
    </row>
    <row r="3070" spans="1:21" s="199" customFormat="1" x14ac:dyDescent="0.25">
      <c r="A3070" s="528" t="s">
        <v>16</v>
      </c>
      <c r="B3070" s="529" t="s">
        <v>18</v>
      </c>
      <c r="C3070" s="529"/>
      <c r="D3070" s="529"/>
      <c r="E3070" s="529"/>
      <c r="F3070" s="529"/>
      <c r="G3070" s="529" t="s">
        <v>24</v>
      </c>
      <c r="H3070" s="529"/>
      <c r="I3070" s="529"/>
      <c r="J3070" s="529"/>
      <c r="K3070" s="529"/>
      <c r="L3070" s="529" t="s">
        <v>25</v>
      </c>
      <c r="M3070" s="529"/>
      <c r="N3070" s="529"/>
      <c r="O3070" s="529"/>
      <c r="P3070" s="529"/>
      <c r="Q3070" s="529" t="s">
        <v>26</v>
      </c>
      <c r="R3070" s="529"/>
      <c r="S3070" s="529"/>
      <c r="T3070" s="529"/>
      <c r="U3070" s="529"/>
    </row>
    <row r="3071" spans="1:21" s="199" customFormat="1" x14ac:dyDescent="0.25">
      <c r="A3071" s="528"/>
      <c r="B3071" s="197" t="s">
        <v>19</v>
      </c>
      <c r="C3071" s="197" t="s">
        <v>20</v>
      </c>
      <c r="D3071" s="197" t="s">
        <v>21</v>
      </c>
      <c r="E3071" s="197" t="s">
        <v>22</v>
      </c>
      <c r="F3071" s="197" t="s">
        <v>23</v>
      </c>
      <c r="G3071" s="197" t="s">
        <v>19</v>
      </c>
      <c r="H3071" s="219" t="s">
        <v>20</v>
      </c>
      <c r="I3071" s="197" t="s">
        <v>21</v>
      </c>
      <c r="J3071" s="197" t="s">
        <v>22</v>
      </c>
      <c r="K3071" s="197" t="s">
        <v>23</v>
      </c>
      <c r="L3071" s="197" t="s">
        <v>19</v>
      </c>
      <c r="M3071" s="197" t="s">
        <v>20</v>
      </c>
      <c r="N3071" s="197" t="s">
        <v>21</v>
      </c>
      <c r="O3071" s="197" t="s">
        <v>22</v>
      </c>
      <c r="P3071" s="197" t="s">
        <v>23</v>
      </c>
      <c r="Q3071" s="197" t="s">
        <v>19</v>
      </c>
      <c r="R3071" s="197" t="s">
        <v>20</v>
      </c>
      <c r="S3071" s="197" t="s">
        <v>21</v>
      </c>
      <c r="T3071" s="197" t="s">
        <v>22</v>
      </c>
      <c r="U3071" s="214" t="s">
        <v>23</v>
      </c>
    </row>
    <row r="3072" spans="1:21" s="199" customFormat="1" x14ac:dyDescent="0.25">
      <c r="A3072" s="205" t="s">
        <v>933</v>
      </c>
      <c r="B3072" s="197" t="s">
        <v>29</v>
      </c>
      <c r="C3072" s="197" t="s">
        <v>28</v>
      </c>
      <c r="D3072" s="197">
        <v>7</v>
      </c>
      <c r="E3072" s="197">
        <f>unskilled</f>
        <v>935</v>
      </c>
      <c r="F3072" s="201">
        <f>(D3072*E3072)</f>
        <v>6545</v>
      </c>
      <c r="G3072" s="197" t="s">
        <v>929</v>
      </c>
      <c r="H3072" s="219" t="s">
        <v>144</v>
      </c>
      <c r="I3072" s="197">
        <v>72.45</v>
      </c>
      <c r="J3072" s="197">
        <f>adopted_rate_gabion_mesh_wire</f>
        <v>129</v>
      </c>
      <c r="K3072" s="197">
        <f>(I3072*J3072)</f>
        <v>9346.0500000000011</v>
      </c>
      <c r="U3072" s="215"/>
    </row>
    <row r="3073" spans="1:21" s="199" customFormat="1" x14ac:dyDescent="0.25">
      <c r="B3073" s="197" t="s">
        <v>47</v>
      </c>
      <c r="C3073" s="197" t="s">
        <v>28</v>
      </c>
      <c r="D3073" s="197">
        <v>3</v>
      </c>
      <c r="E3073" s="197">
        <f>skilled</f>
        <v>1245</v>
      </c>
      <c r="F3073" s="201">
        <f>(D3073*E3073)</f>
        <v>3735</v>
      </c>
      <c r="G3073" s="197" t="s">
        <v>930</v>
      </c>
      <c r="H3073" s="219" t="s">
        <v>144</v>
      </c>
      <c r="I3073" s="197">
        <v>8.8800000000000008</v>
      </c>
      <c r="J3073" s="197">
        <f>adopted_rate_gi_wire</f>
        <v>129</v>
      </c>
      <c r="K3073" s="197">
        <f>(I3073*J3073)</f>
        <v>1145.5200000000002</v>
      </c>
      <c r="U3073" s="215"/>
    </row>
    <row r="3074" spans="1:21" s="199" customFormat="1" x14ac:dyDescent="0.25">
      <c r="G3074" s="197" t="s">
        <v>36</v>
      </c>
      <c r="H3074" s="219" t="s">
        <v>144</v>
      </c>
      <c r="I3074" s="197">
        <v>3.9</v>
      </c>
      <c r="J3074" s="197">
        <f>adopted_rate_binding_wire</f>
        <v>120</v>
      </c>
      <c r="K3074" s="197">
        <f>(I3074*J3074)</f>
        <v>468</v>
      </c>
      <c r="U3074" s="215"/>
    </row>
    <row r="3075" spans="1:21" s="199" customFormat="1" x14ac:dyDescent="0.25">
      <c r="G3075" s="197" t="s">
        <v>931</v>
      </c>
      <c r="H3075" s="219" t="s">
        <v>84</v>
      </c>
      <c r="I3075" s="197">
        <v>6.6</v>
      </c>
      <c r="J3075" s="197">
        <f>adopted_rate_rubble</f>
        <v>2575.44</v>
      </c>
      <c r="K3075" s="197">
        <f>(I3075*J3075)</f>
        <v>16997.903999999999</v>
      </c>
      <c r="U3075" s="215"/>
    </row>
    <row r="3076" spans="1:21" s="199" customFormat="1" x14ac:dyDescent="0.25">
      <c r="A3076" s="524" t="s">
        <v>30</v>
      </c>
      <c r="B3076" s="524"/>
      <c r="C3076" s="524"/>
      <c r="D3076" s="524"/>
      <c r="E3076" s="524"/>
      <c r="F3076" s="201">
        <f>SUM(F3071:F3075)</f>
        <v>10280</v>
      </c>
      <c r="G3076" s="524" t="s">
        <v>31</v>
      </c>
      <c r="H3076" s="524"/>
      <c r="I3076" s="524"/>
      <c r="J3076" s="524"/>
      <c r="K3076" s="201">
        <f>SUM(K3071:K3075)</f>
        <v>27957.474000000002</v>
      </c>
      <c r="L3076" s="524" t="s">
        <v>32</v>
      </c>
      <c r="M3076" s="524"/>
      <c r="N3076" s="524"/>
      <c r="O3076" s="524"/>
      <c r="P3076" s="201">
        <f>SUM(P3071:P3075)</f>
        <v>0</v>
      </c>
      <c r="Q3076" s="524" t="s">
        <v>38</v>
      </c>
      <c r="R3076" s="524"/>
      <c r="S3076" s="524"/>
      <c r="T3076" s="524"/>
      <c r="U3076" s="225">
        <f>SUM(U3071:U3075)</f>
        <v>0</v>
      </c>
    </row>
    <row r="3077" spans="1:21" s="199" customFormat="1" x14ac:dyDescent="0.25">
      <c r="A3077" s="524" t="s">
        <v>33</v>
      </c>
      <c r="B3077" s="524"/>
      <c r="C3077" s="524"/>
      <c r="D3077" s="524"/>
      <c r="E3077" s="524"/>
      <c r="F3077" s="201">
        <f>SUM(F3076+K3076+P3076)</f>
        <v>38237.474000000002</v>
      </c>
      <c r="G3077" s="524" t="s">
        <v>39</v>
      </c>
      <c r="H3077" s="524"/>
      <c r="I3077" s="524"/>
      <c r="J3077" s="524"/>
      <c r="K3077" s="201">
        <f>SUM(F3076+K3076+P3076+U3076)</f>
        <v>38237.474000000002</v>
      </c>
      <c r="L3077" s="524" t="s">
        <v>40</v>
      </c>
      <c r="M3077" s="524"/>
      <c r="N3077" s="524"/>
      <c r="O3077" s="524"/>
      <c r="P3077" s="201">
        <f>SUM(K3077*0.15)</f>
        <v>5735.6211000000003</v>
      </c>
      <c r="Q3077" s="524" t="s">
        <v>41</v>
      </c>
      <c r="R3077" s="524"/>
      <c r="S3077" s="524"/>
      <c r="T3077" s="524"/>
      <c r="U3077" s="225">
        <f>SUM(K3077+P3077)</f>
        <v>43973.095100000006</v>
      </c>
    </row>
    <row r="3078" spans="1:21" s="199" customFormat="1" x14ac:dyDescent="0.25">
      <c r="H3078" s="220"/>
      <c r="Q3078" s="524" t="s">
        <v>42</v>
      </c>
      <c r="R3078" s="524"/>
      <c r="S3078" s="524"/>
      <c r="T3078" s="524"/>
      <c r="U3078" s="206">
        <f>ROUND((U3077/6),2)</f>
        <v>7328.85</v>
      </c>
    </row>
    <row r="3079" spans="1:21" s="199" customFormat="1" x14ac:dyDescent="0.25">
      <c r="A3079" s="598"/>
      <c r="B3079" s="598"/>
      <c r="C3079" s="598"/>
      <c r="D3079" s="598"/>
      <c r="E3079" s="598"/>
      <c r="F3079" s="598"/>
      <c r="G3079" s="598"/>
      <c r="H3079" s="598"/>
      <c r="I3079" s="598"/>
      <c r="J3079" s="598"/>
      <c r="K3079" s="598"/>
      <c r="L3079" s="598"/>
      <c r="M3079" s="598"/>
      <c r="N3079" s="598"/>
      <c r="O3079" s="598"/>
      <c r="P3079" s="598"/>
      <c r="Q3079" s="598"/>
      <c r="R3079" s="598"/>
      <c r="S3079" s="598"/>
      <c r="T3079" s="598"/>
      <c r="U3079" s="598"/>
    </row>
    <row r="3080" spans="1:21" s="199" customFormat="1" x14ac:dyDescent="0.25">
      <c r="A3080" s="525" t="s">
        <v>12</v>
      </c>
      <c r="B3080" s="525"/>
      <c r="C3080" s="526" t="s">
        <v>2110</v>
      </c>
      <c r="D3080" s="526"/>
      <c r="E3080" s="526"/>
      <c r="F3080" s="526"/>
      <c r="G3080" s="526"/>
      <c r="H3080" s="526"/>
      <c r="I3080" s="526"/>
      <c r="J3080" s="526"/>
      <c r="K3080" s="526"/>
      <c r="L3080" s="526"/>
      <c r="M3080" s="526"/>
      <c r="N3080" s="526"/>
      <c r="O3080" s="526"/>
      <c r="P3080" s="526"/>
      <c r="Q3080" s="526"/>
      <c r="R3080" s="526"/>
      <c r="S3080" s="526"/>
      <c r="T3080" s="526"/>
      <c r="U3080" s="524" t="s">
        <v>927</v>
      </c>
    </row>
    <row r="3081" spans="1:21" s="199" customFormat="1" x14ac:dyDescent="0.25">
      <c r="A3081" s="525"/>
      <c r="B3081" s="525"/>
      <c r="C3081" s="526"/>
      <c r="D3081" s="526"/>
      <c r="E3081" s="526"/>
      <c r="F3081" s="526"/>
      <c r="G3081" s="526"/>
      <c r="H3081" s="526"/>
      <c r="I3081" s="526"/>
      <c r="J3081" s="526"/>
      <c r="K3081" s="526"/>
      <c r="L3081" s="526"/>
      <c r="M3081" s="526"/>
      <c r="N3081" s="526"/>
      <c r="O3081" s="526"/>
      <c r="P3081" s="526"/>
      <c r="Q3081" s="526"/>
      <c r="R3081" s="526"/>
      <c r="S3081" s="526"/>
      <c r="T3081" s="526"/>
      <c r="U3081" s="524"/>
    </row>
    <row r="3082" spans="1:21" s="199" customFormat="1" x14ac:dyDescent="0.25">
      <c r="A3082" s="527" t="s">
        <v>925</v>
      </c>
      <c r="B3082" s="527"/>
      <c r="C3082" s="526"/>
      <c r="D3082" s="526"/>
      <c r="E3082" s="526"/>
      <c r="F3082" s="526"/>
      <c r="G3082" s="526"/>
      <c r="H3082" s="526"/>
      <c r="I3082" s="526"/>
      <c r="J3082" s="526"/>
      <c r="K3082" s="526"/>
      <c r="L3082" s="526"/>
      <c r="M3082" s="526"/>
      <c r="N3082" s="526"/>
      <c r="O3082" s="526"/>
      <c r="P3082" s="526"/>
      <c r="Q3082" s="526"/>
      <c r="R3082" s="526"/>
      <c r="S3082" s="526"/>
      <c r="T3082" s="526"/>
      <c r="U3082" s="524"/>
    </row>
    <row r="3083" spans="1:21" s="199" customFormat="1" x14ac:dyDescent="0.25">
      <c r="A3083" s="528" t="s">
        <v>16</v>
      </c>
      <c r="B3083" s="529" t="s">
        <v>18</v>
      </c>
      <c r="C3083" s="529"/>
      <c r="D3083" s="529"/>
      <c r="E3083" s="529"/>
      <c r="F3083" s="529"/>
      <c r="G3083" s="529" t="s">
        <v>24</v>
      </c>
      <c r="H3083" s="529"/>
      <c r="I3083" s="529"/>
      <c r="J3083" s="529"/>
      <c r="K3083" s="529"/>
      <c r="L3083" s="529" t="s">
        <v>25</v>
      </c>
      <c r="M3083" s="529"/>
      <c r="N3083" s="529"/>
      <c r="O3083" s="529"/>
      <c r="P3083" s="529"/>
      <c r="Q3083" s="529" t="s">
        <v>26</v>
      </c>
      <c r="R3083" s="529"/>
      <c r="S3083" s="529"/>
      <c r="T3083" s="529"/>
      <c r="U3083" s="529"/>
    </row>
    <row r="3084" spans="1:21" s="199" customFormat="1" x14ac:dyDescent="0.25">
      <c r="A3084" s="528"/>
      <c r="B3084" s="197" t="s">
        <v>19</v>
      </c>
      <c r="C3084" s="197" t="s">
        <v>20</v>
      </c>
      <c r="D3084" s="197" t="s">
        <v>21</v>
      </c>
      <c r="E3084" s="197" t="s">
        <v>22</v>
      </c>
      <c r="F3084" s="197" t="s">
        <v>23</v>
      </c>
      <c r="G3084" s="197" t="s">
        <v>19</v>
      </c>
      <c r="H3084" s="219" t="s">
        <v>20</v>
      </c>
      <c r="I3084" s="197" t="s">
        <v>21</v>
      </c>
      <c r="J3084" s="197" t="s">
        <v>22</v>
      </c>
      <c r="K3084" s="197" t="s">
        <v>23</v>
      </c>
      <c r="L3084" s="197" t="s">
        <v>19</v>
      </c>
      <c r="M3084" s="197" t="s">
        <v>20</v>
      </c>
      <c r="N3084" s="197" t="s">
        <v>21</v>
      </c>
      <c r="O3084" s="197" t="s">
        <v>22</v>
      </c>
      <c r="P3084" s="197" t="s">
        <v>23</v>
      </c>
      <c r="Q3084" s="197" t="s">
        <v>19</v>
      </c>
      <c r="R3084" s="197" t="s">
        <v>20</v>
      </c>
      <c r="S3084" s="197" t="s">
        <v>21</v>
      </c>
      <c r="T3084" s="197" t="s">
        <v>22</v>
      </c>
      <c r="U3084" s="214" t="s">
        <v>23</v>
      </c>
    </row>
    <row r="3085" spans="1:21" s="199" customFormat="1" ht="31.5" x14ac:dyDescent="0.25">
      <c r="A3085" s="205" t="s">
        <v>935</v>
      </c>
      <c r="B3085" s="197" t="s">
        <v>29</v>
      </c>
      <c r="C3085" s="197" t="s">
        <v>28</v>
      </c>
      <c r="D3085" s="197">
        <v>8</v>
      </c>
      <c r="E3085" s="197">
        <f>unskilled</f>
        <v>935</v>
      </c>
      <c r="F3085" s="201">
        <f>(D3085*E3085)</f>
        <v>7480</v>
      </c>
      <c r="G3085" s="197" t="s">
        <v>929</v>
      </c>
      <c r="H3085" s="219" t="s">
        <v>144</v>
      </c>
      <c r="I3085" s="197">
        <v>79</v>
      </c>
      <c r="J3085" s="197">
        <f>adopted_rate_gabion_mesh_wire</f>
        <v>129</v>
      </c>
      <c r="K3085" s="197">
        <f>(I3085*J3085)</f>
        <v>10191</v>
      </c>
      <c r="U3085" s="215"/>
    </row>
    <row r="3086" spans="1:21" s="199" customFormat="1" x14ac:dyDescent="0.25">
      <c r="B3086" s="197" t="s">
        <v>47</v>
      </c>
      <c r="C3086" s="197" t="s">
        <v>28</v>
      </c>
      <c r="D3086" s="197">
        <v>3</v>
      </c>
      <c r="E3086" s="197">
        <f>skilled</f>
        <v>1245</v>
      </c>
      <c r="F3086" s="201">
        <f>(D3086*E3086)</f>
        <v>3735</v>
      </c>
      <c r="G3086" s="197" t="s">
        <v>930</v>
      </c>
      <c r="H3086" s="219" t="s">
        <v>144</v>
      </c>
      <c r="I3086" s="197">
        <v>10.8</v>
      </c>
      <c r="J3086" s="197">
        <f>adopted_rate_gi_wire</f>
        <v>129</v>
      </c>
      <c r="K3086" s="197">
        <f>(I3086*J3086)</f>
        <v>1393.2</v>
      </c>
      <c r="U3086" s="215"/>
    </row>
    <row r="3087" spans="1:21" s="199" customFormat="1" x14ac:dyDescent="0.25">
      <c r="G3087" s="197" t="s">
        <v>36</v>
      </c>
      <c r="H3087" s="219" t="s">
        <v>144</v>
      </c>
      <c r="I3087" s="197">
        <v>5</v>
      </c>
      <c r="J3087" s="197">
        <f>adopted_rate_binding_wire</f>
        <v>120</v>
      </c>
      <c r="K3087" s="197">
        <f>(I3087*J3087)</f>
        <v>600</v>
      </c>
      <c r="U3087" s="215"/>
    </row>
    <row r="3088" spans="1:21" s="199" customFormat="1" x14ac:dyDescent="0.25">
      <c r="G3088" s="197" t="s">
        <v>931</v>
      </c>
      <c r="H3088" s="219" t="s">
        <v>84</v>
      </c>
      <c r="I3088" s="197">
        <v>6.6</v>
      </c>
      <c r="J3088" s="197">
        <f>adopted_rate_rubble</f>
        <v>2575.44</v>
      </c>
      <c r="K3088" s="197">
        <f>(I3088*J3088)</f>
        <v>16997.903999999999</v>
      </c>
      <c r="U3088" s="215"/>
    </row>
    <row r="3089" spans="1:21" s="199" customFormat="1" x14ac:dyDescent="0.25">
      <c r="A3089" s="524" t="s">
        <v>30</v>
      </c>
      <c r="B3089" s="524"/>
      <c r="C3089" s="524"/>
      <c r="D3089" s="524"/>
      <c r="E3089" s="524"/>
      <c r="F3089" s="201">
        <f>SUM(F3084:F3088)</f>
        <v>11215</v>
      </c>
      <c r="G3089" s="524" t="s">
        <v>31</v>
      </c>
      <c r="H3089" s="524"/>
      <c r="I3089" s="524"/>
      <c r="J3089" s="524"/>
      <c r="K3089" s="201">
        <f>SUM(K3084:K3088)</f>
        <v>29182.103999999999</v>
      </c>
      <c r="L3089" s="524" t="s">
        <v>32</v>
      </c>
      <c r="M3089" s="524"/>
      <c r="N3089" s="524"/>
      <c r="O3089" s="524"/>
      <c r="P3089" s="201">
        <f>SUM(P3084:P3088)</f>
        <v>0</v>
      </c>
      <c r="Q3089" s="524" t="s">
        <v>38</v>
      </c>
      <c r="R3089" s="524"/>
      <c r="S3089" s="524"/>
      <c r="T3089" s="524"/>
      <c r="U3089" s="225">
        <f>SUM(U3084:U3088)</f>
        <v>0</v>
      </c>
    </row>
    <row r="3090" spans="1:21" s="199" customFormat="1" x14ac:dyDescent="0.25">
      <c r="A3090" s="524" t="s">
        <v>33</v>
      </c>
      <c r="B3090" s="524"/>
      <c r="C3090" s="524"/>
      <c r="D3090" s="524"/>
      <c r="E3090" s="524"/>
      <c r="F3090" s="201">
        <f>SUM(F3089+K3089+P3089)</f>
        <v>40397.103999999999</v>
      </c>
      <c r="G3090" s="524" t="s">
        <v>39</v>
      </c>
      <c r="H3090" s="524"/>
      <c r="I3090" s="524"/>
      <c r="J3090" s="524"/>
      <c r="K3090" s="201">
        <f>SUM(F3089+K3089+P3089+U3089)</f>
        <v>40397.103999999999</v>
      </c>
      <c r="L3090" s="524" t="s">
        <v>40</v>
      </c>
      <c r="M3090" s="524"/>
      <c r="N3090" s="524"/>
      <c r="O3090" s="524"/>
      <c r="P3090" s="201">
        <f>SUM(K3090*0.15)</f>
        <v>6059.5655999999999</v>
      </c>
      <c r="Q3090" s="524" t="s">
        <v>41</v>
      </c>
      <c r="R3090" s="524"/>
      <c r="S3090" s="524"/>
      <c r="T3090" s="524"/>
      <c r="U3090" s="225">
        <f>SUM(K3090+P3090)</f>
        <v>46456.669600000001</v>
      </c>
    </row>
    <row r="3091" spans="1:21" s="199" customFormat="1" x14ac:dyDescent="0.25">
      <c r="H3091" s="220"/>
      <c r="Q3091" s="524" t="s">
        <v>42</v>
      </c>
      <c r="R3091" s="524"/>
      <c r="S3091" s="524"/>
      <c r="T3091" s="524"/>
      <c r="U3091" s="206">
        <f>ROUND((U3090/6),2)</f>
        <v>7742.78</v>
      </c>
    </row>
    <row r="3092" spans="1:21" s="199" customFormat="1" x14ac:dyDescent="0.25">
      <c r="A3092" s="598"/>
      <c r="B3092" s="598"/>
      <c r="C3092" s="598"/>
      <c r="D3092" s="598"/>
      <c r="E3092" s="598"/>
      <c r="F3092" s="598"/>
      <c r="G3092" s="598"/>
      <c r="H3092" s="598"/>
      <c r="I3092" s="598"/>
      <c r="J3092" s="598"/>
      <c r="K3092" s="598"/>
      <c r="L3092" s="598"/>
      <c r="M3092" s="598"/>
      <c r="N3092" s="598"/>
      <c r="O3092" s="598"/>
      <c r="P3092" s="598"/>
      <c r="Q3092" s="598"/>
      <c r="R3092" s="598"/>
      <c r="S3092" s="598"/>
      <c r="T3092" s="598"/>
      <c r="U3092" s="598"/>
    </row>
    <row r="3093" spans="1:21" s="199" customFormat="1" x14ac:dyDescent="0.25">
      <c r="A3093" s="525" t="s">
        <v>12</v>
      </c>
      <c r="B3093" s="525"/>
      <c r="C3093" s="526" t="s">
        <v>2111</v>
      </c>
      <c r="D3093" s="526"/>
      <c r="E3093" s="526"/>
      <c r="F3093" s="526"/>
      <c r="G3093" s="526"/>
      <c r="H3093" s="526"/>
      <c r="I3093" s="526"/>
      <c r="J3093" s="526"/>
      <c r="K3093" s="526"/>
      <c r="L3093" s="526"/>
      <c r="M3093" s="526"/>
      <c r="N3093" s="526"/>
      <c r="O3093" s="526"/>
      <c r="P3093" s="526"/>
      <c r="Q3093" s="526"/>
      <c r="R3093" s="526"/>
      <c r="S3093" s="526"/>
      <c r="T3093" s="526"/>
      <c r="U3093" s="524" t="s">
        <v>927</v>
      </c>
    </row>
    <row r="3094" spans="1:21" s="199" customFormat="1" x14ac:dyDescent="0.25">
      <c r="A3094" s="525"/>
      <c r="B3094" s="525"/>
      <c r="C3094" s="526"/>
      <c r="D3094" s="526"/>
      <c r="E3094" s="526"/>
      <c r="F3094" s="526"/>
      <c r="G3094" s="526"/>
      <c r="H3094" s="526"/>
      <c r="I3094" s="526"/>
      <c r="J3094" s="526"/>
      <c r="K3094" s="526"/>
      <c r="L3094" s="526"/>
      <c r="M3094" s="526"/>
      <c r="N3094" s="526"/>
      <c r="O3094" s="526"/>
      <c r="P3094" s="526"/>
      <c r="Q3094" s="526"/>
      <c r="R3094" s="526"/>
      <c r="S3094" s="526"/>
      <c r="T3094" s="526"/>
      <c r="U3094" s="524"/>
    </row>
    <row r="3095" spans="1:21" x14ac:dyDescent="0.25">
      <c r="A3095" s="527" t="s">
        <v>925</v>
      </c>
      <c r="B3095" s="527"/>
      <c r="C3095" s="526"/>
      <c r="D3095" s="526"/>
      <c r="E3095" s="526"/>
      <c r="F3095" s="526"/>
      <c r="G3095" s="526"/>
      <c r="H3095" s="526"/>
      <c r="I3095" s="526"/>
      <c r="J3095" s="526"/>
      <c r="K3095" s="526"/>
      <c r="L3095" s="526"/>
      <c r="M3095" s="526"/>
      <c r="N3095" s="526"/>
      <c r="O3095" s="526"/>
      <c r="P3095" s="526"/>
      <c r="Q3095" s="526"/>
      <c r="R3095" s="526"/>
      <c r="S3095" s="526"/>
      <c r="T3095" s="526"/>
      <c r="U3095" s="524"/>
    </row>
    <row r="3096" spans="1:21" x14ac:dyDescent="0.25">
      <c r="A3096" s="528" t="s">
        <v>16</v>
      </c>
      <c r="B3096" s="529" t="s">
        <v>18</v>
      </c>
      <c r="C3096" s="529"/>
      <c r="D3096" s="529"/>
      <c r="E3096" s="529"/>
      <c r="F3096" s="529"/>
      <c r="G3096" s="529" t="s">
        <v>24</v>
      </c>
      <c r="H3096" s="529"/>
      <c r="I3096" s="529"/>
      <c r="J3096" s="529"/>
      <c r="K3096" s="529"/>
      <c r="L3096" s="529" t="s">
        <v>25</v>
      </c>
      <c r="M3096" s="529"/>
      <c r="N3096" s="529"/>
      <c r="O3096" s="529"/>
      <c r="P3096" s="529"/>
      <c r="Q3096" s="529" t="s">
        <v>26</v>
      </c>
      <c r="R3096" s="529"/>
      <c r="S3096" s="529"/>
      <c r="T3096" s="529"/>
      <c r="U3096" s="529"/>
    </row>
    <row r="3097" spans="1:21" x14ac:dyDescent="0.25">
      <c r="A3097" s="528"/>
      <c r="B3097" s="197" t="s">
        <v>19</v>
      </c>
      <c r="C3097" s="197" t="s">
        <v>20</v>
      </c>
      <c r="D3097" s="197" t="s">
        <v>21</v>
      </c>
      <c r="E3097" s="197" t="s">
        <v>22</v>
      </c>
      <c r="F3097" s="197" t="s">
        <v>23</v>
      </c>
      <c r="G3097" s="197" t="s">
        <v>19</v>
      </c>
      <c r="H3097" s="219" t="s">
        <v>20</v>
      </c>
      <c r="I3097" s="197" t="s">
        <v>21</v>
      </c>
      <c r="J3097" s="197" t="s">
        <v>22</v>
      </c>
      <c r="K3097" s="197" t="s">
        <v>23</v>
      </c>
      <c r="L3097" s="197" t="s">
        <v>19</v>
      </c>
      <c r="M3097" s="197" t="s">
        <v>20</v>
      </c>
      <c r="N3097" s="197" t="s">
        <v>21</v>
      </c>
      <c r="O3097" s="197" t="s">
        <v>22</v>
      </c>
      <c r="P3097" s="197" t="s">
        <v>23</v>
      </c>
      <c r="Q3097" s="197" t="s">
        <v>19</v>
      </c>
      <c r="R3097" s="197" t="s">
        <v>20</v>
      </c>
      <c r="S3097" s="197" t="s">
        <v>21</v>
      </c>
      <c r="T3097" s="197" t="s">
        <v>22</v>
      </c>
      <c r="U3097" s="214" t="s">
        <v>23</v>
      </c>
    </row>
    <row r="3098" spans="1:21" ht="31.5" x14ac:dyDescent="0.25">
      <c r="A3098" s="205" t="s">
        <v>937</v>
      </c>
      <c r="B3098" s="197" t="s">
        <v>29</v>
      </c>
      <c r="C3098" s="197" t="s">
        <v>28</v>
      </c>
      <c r="D3098" s="197">
        <v>8</v>
      </c>
      <c r="E3098" s="197">
        <f>unskilled</f>
        <v>935</v>
      </c>
      <c r="F3098" s="201">
        <f>(D3098*E3098)</f>
        <v>7480</v>
      </c>
      <c r="G3098" s="197" t="s">
        <v>929</v>
      </c>
      <c r="H3098" s="219" t="s">
        <v>144</v>
      </c>
      <c r="I3098" s="197">
        <v>78.959999999999994</v>
      </c>
      <c r="J3098" s="197">
        <f>adopted_rate_gabion_mesh_wire</f>
        <v>129</v>
      </c>
      <c r="K3098" s="197">
        <f>(I3098*J3098)</f>
        <v>10185.839999999998</v>
      </c>
      <c r="L3098" s="199"/>
      <c r="M3098" s="199"/>
      <c r="N3098" s="199"/>
      <c r="O3098" s="199"/>
      <c r="P3098" s="199"/>
      <c r="Q3098" s="199"/>
      <c r="R3098" s="199"/>
      <c r="S3098" s="199"/>
      <c r="T3098" s="199"/>
      <c r="U3098" s="215"/>
    </row>
    <row r="3099" spans="1:21" x14ac:dyDescent="0.25">
      <c r="A3099" s="199"/>
      <c r="B3099" s="197" t="s">
        <v>47</v>
      </c>
      <c r="C3099" s="197" t="s">
        <v>28</v>
      </c>
      <c r="D3099" s="197">
        <v>3</v>
      </c>
      <c r="E3099" s="197">
        <f>skilled</f>
        <v>1245</v>
      </c>
      <c r="F3099" s="201">
        <f>(D3099*E3099)</f>
        <v>3735</v>
      </c>
      <c r="G3099" s="197" t="s">
        <v>930</v>
      </c>
      <c r="H3099" s="219" t="s">
        <v>144</v>
      </c>
      <c r="I3099" s="197">
        <v>12.06</v>
      </c>
      <c r="J3099" s="197">
        <f>adopted_rate_gi_wire</f>
        <v>129</v>
      </c>
      <c r="K3099" s="197">
        <f>(I3099*J3099)</f>
        <v>1555.74</v>
      </c>
      <c r="L3099" s="199"/>
      <c r="M3099" s="199"/>
      <c r="N3099" s="199"/>
      <c r="O3099" s="199"/>
      <c r="P3099" s="199"/>
      <c r="Q3099" s="199"/>
      <c r="R3099" s="199"/>
      <c r="S3099" s="199"/>
      <c r="T3099" s="199"/>
      <c r="U3099" s="215"/>
    </row>
    <row r="3100" spans="1:21" x14ac:dyDescent="0.25">
      <c r="A3100" s="199"/>
      <c r="B3100" s="199"/>
      <c r="C3100" s="199"/>
      <c r="D3100" s="199"/>
      <c r="E3100" s="199"/>
      <c r="F3100" s="199"/>
      <c r="G3100" s="197" t="s">
        <v>36</v>
      </c>
      <c r="H3100" s="219" t="s">
        <v>144</v>
      </c>
      <c r="I3100" s="197">
        <v>4.5599999999999996</v>
      </c>
      <c r="J3100" s="197">
        <f>adopted_rate_binding_wire</f>
        <v>120</v>
      </c>
      <c r="K3100" s="197">
        <f>(I3100*J3100)</f>
        <v>547.19999999999993</v>
      </c>
      <c r="L3100" s="199"/>
      <c r="M3100" s="199"/>
      <c r="N3100" s="199"/>
      <c r="O3100" s="199"/>
      <c r="P3100" s="199"/>
      <c r="Q3100" s="199"/>
      <c r="R3100" s="199"/>
      <c r="S3100" s="199"/>
      <c r="T3100" s="199"/>
      <c r="U3100" s="215"/>
    </row>
    <row r="3101" spans="1:21" x14ac:dyDescent="0.25">
      <c r="A3101" s="199"/>
      <c r="B3101" s="199"/>
      <c r="C3101" s="199"/>
      <c r="D3101" s="199"/>
      <c r="E3101" s="199"/>
      <c r="F3101" s="199"/>
      <c r="G3101" s="197" t="s">
        <v>931</v>
      </c>
      <c r="H3101" s="219" t="s">
        <v>84</v>
      </c>
      <c r="I3101" s="197">
        <v>6.6</v>
      </c>
      <c r="J3101" s="197">
        <f>adopted_rate_rubble</f>
        <v>2575.44</v>
      </c>
      <c r="K3101" s="197">
        <f>(I3101*J3101)</f>
        <v>16997.903999999999</v>
      </c>
      <c r="L3101" s="199"/>
      <c r="M3101" s="199"/>
      <c r="N3101" s="199"/>
      <c r="O3101" s="199"/>
      <c r="P3101" s="199"/>
      <c r="Q3101" s="199"/>
      <c r="R3101" s="199"/>
      <c r="S3101" s="199"/>
      <c r="T3101" s="199"/>
      <c r="U3101" s="215"/>
    </row>
    <row r="3102" spans="1:21" x14ac:dyDescent="0.25">
      <c r="A3102" s="524" t="s">
        <v>30</v>
      </c>
      <c r="B3102" s="524"/>
      <c r="C3102" s="524"/>
      <c r="D3102" s="524"/>
      <c r="E3102" s="524"/>
      <c r="F3102" s="201">
        <f>SUM(F3097:F3101)</f>
        <v>11215</v>
      </c>
      <c r="G3102" s="524" t="s">
        <v>31</v>
      </c>
      <c r="H3102" s="524"/>
      <c r="I3102" s="524"/>
      <c r="J3102" s="524"/>
      <c r="K3102" s="201">
        <f>SUM(K3097:K3101)</f>
        <v>29286.683999999997</v>
      </c>
      <c r="L3102" s="524" t="s">
        <v>32</v>
      </c>
      <c r="M3102" s="524"/>
      <c r="N3102" s="524"/>
      <c r="O3102" s="524"/>
      <c r="P3102" s="201">
        <f>SUM(P3097:P3101)</f>
        <v>0</v>
      </c>
      <c r="Q3102" s="524" t="s">
        <v>38</v>
      </c>
      <c r="R3102" s="524"/>
      <c r="S3102" s="524"/>
      <c r="T3102" s="524"/>
      <c r="U3102" s="225">
        <f>SUM(U3097:U3101)</f>
        <v>0</v>
      </c>
    </row>
    <row r="3103" spans="1:21" x14ac:dyDescent="0.25">
      <c r="A3103" s="524" t="s">
        <v>33</v>
      </c>
      <c r="B3103" s="524"/>
      <c r="C3103" s="524"/>
      <c r="D3103" s="524"/>
      <c r="E3103" s="524"/>
      <c r="F3103" s="201">
        <f>SUM(F3102+K3102+P3102)</f>
        <v>40501.683999999994</v>
      </c>
      <c r="G3103" s="524" t="s">
        <v>39</v>
      </c>
      <c r="H3103" s="524"/>
      <c r="I3103" s="524"/>
      <c r="J3103" s="524"/>
      <c r="K3103" s="201">
        <f>SUM(F3102+K3102+P3102+U3102)</f>
        <v>40501.683999999994</v>
      </c>
      <c r="L3103" s="524" t="s">
        <v>40</v>
      </c>
      <c r="M3103" s="524"/>
      <c r="N3103" s="524"/>
      <c r="O3103" s="524"/>
      <c r="P3103" s="201">
        <f>SUM(K3103*0.15)</f>
        <v>6075.2525999999989</v>
      </c>
      <c r="Q3103" s="524" t="s">
        <v>41</v>
      </c>
      <c r="R3103" s="524"/>
      <c r="S3103" s="524"/>
      <c r="T3103" s="524"/>
      <c r="U3103" s="225">
        <f>SUM(K3103+P3103)</f>
        <v>46576.936599999994</v>
      </c>
    </row>
    <row r="3104" spans="1:21" x14ac:dyDescent="0.25">
      <c r="A3104" s="199"/>
      <c r="B3104" s="199"/>
      <c r="C3104" s="199"/>
      <c r="D3104" s="199"/>
      <c r="E3104" s="199"/>
      <c r="F3104" s="199"/>
      <c r="G3104" s="199"/>
      <c r="H3104" s="220"/>
      <c r="I3104" s="199"/>
      <c r="J3104" s="199"/>
      <c r="K3104" s="199"/>
      <c r="L3104" s="199"/>
      <c r="M3104" s="199"/>
      <c r="N3104" s="199"/>
      <c r="O3104" s="199"/>
      <c r="P3104" s="199"/>
      <c r="Q3104" s="524" t="s">
        <v>42</v>
      </c>
      <c r="R3104" s="524"/>
      <c r="S3104" s="524"/>
      <c r="T3104" s="524"/>
      <c r="U3104" s="206">
        <f>ROUND((U3103/6),2)</f>
        <v>7762.82</v>
      </c>
    </row>
    <row r="3105" spans="1:21" x14ac:dyDescent="0.25">
      <c r="A3105" s="241"/>
      <c r="B3105" s="241"/>
      <c r="C3105" s="241"/>
      <c r="D3105" s="241"/>
      <c r="E3105" s="241"/>
      <c r="F3105" s="241"/>
      <c r="G3105" s="241"/>
      <c r="H3105" s="241"/>
      <c r="I3105" s="241"/>
      <c r="J3105" s="241"/>
      <c r="K3105" s="241"/>
      <c r="L3105" s="241"/>
      <c r="M3105" s="241"/>
      <c r="N3105" s="241"/>
      <c r="O3105" s="241"/>
      <c r="P3105" s="241"/>
      <c r="Q3105" s="241"/>
      <c r="R3105" s="241"/>
      <c r="S3105" s="241"/>
      <c r="T3105" s="241"/>
      <c r="U3105" s="241"/>
    </row>
    <row r="3106" spans="1:21" ht="15.75" customHeight="1" x14ac:dyDescent="0.25">
      <c r="A3106" s="525" t="s">
        <v>12</v>
      </c>
      <c r="B3106" s="525"/>
      <c r="C3106" s="526" t="s">
        <v>2366</v>
      </c>
      <c r="D3106" s="526"/>
      <c r="E3106" s="526"/>
      <c r="F3106" s="526"/>
      <c r="G3106" s="526"/>
      <c r="H3106" s="526"/>
      <c r="I3106" s="526"/>
      <c r="J3106" s="526"/>
      <c r="K3106" s="526"/>
      <c r="L3106" s="526"/>
      <c r="M3106" s="526"/>
      <c r="N3106" s="526"/>
      <c r="O3106" s="526"/>
      <c r="P3106" s="526"/>
      <c r="Q3106" s="526"/>
      <c r="R3106" s="526"/>
      <c r="S3106" s="526"/>
      <c r="T3106" s="526"/>
      <c r="U3106" s="524" t="s">
        <v>927</v>
      </c>
    </row>
    <row r="3107" spans="1:21" ht="15.75" customHeight="1" x14ac:dyDescent="0.25">
      <c r="A3107" s="525"/>
      <c r="B3107" s="525"/>
      <c r="C3107" s="526"/>
      <c r="D3107" s="526"/>
      <c r="E3107" s="526"/>
      <c r="F3107" s="526"/>
      <c r="G3107" s="526"/>
      <c r="H3107" s="526"/>
      <c r="I3107" s="526"/>
      <c r="J3107" s="526"/>
      <c r="K3107" s="526"/>
      <c r="L3107" s="526"/>
      <c r="M3107" s="526"/>
      <c r="N3107" s="526"/>
      <c r="O3107" s="526"/>
      <c r="P3107" s="526"/>
      <c r="Q3107" s="526"/>
      <c r="R3107" s="526"/>
      <c r="S3107" s="526"/>
      <c r="T3107" s="526"/>
      <c r="U3107" s="524"/>
    </row>
    <row r="3108" spans="1:21" ht="15.75" customHeight="1" x14ac:dyDescent="0.25">
      <c r="A3108" s="527" t="s">
        <v>925</v>
      </c>
      <c r="B3108" s="527"/>
      <c r="C3108" s="526"/>
      <c r="D3108" s="526"/>
      <c r="E3108" s="526"/>
      <c r="F3108" s="526"/>
      <c r="G3108" s="526"/>
      <c r="H3108" s="526"/>
      <c r="I3108" s="526"/>
      <c r="J3108" s="526"/>
      <c r="K3108" s="526"/>
      <c r="L3108" s="526"/>
      <c r="M3108" s="526"/>
      <c r="N3108" s="526"/>
      <c r="O3108" s="526"/>
      <c r="P3108" s="526"/>
      <c r="Q3108" s="526"/>
      <c r="R3108" s="526"/>
      <c r="S3108" s="526"/>
      <c r="T3108" s="526"/>
      <c r="U3108" s="524"/>
    </row>
    <row r="3109" spans="1:21" ht="15.75" customHeight="1" x14ac:dyDescent="0.25">
      <c r="A3109" s="528" t="s">
        <v>16</v>
      </c>
      <c r="B3109" s="529" t="s">
        <v>18</v>
      </c>
      <c r="C3109" s="529"/>
      <c r="D3109" s="529"/>
      <c r="E3109" s="529"/>
      <c r="F3109" s="529"/>
      <c r="G3109" s="529" t="s">
        <v>24</v>
      </c>
      <c r="H3109" s="529"/>
      <c r="I3109" s="529"/>
      <c r="J3109" s="529"/>
      <c r="K3109" s="529"/>
      <c r="L3109" s="529" t="s">
        <v>25</v>
      </c>
      <c r="M3109" s="529"/>
      <c r="N3109" s="529"/>
      <c r="O3109" s="529"/>
      <c r="P3109" s="529"/>
      <c r="Q3109" s="529" t="s">
        <v>26</v>
      </c>
      <c r="R3109" s="529"/>
      <c r="S3109" s="529"/>
      <c r="T3109" s="529"/>
      <c r="U3109" s="529"/>
    </row>
    <row r="3110" spans="1:21" ht="15.75" customHeight="1" x14ac:dyDescent="0.25">
      <c r="A3110" s="528"/>
      <c r="B3110" s="197" t="s">
        <v>19</v>
      </c>
      <c r="C3110" s="197" t="s">
        <v>20</v>
      </c>
      <c r="D3110" s="197" t="s">
        <v>21</v>
      </c>
      <c r="E3110" s="197" t="s">
        <v>22</v>
      </c>
      <c r="F3110" s="197" t="s">
        <v>23</v>
      </c>
      <c r="G3110" s="197" t="s">
        <v>19</v>
      </c>
      <c r="H3110" s="219" t="s">
        <v>20</v>
      </c>
      <c r="I3110" s="197" t="s">
        <v>21</v>
      </c>
      <c r="J3110" s="197" t="s">
        <v>22</v>
      </c>
      <c r="K3110" s="197" t="s">
        <v>23</v>
      </c>
      <c r="L3110" s="197" t="s">
        <v>19</v>
      </c>
      <c r="M3110" s="197" t="s">
        <v>20</v>
      </c>
      <c r="N3110" s="197" t="s">
        <v>21</v>
      </c>
      <c r="O3110" s="197" t="s">
        <v>22</v>
      </c>
      <c r="P3110" s="197" t="s">
        <v>23</v>
      </c>
      <c r="Q3110" s="197" t="s">
        <v>19</v>
      </c>
      <c r="R3110" s="197" t="s">
        <v>20</v>
      </c>
      <c r="S3110" s="197" t="s">
        <v>21</v>
      </c>
      <c r="T3110" s="197" t="s">
        <v>22</v>
      </c>
      <c r="U3110" s="214" t="s">
        <v>23</v>
      </c>
    </row>
    <row r="3111" spans="1:21" x14ac:dyDescent="0.25">
      <c r="A3111" s="330" t="s">
        <v>928</v>
      </c>
      <c r="B3111" s="197" t="s">
        <v>29</v>
      </c>
      <c r="C3111" s="197" t="s">
        <v>28</v>
      </c>
      <c r="D3111" s="197">
        <v>7</v>
      </c>
      <c r="E3111" s="197">
        <f>unskilled</f>
        <v>935</v>
      </c>
      <c r="F3111" s="201">
        <f>(D3111*E3111)</f>
        <v>6545</v>
      </c>
      <c r="G3111" s="197" t="s">
        <v>929</v>
      </c>
      <c r="H3111" s="219" t="s">
        <v>144</v>
      </c>
      <c r="I3111" s="197">
        <v>70.2</v>
      </c>
      <c r="J3111" s="197">
        <f>adopted_rate_gabion_mesh_wire</f>
        <v>129</v>
      </c>
      <c r="K3111" s="197">
        <f>(I3111*J3111)</f>
        <v>9055.8000000000011</v>
      </c>
      <c r="L3111" s="199"/>
      <c r="M3111" s="199"/>
      <c r="N3111" s="199"/>
      <c r="O3111" s="199"/>
      <c r="P3111" s="199"/>
      <c r="Q3111" s="199"/>
      <c r="R3111" s="199"/>
      <c r="S3111" s="199"/>
      <c r="T3111" s="199"/>
      <c r="U3111" s="215"/>
    </row>
    <row r="3112" spans="1:21" x14ac:dyDescent="0.25">
      <c r="A3112" s="199"/>
      <c r="B3112" s="197" t="s">
        <v>47</v>
      </c>
      <c r="C3112" s="197" t="s">
        <v>28</v>
      </c>
      <c r="D3112" s="197">
        <v>3</v>
      </c>
      <c r="E3112" s="197">
        <f>skilled</f>
        <v>1245</v>
      </c>
      <c r="F3112" s="201">
        <f>(D3112*E3112)</f>
        <v>3735</v>
      </c>
      <c r="G3112" s="197" t="s">
        <v>930</v>
      </c>
      <c r="H3112" s="219" t="s">
        <v>144</v>
      </c>
      <c r="I3112" s="197">
        <v>7.82</v>
      </c>
      <c r="J3112" s="197">
        <f>adopted_rate_gi_wire</f>
        <v>129</v>
      </c>
      <c r="K3112" s="197">
        <f>(I3112*J3112)</f>
        <v>1008.7800000000001</v>
      </c>
      <c r="L3112" s="199"/>
      <c r="M3112" s="199"/>
      <c r="N3112" s="199"/>
      <c r="O3112" s="199"/>
      <c r="P3112" s="199"/>
      <c r="Q3112" s="199"/>
      <c r="R3112" s="199"/>
      <c r="S3112" s="199"/>
      <c r="T3112" s="199"/>
      <c r="U3112" s="215"/>
    </row>
    <row r="3113" spans="1:21" x14ac:dyDescent="0.25">
      <c r="A3113" s="199"/>
      <c r="B3113" s="199"/>
      <c r="C3113" s="199"/>
      <c r="D3113" s="199"/>
      <c r="E3113" s="199"/>
      <c r="F3113" s="199"/>
      <c r="G3113" s="197" t="s">
        <v>36</v>
      </c>
      <c r="H3113" s="219" t="s">
        <v>144</v>
      </c>
      <c r="I3113" s="197">
        <v>3.62</v>
      </c>
      <c r="J3113" s="197">
        <f>adopted_rate_binding_wire</f>
        <v>120</v>
      </c>
      <c r="K3113" s="197">
        <f>(I3113*J3113)</f>
        <v>434.40000000000003</v>
      </c>
      <c r="L3113" s="199"/>
      <c r="M3113" s="199"/>
      <c r="N3113" s="199"/>
      <c r="O3113" s="199"/>
      <c r="P3113" s="199"/>
      <c r="Q3113" s="199"/>
      <c r="R3113" s="199"/>
      <c r="S3113" s="199"/>
      <c r="T3113" s="199"/>
      <c r="U3113" s="215"/>
    </row>
    <row r="3114" spans="1:21" x14ac:dyDescent="0.25">
      <c r="A3114" s="199"/>
      <c r="B3114" s="199"/>
      <c r="C3114" s="199"/>
      <c r="D3114" s="199"/>
      <c r="E3114" s="199"/>
      <c r="F3114" s="199"/>
      <c r="G3114" s="197" t="s">
        <v>931</v>
      </c>
      <c r="H3114" s="219" t="s">
        <v>84</v>
      </c>
      <c r="I3114" s="197">
        <v>6.6</v>
      </c>
      <c r="J3114" s="197">
        <f>District_Rate!D109</f>
        <v>2469.6</v>
      </c>
      <c r="K3114" s="197">
        <f>(I3114*J3114)</f>
        <v>16299.359999999999</v>
      </c>
      <c r="L3114" s="199"/>
      <c r="M3114" s="199"/>
      <c r="N3114" s="199"/>
      <c r="O3114" s="199"/>
      <c r="P3114" s="199"/>
      <c r="Q3114" s="199"/>
      <c r="R3114" s="199"/>
      <c r="S3114" s="199"/>
      <c r="T3114" s="199"/>
      <c r="U3114" s="215"/>
    </row>
    <row r="3115" spans="1:21" ht="15.75" customHeight="1" x14ac:dyDescent="0.25">
      <c r="A3115" s="524" t="s">
        <v>30</v>
      </c>
      <c r="B3115" s="524"/>
      <c r="C3115" s="524"/>
      <c r="D3115" s="524"/>
      <c r="E3115" s="524"/>
      <c r="F3115" s="201">
        <f>SUM(F3110:F3114)</f>
        <v>10280</v>
      </c>
      <c r="G3115" s="524" t="s">
        <v>31</v>
      </c>
      <c r="H3115" s="524"/>
      <c r="I3115" s="524"/>
      <c r="J3115" s="524"/>
      <c r="K3115" s="201">
        <f>SUM(K3110:K3114)</f>
        <v>26798.34</v>
      </c>
      <c r="L3115" s="524" t="s">
        <v>32</v>
      </c>
      <c r="M3115" s="524"/>
      <c r="N3115" s="524"/>
      <c r="O3115" s="524"/>
      <c r="P3115" s="201">
        <f>SUM(P3110:P3114)</f>
        <v>0</v>
      </c>
      <c r="Q3115" s="524" t="s">
        <v>38</v>
      </c>
      <c r="R3115" s="524"/>
      <c r="S3115" s="524"/>
      <c r="T3115" s="524"/>
      <c r="U3115" s="225">
        <f>SUM(U3110:U3114)</f>
        <v>0</v>
      </c>
    </row>
    <row r="3116" spans="1:21" ht="15.75" customHeight="1" x14ac:dyDescent="0.25">
      <c r="A3116" s="524" t="s">
        <v>33</v>
      </c>
      <c r="B3116" s="524"/>
      <c r="C3116" s="524"/>
      <c r="D3116" s="524"/>
      <c r="E3116" s="524"/>
      <c r="F3116" s="201">
        <f>SUM(F3115+K3115+P3115)</f>
        <v>37078.339999999997</v>
      </c>
      <c r="G3116" s="524" t="s">
        <v>39</v>
      </c>
      <c r="H3116" s="524"/>
      <c r="I3116" s="524"/>
      <c r="J3116" s="524"/>
      <c r="K3116" s="201">
        <f>SUM(F3115+K3115+P3115+U3115)</f>
        <v>37078.339999999997</v>
      </c>
      <c r="L3116" s="524" t="s">
        <v>40</v>
      </c>
      <c r="M3116" s="524"/>
      <c r="N3116" s="524"/>
      <c r="O3116" s="524"/>
      <c r="P3116" s="201">
        <f>SUM(K3116*0.15)</f>
        <v>5561.7509999999993</v>
      </c>
      <c r="Q3116" s="524" t="s">
        <v>41</v>
      </c>
      <c r="R3116" s="524"/>
      <c r="S3116" s="524"/>
      <c r="T3116" s="524"/>
      <c r="U3116" s="225">
        <f>SUM(K3116+P3116)</f>
        <v>42640.090999999993</v>
      </c>
    </row>
    <row r="3117" spans="1:21" ht="15.75" customHeight="1" x14ac:dyDescent="0.25">
      <c r="A3117" s="199"/>
      <c r="B3117" s="199"/>
      <c r="C3117" s="199"/>
      <c r="D3117" s="199"/>
      <c r="E3117" s="199"/>
      <c r="F3117" s="199"/>
      <c r="G3117" s="199"/>
      <c r="H3117" s="220"/>
      <c r="I3117" s="199"/>
      <c r="J3117" s="199"/>
      <c r="K3117" s="199"/>
      <c r="L3117" s="199"/>
      <c r="M3117" s="199"/>
      <c r="N3117" s="199"/>
      <c r="O3117" s="199"/>
      <c r="P3117" s="199"/>
      <c r="Q3117" s="524" t="s">
        <v>42</v>
      </c>
      <c r="R3117" s="524"/>
      <c r="S3117" s="524"/>
      <c r="T3117" s="524"/>
      <c r="U3117" s="329">
        <f>ROUND((U3116/6),2)</f>
        <v>7106.68</v>
      </c>
    </row>
    <row r="3118" spans="1:21" x14ac:dyDescent="0.25">
      <c r="A3118" s="598"/>
      <c r="B3118" s="598"/>
      <c r="C3118" s="598"/>
      <c r="D3118" s="598"/>
      <c r="E3118" s="598"/>
      <c r="F3118" s="598"/>
      <c r="G3118" s="598"/>
      <c r="H3118" s="598"/>
      <c r="I3118" s="598"/>
      <c r="J3118" s="598"/>
      <c r="K3118" s="598"/>
      <c r="L3118" s="598"/>
      <c r="M3118" s="598"/>
      <c r="N3118" s="598"/>
      <c r="O3118" s="598"/>
      <c r="P3118" s="598"/>
      <c r="Q3118" s="598"/>
      <c r="R3118" s="598"/>
      <c r="S3118" s="598"/>
      <c r="T3118" s="598"/>
      <c r="U3118" s="598"/>
    </row>
    <row r="3119" spans="1:21" ht="15.75" customHeight="1" x14ac:dyDescent="0.25">
      <c r="A3119" s="525" t="s">
        <v>12</v>
      </c>
      <c r="B3119" s="525"/>
      <c r="C3119" s="526" t="s">
        <v>2365</v>
      </c>
      <c r="D3119" s="526"/>
      <c r="E3119" s="526"/>
      <c r="F3119" s="526"/>
      <c r="G3119" s="526"/>
      <c r="H3119" s="526"/>
      <c r="I3119" s="526"/>
      <c r="J3119" s="526"/>
      <c r="K3119" s="526"/>
      <c r="L3119" s="526"/>
      <c r="M3119" s="526"/>
      <c r="N3119" s="526"/>
      <c r="O3119" s="526"/>
      <c r="P3119" s="526"/>
      <c r="Q3119" s="526"/>
      <c r="R3119" s="526"/>
      <c r="S3119" s="526"/>
      <c r="T3119" s="526"/>
      <c r="U3119" s="524" t="s">
        <v>927</v>
      </c>
    </row>
    <row r="3120" spans="1:21" ht="15.75" customHeight="1" x14ac:dyDescent="0.25">
      <c r="A3120" s="525"/>
      <c r="B3120" s="525"/>
      <c r="C3120" s="526"/>
      <c r="D3120" s="526"/>
      <c r="E3120" s="526"/>
      <c r="F3120" s="526"/>
      <c r="G3120" s="526"/>
      <c r="H3120" s="526"/>
      <c r="I3120" s="526"/>
      <c r="J3120" s="526"/>
      <c r="K3120" s="526"/>
      <c r="L3120" s="526"/>
      <c r="M3120" s="526"/>
      <c r="N3120" s="526"/>
      <c r="O3120" s="526"/>
      <c r="P3120" s="526"/>
      <c r="Q3120" s="526"/>
      <c r="R3120" s="526"/>
      <c r="S3120" s="526"/>
      <c r="T3120" s="526"/>
      <c r="U3120" s="524"/>
    </row>
    <row r="3121" spans="1:21" ht="15.75" customHeight="1" x14ac:dyDescent="0.25">
      <c r="A3121" s="527" t="s">
        <v>925</v>
      </c>
      <c r="B3121" s="527"/>
      <c r="C3121" s="526"/>
      <c r="D3121" s="526"/>
      <c r="E3121" s="526"/>
      <c r="F3121" s="526"/>
      <c r="G3121" s="526"/>
      <c r="H3121" s="526"/>
      <c r="I3121" s="526"/>
      <c r="J3121" s="526"/>
      <c r="K3121" s="526"/>
      <c r="L3121" s="526"/>
      <c r="M3121" s="526"/>
      <c r="N3121" s="526"/>
      <c r="O3121" s="526"/>
      <c r="P3121" s="526"/>
      <c r="Q3121" s="526"/>
      <c r="R3121" s="526"/>
      <c r="S3121" s="526"/>
      <c r="T3121" s="526"/>
      <c r="U3121" s="524"/>
    </row>
    <row r="3122" spans="1:21" ht="15.75" customHeight="1" x14ac:dyDescent="0.25">
      <c r="A3122" s="528" t="s">
        <v>16</v>
      </c>
      <c r="B3122" s="529" t="s">
        <v>18</v>
      </c>
      <c r="C3122" s="529"/>
      <c r="D3122" s="529"/>
      <c r="E3122" s="529"/>
      <c r="F3122" s="529"/>
      <c r="G3122" s="529" t="s">
        <v>24</v>
      </c>
      <c r="H3122" s="529"/>
      <c r="I3122" s="529"/>
      <c r="J3122" s="529"/>
      <c r="K3122" s="529"/>
      <c r="L3122" s="529" t="s">
        <v>25</v>
      </c>
      <c r="M3122" s="529"/>
      <c r="N3122" s="529"/>
      <c r="O3122" s="529"/>
      <c r="P3122" s="529"/>
      <c r="Q3122" s="529" t="s">
        <v>26</v>
      </c>
      <c r="R3122" s="529"/>
      <c r="S3122" s="529"/>
      <c r="T3122" s="529"/>
      <c r="U3122" s="529"/>
    </row>
    <row r="3123" spans="1:21" ht="15.75" customHeight="1" x14ac:dyDescent="0.25">
      <c r="A3123" s="528"/>
      <c r="B3123" s="197" t="s">
        <v>19</v>
      </c>
      <c r="C3123" s="197" t="s">
        <v>20</v>
      </c>
      <c r="D3123" s="197" t="s">
        <v>21</v>
      </c>
      <c r="E3123" s="197" t="s">
        <v>22</v>
      </c>
      <c r="F3123" s="197" t="s">
        <v>23</v>
      </c>
      <c r="G3123" s="197" t="s">
        <v>19</v>
      </c>
      <c r="H3123" s="219" t="s">
        <v>20</v>
      </c>
      <c r="I3123" s="197" t="s">
        <v>21</v>
      </c>
      <c r="J3123" s="197" t="s">
        <v>22</v>
      </c>
      <c r="K3123" s="197" t="s">
        <v>23</v>
      </c>
      <c r="L3123" s="197" t="s">
        <v>19</v>
      </c>
      <c r="M3123" s="197" t="s">
        <v>20</v>
      </c>
      <c r="N3123" s="197" t="s">
        <v>21</v>
      </c>
      <c r="O3123" s="197" t="s">
        <v>22</v>
      </c>
      <c r="P3123" s="197" t="s">
        <v>23</v>
      </c>
      <c r="Q3123" s="197" t="s">
        <v>19</v>
      </c>
      <c r="R3123" s="197" t="s">
        <v>20</v>
      </c>
      <c r="S3123" s="197" t="s">
        <v>21</v>
      </c>
      <c r="T3123" s="197" t="s">
        <v>22</v>
      </c>
      <c r="U3123" s="214" t="s">
        <v>23</v>
      </c>
    </row>
    <row r="3124" spans="1:21" x14ac:dyDescent="0.25">
      <c r="A3124" s="330" t="s">
        <v>933</v>
      </c>
      <c r="B3124" s="197" t="s">
        <v>29</v>
      </c>
      <c r="C3124" s="197" t="s">
        <v>28</v>
      </c>
      <c r="D3124" s="197">
        <v>7</v>
      </c>
      <c r="E3124" s="197">
        <f>unskilled</f>
        <v>935</v>
      </c>
      <c r="F3124" s="201">
        <f>(D3124*E3124)</f>
        <v>6545</v>
      </c>
      <c r="G3124" s="197" t="s">
        <v>929</v>
      </c>
      <c r="H3124" s="219" t="s">
        <v>144</v>
      </c>
      <c r="I3124" s="197">
        <v>72.45</v>
      </c>
      <c r="J3124" s="197">
        <f>adopted_rate_gabion_mesh_wire</f>
        <v>129</v>
      </c>
      <c r="K3124" s="197">
        <f>(I3124*J3124)</f>
        <v>9346.0500000000011</v>
      </c>
      <c r="L3124" s="199"/>
      <c r="M3124" s="199"/>
      <c r="N3124" s="199"/>
      <c r="O3124" s="199"/>
      <c r="P3124" s="199"/>
      <c r="Q3124" s="199"/>
      <c r="R3124" s="199"/>
      <c r="S3124" s="199"/>
      <c r="T3124" s="199"/>
      <c r="U3124" s="215"/>
    </row>
    <row r="3125" spans="1:21" x14ac:dyDescent="0.25">
      <c r="A3125" s="199"/>
      <c r="B3125" s="197" t="s">
        <v>47</v>
      </c>
      <c r="C3125" s="197" t="s">
        <v>28</v>
      </c>
      <c r="D3125" s="197">
        <v>3</v>
      </c>
      <c r="E3125" s="197">
        <f>skilled</f>
        <v>1245</v>
      </c>
      <c r="F3125" s="201">
        <f>(D3125*E3125)</f>
        <v>3735</v>
      </c>
      <c r="G3125" s="197" t="s">
        <v>930</v>
      </c>
      <c r="H3125" s="219" t="s">
        <v>144</v>
      </c>
      <c r="I3125" s="197">
        <v>8.8800000000000008</v>
      </c>
      <c r="J3125" s="197">
        <f>adopted_rate_gi_wire</f>
        <v>129</v>
      </c>
      <c r="K3125" s="197">
        <f>(I3125*J3125)</f>
        <v>1145.5200000000002</v>
      </c>
      <c r="L3125" s="199"/>
      <c r="M3125" s="199"/>
      <c r="N3125" s="199"/>
      <c r="O3125" s="199"/>
      <c r="P3125" s="199"/>
      <c r="Q3125" s="199"/>
      <c r="R3125" s="199"/>
      <c r="S3125" s="199"/>
      <c r="T3125" s="199"/>
      <c r="U3125" s="215"/>
    </row>
    <row r="3126" spans="1:21" x14ac:dyDescent="0.25">
      <c r="A3126" s="199"/>
      <c r="B3126" s="199"/>
      <c r="C3126" s="199"/>
      <c r="D3126" s="199"/>
      <c r="E3126" s="199"/>
      <c r="F3126" s="199"/>
      <c r="G3126" s="197" t="s">
        <v>36</v>
      </c>
      <c r="H3126" s="219" t="s">
        <v>144</v>
      </c>
      <c r="I3126" s="197">
        <v>3.9</v>
      </c>
      <c r="J3126" s="197">
        <f>adopted_rate_binding_wire</f>
        <v>120</v>
      </c>
      <c r="K3126" s="197">
        <f>(I3126*J3126)</f>
        <v>468</v>
      </c>
      <c r="L3126" s="199"/>
      <c r="M3126" s="199"/>
      <c r="N3126" s="199"/>
      <c r="O3126" s="199"/>
      <c r="P3126" s="199"/>
      <c r="Q3126" s="199"/>
      <c r="R3126" s="199"/>
      <c r="S3126" s="199"/>
      <c r="T3126" s="199"/>
      <c r="U3126" s="215"/>
    </row>
    <row r="3127" spans="1:21" x14ac:dyDescent="0.25">
      <c r="A3127" s="199"/>
      <c r="B3127" s="199"/>
      <c r="C3127" s="199"/>
      <c r="D3127" s="199"/>
      <c r="E3127" s="199"/>
      <c r="F3127" s="199"/>
      <c r="G3127" s="197" t="s">
        <v>931</v>
      </c>
      <c r="H3127" s="219" t="s">
        <v>84</v>
      </c>
      <c r="I3127" s="197">
        <v>6.6</v>
      </c>
      <c r="J3127" s="197">
        <f>J3114</f>
        <v>2469.6</v>
      </c>
      <c r="K3127" s="197">
        <f>(I3127*J3127)</f>
        <v>16299.359999999999</v>
      </c>
      <c r="L3127" s="199"/>
      <c r="M3127" s="199"/>
      <c r="N3127" s="199"/>
      <c r="O3127" s="199"/>
      <c r="P3127" s="199"/>
      <c r="Q3127" s="199"/>
      <c r="R3127" s="199"/>
      <c r="S3127" s="199"/>
      <c r="T3127" s="199"/>
      <c r="U3127" s="215"/>
    </row>
    <row r="3128" spans="1:21" ht="15.75" customHeight="1" x14ac:dyDescent="0.25">
      <c r="A3128" s="524" t="s">
        <v>30</v>
      </c>
      <c r="B3128" s="524"/>
      <c r="C3128" s="524"/>
      <c r="D3128" s="524"/>
      <c r="E3128" s="524"/>
      <c r="F3128" s="201">
        <f>SUM(F3123:F3127)</f>
        <v>10280</v>
      </c>
      <c r="G3128" s="524" t="s">
        <v>31</v>
      </c>
      <c r="H3128" s="524"/>
      <c r="I3128" s="524"/>
      <c r="J3128" s="524"/>
      <c r="K3128" s="201">
        <f>SUM(K3123:K3127)</f>
        <v>27258.93</v>
      </c>
      <c r="L3128" s="524" t="s">
        <v>32</v>
      </c>
      <c r="M3128" s="524"/>
      <c r="N3128" s="524"/>
      <c r="O3128" s="524"/>
      <c r="P3128" s="201">
        <f>SUM(P3123:P3127)</f>
        <v>0</v>
      </c>
      <c r="Q3128" s="524" t="s">
        <v>38</v>
      </c>
      <c r="R3128" s="524"/>
      <c r="S3128" s="524"/>
      <c r="T3128" s="524"/>
      <c r="U3128" s="225">
        <f>SUM(U3123:U3127)</f>
        <v>0</v>
      </c>
    </row>
    <row r="3129" spans="1:21" ht="15.75" customHeight="1" x14ac:dyDescent="0.25">
      <c r="A3129" s="524" t="s">
        <v>33</v>
      </c>
      <c r="B3129" s="524"/>
      <c r="C3129" s="524"/>
      <c r="D3129" s="524"/>
      <c r="E3129" s="524"/>
      <c r="F3129" s="201">
        <f>SUM(F3128+K3128+P3128)</f>
        <v>37538.93</v>
      </c>
      <c r="G3129" s="524" t="s">
        <v>39</v>
      </c>
      <c r="H3129" s="524"/>
      <c r="I3129" s="524"/>
      <c r="J3129" s="524"/>
      <c r="K3129" s="201">
        <f>SUM(F3128+K3128+P3128+U3128)</f>
        <v>37538.93</v>
      </c>
      <c r="L3129" s="524" t="s">
        <v>40</v>
      </c>
      <c r="M3129" s="524"/>
      <c r="N3129" s="524"/>
      <c r="O3129" s="524"/>
      <c r="P3129" s="201">
        <f>SUM(K3129*0.15)</f>
        <v>5630.8395</v>
      </c>
      <c r="Q3129" s="524" t="s">
        <v>41</v>
      </c>
      <c r="R3129" s="524"/>
      <c r="S3129" s="524"/>
      <c r="T3129" s="524"/>
      <c r="U3129" s="225">
        <f>SUM(K3129+P3129)</f>
        <v>43169.769500000002</v>
      </c>
    </row>
    <row r="3130" spans="1:21" ht="15.75" customHeight="1" x14ac:dyDescent="0.25">
      <c r="A3130" s="199"/>
      <c r="B3130" s="199"/>
      <c r="C3130" s="199"/>
      <c r="D3130" s="199"/>
      <c r="E3130" s="199"/>
      <c r="F3130" s="199"/>
      <c r="G3130" s="199"/>
      <c r="H3130" s="220"/>
      <c r="I3130" s="199"/>
      <c r="J3130" s="199"/>
      <c r="K3130" s="199"/>
      <c r="L3130" s="199"/>
      <c r="M3130" s="199"/>
      <c r="N3130" s="199"/>
      <c r="O3130" s="199"/>
      <c r="P3130" s="199"/>
      <c r="Q3130" s="524" t="s">
        <v>42</v>
      </c>
      <c r="R3130" s="524"/>
      <c r="S3130" s="524"/>
      <c r="T3130" s="524"/>
      <c r="U3130" s="329">
        <f>ROUND((U3129/6),2)</f>
        <v>7194.96</v>
      </c>
    </row>
    <row r="3131" spans="1:21" x14ac:dyDescent="0.25">
      <c r="A3131" s="598"/>
      <c r="B3131" s="598"/>
      <c r="C3131" s="598"/>
      <c r="D3131" s="598"/>
      <c r="E3131" s="598"/>
      <c r="F3131" s="598"/>
      <c r="G3131" s="598"/>
      <c r="H3131" s="598"/>
      <c r="I3131" s="598"/>
      <c r="J3131" s="598"/>
      <c r="K3131" s="598"/>
      <c r="L3131" s="598"/>
      <c r="M3131" s="598"/>
      <c r="N3131" s="598"/>
      <c r="O3131" s="598"/>
      <c r="P3131" s="598"/>
      <c r="Q3131" s="598"/>
      <c r="R3131" s="598"/>
      <c r="S3131" s="598"/>
      <c r="T3131" s="598"/>
      <c r="U3131" s="598"/>
    </row>
    <row r="3132" spans="1:21" ht="15.75" customHeight="1" x14ac:dyDescent="0.25">
      <c r="A3132" s="525" t="s">
        <v>12</v>
      </c>
      <c r="B3132" s="525"/>
      <c r="C3132" s="526" t="s">
        <v>2364</v>
      </c>
      <c r="D3132" s="526"/>
      <c r="E3132" s="526"/>
      <c r="F3132" s="526"/>
      <c r="G3132" s="526"/>
      <c r="H3132" s="526"/>
      <c r="I3132" s="526"/>
      <c r="J3132" s="526"/>
      <c r="K3132" s="526"/>
      <c r="L3132" s="526"/>
      <c r="M3132" s="526"/>
      <c r="N3132" s="526"/>
      <c r="O3132" s="526"/>
      <c r="P3132" s="526"/>
      <c r="Q3132" s="526"/>
      <c r="R3132" s="526"/>
      <c r="S3132" s="526"/>
      <c r="T3132" s="526"/>
      <c r="U3132" s="524" t="s">
        <v>927</v>
      </c>
    </row>
    <row r="3133" spans="1:21" ht="15.75" customHeight="1" x14ac:dyDescent="0.25">
      <c r="A3133" s="525"/>
      <c r="B3133" s="525"/>
      <c r="C3133" s="526"/>
      <c r="D3133" s="526"/>
      <c r="E3133" s="526"/>
      <c r="F3133" s="526"/>
      <c r="G3133" s="526"/>
      <c r="H3133" s="526"/>
      <c r="I3133" s="526"/>
      <c r="J3133" s="526"/>
      <c r="K3133" s="526"/>
      <c r="L3133" s="526"/>
      <c r="M3133" s="526"/>
      <c r="N3133" s="526"/>
      <c r="O3133" s="526"/>
      <c r="P3133" s="526"/>
      <c r="Q3133" s="526"/>
      <c r="R3133" s="526"/>
      <c r="S3133" s="526"/>
      <c r="T3133" s="526"/>
      <c r="U3133" s="524"/>
    </row>
    <row r="3134" spans="1:21" ht="15.75" customHeight="1" x14ac:dyDescent="0.25">
      <c r="A3134" s="527" t="s">
        <v>925</v>
      </c>
      <c r="B3134" s="527"/>
      <c r="C3134" s="526"/>
      <c r="D3134" s="526"/>
      <c r="E3134" s="526"/>
      <c r="F3134" s="526"/>
      <c r="G3134" s="526"/>
      <c r="H3134" s="526"/>
      <c r="I3134" s="526"/>
      <c r="J3134" s="526"/>
      <c r="K3134" s="526"/>
      <c r="L3134" s="526"/>
      <c r="M3134" s="526"/>
      <c r="N3134" s="526"/>
      <c r="O3134" s="526"/>
      <c r="P3134" s="526"/>
      <c r="Q3134" s="526"/>
      <c r="R3134" s="526"/>
      <c r="S3134" s="526"/>
      <c r="T3134" s="526"/>
      <c r="U3134" s="524"/>
    </row>
    <row r="3135" spans="1:21" ht="15.75" customHeight="1" x14ac:dyDescent="0.25">
      <c r="A3135" s="528" t="s">
        <v>16</v>
      </c>
      <c r="B3135" s="529" t="s">
        <v>18</v>
      </c>
      <c r="C3135" s="529"/>
      <c r="D3135" s="529"/>
      <c r="E3135" s="529"/>
      <c r="F3135" s="529"/>
      <c r="G3135" s="529" t="s">
        <v>24</v>
      </c>
      <c r="H3135" s="529"/>
      <c r="I3135" s="529"/>
      <c r="J3135" s="529"/>
      <c r="K3135" s="529"/>
      <c r="L3135" s="529" t="s">
        <v>25</v>
      </c>
      <c r="M3135" s="529"/>
      <c r="N3135" s="529"/>
      <c r="O3135" s="529"/>
      <c r="P3135" s="529"/>
      <c r="Q3135" s="529" t="s">
        <v>26</v>
      </c>
      <c r="R3135" s="529"/>
      <c r="S3135" s="529"/>
      <c r="T3135" s="529"/>
      <c r="U3135" s="529"/>
    </row>
    <row r="3136" spans="1:21" ht="15.75" customHeight="1" x14ac:dyDescent="0.25">
      <c r="A3136" s="528"/>
      <c r="B3136" s="197" t="s">
        <v>19</v>
      </c>
      <c r="C3136" s="197" t="s">
        <v>20</v>
      </c>
      <c r="D3136" s="197" t="s">
        <v>21</v>
      </c>
      <c r="E3136" s="197" t="s">
        <v>22</v>
      </c>
      <c r="F3136" s="197" t="s">
        <v>23</v>
      </c>
      <c r="G3136" s="197" t="s">
        <v>19</v>
      </c>
      <c r="H3136" s="219" t="s">
        <v>20</v>
      </c>
      <c r="I3136" s="197" t="s">
        <v>21</v>
      </c>
      <c r="J3136" s="197" t="s">
        <v>22</v>
      </c>
      <c r="K3136" s="197" t="s">
        <v>23</v>
      </c>
      <c r="L3136" s="197" t="s">
        <v>19</v>
      </c>
      <c r="M3136" s="197" t="s">
        <v>20</v>
      </c>
      <c r="N3136" s="197" t="s">
        <v>21</v>
      </c>
      <c r="O3136" s="197" t="s">
        <v>22</v>
      </c>
      <c r="P3136" s="197" t="s">
        <v>23</v>
      </c>
      <c r="Q3136" s="197" t="s">
        <v>19</v>
      </c>
      <c r="R3136" s="197" t="s">
        <v>20</v>
      </c>
      <c r="S3136" s="197" t="s">
        <v>21</v>
      </c>
      <c r="T3136" s="197" t="s">
        <v>22</v>
      </c>
      <c r="U3136" s="214" t="s">
        <v>23</v>
      </c>
    </row>
    <row r="3137" spans="1:21" ht="31.5" x14ac:dyDescent="0.25">
      <c r="A3137" s="330" t="s">
        <v>935</v>
      </c>
      <c r="B3137" s="197" t="s">
        <v>29</v>
      </c>
      <c r="C3137" s="197" t="s">
        <v>28</v>
      </c>
      <c r="D3137" s="197">
        <v>8</v>
      </c>
      <c r="E3137" s="197">
        <f>unskilled</f>
        <v>935</v>
      </c>
      <c r="F3137" s="201">
        <f>(D3137*E3137)</f>
        <v>7480</v>
      </c>
      <c r="G3137" s="197" t="s">
        <v>929</v>
      </c>
      <c r="H3137" s="219" t="s">
        <v>144</v>
      </c>
      <c r="I3137" s="197">
        <v>79</v>
      </c>
      <c r="J3137" s="197">
        <f>adopted_rate_gabion_mesh_wire</f>
        <v>129</v>
      </c>
      <c r="K3137" s="197">
        <f>(I3137*J3137)</f>
        <v>10191</v>
      </c>
      <c r="L3137" s="199"/>
      <c r="M3137" s="199"/>
      <c r="N3137" s="199"/>
      <c r="O3137" s="199"/>
      <c r="P3137" s="199"/>
      <c r="Q3137" s="199"/>
      <c r="R3137" s="199"/>
      <c r="S3137" s="199"/>
      <c r="T3137" s="199"/>
      <c r="U3137" s="215"/>
    </row>
    <row r="3138" spans="1:21" x14ac:dyDescent="0.25">
      <c r="A3138" s="199"/>
      <c r="B3138" s="197" t="s">
        <v>47</v>
      </c>
      <c r="C3138" s="197" t="s">
        <v>28</v>
      </c>
      <c r="D3138" s="197">
        <v>3</v>
      </c>
      <c r="E3138" s="197">
        <f>skilled</f>
        <v>1245</v>
      </c>
      <c r="F3138" s="201">
        <f>(D3138*E3138)</f>
        <v>3735</v>
      </c>
      <c r="G3138" s="197" t="s">
        <v>930</v>
      </c>
      <c r="H3138" s="219" t="s">
        <v>144</v>
      </c>
      <c r="I3138" s="197">
        <v>10.8</v>
      </c>
      <c r="J3138" s="197">
        <f>adopted_rate_gi_wire</f>
        <v>129</v>
      </c>
      <c r="K3138" s="197">
        <f>(I3138*J3138)</f>
        <v>1393.2</v>
      </c>
      <c r="L3138" s="199"/>
      <c r="M3138" s="199"/>
      <c r="N3138" s="199"/>
      <c r="O3138" s="199"/>
      <c r="P3138" s="199"/>
      <c r="Q3138" s="199"/>
      <c r="R3138" s="199"/>
      <c r="S3138" s="199"/>
      <c r="T3138" s="199"/>
      <c r="U3138" s="215"/>
    </row>
    <row r="3139" spans="1:21" x14ac:dyDescent="0.25">
      <c r="A3139" s="199"/>
      <c r="B3139" s="199"/>
      <c r="C3139" s="199"/>
      <c r="D3139" s="199"/>
      <c r="E3139" s="199"/>
      <c r="F3139" s="199"/>
      <c r="G3139" s="197" t="s">
        <v>36</v>
      </c>
      <c r="H3139" s="219" t="s">
        <v>144</v>
      </c>
      <c r="I3139" s="197">
        <v>5</v>
      </c>
      <c r="J3139" s="197">
        <f>adopted_rate_binding_wire</f>
        <v>120</v>
      </c>
      <c r="K3139" s="197">
        <f>(I3139*J3139)</f>
        <v>600</v>
      </c>
      <c r="L3139" s="199"/>
      <c r="M3139" s="199"/>
      <c r="N3139" s="199"/>
      <c r="O3139" s="199"/>
      <c r="P3139" s="199"/>
      <c r="Q3139" s="199"/>
      <c r="R3139" s="199"/>
      <c r="S3139" s="199"/>
      <c r="T3139" s="199"/>
      <c r="U3139" s="215"/>
    </row>
    <row r="3140" spans="1:21" x14ac:dyDescent="0.25">
      <c r="A3140" s="199"/>
      <c r="B3140" s="199"/>
      <c r="C3140" s="199"/>
      <c r="D3140" s="199"/>
      <c r="E3140" s="199"/>
      <c r="F3140" s="199"/>
      <c r="G3140" s="197" t="s">
        <v>931</v>
      </c>
      <c r="H3140" s="219" t="s">
        <v>84</v>
      </c>
      <c r="I3140" s="197">
        <v>6.6</v>
      </c>
      <c r="J3140" s="197">
        <f>J3127</f>
        <v>2469.6</v>
      </c>
      <c r="K3140" s="197">
        <f>(I3140*J3140)</f>
        <v>16299.359999999999</v>
      </c>
      <c r="L3140" s="199"/>
      <c r="M3140" s="199"/>
      <c r="N3140" s="199"/>
      <c r="O3140" s="199"/>
      <c r="P3140" s="199"/>
      <c r="Q3140" s="199"/>
      <c r="R3140" s="199"/>
      <c r="S3140" s="199"/>
      <c r="T3140" s="199"/>
      <c r="U3140" s="215"/>
    </row>
    <row r="3141" spans="1:21" ht="15.75" customHeight="1" x14ac:dyDescent="0.25">
      <c r="A3141" s="524" t="s">
        <v>30</v>
      </c>
      <c r="B3141" s="524"/>
      <c r="C3141" s="524"/>
      <c r="D3141" s="524"/>
      <c r="E3141" s="524"/>
      <c r="F3141" s="201">
        <f>SUM(F3136:F3140)</f>
        <v>11215</v>
      </c>
      <c r="G3141" s="524" t="s">
        <v>31</v>
      </c>
      <c r="H3141" s="524"/>
      <c r="I3141" s="524"/>
      <c r="J3141" s="524"/>
      <c r="K3141" s="201">
        <f>SUM(K3136:K3140)</f>
        <v>28483.559999999998</v>
      </c>
      <c r="L3141" s="524" t="s">
        <v>32</v>
      </c>
      <c r="M3141" s="524"/>
      <c r="N3141" s="524"/>
      <c r="O3141" s="524"/>
      <c r="P3141" s="201">
        <f>SUM(P3136:P3140)</f>
        <v>0</v>
      </c>
      <c r="Q3141" s="524" t="s">
        <v>38</v>
      </c>
      <c r="R3141" s="524"/>
      <c r="S3141" s="524"/>
      <c r="T3141" s="524"/>
      <c r="U3141" s="225">
        <f>SUM(U3136:U3140)</f>
        <v>0</v>
      </c>
    </row>
    <row r="3142" spans="1:21" ht="15.75" customHeight="1" x14ac:dyDescent="0.25">
      <c r="A3142" s="524" t="s">
        <v>33</v>
      </c>
      <c r="B3142" s="524"/>
      <c r="C3142" s="524"/>
      <c r="D3142" s="524"/>
      <c r="E3142" s="524"/>
      <c r="F3142" s="201">
        <f>SUM(F3141+K3141+P3141)</f>
        <v>39698.559999999998</v>
      </c>
      <c r="G3142" s="524" t="s">
        <v>39</v>
      </c>
      <c r="H3142" s="524"/>
      <c r="I3142" s="524"/>
      <c r="J3142" s="524"/>
      <c r="K3142" s="201">
        <f>SUM(F3141+K3141+P3141+U3141)</f>
        <v>39698.559999999998</v>
      </c>
      <c r="L3142" s="524" t="s">
        <v>40</v>
      </c>
      <c r="M3142" s="524"/>
      <c r="N3142" s="524"/>
      <c r="O3142" s="524"/>
      <c r="P3142" s="201">
        <f>SUM(K3142*0.15)</f>
        <v>5954.7839999999997</v>
      </c>
      <c r="Q3142" s="524" t="s">
        <v>41</v>
      </c>
      <c r="R3142" s="524"/>
      <c r="S3142" s="524"/>
      <c r="T3142" s="524"/>
      <c r="U3142" s="225">
        <f>SUM(K3142+P3142)</f>
        <v>45653.343999999997</v>
      </c>
    </row>
    <row r="3143" spans="1:21" ht="15.75" customHeight="1" x14ac:dyDescent="0.25">
      <c r="A3143" s="199"/>
      <c r="B3143" s="199"/>
      <c r="C3143" s="199"/>
      <c r="D3143" s="199"/>
      <c r="E3143" s="199"/>
      <c r="F3143" s="199"/>
      <c r="G3143" s="199"/>
      <c r="H3143" s="220"/>
      <c r="I3143" s="199"/>
      <c r="J3143" s="199"/>
      <c r="K3143" s="199"/>
      <c r="L3143" s="199"/>
      <c r="M3143" s="199"/>
      <c r="N3143" s="199"/>
      <c r="O3143" s="199"/>
      <c r="P3143" s="199"/>
      <c r="Q3143" s="524" t="s">
        <v>42</v>
      </c>
      <c r="R3143" s="524"/>
      <c r="S3143" s="524"/>
      <c r="T3143" s="524"/>
      <c r="U3143" s="329">
        <f>ROUND((U3142/6),2)</f>
        <v>7608.89</v>
      </c>
    </row>
    <row r="3144" spans="1:21" x14ac:dyDescent="0.25">
      <c r="A3144" s="598"/>
      <c r="B3144" s="598"/>
      <c r="C3144" s="598"/>
      <c r="D3144" s="598"/>
      <c r="E3144" s="598"/>
      <c r="F3144" s="598"/>
      <c r="G3144" s="598"/>
      <c r="H3144" s="598"/>
      <c r="I3144" s="598"/>
      <c r="J3144" s="598"/>
      <c r="K3144" s="598"/>
      <c r="L3144" s="598"/>
      <c r="M3144" s="598"/>
      <c r="N3144" s="598"/>
      <c r="O3144" s="598"/>
      <c r="P3144" s="598"/>
      <c r="Q3144" s="598"/>
      <c r="R3144" s="598"/>
      <c r="S3144" s="598"/>
      <c r="T3144" s="598"/>
      <c r="U3144" s="598"/>
    </row>
    <row r="3145" spans="1:21" ht="15.75" customHeight="1" x14ac:dyDescent="0.25">
      <c r="A3145" s="525" t="s">
        <v>12</v>
      </c>
      <c r="B3145" s="525"/>
      <c r="C3145" s="526" t="s">
        <v>2363</v>
      </c>
      <c r="D3145" s="526"/>
      <c r="E3145" s="526"/>
      <c r="F3145" s="526"/>
      <c r="G3145" s="526"/>
      <c r="H3145" s="526"/>
      <c r="I3145" s="526"/>
      <c r="J3145" s="526"/>
      <c r="K3145" s="526"/>
      <c r="L3145" s="526"/>
      <c r="M3145" s="526"/>
      <c r="N3145" s="526"/>
      <c r="O3145" s="526"/>
      <c r="P3145" s="526"/>
      <c r="Q3145" s="526"/>
      <c r="R3145" s="526"/>
      <c r="S3145" s="526"/>
      <c r="T3145" s="526"/>
      <c r="U3145" s="524" t="s">
        <v>927</v>
      </c>
    </row>
    <row r="3146" spans="1:21" ht="15.75" customHeight="1" x14ac:dyDescent="0.25">
      <c r="A3146" s="525"/>
      <c r="B3146" s="525"/>
      <c r="C3146" s="526"/>
      <c r="D3146" s="526"/>
      <c r="E3146" s="526"/>
      <c r="F3146" s="526"/>
      <c r="G3146" s="526"/>
      <c r="H3146" s="526"/>
      <c r="I3146" s="526"/>
      <c r="J3146" s="526"/>
      <c r="K3146" s="526"/>
      <c r="L3146" s="526"/>
      <c r="M3146" s="526"/>
      <c r="N3146" s="526"/>
      <c r="O3146" s="526"/>
      <c r="P3146" s="526"/>
      <c r="Q3146" s="526"/>
      <c r="R3146" s="526"/>
      <c r="S3146" s="526"/>
      <c r="T3146" s="526"/>
      <c r="U3146" s="524"/>
    </row>
    <row r="3147" spans="1:21" ht="15.75" customHeight="1" x14ac:dyDescent="0.25">
      <c r="A3147" s="527" t="s">
        <v>925</v>
      </c>
      <c r="B3147" s="527"/>
      <c r="C3147" s="526"/>
      <c r="D3147" s="526"/>
      <c r="E3147" s="526"/>
      <c r="F3147" s="526"/>
      <c r="G3147" s="526"/>
      <c r="H3147" s="526"/>
      <c r="I3147" s="526"/>
      <c r="J3147" s="526"/>
      <c r="K3147" s="526"/>
      <c r="L3147" s="526"/>
      <c r="M3147" s="526"/>
      <c r="N3147" s="526"/>
      <c r="O3147" s="526"/>
      <c r="P3147" s="526"/>
      <c r="Q3147" s="526"/>
      <c r="R3147" s="526"/>
      <c r="S3147" s="526"/>
      <c r="T3147" s="526"/>
      <c r="U3147" s="524"/>
    </row>
    <row r="3148" spans="1:21" ht="15.75" customHeight="1" x14ac:dyDescent="0.25">
      <c r="A3148" s="528" t="s">
        <v>16</v>
      </c>
      <c r="B3148" s="529" t="s">
        <v>18</v>
      </c>
      <c r="C3148" s="529"/>
      <c r="D3148" s="529"/>
      <c r="E3148" s="529"/>
      <c r="F3148" s="529"/>
      <c r="G3148" s="529" t="s">
        <v>24</v>
      </c>
      <c r="H3148" s="529"/>
      <c r="I3148" s="529"/>
      <c r="J3148" s="529"/>
      <c r="K3148" s="529"/>
      <c r="L3148" s="529" t="s">
        <v>25</v>
      </c>
      <c r="M3148" s="529"/>
      <c r="N3148" s="529"/>
      <c r="O3148" s="529"/>
      <c r="P3148" s="529"/>
      <c r="Q3148" s="529" t="s">
        <v>26</v>
      </c>
      <c r="R3148" s="529"/>
      <c r="S3148" s="529"/>
      <c r="T3148" s="529"/>
      <c r="U3148" s="529"/>
    </row>
    <row r="3149" spans="1:21" ht="15.75" customHeight="1" x14ac:dyDescent="0.25">
      <c r="A3149" s="528"/>
      <c r="B3149" s="197" t="s">
        <v>19</v>
      </c>
      <c r="C3149" s="197" t="s">
        <v>20</v>
      </c>
      <c r="D3149" s="197" t="s">
        <v>21</v>
      </c>
      <c r="E3149" s="197" t="s">
        <v>22</v>
      </c>
      <c r="F3149" s="197" t="s">
        <v>23</v>
      </c>
      <c r="G3149" s="197" t="s">
        <v>19</v>
      </c>
      <c r="H3149" s="219" t="s">
        <v>20</v>
      </c>
      <c r="I3149" s="197" t="s">
        <v>21</v>
      </c>
      <c r="J3149" s="197" t="s">
        <v>22</v>
      </c>
      <c r="K3149" s="197" t="s">
        <v>23</v>
      </c>
      <c r="L3149" s="197" t="s">
        <v>19</v>
      </c>
      <c r="M3149" s="197" t="s">
        <v>20</v>
      </c>
      <c r="N3149" s="197" t="s">
        <v>21</v>
      </c>
      <c r="O3149" s="197" t="s">
        <v>22</v>
      </c>
      <c r="P3149" s="197" t="s">
        <v>23</v>
      </c>
      <c r="Q3149" s="197" t="s">
        <v>19</v>
      </c>
      <c r="R3149" s="197" t="s">
        <v>20</v>
      </c>
      <c r="S3149" s="197" t="s">
        <v>21</v>
      </c>
      <c r="T3149" s="197" t="s">
        <v>22</v>
      </c>
      <c r="U3149" s="214" t="s">
        <v>23</v>
      </c>
    </row>
    <row r="3150" spans="1:21" ht="31.5" x14ac:dyDescent="0.25">
      <c r="A3150" s="330" t="s">
        <v>937</v>
      </c>
      <c r="B3150" s="197" t="s">
        <v>29</v>
      </c>
      <c r="C3150" s="197" t="s">
        <v>28</v>
      </c>
      <c r="D3150" s="197">
        <v>8</v>
      </c>
      <c r="E3150" s="197">
        <f>unskilled</f>
        <v>935</v>
      </c>
      <c r="F3150" s="201">
        <f>(D3150*E3150)</f>
        <v>7480</v>
      </c>
      <c r="G3150" s="197" t="s">
        <v>929</v>
      </c>
      <c r="H3150" s="219" t="s">
        <v>144</v>
      </c>
      <c r="I3150" s="197">
        <v>78.959999999999994</v>
      </c>
      <c r="J3150" s="197">
        <f>adopted_rate_gabion_mesh_wire</f>
        <v>129</v>
      </c>
      <c r="K3150" s="197">
        <f>(I3150*J3150)</f>
        <v>10185.839999999998</v>
      </c>
      <c r="L3150" s="199"/>
      <c r="M3150" s="199"/>
      <c r="N3150" s="199"/>
      <c r="O3150" s="199"/>
      <c r="P3150" s="199"/>
      <c r="Q3150" s="199"/>
      <c r="R3150" s="199"/>
      <c r="S3150" s="199"/>
      <c r="T3150" s="199"/>
      <c r="U3150" s="215"/>
    </row>
    <row r="3151" spans="1:21" x14ac:dyDescent="0.25">
      <c r="A3151" s="199"/>
      <c r="B3151" s="197" t="s">
        <v>47</v>
      </c>
      <c r="C3151" s="197" t="s">
        <v>28</v>
      </c>
      <c r="D3151" s="197">
        <v>3</v>
      </c>
      <c r="E3151" s="197">
        <f>skilled</f>
        <v>1245</v>
      </c>
      <c r="F3151" s="201">
        <f>(D3151*E3151)</f>
        <v>3735</v>
      </c>
      <c r="G3151" s="197" t="s">
        <v>930</v>
      </c>
      <c r="H3151" s="219" t="s">
        <v>144</v>
      </c>
      <c r="I3151" s="197">
        <v>12.06</v>
      </c>
      <c r="J3151" s="197">
        <f>adopted_rate_gi_wire</f>
        <v>129</v>
      </c>
      <c r="K3151" s="197">
        <f>(I3151*J3151)</f>
        <v>1555.74</v>
      </c>
      <c r="L3151" s="199"/>
      <c r="M3151" s="199"/>
      <c r="N3151" s="199"/>
      <c r="O3151" s="199"/>
      <c r="P3151" s="199"/>
      <c r="Q3151" s="199"/>
      <c r="R3151" s="199"/>
      <c r="S3151" s="199"/>
      <c r="T3151" s="199"/>
      <c r="U3151" s="215"/>
    </row>
    <row r="3152" spans="1:21" x14ac:dyDescent="0.25">
      <c r="A3152" s="199"/>
      <c r="B3152" s="199"/>
      <c r="C3152" s="199"/>
      <c r="D3152" s="199"/>
      <c r="E3152" s="199"/>
      <c r="F3152" s="199"/>
      <c r="G3152" s="197" t="s">
        <v>36</v>
      </c>
      <c r="H3152" s="219" t="s">
        <v>144</v>
      </c>
      <c r="I3152" s="197">
        <v>4.5599999999999996</v>
      </c>
      <c r="J3152" s="197">
        <f>adopted_rate_binding_wire</f>
        <v>120</v>
      </c>
      <c r="K3152" s="197">
        <f>(I3152*J3152)</f>
        <v>547.19999999999993</v>
      </c>
      <c r="L3152" s="199"/>
      <c r="M3152" s="199"/>
      <c r="N3152" s="199"/>
      <c r="O3152" s="199"/>
      <c r="P3152" s="199"/>
      <c r="Q3152" s="199"/>
      <c r="R3152" s="199"/>
      <c r="S3152" s="199"/>
      <c r="T3152" s="199"/>
      <c r="U3152" s="215"/>
    </row>
    <row r="3153" spans="1:21" x14ac:dyDescent="0.25">
      <c r="A3153" s="199"/>
      <c r="B3153" s="199"/>
      <c r="C3153" s="199"/>
      <c r="D3153" s="199"/>
      <c r="E3153" s="199"/>
      <c r="F3153" s="199"/>
      <c r="G3153" s="197" t="s">
        <v>931</v>
      </c>
      <c r="H3153" s="219" t="s">
        <v>84</v>
      </c>
      <c r="I3153" s="197">
        <v>6.6</v>
      </c>
      <c r="J3153" s="197">
        <f>J3140</f>
        <v>2469.6</v>
      </c>
      <c r="K3153" s="197">
        <f>(I3153*J3153)</f>
        <v>16299.359999999999</v>
      </c>
      <c r="L3153" s="199"/>
      <c r="M3153" s="199"/>
      <c r="N3153" s="199"/>
      <c r="O3153" s="199"/>
      <c r="P3153" s="199"/>
      <c r="Q3153" s="199"/>
      <c r="R3153" s="199"/>
      <c r="S3153" s="199"/>
      <c r="T3153" s="199"/>
      <c r="U3153" s="215"/>
    </row>
    <row r="3154" spans="1:21" ht="15.75" customHeight="1" x14ac:dyDescent="0.25">
      <c r="A3154" s="524" t="s">
        <v>30</v>
      </c>
      <c r="B3154" s="524"/>
      <c r="C3154" s="524"/>
      <c r="D3154" s="524"/>
      <c r="E3154" s="524"/>
      <c r="F3154" s="201">
        <f>SUM(F3149:F3153)</f>
        <v>11215</v>
      </c>
      <c r="G3154" s="524" t="s">
        <v>31</v>
      </c>
      <c r="H3154" s="524"/>
      <c r="I3154" s="524"/>
      <c r="J3154" s="524"/>
      <c r="K3154" s="201">
        <f>SUM(K3149:K3153)</f>
        <v>28588.14</v>
      </c>
      <c r="L3154" s="524" t="s">
        <v>32</v>
      </c>
      <c r="M3154" s="524"/>
      <c r="N3154" s="524"/>
      <c r="O3154" s="524"/>
      <c r="P3154" s="201">
        <f>SUM(P3149:P3153)</f>
        <v>0</v>
      </c>
      <c r="Q3154" s="524" t="s">
        <v>38</v>
      </c>
      <c r="R3154" s="524"/>
      <c r="S3154" s="524"/>
      <c r="T3154" s="524"/>
      <c r="U3154" s="225">
        <f>SUM(U3149:U3153)</f>
        <v>0</v>
      </c>
    </row>
    <row r="3155" spans="1:21" ht="15.75" customHeight="1" x14ac:dyDescent="0.25">
      <c r="A3155" s="524" t="s">
        <v>33</v>
      </c>
      <c r="B3155" s="524"/>
      <c r="C3155" s="524"/>
      <c r="D3155" s="524"/>
      <c r="E3155" s="524"/>
      <c r="F3155" s="201">
        <f>SUM(F3154+K3154+P3154)</f>
        <v>39803.14</v>
      </c>
      <c r="G3155" s="524" t="s">
        <v>39</v>
      </c>
      <c r="H3155" s="524"/>
      <c r="I3155" s="524"/>
      <c r="J3155" s="524"/>
      <c r="K3155" s="201">
        <f>SUM(F3154+K3154+P3154+U3154)</f>
        <v>39803.14</v>
      </c>
      <c r="L3155" s="524" t="s">
        <v>40</v>
      </c>
      <c r="M3155" s="524"/>
      <c r="N3155" s="524"/>
      <c r="O3155" s="524"/>
      <c r="P3155" s="201">
        <f>SUM(K3155*0.15)</f>
        <v>5970.4709999999995</v>
      </c>
      <c r="Q3155" s="524" t="s">
        <v>41</v>
      </c>
      <c r="R3155" s="524"/>
      <c r="S3155" s="524"/>
      <c r="T3155" s="524"/>
      <c r="U3155" s="225">
        <f>SUM(K3155+P3155)</f>
        <v>45773.610999999997</v>
      </c>
    </row>
    <row r="3156" spans="1:21" ht="15.75" customHeight="1" x14ac:dyDescent="0.25">
      <c r="A3156" s="199"/>
      <c r="B3156" s="199"/>
      <c r="C3156" s="199"/>
      <c r="D3156" s="199"/>
      <c r="E3156" s="199"/>
      <c r="F3156" s="199"/>
      <c r="G3156" s="199"/>
      <c r="H3156" s="220"/>
      <c r="I3156" s="199"/>
      <c r="J3156" s="199"/>
      <c r="K3156" s="199"/>
      <c r="L3156" s="199"/>
      <c r="M3156" s="199"/>
      <c r="N3156" s="199"/>
      <c r="O3156" s="199"/>
      <c r="P3156" s="199"/>
      <c r="Q3156" s="524" t="s">
        <v>42</v>
      </c>
      <c r="R3156" s="524"/>
      <c r="S3156" s="524"/>
      <c r="T3156" s="524"/>
      <c r="U3156" s="329">
        <f>ROUND((U3155/6),2)</f>
        <v>7628.94</v>
      </c>
    </row>
    <row r="3157" spans="1:21" x14ac:dyDescent="0.25">
      <c r="A3157" s="334"/>
      <c r="B3157" s="334"/>
      <c r="C3157" s="334"/>
      <c r="D3157" s="334"/>
      <c r="E3157" s="334"/>
      <c r="F3157" s="334"/>
      <c r="G3157" s="334"/>
      <c r="H3157" s="334"/>
      <c r="I3157" s="334"/>
      <c r="J3157" s="334"/>
      <c r="K3157" s="334"/>
      <c r="L3157" s="334"/>
      <c r="M3157" s="334"/>
      <c r="N3157" s="334"/>
      <c r="O3157" s="334"/>
      <c r="P3157" s="334"/>
      <c r="Q3157" s="334"/>
      <c r="R3157" s="334"/>
      <c r="S3157" s="334"/>
      <c r="T3157" s="334"/>
      <c r="U3157" s="334"/>
    </row>
    <row r="3158" spans="1:21" x14ac:dyDescent="0.25">
      <c r="A3158" s="331"/>
      <c r="B3158" s="331"/>
      <c r="C3158" s="331"/>
      <c r="D3158" s="331"/>
      <c r="E3158" s="331"/>
      <c r="F3158" s="331"/>
      <c r="G3158" s="331"/>
      <c r="H3158" s="331"/>
      <c r="I3158" s="331"/>
      <c r="J3158" s="331"/>
      <c r="K3158" s="331"/>
      <c r="L3158" s="331"/>
      <c r="M3158" s="331"/>
      <c r="N3158" s="331"/>
      <c r="O3158" s="331"/>
      <c r="P3158" s="331"/>
      <c r="Q3158" s="331"/>
      <c r="R3158" s="331"/>
      <c r="S3158" s="331"/>
      <c r="T3158" s="331"/>
      <c r="U3158" s="331"/>
    </row>
    <row r="3159" spans="1:21" x14ac:dyDescent="0.25">
      <c r="A3159" s="572" t="s">
        <v>12</v>
      </c>
      <c r="B3159" s="573"/>
      <c r="C3159" s="578" t="s">
        <v>2112</v>
      </c>
      <c r="D3159" s="579"/>
      <c r="E3159" s="579"/>
      <c r="F3159" s="579"/>
      <c r="G3159" s="579"/>
      <c r="H3159" s="579"/>
      <c r="I3159" s="579"/>
      <c r="J3159" s="579"/>
      <c r="K3159" s="579"/>
      <c r="L3159" s="579"/>
      <c r="M3159" s="579"/>
      <c r="N3159" s="579"/>
      <c r="O3159" s="579"/>
      <c r="P3159" s="579"/>
      <c r="Q3159" s="579"/>
      <c r="R3159" s="579"/>
      <c r="S3159" s="579"/>
      <c r="T3159" s="580"/>
      <c r="U3159" s="587" t="s">
        <v>939</v>
      </c>
    </row>
    <row r="3160" spans="1:21" x14ac:dyDescent="0.25">
      <c r="A3160" s="574"/>
      <c r="B3160" s="575"/>
      <c r="C3160" s="581"/>
      <c r="D3160" s="582"/>
      <c r="E3160" s="582"/>
      <c r="F3160" s="582"/>
      <c r="G3160" s="582"/>
      <c r="H3160" s="582"/>
      <c r="I3160" s="582"/>
      <c r="J3160" s="582"/>
      <c r="K3160" s="582"/>
      <c r="L3160" s="582"/>
      <c r="M3160" s="582"/>
      <c r="N3160" s="582"/>
      <c r="O3160" s="582"/>
      <c r="P3160" s="582"/>
      <c r="Q3160" s="582"/>
      <c r="R3160" s="582"/>
      <c r="S3160" s="582"/>
      <c r="T3160" s="583"/>
      <c r="U3160" s="588"/>
    </row>
    <row r="3161" spans="1:21" x14ac:dyDescent="0.25">
      <c r="A3161" s="576" t="s">
        <v>925</v>
      </c>
      <c r="B3161" s="577"/>
      <c r="C3161" s="584"/>
      <c r="D3161" s="585"/>
      <c r="E3161" s="585"/>
      <c r="F3161" s="585"/>
      <c r="G3161" s="585"/>
      <c r="H3161" s="585"/>
      <c r="I3161" s="585"/>
      <c r="J3161" s="585"/>
      <c r="K3161" s="585"/>
      <c r="L3161" s="585"/>
      <c r="M3161" s="585"/>
      <c r="N3161" s="585"/>
      <c r="O3161" s="585"/>
      <c r="P3161" s="585"/>
      <c r="Q3161" s="585"/>
      <c r="R3161" s="585"/>
      <c r="S3161" s="585"/>
      <c r="T3161" s="586"/>
      <c r="U3161" s="589"/>
    </row>
    <row r="3162" spans="1:21" x14ac:dyDescent="0.25">
      <c r="A3162" s="590" t="s">
        <v>16</v>
      </c>
      <c r="B3162" s="592" t="s">
        <v>18</v>
      </c>
      <c r="C3162" s="593"/>
      <c r="D3162" s="593"/>
      <c r="E3162" s="593"/>
      <c r="F3162" s="594"/>
      <c r="G3162" s="592" t="s">
        <v>24</v>
      </c>
      <c r="H3162" s="593"/>
      <c r="I3162" s="593"/>
      <c r="J3162" s="593"/>
      <c r="K3162" s="594"/>
      <c r="L3162" s="592" t="s">
        <v>25</v>
      </c>
      <c r="M3162" s="593"/>
      <c r="N3162" s="593"/>
      <c r="O3162" s="593"/>
      <c r="P3162" s="594"/>
      <c r="Q3162" s="592" t="s">
        <v>26</v>
      </c>
      <c r="R3162" s="593"/>
      <c r="S3162" s="593"/>
      <c r="T3162" s="593"/>
      <c r="U3162" s="594"/>
    </row>
    <row r="3163" spans="1:21" x14ac:dyDescent="0.25">
      <c r="A3163" s="591"/>
      <c r="B3163" s="182" t="s">
        <v>19</v>
      </c>
      <c r="C3163" s="182" t="s">
        <v>20</v>
      </c>
      <c r="D3163" s="182" t="s">
        <v>21</v>
      </c>
      <c r="E3163" s="182" t="s">
        <v>22</v>
      </c>
      <c r="F3163" s="182" t="s">
        <v>23</v>
      </c>
      <c r="G3163" s="182" t="s">
        <v>19</v>
      </c>
      <c r="H3163" s="216" t="s">
        <v>20</v>
      </c>
      <c r="I3163" s="182" t="s">
        <v>21</v>
      </c>
      <c r="J3163" s="182" t="s">
        <v>22</v>
      </c>
      <c r="K3163" s="182" t="s">
        <v>23</v>
      </c>
      <c r="L3163" s="182" t="s">
        <v>19</v>
      </c>
      <c r="M3163" s="182" t="s">
        <v>20</v>
      </c>
      <c r="N3163" s="182" t="s">
        <v>21</v>
      </c>
      <c r="O3163" s="182" t="s">
        <v>22</v>
      </c>
      <c r="P3163" s="182" t="s">
        <v>23</v>
      </c>
      <c r="Q3163" s="182" t="s">
        <v>19</v>
      </c>
      <c r="R3163" s="182" t="s">
        <v>20</v>
      </c>
      <c r="S3163" s="182" t="s">
        <v>21</v>
      </c>
      <c r="T3163" s="182" t="s">
        <v>22</v>
      </c>
      <c r="U3163" s="211" t="s">
        <v>23</v>
      </c>
    </row>
    <row r="3164" spans="1:21" x14ac:dyDescent="0.25">
      <c r="A3164" s="333" t="s">
        <v>940</v>
      </c>
      <c r="B3164" s="182" t="s">
        <v>29</v>
      </c>
      <c r="C3164" s="182" t="s">
        <v>28</v>
      </c>
      <c r="D3164" s="182">
        <v>6</v>
      </c>
      <c r="E3164" s="182">
        <f>unskilled</f>
        <v>935</v>
      </c>
      <c r="F3164" s="184">
        <f>(D3164*E3164)</f>
        <v>5610</v>
      </c>
      <c r="G3164" s="182" t="s">
        <v>929</v>
      </c>
      <c r="H3164" s="216" t="s">
        <v>144</v>
      </c>
      <c r="I3164" s="182">
        <v>59.24</v>
      </c>
      <c r="J3164" s="182">
        <f>adopted_rate_gabion_mesh_wire</f>
        <v>129</v>
      </c>
      <c r="K3164" s="182">
        <f>(I3164*J3164)</f>
        <v>7641.96</v>
      </c>
      <c r="L3164" s="263"/>
      <c r="M3164" s="263"/>
      <c r="N3164" s="263"/>
      <c r="O3164" s="263"/>
      <c r="P3164" s="263"/>
      <c r="Q3164" s="263"/>
      <c r="R3164" s="263"/>
      <c r="S3164" s="263"/>
      <c r="T3164" s="263"/>
    </row>
    <row r="3165" spans="1:21" x14ac:dyDescent="0.25">
      <c r="A3165" s="263"/>
      <c r="B3165" s="182" t="s">
        <v>47</v>
      </c>
      <c r="C3165" s="182" t="s">
        <v>28</v>
      </c>
      <c r="D3165" s="182">
        <v>2</v>
      </c>
      <c r="E3165" s="182">
        <f>skilled</f>
        <v>1245</v>
      </c>
      <c r="F3165" s="184">
        <f>(D3165*E3165)</f>
        <v>2490</v>
      </c>
      <c r="G3165" s="182" t="s">
        <v>930</v>
      </c>
      <c r="H3165" s="216" t="s">
        <v>144</v>
      </c>
      <c r="I3165" s="182">
        <v>7.18</v>
      </c>
      <c r="J3165" s="182">
        <f>adopted_rate_gi_wire</f>
        <v>129</v>
      </c>
      <c r="K3165" s="182">
        <f>(I3165*J3165)</f>
        <v>926.21999999999991</v>
      </c>
      <c r="L3165" s="263"/>
      <c r="M3165" s="263"/>
      <c r="N3165" s="263"/>
      <c r="O3165" s="263"/>
      <c r="P3165" s="263"/>
      <c r="Q3165" s="263"/>
      <c r="R3165" s="263"/>
      <c r="S3165" s="263"/>
      <c r="T3165" s="263"/>
    </row>
    <row r="3166" spans="1:21" x14ac:dyDescent="0.25">
      <c r="A3166" s="263"/>
      <c r="B3166" s="263"/>
      <c r="C3166" s="263"/>
      <c r="D3166" s="263"/>
      <c r="E3166" s="263"/>
      <c r="F3166" s="263"/>
      <c r="G3166" s="182" t="s">
        <v>36</v>
      </c>
      <c r="H3166" s="216" t="s">
        <v>144</v>
      </c>
      <c r="I3166" s="182">
        <v>3.34</v>
      </c>
      <c r="J3166" s="182">
        <f>adopted_rate_binding_wire</f>
        <v>120</v>
      </c>
      <c r="K3166" s="182">
        <f>(I3166*J3166)</f>
        <v>400.79999999999995</v>
      </c>
      <c r="L3166" s="263"/>
      <c r="M3166" s="263"/>
      <c r="N3166" s="263"/>
      <c r="O3166" s="263"/>
      <c r="P3166" s="263"/>
      <c r="Q3166" s="263"/>
      <c r="R3166" s="263"/>
      <c r="S3166" s="263"/>
      <c r="T3166" s="263"/>
    </row>
    <row r="3167" spans="1:21" x14ac:dyDescent="0.25">
      <c r="A3167" s="263"/>
      <c r="B3167" s="263"/>
      <c r="C3167" s="263"/>
      <c r="D3167" s="263"/>
      <c r="E3167" s="263"/>
      <c r="F3167" s="263"/>
      <c r="G3167" s="182" t="s">
        <v>931</v>
      </c>
      <c r="H3167" s="216" t="s">
        <v>84</v>
      </c>
      <c r="I3167" s="182">
        <v>4.95</v>
      </c>
      <c r="J3167" s="182">
        <f>adopted_rate_rubble</f>
        <v>2575.44</v>
      </c>
      <c r="K3167" s="182">
        <f>(I3167*J3167)</f>
        <v>12748.428</v>
      </c>
      <c r="L3167" s="263"/>
      <c r="M3167" s="263"/>
      <c r="N3167" s="263"/>
      <c r="O3167" s="263"/>
      <c r="P3167" s="263"/>
      <c r="Q3167" s="263"/>
      <c r="R3167" s="263"/>
      <c r="S3167" s="263"/>
      <c r="T3167" s="263"/>
    </row>
    <row r="3168" spans="1:21" x14ac:dyDescent="0.25">
      <c r="A3168" s="595" t="s">
        <v>30</v>
      </c>
      <c r="B3168" s="596"/>
      <c r="C3168" s="596"/>
      <c r="D3168" s="596"/>
      <c r="E3168" s="597"/>
      <c r="F3168" s="184">
        <f>SUM(F3163:F3167)</f>
        <v>8100</v>
      </c>
      <c r="G3168" s="595" t="s">
        <v>31</v>
      </c>
      <c r="H3168" s="596"/>
      <c r="I3168" s="596"/>
      <c r="J3168" s="597"/>
      <c r="K3168" s="184">
        <f>SUM(K3163:K3167)</f>
        <v>21717.407999999999</v>
      </c>
      <c r="L3168" s="595" t="s">
        <v>32</v>
      </c>
      <c r="M3168" s="596"/>
      <c r="N3168" s="596"/>
      <c r="O3168" s="597"/>
      <c r="P3168" s="184">
        <f>SUM(P3163:P3167)</f>
        <v>0</v>
      </c>
      <c r="Q3168" s="595" t="s">
        <v>38</v>
      </c>
      <c r="R3168" s="596"/>
      <c r="S3168" s="596"/>
      <c r="T3168" s="597"/>
      <c r="U3168" s="223">
        <f>SUM(U3163:U3167)</f>
        <v>0</v>
      </c>
    </row>
    <row r="3169" spans="1:21" x14ac:dyDescent="0.25">
      <c r="A3169" s="595" t="s">
        <v>33</v>
      </c>
      <c r="B3169" s="596"/>
      <c r="C3169" s="596"/>
      <c r="D3169" s="596"/>
      <c r="E3169" s="597"/>
      <c r="F3169" s="184">
        <f>SUM(F3168+K3168+P3168)</f>
        <v>29817.407999999999</v>
      </c>
      <c r="G3169" s="595" t="s">
        <v>39</v>
      </c>
      <c r="H3169" s="596"/>
      <c r="I3169" s="596"/>
      <c r="J3169" s="597"/>
      <c r="K3169" s="184">
        <f>SUM(F3168+K3168+P3168+U3168)</f>
        <v>29817.407999999999</v>
      </c>
      <c r="L3169" s="595" t="s">
        <v>40</v>
      </c>
      <c r="M3169" s="596"/>
      <c r="N3169" s="596"/>
      <c r="O3169" s="597"/>
      <c r="P3169" s="184">
        <f>SUM(K3169*0.15)</f>
        <v>4472.6111999999994</v>
      </c>
      <c r="Q3169" s="595" t="s">
        <v>41</v>
      </c>
      <c r="R3169" s="596"/>
      <c r="S3169" s="596"/>
      <c r="T3169" s="597"/>
      <c r="U3169" s="223">
        <f>SUM(K3169+P3169)</f>
        <v>34290.019199999995</v>
      </c>
    </row>
    <row r="3170" spans="1:21" x14ac:dyDescent="0.25">
      <c r="A3170" s="263"/>
      <c r="B3170" s="263"/>
      <c r="C3170" s="263"/>
      <c r="D3170" s="263"/>
      <c r="E3170" s="263"/>
      <c r="F3170" s="263"/>
      <c r="G3170" s="263"/>
      <c r="I3170" s="263"/>
      <c r="J3170" s="263"/>
      <c r="K3170" s="263"/>
      <c r="L3170" s="263"/>
      <c r="M3170" s="263"/>
      <c r="N3170" s="263"/>
      <c r="O3170" s="263"/>
      <c r="P3170" s="263"/>
      <c r="Q3170" s="595" t="s">
        <v>42</v>
      </c>
      <c r="R3170" s="596"/>
      <c r="S3170" s="596"/>
      <c r="T3170" s="597"/>
      <c r="U3170" s="332">
        <f>ROUND((U3169/4.5),2)</f>
        <v>7620</v>
      </c>
    </row>
    <row r="3171" spans="1:21" x14ac:dyDescent="0.25">
      <c r="A3171" s="599"/>
      <c r="B3171" s="599"/>
      <c r="C3171" s="599"/>
      <c r="D3171" s="599"/>
      <c r="E3171" s="599"/>
      <c r="F3171" s="599"/>
      <c r="G3171" s="599"/>
      <c r="H3171" s="599"/>
      <c r="I3171" s="599"/>
      <c r="J3171" s="599"/>
      <c r="K3171" s="599"/>
      <c r="L3171" s="599"/>
      <c r="M3171" s="599"/>
      <c r="N3171" s="599"/>
      <c r="O3171" s="599"/>
      <c r="P3171" s="599"/>
      <c r="Q3171" s="599"/>
      <c r="R3171" s="599"/>
      <c r="S3171" s="599"/>
      <c r="T3171" s="599"/>
      <c r="U3171" s="599"/>
    </row>
    <row r="3172" spans="1:21" x14ac:dyDescent="0.25">
      <c r="A3172" s="572" t="s">
        <v>12</v>
      </c>
      <c r="B3172" s="573"/>
      <c r="C3172" s="578" t="s">
        <v>2113</v>
      </c>
      <c r="D3172" s="579"/>
      <c r="E3172" s="579"/>
      <c r="F3172" s="579"/>
      <c r="G3172" s="579"/>
      <c r="H3172" s="579"/>
      <c r="I3172" s="579"/>
      <c r="J3172" s="579"/>
      <c r="K3172" s="579"/>
      <c r="L3172" s="579"/>
      <c r="M3172" s="579"/>
      <c r="N3172" s="579"/>
      <c r="O3172" s="579"/>
      <c r="P3172" s="579"/>
      <c r="Q3172" s="579"/>
      <c r="R3172" s="579"/>
      <c r="S3172" s="579"/>
      <c r="T3172" s="580"/>
      <c r="U3172" s="587" t="s">
        <v>927</v>
      </c>
    </row>
    <row r="3173" spans="1:21" x14ac:dyDescent="0.25">
      <c r="A3173" s="574"/>
      <c r="B3173" s="575"/>
      <c r="C3173" s="581"/>
      <c r="D3173" s="582"/>
      <c r="E3173" s="582"/>
      <c r="F3173" s="582"/>
      <c r="G3173" s="582"/>
      <c r="H3173" s="582"/>
      <c r="I3173" s="582"/>
      <c r="J3173" s="582"/>
      <c r="K3173" s="582"/>
      <c r="L3173" s="582"/>
      <c r="M3173" s="582"/>
      <c r="N3173" s="582"/>
      <c r="O3173" s="582"/>
      <c r="P3173" s="582"/>
      <c r="Q3173" s="582"/>
      <c r="R3173" s="582"/>
      <c r="S3173" s="582"/>
      <c r="T3173" s="583"/>
      <c r="U3173" s="588"/>
    </row>
    <row r="3174" spans="1:21" x14ac:dyDescent="0.25">
      <c r="A3174" s="576" t="s">
        <v>925</v>
      </c>
      <c r="B3174" s="577"/>
      <c r="C3174" s="584"/>
      <c r="D3174" s="585"/>
      <c r="E3174" s="585"/>
      <c r="F3174" s="585"/>
      <c r="G3174" s="585"/>
      <c r="H3174" s="585"/>
      <c r="I3174" s="585"/>
      <c r="J3174" s="585"/>
      <c r="K3174" s="585"/>
      <c r="L3174" s="585"/>
      <c r="M3174" s="585"/>
      <c r="N3174" s="585"/>
      <c r="O3174" s="585"/>
      <c r="P3174" s="585"/>
      <c r="Q3174" s="585"/>
      <c r="R3174" s="585"/>
      <c r="S3174" s="585"/>
      <c r="T3174" s="586"/>
      <c r="U3174" s="589"/>
    </row>
    <row r="3175" spans="1:21" x14ac:dyDescent="0.25">
      <c r="A3175" s="590" t="s">
        <v>16</v>
      </c>
      <c r="B3175" s="592" t="s">
        <v>18</v>
      </c>
      <c r="C3175" s="593"/>
      <c r="D3175" s="593"/>
      <c r="E3175" s="593"/>
      <c r="F3175" s="594"/>
      <c r="G3175" s="592" t="s">
        <v>24</v>
      </c>
      <c r="H3175" s="593"/>
      <c r="I3175" s="593"/>
      <c r="J3175" s="593"/>
      <c r="K3175" s="594"/>
      <c r="L3175" s="592" t="s">
        <v>25</v>
      </c>
      <c r="M3175" s="593"/>
      <c r="N3175" s="593"/>
      <c r="O3175" s="593"/>
      <c r="P3175" s="594"/>
      <c r="Q3175" s="592" t="s">
        <v>26</v>
      </c>
      <c r="R3175" s="593"/>
      <c r="S3175" s="593"/>
      <c r="T3175" s="593"/>
      <c r="U3175" s="594"/>
    </row>
    <row r="3176" spans="1:21" x14ac:dyDescent="0.25">
      <c r="A3176" s="591"/>
      <c r="B3176" s="182" t="s">
        <v>19</v>
      </c>
      <c r="C3176" s="182" t="s">
        <v>20</v>
      </c>
      <c r="D3176" s="182" t="s">
        <v>21</v>
      </c>
      <c r="E3176" s="182" t="s">
        <v>22</v>
      </c>
      <c r="F3176" s="182" t="s">
        <v>23</v>
      </c>
      <c r="G3176" s="182" t="s">
        <v>19</v>
      </c>
      <c r="H3176" s="216" t="s">
        <v>20</v>
      </c>
      <c r="I3176" s="182" t="s">
        <v>21</v>
      </c>
      <c r="J3176" s="182" t="s">
        <v>22</v>
      </c>
      <c r="K3176" s="182" t="s">
        <v>23</v>
      </c>
      <c r="L3176" s="182" t="s">
        <v>19</v>
      </c>
      <c r="M3176" s="182" t="s">
        <v>20</v>
      </c>
      <c r="N3176" s="182" t="s">
        <v>21</v>
      </c>
      <c r="O3176" s="182" t="s">
        <v>22</v>
      </c>
      <c r="P3176" s="182" t="s">
        <v>23</v>
      </c>
      <c r="Q3176" s="182" t="s">
        <v>19</v>
      </c>
      <c r="R3176" s="182" t="s">
        <v>20</v>
      </c>
      <c r="S3176" s="182" t="s">
        <v>21</v>
      </c>
      <c r="T3176" s="182" t="s">
        <v>22</v>
      </c>
      <c r="U3176" s="211" t="s">
        <v>23</v>
      </c>
    </row>
    <row r="3177" spans="1:21" ht="31.5" x14ac:dyDescent="0.25">
      <c r="A3177" s="333" t="s">
        <v>942</v>
      </c>
      <c r="B3177" s="182" t="s">
        <v>29</v>
      </c>
      <c r="C3177" s="182" t="s">
        <v>28</v>
      </c>
      <c r="D3177" s="182">
        <v>8</v>
      </c>
      <c r="E3177" s="182">
        <f>unskilled</f>
        <v>935</v>
      </c>
      <c r="F3177" s="184">
        <f>(D3177*E3177)</f>
        <v>7480</v>
      </c>
      <c r="G3177" s="182" t="s">
        <v>929</v>
      </c>
      <c r="H3177" s="216" t="s">
        <v>144</v>
      </c>
      <c r="I3177" s="182">
        <v>81.16</v>
      </c>
      <c r="J3177" s="182">
        <f>adopted_rate_gabion_mesh_wire</f>
        <v>129</v>
      </c>
      <c r="K3177" s="182">
        <f>(I3177*J3177)</f>
        <v>10469.64</v>
      </c>
      <c r="L3177" s="263"/>
      <c r="M3177" s="263"/>
      <c r="N3177" s="263"/>
      <c r="O3177" s="263"/>
      <c r="P3177" s="263"/>
      <c r="Q3177" s="263"/>
      <c r="R3177" s="263"/>
      <c r="S3177" s="263"/>
      <c r="T3177" s="263"/>
    </row>
    <row r="3178" spans="1:21" x14ac:dyDescent="0.25">
      <c r="A3178" s="263"/>
      <c r="B3178" s="182" t="s">
        <v>47</v>
      </c>
      <c r="C3178" s="182" t="s">
        <v>28</v>
      </c>
      <c r="D3178" s="182">
        <v>3</v>
      </c>
      <c r="E3178" s="182">
        <f>skilled</f>
        <v>1245</v>
      </c>
      <c r="F3178" s="184">
        <f>(D3178*E3178)</f>
        <v>3735</v>
      </c>
      <c r="G3178" s="182" t="s">
        <v>930</v>
      </c>
      <c r="H3178" s="216" t="s">
        <v>144</v>
      </c>
      <c r="I3178" s="182">
        <v>10.8</v>
      </c>
      <c r="J3178" s="182">
        <f>adopted_rate_gi_wire</f>
        <v>129</v>
      </c>
      <c r="K3178" s="182">
        <f>(I3178*J3178)</f>
        <v>1393.2</v>
      </c>
      <c r="L3178" s="263"/>
      <c r="M3178" s="263"/>
      <c r="N3178" s="263"/>
      <c r="O3178" s="263"/>
      <c r="P3178" s="263"/>
      <c r="Q3178" s="263"/>
      <c r="R3178" s="263"/>
      <c r="S3178" s="263"/>
      <c r="T3178" s="263"/>
    </row>
    <row r="3179" spans="1:21" x14ac:dyDescent="0.25">
      <c r="A3179" s="263"/>
      <c r="B3179" s="263"/>
      <c r="C3179" s="263"/>
      <c r="D3179" s="263"/>
      <c r="E3179" s="263"/>
      <c r="F3179" s="263"/>
      <c r="G3179" s="182" t="s">
        <v>36</v>
      </c>
      <c r="H3179" s="216" t="s">
        <v>144</v>
      </c>
      <c r="I3179" s="182">
        <v>4.72</v>
      </c>
      <c r="J3179" s="182">
        <f>adopted_rate_binding_wire</f>
        <v>120</v>
      </c>
      <c r="K3179" s="182">
        <f>(I3179*J3179)</f>
        <v>566.4</v>
      </c>
      <c r="L3179" s="263"/>
      <c r="M3179" s="263"/>
      <c r="N3179" s="263"/>
      <c r="O3179" s="263"/>
      <c r="P3179" s="263"/>
      <c r="Q3179" s="263"/>
      <c r="R3179" s="263"/>
      <c r="S3179" s="263"/>
      <c r="T3179" s="263"/>
    </row>
    <row r="3180" spans="1:21" x14ac:dyDescent="0.25">
      <c r="A3180" s="263"/>
      <c r="B3180" s="263"/>
      <c r="C3180" s="263"/>
      <c r="D3180" s="263"/>
      <c r="E3180" s="263"/>
      <c r="F3180" s="263"/>
      <c r="G3180" s="182" t="s">
        <v>931</v>
      </c>
      <c r="H3180" s="216" t="s">
        <v>84</v>
      </c>
      <c r="I3180" s="182">
        <v>6.6</v>
      </c>
      <c r="J3180" s="182">
        <f>adopted_rate_rubble</f>
        <v>2575.44</v>
      </c>
      <c r="K3180" s="182">
        <f>(I3180*J3180)</f>
        <v>16997.903999999999</v>
      </c>
      <c r="L3180" s="263"/>
      <c r="M3180" s="263"/>
      <c r="N3180" s="263"/>
      <c r="O3180" s="263"/>
      <c r="P3180" s="263"/>
      <c r="Q3180" s="263"/>
      <c r="R3180" s="263"/>
      <c r="S3180" s="263"/>
      <c r="T3180" s="263"/>
    </row>
    <row r="3181" spans="1:21" x14ac:dyDescent="0.25">
      <c r="A3181" s="595" t="s">
        <v>30</v>
      </c>
      <c r="B3181" s="596"/>
      <c r="C3181" s="596"/>
      <c r="D3181" s="596"/>
      <c r="E3181" s="597"/>
      <c r="F3181" s="184">
        <f>SUM(F3176:F3180)</f>
        <v>11215</v>
      </c>
      <c r="G3181" s="595" t="s">
        <v>31</v>
      </c>
      <c r="H3181" s="596"/>
      <c r="I3181" s="596"/>
      <c r="J3181" s="597"/>
      <c r="K3181" s="184">
        <f>SUM(K3176:K3180)</f>
        <v>29427.144</v>
      </c>
      <c r="L3181" s="595" t="s">
        <v>32</v>
      </c>
      <c r="M3181" s="596"/>
      <c r="N3181" s="596"/>
      <c r="O3181" s="597"/>
      <c r="P3181" s="184">
        <f>SUM(P3176:P3180)</f>
        <v>0</v>
      </c>
      <c r="Q3181" s="595" t="s">
        <v>38</v>
      </c>
      <c r="R3181" s="596"/>
      <c r="S3181" s="596"/>
      <c r="T3181" s="597"/>
      <c r="U3181" s="223">
        <f>SUM(U3176:U3180)</f>
        <v>0</v>
      </c>
    </row>
    <row r="3182" spans="1:21" x14ac:dyDescent="0.25">
      <c r="A3182" s="595" t="s">
        <v>33</v>
      </c>
      <c r="B3182" s="596"/>
      <c r="C3182" s="596"/>
      <c r="D3182" s="596"/>
      <c r="E3182" s="597"/>
      <c r="F3182" s="184">
        <f>SUM(F3181+K3181+P3181)</f>
        <v>40642.144</v>
      </c>
      <c r="G3182" s="595" t="s">
        <v>39</v>
      </c>
      <c r="H3182" s="596"/>
      <c r="I3182" s="596"/>
      <c r="J3182" s="597"/>
      <c r="K3182" s="184">
        <f>SUM(F3181+K3181+P3181+U3181)</f>
        <v>40642.144</v>
      </c>
      <c r="L3182" s="595" t="s">
        <v>40</v>
      </c>
      <c r="M3182" s="596"/>
      <c r="N3182" s="596"/>
      <c r="O3182" s="597"/>
      <c r="P3182" s="184">
        <f>SUM(K3182*0.15)</f>
        <v>6096.3216000000002</v>
      </c>
      <c r="Q3182" s="595" t="s">
        <v>41</v>
      </c>
      <c r="R3182" s="596"/>
      <c r="S3182" s="596"/>
      <c r="T3182" s="597"/>
      <c r="U3182" s="223">
        <f>SUM(K3182+P3182)</f>
        <v>46738.465600000003</v>
      </c>
    </row>
    <row r="3183" spans="1:21" x14ac:dyDescent="0.25">
      <c r="A3183" s="263"/>
      <c r="B3183" s="263"/>
      <c r="C3183" s="263"/>
      <c r="D3183" s="263"/>
      <c r="E3183" s="263"/>
      <c r="F3183" s="263"/>
      <c r="G3183" s="263"/>
      <c r="I3183" s="263"/>
      <c r="J3183" s="263"/>
      <c r="K3183" s="263"/>
      <c r="L3183" s="263"/>
      <c r="M3183" s="263"/>
      <c r="N3183" s="263"/>
      <c r="O3183" s="263"/>
      <c r="P3183" s="263"/>
      <c r="Q3183" s="595" t="s">
        <v>42</v>
      </c>
      <c r="R3183" s="596"/>
      <c r="S3183" s="596"/>
      <c r="T3183" s="597"/>
      <c r="U3183" s="332">
        <f>ROUND((U3182/6),2)</f>
        <v>7789.74</v>
      </c>
    </row>
    <row r="3184" spans="1:21" x14ac:dyDescent="0.25">
      <c r="A3184" s="599"/>
      <c r="B3184" s="599"/>
      <c r="C3184" s="599"/>
      <c r="D3184" s="599"/>
      <c r="E3184" s="599"/>
      <c r="F3184" s="599"/>
      <c r="G3184" s="599"/>
      <c r="H3184" s="599"/>
      <c r="I3184" s="599"/>
      <c r="J3184" s="599"/>
      <c r="K3184" s="599"/>
      <c r="L3184" s="599"/>
      <c r="M3184" s="599"/>
      <c r="N3184" s="599"/>
      <c r="O3184" s="599"/>
      <c r="P3184" s="599"/>
      <c r="Q3184" s="599"/>
      <c r="R3184" s="599"/>
      <c r="S3184" s="599"/>
      <c r="T3184" s="599"/>
      <c r="U3184" s="599"/>
    </row>
    <row r="3185" spans="1:21" x14ac:dyDescent="0.25">
      <c r="A3185" s="572" t="s">
        <v>12</v>
      </c>
      <c r="B3185" s="573"/>
      <c r="C3185" s="578" t="s">
        <v>2114</v>
      </c>
      <c r="D3185" s="579"/>
      <c r="E3185" s="579"/>
      <c r="F3185" s="579"/>
      <c r="G3185" s="579"/>
      <c r="H3185" s="579"/>
      <c r="I3185" s="579"/>
      <c r="J3185" s="579"/>
      <c r="K3185" s="579"/>
      <c r="L3185" s="579"/>
      <c r="M3185" s="579"/>
      <c r="N3185" s="579"/>
      <c r="O3185" s="579"/>
      <c r="P3185" s="579"/>
      <c r="Q3185" s="579"/>
      <c r="R3185" s="579"/>
      <c r="S3185" s="579"/>
      <c r="T3185" s="580"/>
      <c r="U3185" s="587" t="s">
        <v>927</v>
      </c>
    </row>
    <row r="3186" spans="1:21" x14ac:dyDescent="0.25">
      <c r="A3186" s="574"/>
      <c r="B3186" s="575"/>
      <c r="C3186" s="581"/>
      <c r="D3186" s="582"/>
      <c r="E3186" s="582"/>
      <c r="F3186" s="582"/>
      <c r="G3186" s="582"/>
      <c r="H3186" s="582"/>
      <c r="I3186" s="582"/>
      <c r="J3186" s="582"/>
      <c r="K3186" s="582"/>
      <c r="L3186" s="582"/>
      <c r="M3186" s="582"/>
      <c r="N3186" s="582"/>
      <c r="O3186" s="582"/>
      <c r="P3186" s="582"/>
      <c r="Q3186" s="582"/>
      <c r="R3186" s="582"/>
      <c r="S3186" s="582"/>
      <c r="T3186" s="583"/>
      <c r="U3186" s="588"/>
    </row>
    <row r="3187" spans="1:21" s="230" customFormat="1" x14ac:dyDescent="0.25">
      <c r="A3187" s="576" t="s">
        <v>925</v>
      </c>
      <c r="B3187" s="577"/>
      <c r="C3187" s="584"/>
      <c r="D3187" s="585"/>
      <c r="E3187" s="585"/>
      <c r="F3187" s="585"/>
      <c r="G3187" s="585"/>
      <c r="H3187" s="585"/>
      <c r="I3187" s="585"/>
      <c r="J3187" s="585"/>
      <c r="K3187" s="585"/>
      <c r="L3187" s="585"/>
      <c r="M3187" s="585"/>
      <c r="N3187" s="585"/>
      <c r="O3187" s="585"/>
      <c r="P3187" s="585"/>
      <c r="Q3187" s="585"/>
      <c r="R3187" s="585"/>
      <c r="S3187" s="585"/>
      <c r="T3187" s="586"/>
      <c r="U3187" s="589"/>
    </row>
    <row r="3188" spans="1:21" s="230" customFormat="1" x14ac:dyDescent="0.25">
      <c r="A3188" s="590" t="s">
        <v>16</v>
      </c>
      <c r="B3188" s="592" t="s">
        <v>18</v>
      </c>
      <c r="C3188" s="593"/>
      <c r="D3188" s="593"/>
      <c r="E3188" s="593"/>
      <c r="F3188" s="594"/>
      <c r="G3188" s="592" t="s">
        <v>24</v>
      </c>
      <c r="H3188" s="593"/>
      <c r="I3188" s="593"/>
      <c r="J3188" s="593"/>
      <c r="K3188" s="594"/>
      <c r="L3188" s="592" t="s">
        <v>25</v>
      </c>
      <c r="M3188" s="593"/>
      <c r="N3188" s="593"/>
      <c r="O3188" s="593"/>
      <c r="P3188" s="594"/>
      <c r="Q3188" s="592" t="s">
        <v>26</v>
      </c>
      <c r="R3188" s="593"/>
      <c r="S3188" s="593"/>
      <c r="T3188" s="593"/>
      <c r="U3188" s="594"/>
    </row>
    <row r="3189" spans="1:21" s="230" customFormat="1" x14ac:dyDescent="0.25">
      <c r="A3189" s="591"/>
      <c r="B3189" s="182" t="s">
        <v>19</v>
      </c>
      <c r="C3189" s="182" t="s">
        <v>20</v>
      </c>
      <c r="D3189" s="182" t="s">
        <v>21</v>
      </c>
      <c r="E3189" s="182" t="s">
        <v>22</v>
      </c>
      <c r="F3189" s="182" t="s">
        <v>23</v>
      </c>
      <c r="G3189" s="182" t="s">
        <v>19</v>
      </c>
      <c r="H3189" s="216" t="s">
        <v>20</v>
      </c>
      <c r="I3189" s="182" t="s">
        <v>21</v>
      </c>
      <c r="J3189" s="182" t="s">
        <v>22</v>
      </c>
      <c r="K3189" s="182" t="s">
        <v>23</v>
      </c>
      <c r="L3189" s="182" t="s">
        <v>19</v>
      </c>
      <c r="M3189" s="182" t="s">
        <v>20</v>
      </c>
      <c r="N3189" s="182" t="s">
        <v>21</v>
      </c>
      <c r="O3189" s="182" t="s">
        <v>22</v>
      </c>
      <c r="P3189" s="182" t="s">
        <v>23</v>
      </c>
      <c r="Q3189" s="182" t="s">
        <v>19</v>
      </c>
      <c r="R3189" s="182" t="s">
        <v>20</v>
      </c>
      <c r="S3189" s="182" t="s">
        <v>21</v>
      </c>
      <c r="T3189" s="182" t="s">
        <v>22</v>
      </c>
      <c r="U3189" s="211" t="s">
        <v>23</v>
      </c>
    </row>
    <row r="3190" spans="1:21" s="230" customFormat="1" ht="31.5" x14ac:dyDescent="0.25">
      <c r="A3190" s="333" t="s">
        <v>944</v>
      </c>
      <c r="B3190" s="182" t="s">
        <v>29</v>
      </c>
      <c r="C3190" s="182" t="s">
        <v>28</v>
      </c>
      <c r="D3190" s="182">
        <v>8</v>
      </c>
      <c r="E3190" s="182">
        <f>unskilled</f>
        <v>935</v>
      </c>
      <c r="F3190" s="184">
        <f>(D3190*E3190)</f>
        <v>7480</v>
      </c>
      <c r="G3190" s="182" t="s">
        <v>929</v>
      </c>
      <c r="H3190" s="216" t="s">
        <v>144</v>
      </c>
      <c r="I3190" s="182">
        <v>96.6</v>
      </c>
      <c r="J3190" s="182">
        <f>adopted_rate_gabion_mesh_wire</f>
        <v>129</v>
      </c>
      <c r="K3190" s="182">
        <f>(I3190*J3190)</f>
        <v>12461.4</v>
      </c>
      <c r="L3190" s="263"/>
      <c r="M3190" s="263"/>
      <c r="N3190" s="263"/>
      <c r="O3190" s="263"/>
      <c r="P3190" s="263"/>
      <c r="Q3190" s="263"/>
      <c r="R3190" s="263"/>
      <c r="S3190" s="263"/>
      <c r="T3190" s="263"/>
      <c r="U3190" s="212"/>
    </row>
    <row r="3191" spans="1:21" s="230" customFormat="1" x14ac:dyDescent="0.25">
      <c r="A3191" s="263"/>
      <c r="B3191" s="182" t="s">
        <v>47</v>
      </c>
      <c r="C3191" s="182" t="s">
        <v>28</v>
      </c>
      <c r="D3191" s="182">
        <v>3</v>
      </c>
      <c r="E3191" s="182">
        <f>skilled</f>
        <v>1245</v>
      </c>
      <c r="F3191" s="184">
        <f>(D3191*E3191)</f>
        <v>3735</v>
      </c>
      <c r="G3191" s="182" t="s">
        <v>930</v>
      </c>
      <c r="H3191" s="216" t="s">
        <v>144</v>
      </c>
      <c r="I3191" s="182">
        <v>13.12</v>
      </c>
      <c r="J3191" s="182">
        <f>adopted_rate_gi_wire</f>
        <v>129</v>
      </c>
      <c r="K3191" s="182">
        <f>(I3191*J3191)</f>
        <v>1692.4799999999998</v>
      </c>
      <c r="L3191" s="263"/>
      <c r="M3191" s="263"/>
      <c r="N3191" s="263"/>
      <c r="O3191" s="263"/>
      <c r="P3191" s="263"/>
      <c r="Q3191" s="263"/>
      <c r="R3191" s="263"/>
      <c r="S3191" s="263"/>
      <c r="T3191" s="263"/>
      <c r="U3191" s="212"/>
    </row>
    <row r="3192" spans="1:21" s="230" customFormat="1" x14ac:dyDescent="0.25">
      <c r="A3192" s="263"/>
      <c r="B3192" s="263"/>
      <c r="C3192" s="263"/>
      <c r="D3192" s="263"/>
      <c r="E3192" s="263"/>
      <c r="F3192" s="263"/>
      <c r="G3192" s="182" t="s">
        <v>36</v>
      </c>
      <c r="H3192" s="216" t="s">
        <v>144</v>
      </c>
      <c r="I3192" s="182">
        <v>4.76</v>
      </c>
      <c r="J3192" s="182">
        <f>adopted_rate_binding_wire</f>
        <v>120</v>
      </c>
      <c r="K3192" s="182">
        <f>(I3192*J3192)</f>
        <v>571.19999999999993</v>
      </c>
      <c r="L3192" s="263"/>
      <c r="M3192" s="263"/>
      <c r="N3192" s="263"/>
      <c r="O3192" s="263"/>
      <c r="P3192" s="263"/>
      <c r="Q3192" s="263"/>
      <c r="R3192" s="263"/>
      <c r="S3192" s="263"/>
      <c r="T3192" s="263"/>
      <c r="U3192" s="212"/>
    </row>
    <row r="3193" spans="1:21" s="230" customFormat="1" x14ac:dyDescent="0.25">
      <c r="A3193" s="263"/>
      <c r="B3193" s="263"/>
      <c r="C3193" s="263"/>
      <c r="D3193" s="263"/>
      <c r="E3193" s="263"/>
      <c r="F3193" s="263"/>
      <c r="G3193" s="182" t="s">
        <v>931</v>
      </c>
      <c r="H3193" s="216" t="s">
        <v>84</v>
      </c>
      <c r="I3193" s="182">
        <v>6.6</v>
      </c>
      <c r="J3193" s="182">
        <f>adopted_rate_rubble</f>
        <v>2575.44</v>
      </c>
      <c r="K3193" s="182">
        <f>(I3193*J3193)</f>
        <v>16997.903999999999</v>
      </c>
      <c r="L3193" s="263"/>
      <c r="M3193" s="263"/>
      <c r="N3193" s="263"/>
      <c r="O3193" s="263"/>
      <c r="P3193" s="263"/>
      <c r="Q3193" s="263"/>
      <c r="R3193" s="263"/>
      <c r="S3193" s="263"/>
      <c r="T3193" s="263"/>
      <c r="U3193" s="212"/>
    </row>
    <row r="3194" spans="1:21" s="230" customFormat="1" x14ac:dyDescent="0.25">
      <c r="A3194" s="595" t="s">
        <v>30</v>
      </c>
      <c r="B3194" s="596"/>
      <c r="C3194" s="596"/>
      <c r="D3194" s="596"/>
      <c r="E3194" s="597"/>
      <c r="F3194" s="184">
        <f>SUM(F3189:F3193)</f>
        <v>11215</v>
      </c>
      <c r="G3194" s="595" t="s">
        <v>31</v>
      </c>
      <c r="H3194" s="596"/>
      <c r="I3194" s="596"/>
      <c r="J3194" s="597"/>
      <c r="K3194" s="184">
        <f>SUM(K3189:K3193)</f>
        <v>31722.983999999997</v>
      </c>
      <c r="L3194" s="595" t="s">
        <v>32</v>
      </c>
      <c r="M3194" s="596"/>
      <c r="N3194" s="596"/>
      <c r="O3194" s="597"/>
      <c r="P3194" s="184">
        <f>SUM(P3189:P3193)</f>
        <v>0</v>
      </c>
      <c r="Q3194" s="595" t="s">
        <v>38</v>
      </c>
      <c r="R3194" s="596"/>
      <c r="S3194" s="596"/>
      <c r="T3194" s="597"/>
      <c r="U3194" s="223">
        <f>SUM(U3189:U3193)</f>
        <v>0</v>
      </c>
    </row>
    <row r="3195" spans="1:21" s="230" customFormat="1" x14ac:dyDescent="0.25">
      <c r="A3195" s="595" t="s">
        <v>33</v>
      </c>
      <c r="B3195" s="596"/>
      <c r="C3195" s="596"/>
      <c r="D3195" s="596"/>
      <c r="E3195" s="597"/>
      <c r="F3195" s="184">
        <f>SUM(F3194+K3194+P3194)</f>
        <v>42937.983999999997</v>
      </c>
      <c r="G3195" s="595" t="s">
        <v>39</v>
      </c>
      <c r="H3195" s="596"/>
      <c r="I3195" s="596"/>
      <c r="J3195" s="597"/>
      <c r="K3195" s="184">
        <f>SUM(F3194+K3194+P3194+U3194)</f>
        <v>42937.983999999997</v>
      </c>
      <c r="L3195" s="595" t="s">
        <v>40</v>
      </c>
      <c r="M3195" s="596"/>
      <c r="N3195" s="596"/>
      <c r="O3195" s="597"/>
      <c r="P3195" s="184">
        <f>SUM(K3195*0.15)</f>
        <v>6440.6975999999995</v>
      </c>
      <c r="Q3195" s="595" t="s">
        <v>41</v>
      </c>
      <c r="R3195" s="596"/>
      <c r="S3195" s="596"/>
      <c r="T3195" s="597"/>
      <c r="U3195" s="223">
        <f>SUM(K3195+P3195)</f>
        <v>49378.681599999996</v>
      </c>
    </row>
    <row r="3196" spans="1:21" s="230" customFormat="1" x14ac:dyDescent="0.25">
      <c r="A3196" s="263"/>
      <c r="B3196" s="263"/>
      <c r="C3196" s="263"/>
      <c r="D3196" s="263"/>
      <c r="E3196" s="263"/>
      <c r="F3196" s="263"/>
      <c r="G3196" s="263"/>
      <c r="H3196" s="217"/>
      <c r="I3196" s="263"/>
      <c r="J3196" s="263"/>
      <c r="K3196" s="263"/>
      <c r="L3196" s="263"/>
      <c r="M3196" s="263"/>
      <c r="N3196" s="263"/>
      <c r="O3196" s="263"/>
      <c r="P3196" s="263"/>
      <c r="Q3196" s="595" t="s">
        <v>42</v>
      </c>
      <c r="R3196" s="596"/>
      <c r="S3196" s="596"/>
      <c r="T3196" s="597"/>
      <c r="U3196" s="332">
        <f>ROUND((U3195/6),2)</f>
        <v>8229.7800000000007</v>
      </c>
    </row>
    <row r="3197" spans="1:21" s="230" customFormat="1" x14ac:dyDescent="0.25">
      <c r="A3197" s="599"/>
      <c r="B3197" s="599"/>
      <c r="C3197" s="599"/>
      <c r="D3197" s="599"/>
      <c r="E3197" s="599"/>
      <c r="F3197" s="599"/>
      <c r="G3197" s="599"/>
      <c r="H3197" s="599"/>
      <c r="I3197" s="599"/>
      <c r="J3197" s="599"/>
      <c r="K3197" s="599"/>
      <c r="L3197" s="599"/>
      <c r="M3197" s="599"/>
      <c r="N3197" s="599"/>
      <c r="O3197" s="599"/>
      <c r="P3197" s="599"/>
      <c r="Q3197" s="599"/>
      <c r="R3197" s="599"/>
      <c r="S3197" s="599"/>
      <c r="T3197" s="599"/>
      <c r="U3197" s="599"/>
    </row>
    <row r="3198" spans="1:21" s="230" customFormat="1" x14ac:dyDescent="0.25">
      <c r="A3198" s="572" t="s">
        <v>12</v>
      </c>
      <c r="B3198" s="573"/>
      <c r="C3198" s="578" t="s">
        <v>2115</v>
      </c>
      <c r="D3198" s="579"/>
      <c r="E3198" s="579"/>
      <c r="F3198" s="579"/>
      <c r="G3198" s="579"/>
      <c r="H3198" s="579"/>
      <c r="I3198" s="579"/>
      <c r="J3198" s="579"/>
      <c r="K3198" s="579"/>
      <c r="L3198" s="579"/>
      <c r="M3198" s="579"/>
      <c r="N3198" s="579"/>
      <c r="O3198" s="579"/>
      <c r="P3198" s="579"/>
      <c r="Q3198" s="579"/>
      <c r="R3198" s="579"/>
      <c r="S3198" s="579"/>
      <c r="T3198" s="580"/>
      <c r="U3198" s="587" t="s">
        <v>927</v>
      </c>
    </row>
    <row r="3199" spans="1:21" s="230" customFormat="1" x14ac:dyDescent="0.25">
      <c r="A3199" s="574"/>
      <c r="B3199" s="575"/>
      <c r="C3199" s="581"/>
      <c r="D3199" s="582"/>
      <c r="E3199" s="582"/>
      <c r="F3199" s="582"/>
      <c r="G3199" s="582"/>
      <c r="H3199" s="582"/>
      <c r="I3199" s="582"/>
      <c r="J3199" s="582"/>
      <c r="K3199" s="582"/>
      <c r="L3199" s="582"/>
      <c r="M3199" s="582"/>
      <c r="N3199" s="582"/>
      <c r="O3199" s="582"/>
      <c r="P3199" s="582"/>
      <c r="Q3199" s="582"/>
      <c r="R3199" s="582"/>
      <c r="S3199" s="582"/>
      <c r="T3199" s="583"/>
      <c r="U3199" s="588"/>
    </row>
    <row r="3200" spans="1:21" s="230" customFormat="1" x14ac:dyDescent="0.25">
      <c r="A3200" s="576" t="s">
        <v>925</v>
      </c>
      <c r="B3200" s="577"/>
      <c r="C3200" s="584"/>
      <c r="D3200" s="585"/>
      <c r="E3200" s="585"/>
      <c r="F3200" s="585"/>
      <c r="G3200" s="585"/>
      <c r="H3200" s="585"/>
      <c r="I3200" s="585"/>
      <c r="J3200" s="585"/>
      <c r="K3200" s="585"/>
      <c r="L3200" s="585"/>
      <c r="M3200" s="585"/>
      <c r="N3200" s="585"/>
      <c r="O3200" s="585"/>
      <c r="P3200" s="585"/>
      <c r="Q3200" s="585"/>
      <c r="R3200" s="585"/>
      <c r="S3200" s="585"/>
      <c r="T3200" s="586"/>
      <c r="U3200" s="589"/>
    </row>
    <row r="3201" spans="1:21" s="230" customFormat="1" x14ac:dyDescent="0.25">
      <c r="A3201" s="590" t="s">
        <v>16</v>
      </c>
      <c r="B3201" s="592" t="s">
        <v>18</v>
      </c>
      <c r="C3201" s="593"/>
      <c r="D3201" s="593"/>
      <c r="E3201" s="593"/>
      <c r="F3201" s="594"/>
      <c r="G3201" s="592" t="s">
        <v>24</v>
      </c>
      <c r="H3201" s="593"/>
      <c r="I3201" s="593"/>
      <c r="J3201" s="593"/>
      <c r="K3201" s="594"/>
      <c r="L3201" s="592" t="s">
        <v>25</v>
      </c>
      <c r="M3201" s="593"/>
      <c r="N3201" s="593"/>
      <c r="O3201" s="593"/>
      <c r="P3201" s="594"/>
      <c r="Q3201" s="592" t="s">
        <v>26</v>
      </c>
      <c r="R3201" s="593"/>
      <c r="S3201" s="593"/>
      <c r="T3201" s="593"/>
      <c r="U3201" s="594"/>
    </row>
    <row r="3202" spans="1:21" s="230" customFormat="1" x14ac:dyDescent="0.25">
      <c r="A3202" s="591"/>
      <c r="B3202" s="182" t="s">
        <v>19</v>
      </c>
      <c r="C3202" s="182" t="s">
        <v>20</v>
      </c>
      <c r="D3202" s="182" t="s">
        <v>21</v>
      </c>
      <c r="E3202" s="182" t="s">
        <v>22</v>
      </c>
      <c r="F3202" s="182" t="s">
        <v>23</v>
      </c>
      <c r="G3202" s="182" t="s">
        <v>19</v>
      </c>
      <c r="H3202" s="216" t="s">
        <v>20</v>
      </c>
      <c r="I3202" s="182" t="s">
        <v>21</v>
      </c>
      <c r="J3202" s="182" t="s">
        <v>22</v>
      </c>
      <c r="K3202" s="182" t="s">
        <v>23</v>
      </c>
      <c r="L3202" s="182" t="s">
        <v>19</v>
      </c>
      <c r="M3202" s="182" t="s">
        <v>20</v>
      </c>
      <c r="N3202" s="182" t="s">
        <v>21</v>
      </c>
      <c r="O3202" s="182" t="s">
        <v>22</v>
      </c>
      <c r="P3202" s="182" t="s">
        <v>23</v>
      </c>
      <c r="Q3202" s="182" t="s">
        <v>19</v>
      </c>
      <c r="R3202" s="182" t="s">
        <v>20</v>
      </c>
      <c r="S3202" s="182" t="s">
        <v>21</v>
      </c>
      <c r="T3202" s="182" t="s">
        <v>22</v>
      </c>
      <c r="U3202" s="211" t="s">
        <v>23</v>
      </c>
    </row>
    <row r="3203" spans="1:21" s="230" customFormat="1" ht="31.5" x14ac:dyDescent="0.25">
      <c r="A3203" s="333" t="s">
        <v>946</v>
      </c>
      <c r="B3203" s="182" t="s">
        <v>29</v>
      </c>
      <c r="C3203" s="182" t="s">
        <v>28</v>
      </c>
      <c r="D3203" s="182">
        <v>8</v>
      </c>
      <c r="E3203" s="182">
        <f>unskilled</f>
        <v>935</v>
      </c>
      <c r="F3203" s="184">
        <f>(D3203*E3203)</f>
        <v>7480</v>
      </c>
      <c r="G3203" s="182" t="s">
        <v>929</v>
      </c>
      <c r="H3203" s="216" t="s">
        <v>144</v>
      </c>
      <c r="I3203" s="182">
        <v>87.76</v>
      </c>
      <c r="J3203" s="182">
        <f>adopted_rate_gabion_mesh_wire</f>
        <v>129</v>
      </c>
      <c r="K3203" s="182">
        <f>(I3203*J3203)</f>
        <v>11321.04</v>
      </c>
      <c r="L3203" s="263"/>
      <c r="M3203" s="263"/>
      <c r="N3203" s="263"/>
      <c r="O3203" s="263"/>
      <c r="P3203" s="263"/>
      <c r="Q3203" s="263"/>
      <c r="R3203" s="263"/>
      <c r="S3203" s="263"/>
      <c r="T3203" s="263"/>
      <c r="U3203" s="212"/>
    </row>
    <row r="3204" spans="1:21" s="230" customFormat="1" x14ac:dyDescent="0.25">
      <c r="A3204" s="263"/>
      <c r="B3204" s="182" t="s">
        <v>47</v>
      </c>
      <c r="C3204" s="182" t="s">
        <v>28</v>
      </c>
      <c r="D3204" s="182">
        <v>3</v>
      </c>
      <c r="E3204" s="182">
        <f>skilled</f>
        <v>1245</v>
      </c>
      <c r="F3204" s="184">
        <f>(D3204*E3204)</f>
        <v>3735</v>
      </c>
      <c r="G3204" s="182" t="s">
        <v>930</v>
      </c>
      <c r="H3204" s="216" t="s">
        <v>144</v>
      </c>
      <c r="I3204" s="182">
        <v>14.4</v>
      </c>
      <c r="J3204" s="182">
        <f>adopted_rate_gi_wire</f>
        <v>129</v>
      </c>
      <c r="K3204" s="182">
        <f>(I3204*J3204)</f>
        <v>1857.6000000000001</v>
      </c>
      <c r="L3204" s="263"/>
      <c r="M3204" s="263"/>
      <c r="N3204" s="263"/>
      <c r="O3204" s="263"/>
      <c r="P3204" s="263"/>
      <c r="Q3204" s="263"/>
      <c r="R3204" s="263"/>
      <c r="S3204" s="263"/>
      <c r="T3204" s="263"/>
      <c r="U3204" s="212"/>
    </row>
    <row r="3205" spans="1:21" s="230" customFormat="1" x14ac:dyDescent="0.25">
      <c r="A3205" s="263"/>
      <c r="B3205" s="263"/>
      <c r="C3205" s="263"/>
      <c r="D3205" s="263"/>
      <c r="E3205" s="263"/>
      <c r="F3205" s="263"/>
      <c r="G3205" s="182" t="s">
        <v>36</v>
      </c>
      <c r="H3205" s="216" t="s">
        <v>144</v>
      </c>
      <c r="I3205" s="182">
        <v>5.92</v>
      </c>
      <c r="J3205" s="182">
        <f>adopted_rate_binding_wire</f>
        <v>120</v>
      </c>
      <c r="K3205" s="182">
        <f>(I3205*J3205)</f>
        <v>710.4</v>
      </c>
      <c r="L3205" s="263"/>
      <c r="M3205" s="263"/>
      <c r="N3205" s="263"/>
      <c r="O3205" s="263"/>
      <c r="P3205" s="263"/>
      <c r="Q3205" s="263"/>
      <c r="R3205" s="263"/>
      <c r="S3205" s="263"/>
      <c r="T3205" s="263"/>
      <c r="U3205" s="212"/>
    </row>
    <row r="3206" spans="1:21" s="230" customFormat="1" x14ac:dyDescent="0.25">
      <c r="A3206" s="263"/>
      <c r="B3206" s="263"/>
      <c r="C3206" s="263"/>
      <c r="D3206" s="263"/>
      <c r="E3206" s="263"/>
      <c r="F3206" s="263"/>
      <c r="G3206" s="182" t="s">
        <v>931</v>
      </c>
      <c r="H3206" s="216" t="s">
        <v>84</v>
      </c>
      <c r="I3206" s="182">
        <v>6.6</v>
      </c>
      <c r="J3206" s="182">
        <f>adopted_rate_rubble</f>
        <v>2575.44</v>
      </c>
      <c r="K3206" s="182">
        <f>(I3206*J3206)</f>
        <v>16997.903999999999</v>
      </c>
      <c r="L3206" s="263"/>
      <c r="M3206" s="263"/>
      <c r="N3206" s="263"/>
      <c r="O3206" s="263"/>
      <c r="P3206" s="263"/>
      <c r="Q3206" s="263"/>
      <c r="R3206" s="263"/>
      <c r="S3206" s="263"/>
      <c r="T3206" s="263"/>
      <c r="U3206" s="212"/>
    </row>
    <row r="3207" spans="1:21" s="230" customFormat="1" x14ac:dyDescent="0.25">
      <c r="A3207" s="595" t="s">
        <v>30</v>
      </c>
      <c r="B3207" s="596"/>
      <c r="C3207" s="596"/>
      <c r="D3207" s="596"/>
      <c r="E3207" s="597"/>
      <c r="F3207" s="184">
        <f>SUM(F3202:F3206)</f>
        <v>11215</v>
      </c>
      <c r="G3207" s="595" t="s">
        <v>31</v>
      </c>
      <c r="H3207" s="596"/>
      <c r="I3207" s="596"/>
      <c r="J3207" s="597"/>
      <c r="K3207" s="184">
        <f>SUM(K3202:K3206)</f>
        <v>30886.944</v>
      </c>
      <c r="L3207" s="595" t="s">
        <v>32</v>
      </c>
      <c r="M3207" s="596"/>
      <c r="N3207" s="596"/>
      <c r="O3207" s="597"/>
      <c r="P3207" s="184">
        <f>SUM(P3202:P3206)</f>
        <v>0</v>
      </c>
      <c r="Q3207" s="595" t="s">
        <v>38</v>
      </c>
      <c r="R3207" s="596"/>
      <c r="S3207" s="596"/>
      <c r="T3207" s="597"/>
      <c r="U3207" s="223">
        <f>SUM(U3202:U3206)</f>
        <v>0</v>
      </c>
    </row>
    <row r="3208" spans="1:21" s="230" customFormat="1" x14ac:dyDescent="0.25">
      <c r="A3208" s="595" t="s">
        <v>33</v>
      </c>
      <c r="B3208" s="596"/>
      <c r="C3208" s="596"/>
      <c r="D3208" s="596"/>
      <c r="E3208" s="597"/>
      <c r="F3208" s="184">
        <f>SUM(F3207+K3207+P3207)</f>
        <v>42101.944000000003</v>
      </c>
      <c r="G3208" s="595" t="s">
        <v>39</v>
      </c>
      <c r="H3208" s="596"/>
      <c r="I3208" s="596"/>
      <c r="J3208" s="597"/>
      <c r="K3208" s="184">
        <f>SUM(F3207+K3207+P3207+U3207)</f>
        <v>42101.944000000003</v>
      </c>
      <c r="L3208" s="595" t="s">
        <v>40</v>
      </c>
      <c r="M3208" s="596"/>
      <c r="N3208" s="596"/>
      <c r="O3208" s="597"/>
      <c r="P3208" s="184">
        <f>SUM(K3208*0.15)</f>
        <v>6315.2916000000005</v>
      </c>
      <c r="Q3208" s="595" t="s">
        <v>41</v>
      </c>
      <c r="R3208" s="596"/>
      <c r="S3208" s="596"/>
      <c r="T3208" s="597"/>
      <c r="U3208" s="223">
        <f>SUM(K3208+P3208)</f>
        <v>48417.2356</v>
      </c>
    </row>
    <row r="3209" spans="1:21" s="230" customFormat="1" x14ac:dyDescent="0.25">
      <c r="A3209" s="263"/>
      <c r="B3209" s="263"/>
      <c r="C3209" s="263"/>
      <c r="D3209" s="263"/>
      <c r="E3209" s="263"/>
      <c r="F3209" s="263"/>
      <c r="G3209" s="263"/>
      <c r="H3209" s="217"/>
      <c r="I3209" s="263"/>
      <c r="J3209" s="263"/>
      <c r="K3209" s="263"/>
      <c r="L3209" s="263"/>
      <c r="M3209" s="263"/>
      <c r="N3209" s="263"/>
      <c r="O3209" s="263"/>
      <c r="P3209" s="263"/>
      <c r="Q3209" s="595" t="s">
        <v>42</v>
      </c>
      <c r="R3209" s="596"/>
      <c r="S3209" s="596"/>
      <c r="T3209" s="597"/>
      <c r="U3209" s="332">
        <f>ROUND((U3208/6),2)</f>
        <v>8069.54</v>
      </c>
    </row>
    <row r="3210" spans="1:21" s="230" customFormat="1" x14ac:dyDescent="0.25">
      <c r="A3210" s="544"/>
      <c r="B3210" s="544"/>
      <c r="C3210" s="544"/>
      <c r="D3210" s="544"/>
      <c r="E3210" s="544"/>
      <c r="F3210" s="544"/>
      <c r="G3210" s="544"/>
      <c r="H3210" s="544"/>
      <c r="I3210" s="544"/>
      <c r="J3210" s="544"/>
      <c r="K3210" s="544"/>
      <c r="L3210" s="544"/>
      <c r="M3210" s="544"/>
      <c r="N3210" s="544"/>
      <c r="O3210" s="544"/>
      <c r="P3210" s="544"/>
      <c r="Q3210" s="544"/>
      <c r="R3210" s="544"/>
      <c r="S3210" s="544"/>
      <c r="T3210" s="544"/>
      <c r="U3210" s="544"/>
    </row>
    <row r="3211" spans="1:21" s="230" customFormat="1" x14ac:dyDescent="0.25">
      <c r="A3211" s="538" t="s">
        <v>12</v>
      </c>
      <c r="B3211" s="538"/>
      <c r="C3211" s="540" t="s">
        <v>2116</v>
      </c>
      <c r="D3211" s="540"/>
      <c r="E3211" s="540"/>
      <c r="F3211" s="540"/>
      <c r="G3211" s="540"/>
      <c r="H3211" s="540"/>
      <c r="I3211" s="540"/>
      <c r="J3211" s="540"/>
      <c r="K3211" s="540"/>
      <c r="L3211" s="540"/>
      <c r="M3211" s="540"/>
      <c r="N3211" s="540"/>
      <c r="O3211" s="540"/>
      <c r="P3211" s="540"/>
      <c r="Q3211" s="540"/>
      <c r="R3211" s="540"/>
      <c r="S3211" s="540"/>
      <c r="T3211" s="540"/>
      <c r="U3211" s="541" t="s">
        <v>927</v>
      </c>
    </row>
    <row r="3212" spans="1:21" s="230" customFormat="1" x14ac:dyDescent="0.25">
      <c r="A3212" s="538"/>
      <c r="B3212" s="538"/>
      <c r="C3212" s="540"/>
      <c r="D3212" s="540"/>
      <c r="E3212" s="540"/>
      <c r="F3212" s="540"/>
      <c r="G3212" s="540"/>
      <c r="H3212" s="540"/>
      <c r="I3212" s="540"/>
      <c r="J3212" s="540"/>
      <c r="K3212" s="540"/>
      <c r="L3212" s="540"/>
      <c r="M3212" s="540"/>
      <c r="N3212" s="540"/>
      <c r="O3212" s="540"/>
      <c r="P3212" s="540"/>
      <c r="Q3212" s="540"/>
      <c r="R3212" s="540"/>
      <c r="S3212" s="540"/>
      <c r="T3212" s="540"/>
      <c r="U3212" s="541"/>
    </row>
    <row r="3213" spans="1:21" s="230" customFormat="1" x14ac:dyDescent="0.25">
      <c r="A3213" s="539" t="s">
        <v>925</v>
      </c>
      <c r="B3213" s="539"/>
      <c r="C3213" s="540"/>
      <c r="D3213" s="540"/>
      <c r="E3213" s="540"/>
      <c r="F3213" s="540"/>
      <c r="G3213" s="540"/>
      <c r="H3213" s="540"/>
      <c r="I3213" s="540"/>
      <c r="J3213" s="540"/>
      <c r="K3213" s="540"/>
      <c r="L3213" s="540"/>
      <c r="M3213" s="540"/>
      <c r="N3213" s="540"/>
      <c r="O3213" s="540"/>
      <c r="P3213" s="540"/>
      <c r="Q3213" s="540"/>
      <c r="R3213" s="540"/>
      <c r="S3213" s="540"/>
      <c r="T3213" s="540"/>
      <c r="U3213" s="541"/>
    </row>
    <row r="3214" spans="1:21" s="230" customFormat="1" x14ac:dyDescent="0.25">
      <c r="A3214" s="542" t="s">
        <v>16</v>
      </c>
      <c r="B3214" s="543" t="s">
        <v>18</v>
      </c>
      <c r="C3214" s="543"/>
      <c r="D3214" s="543"/>
      <c r="E3214" s="543"/>
      <c r="F3214" s="543"/>
      <c r="G3214" s="543" t="s">
        <v>24</v>
      </c>
      <c r="H3214" s="543"/>
      <c r="I3214" s="543"/>
      <c r="J3214" s="543"/>
      <c r="K3214" s="543"/>
      <c r="L3214" s="543" t="s">
        <v>25</v>
      </c>
      <c r="M3214" s="543"/>
      <c r="N3214" s="543"/>
      <c r="O3214" s="543"/>
      <c r="P3214" s="543"/>
      <c r="Q3214" s="543" t="s">
        <v>26</v>
      </c>
      <c r="R3214" s="543"/>
      <c r="S3214" s="543"/>
      <c r="T3214" s="543"/>
      <c r="U3214" s="543"/>
    </row>
    <row r="3215" spans="1:21" s="230" customFormat="1" x14ac:dyDescent="0.25">
      <c r="A3215" s="542"/>
      <c r="B3215" s="182" t="s">
        <v>19</v>
      </c>
      <c r="C3215" s="182" t="s">
        <v>20</v>
      </c>
      <c r="D3215" s="182" t="s">
        <v>21</v>
      </c>
      <c r="E3215" s="182" t="s">
        <v>22</v>
      </c>
      <c r="F3215" s="182" t="s">
        <v>23</v>
      </c>
      <c r="G3215" s="182" t="s">
        <v>19</v>
      </c>
      <c r="H3215" s="216" t="s">
        <v>20</v>
      </c>
      <c r="I3215" s="182" t="s">
        <v>21</v>
      </c>
      <c r="J3215" s="182" t="s">
        <v>22</v>
      </c>
      <c r="K3215" s="182" t="s">
        <v>23</v>
      </c>
      <c r="L3215" s="182" t="s">
        <v>19</v>
      </c>
      <c r="M3215" s="182" t="s">
        <v>20</v>
      </c>
      <c r="N3215" s="182" t="s">
        <v>21</v>
      </c>
      <c r="O3215" s="182" t="s">
        <v>22</v>
      </c>
      <c r="P3215" s="182" t="s">
        <v>23</v>
      </c>
      <c r="Q3215" s="182" t="s">
        <v>19</v>
      </c>
      <c r="R3215" s="182" t="s">
        <v>20</v>
      </c>
      <c r="S3215" s="182" t="s">
        <v>21</v>
      </c>
      <c r="T3215" s="182" t="s">
        <v>22</v>
      </c>
      <c r="U3215" s="211" t="s">
        <v>23</v>
      </c>
    </row>
    <row r="3216" spans="1:21" s="230" customFormat="1" x14ac:dyDescent="0.25">
      <c r="A3216" s="183" t="s">
        <v>948</v>
      </c>
      <c r="B3216" s="182" t="s">
        <v>29</v>
      </c>
      <c r="C3216" s="182" t="s">
        <v>28</v>
      </c>
      <c r="D3216" s="182">
        <v>9</v>
      </c>
      <c r="E3216" s="182">
        <f>unskilled</f>
        <v>935</v>
      </c>
      <c r="F3216" s="184">
        <f>(D3216*E3216)</f>
        <v>8415</v>
      </c>
      <c r="G3216" s="182" t="s">
        <v>929</v>
      </c>
      <c r="H3216" s="216" t="s">
        <v>144</v>
      </c>
      <c r="I3216" s="182">
        <v>105.36</v>
      </c>
      <c r="J3216" s="182">
        <f>adopted_rate_gabion_mesh_wire</f>
        <v>129</v>
      </c>
      <c r="K3216" s="182">
        <f>(I3216*J3216)</f>
        <v>13591.44</v>
      </c>
      <c r="L3216" s="195"/>
      <c r="M3216" s="195"/>
      <c r="N3216" s="195"/>
      <c r="O3216" s="195"/>
      <c r="P3216" s="195"/>
      <c r="Q3216" s="195"/>
      <c r="R3216" s="195"/>
      <c r="S3216" s="195"/>
      <c r="T3216" s="195"/>
      <c r="U3216" s="212"/>
    </row>
    <row r="3217" spans="1:21" s="230" customFormat="1" x14ac:dyDescent="0.25">
      <c r="A3217" s="195"/>
      <c r="B3217" s="182" t="s">
        <v>47</v>
      </c>
      <c r="C3217" s="182" t="s">
        <v>28</v>
      </c>
      <c r="D3217" s="182">
        <v>4</v>
      </c>
      <c r="E3217" s="182">
        <f>skilled</f>
        <v>1245</v>
      </c>
      <c r="F3217" s="184">
        <f>(D3217*E3217)</f>
        <v>4980</v>
      </c>
      <c r="G3217" s="182" t="s">
        <v>930</v>
      </c>
      <c r="H3217" s="216" t="s">
        <v>144</v>
      </c>
      <c r="I3217" s="182">
        <v>19.079999999999998</v>
      </c>
      <c r="J3217" s="182">
        <f>adopted_rate_gi_wire</f>
        <v>129</v>
      </c>
      <c r="K3217" s="182">
        <f>(I3217*J3217)</f>
        <v>2461.3199999999997</v>
      </c>
      <c r="L3217" s="195"/>
      <c r="M3217" s="195"/>
      <c r="N3217" s="195"/>
      <c r="O3217" s="195"/>
      <c r="P3217" s="195"/>
      <c r="Q3217" s="195"/>
      <c r="R3217" s="195"/>
      <c r="S3217" s="195"/>
      <c r="T3217" s="195"/>
      <c r="U3217" s="212"/>
    </row>
    <row r="3218" spans="1:21" s="230" customFormat="1" x14ac:dyDescent="0.25">
      <c r="A3218" s="195"/>
      <c r="B3218" s="195"/>
      <c r="C3218" s="195"/>
      <c r="D3218" s="195"/>
      <c r="E3218" s="195"/>
      <c r="F3218" s="195"/>
      <c r="G3218" s="182" t="s">
        <v>36</v>
      </c>
      <c r="H3218" s="216" t="s">
        <v>144</v>
      </c>
      <c r="I3218" s="182">
        <v>6.24</v>
      </c>
      <c r="J3218" s="182">
        <f>adopted_rate_binding_wire</f>
        <v>120</v>
      </c>
      <c r="K3218" s="182">
        <f>(I3218*J3218)</f>
        <v>748.80000000000007</v>
      </c>
      <c r="L3218" s="195"/>
      <c r="M3218" s="195"/>
      <c r="N3218" s="195"/>
      <c r="O3218" s="195"/>
      <c r="P3218" s="195"/>
      <c r="Q3218" s="195"/>
      <c r="R3218" s="195"/>
      <c r="S3218" s="195"/>
      <c r="T3218" s="195"/>
      <c r="U3218" s="212"/>
    </row>
    <row r="3219" spans="1:21" s="230" customFormat="1" x14ac:dyDescent="0.25">
      <c r="A3219" s="195"/>
      <c r="B3219" s="195"/>
      <c r="C3219" s="195"/>
      <c r="D3219" s="195"/>
      <c r="E3219" s="195"/>
      <c r="F3219" s="195"/>
      <c r="G3219" s="182" t="s">
        <v>931</v>
      </c>
      <c r="H3219" s="216" t="s">
        <v>84</v>
      </c>
      <c r="I3219" s="182">
        <v>6.6</v>
      </c>
      <c r="J3219" s="182">
        <f>adopted_rate_rubble</f>
        <v>2575.44</v>
      </c>
      <c r="K3219" s="182">
        <f>(I3219*J3219)</f>
        <v>16997.903999999999</v>
      </c>
      <c r="L3219" s="195"/>
      <c r="M3219" s="195"/>
      <c r="N3219" s="195"/>
      <c r="O3219" s="195"/>
      <c r="P3219" s="195"/>
      <c r="Q3219" s="195"/>
      <c r="R3219" s="195"/>
      <c r="S3219" s="195"/>
      <c r="T3219" s="195"/>
      <c r="U3219" s="212"/>
    </row>
    <row r="3220" spans="1:21" s="230" customFormat="1" x14ac:dyDescent="0.25">
      <c r="A3220" s="537" t="s">
        <v>30</v>
      </c>
      <c r="B3220" s="537"/>
      <c r="C3220" s="537"/>
      <c r="D3220" s="537"/>
      <c r="E3220" s="537"/>
      <c r="F3220" s="184">
        <f>SUM(F3215:F3219)</f>
        <v>13395</v>
      </c>
      <c r="G3220" s="537" t="s">
        <v>31</v>
      </c>
      <c r="H3220" s="537"/>
      <c r="I3220" s="537"/>
      <c r="J3220" s="537"/>
      <c r="K3220" s="184">
        <f>SUM(K3215:K3219)</f>
        <v>33799.464</v>
      </c>
      <c r="L3220" s="537" t="s">
        <v>32</v>
      </c>
      <c r="M3220" s="537"/>
      <c r="N3220" s="537"/>
      <c r="O3220" s="537"/>
      <c r="P3220" s="184">
        <f>SUM(P3215:P3219)</f>
        <v>0</v>
      </c>
      <c r="Q3220" s="537" t="s">
        <v>38</v>
      </c>
      <c r="R3220" s="537"/>
      <c r="S3220" s="537"/>
      <c r="T3220" s="537"/>
      <c r="U3220" s="223">
        <f>SUM(U3215:U3219)</f>
        <v>0</v>
      </c>
    </row>
    <row r="3221" spans="1:21" s="230" customFormat="1" x14ac:dyDescent="0.25">
      <c r="A3221" s="537" t="s">
        <v>33</v>
      </c>
      <c r="B3221" s="537"/>
      <c r="C3221" s="537"/>
      <c r="D3221" s="537"/>
      <c r="E3221" s="537"/>
      <c r="F3221" s="184">
        <f>SUM(F3220+K3220+P3220)</f>
        <v>47194.464</v>
      </c>
      <c r="G3221" s="537" t="s">
        <v>39</v>
      </c>
      <c r="H3221" s="537"/>
      <c r="I3221" s="537"/>
      <c r="J3221" s="537"/>
      <c r="K3221" s="184">
        <f>SUM(F3220+K3220+P3220+U3220)</f>
        <v>47194.464</v>
      </c>
      <c r="L3221" s="537" t="s">
        <v>40</v>
      </c>
      <c r="M3221" s="537"/>
      <c r="N3221" s="537"/>
      <c r="O3221" s="537"/>
      <c r="P3221" s="184">
        <f>SUM(K3221*0.15)</f>
        <v>7079.1696000000002</v>
      </c>
      <c r="Q3221" s="537" t="s">
        <v>41</v>
      </c>
      <c r="R3221" s="537"/>
      <c r="S3221" s="537"/>
      <c r="T3221" s="537"/>
      <c r="U3221" s="223">
        <f>SUM(K3221+P3221)</f>
        <v>54273.633600000001</v>
      </c>
    </row>
    <row r="3222" spans="1:21" s="230" customFormat="1" x14ac:dyDescent="0.25">
      <c r="A3222" s="195"/>
      <c r="B3222" s="195"/>
      <c r="C3222" s="195"/>
      <c r="D3222" s="195"/>
      <c r="E3222" s="195"/>
      <c r="F3222" s="195"/>
      <c r="G3222" s="195"/>
      <c r="H3222" s="217"/>
      <c r="I3222" s="195"/>
      <c r="J3222" s="195"/>
      <c r="K3222" s="195"/>
      <c r="L3222" s="195"/>
      <c r="M3222" s="195"/>
      <c r="N3222" s="195"/>
      <c r="O3222" s="195"/>
      <c r="P3222" s="195"/>
      <c r="Q3222" s="537" t="s">
        <v>42</v>
      </c>
      <c r="R3222" s="537"/>
      <c r="S3222" s="537"/>
      <c r="T3222" s="537"/>
      <c r="U3222" s="224">
        <f>ROUND((U3221/6),2)</f>
        <v>9045.61</v>
      </c>
    </row>
    <row r="3223" spans="1:21" s="230" customFormat="1" x14ac:dyDescent="0.25">
      <c r="A3223" s="544"/>
      <c r="B3223" s="544"/>
      <c r="C3223" s="544"/>
      <c r="D3223" s="544"/>
      <c r="E3223" s="544"/>
      <c r="F3223" s="544"/>
      <c r="G3223" s="544"/>
      <c r="H3223" s="544"/>
      <c r="I3223" s="544"/>
      <c r="J3223" s="544"/>
      <c r="K3223" s="544"/>
      <c r="L3223" s="544"/>
      <c r="M3223" s="544"/>
      <c r="N3223" s="544"/>
      <c r="O3223" s="544"/>
      <c r="P3223" s="544"/>
      <c r="Q3223" s="544"/>
      <c r="R3223" s="544"/>
      <c r="S3223" s="544"/>
      <c r="T3223" s="544"/>
      <c r="U3223" s="544"/>
    </row>
    <row r="3224" spans="1:21" s="230" customFormat="1" x14ac:dyDescent="0.25">
      <c r="A3224" s="538" t="s">
        <v>12</v>
      </c>
      <c r="B3224" s="538"/>
      <c r="C3224" s="540" t="s">
        <v>2117</v>
      </c>
      <c r="D3224" s="540"/>
      <c r="E3224" s="540"/>
      <c r="F3224" s="540"/>
      <c r="G3224" s="540"/>
      <c r="H3224" s="540"/>
      <c r="I3224" s="540"/>
      <c r="J3224" s="540"/>
      <c r="K3224" s="540"/>
      <c r="L3224" s="540"/>
      <c r="M3224" s="540"/>
      <c r="N3224" s="540"/>
      <c r="O3224" s="540"/>
      <c r="P3224" s="540"/>
      <c r="Q3224" s="540"/>
      <c r="R3224" s="540"/>
      <c r="S3224" s="540"/>
      <c r="T3224" s="540"/>
      <c r="U3224" s="541" t="s">
        <v>927</v>
      </c>
    </row>
    <row r="3225" spans="1:21" s="230" customFormat="1" x14ac:dyDescent="0.25">
      <c r="A3225" s="538"/>
      <c r="B3225" s="538"/>
      <c r="C3225" s="540"/>
      <c r="D3225" s="540"/>
      <c r="E3225" s="540"/>
      <c r="F3225" s="540"/>
      <c r="G3225" s="540"/>
      <c r="H3225" s="540"/>
      <c r="I3225" s="540"/>
      <c r="J3225" s="540"/>
      <c r="K3225" s="540"/>
      <c r="L3225" s="540"/>
      <c r="M3225" s="540"/>
      <c r="N3225" s="540"/>
      <c r="O3225" s="540"/>
      <c r="P3225" s="540"/>
      <c r="Q3225" s="540"/>
      <c r="R3225" s="540"/>
      <c r="S3225" s="540"/>
      <c r="T3225" s="540"/>
      <c r="U3225" s="541"/>
    </row>
    <row r="3226" spans="1:21" s="230" customFormat="1" x14ac:dyDescent="0.25">
      <c r="A3226" s="539" t="s">
        <v>925</v>
      </c>
      <c r="B3226" s="539"/>
      <c r="C3226" s="540"/>
      <c r="D3226" s="540"/>
      <c r="E3226" s="540"/>
      <c r="F3226" s="540"/>
      <c r="G3226" s="540"/>
      <c r="H3226" s="540"/>
      <c r="I3226" s="540"/>
      <c r="J3226" s="540"/>
      <c r="K3226" s="540"/>
      <c r="L3226" s="540"/>
      <c r="M3226" s="540"/>
      <c r="N3226" s="540"/>
      <c r="O3226" s="540"/>
      <c r="P3226" s="540"/>
      <c r="Q3226" s="540"/>
      <c r="R3226" s="540"/>
      <c r="S3226" s="540"/>
      <c r="T3226" s="540"/>
      <c r="U3226" s="541"/>
    </row>
    <row r="3227" spans="1:21" s="230" customFormat="1" x14ac:dyDescent="0.25">
      <c r="A3227" s="542" t="s">
        <v>16</v>
      </c>
      <c r="B3227" s="543" t="s">
        <v>18</v>
      </c>
      <c r="C3227" s="543"/>
      <c r="D3227" s="543"/>
      <c r="E3227" s="543"/>
      <c r="F3227" s="543"/>
      <c r="G3227" s="543" t="s">
        <v>24</v>
      </c>
      <c r="H3227" s="543"/>
      <c r="I3227" s="543"/>
      <c r="J3227" s="543"/>
      <c r="K3227" s="543"/>
      <c r="L3227" s="543" t="s">
        <v>25</v>
      </c>
      <c r="M3227" s="543"/>
      <c r="N3227" s="543"/>
      <c r="O3227" s="543"/>
      <c r="P3227" s="543"/>
      <c r="Q3227" s="543" t="s">
        <v>26</v>
      </c>
      <c r="R3227" s="543"/>
      <c r="S3227" s="543"/>
      <c r="T3227" s="543"/>
      <c r="U3227" s="543"/>
    </row>
    <row r="3228" spans="1:21" s="230" customFormat="1" x14ac:dyDescent="0.25">
      <c r="A3228" s="542"/>
      <c r="B3228" s="182" t="s">
        <v>19</v>
      </c>
      <c r="C3228" s="182" t="s">
        <v>20</v>
      </c>
      <c r="D3228" s="182" t="s">
        <v>21</v>
      </c>
      <c r="E3228" s="182" t="s">
        <v>22</v>
      </c>
      <c r="F3228" s="182" t="s">
        <v>23</v>
      </c>
      <c r="G3228" s="182" t="s">
        <v>19</v>
      </c>
      <c r="H3228" s="216" t="s">
        <v>20</v>
      </c>
      <c r="I3228" s="182" t="s">
        <v>21</v>
      </c>
      <c r="J3228" s="182" t="s">
        <v>22</v>
      </c>
      <c r="K3228" s="182" t="s">
        <v>23</v>
      </c>
      <c r="L3228" s="182" t="s">
        <v>19</v>
      </c>
      <c r="M3228" s="182" t="s">
        <v>20</v>
      </c>
      <c r="N3228" s="182" t="s">
        <v>21</v>
      </c>
      <c r="O3228" s="182" t="s">
        <v>22</v>
      </c>
      <c r="P3228" s="182" t="s">
        <v>23</v>
      </c>
      <c r="Q3228" s="182" t="s">
        <v>19</v>
      </c>
      <c r="R3228" s="182" t="s">
        <v>20</v>
      </c>
      <c r="S3228" s="182" t="s">
        <v>21</v>
      </c>
      <c r="T3228" s="182" t="s">
        <v>22</v>
      </c>
      <c r="U3228" s="211" t="s">
        <v>23</v>
      </c>
    </row>
    <row r="3229" spans="1:21" s="230" customFormat="1" ht="31.5" x14ac:dyDescent="0.25">
      <c r="A3229" s="183" t="s">
        <v>950</v>
      </c>
      <c r="B3229" s="182" t="s">
        <v>29</v>
      </c>
      <c r="C3229" s="182" t="s">
        <v>28</v>
      </c>
      <c r="D3229" s="182">
        <v>9</v>
      </c>
      <c r="E3229" s="182">
        <f>unskilled</f>
        <v>935</v>
      </c>
      <c r="F3229" s="184">
        <f>(D3229*E3229)</f>
        <v>8415</v>
      </c>
      <c r="G3229" s="182" t="s">
        <v>929</v>
      </c>
      <c r="H3229" s="216" t="s">
        <v>144</v>
      </c>
      <c r="I3229" s="182">
        <v>98.7</v>
      </c>
      <c r="J3229" s="182">
        <f>adopted_rate_gabion_mesh_wire</f>
        <v>129</v>
      </c>
      <c r="K3229" s="182">
        <f>(I3229*J3229)</f>
        <v>12732.300000000001</v>
      </c>
      <c r="L3229" s="195"/>
      <c r="M3229" s="195"/>
      <c r="N3229" s="195"/>
      <c r="O3229" s="195"/>
      <c r="P3229" s="195"/>
      <c r="Q3229" s="195"/>
      <c r="R3229" s="195"/>
      <c r="S3229" s="195"/>
      <c r="T3229" s="195"/>
      <c r="U3229" s="212"/>
    </row>
    <row r="3230" spans="1:21" s="230" customFormat="1" x14ac:dyDescent="0.25">
      <c r="A3230" s="195"/>
      <c r="B3230" s="182" t="s">
        <v>47</v>
      </c>
      <c r="C3230" s="182" t="s">
        <v>28</v>
      </c>
      <c r="D3230" s="182">
        <v>3</v>
      </c>
      <c r="E3230" s="182">
        <f>skilled</f>
        <v>1245</v>
      </c>
      <c r="F3230" s="184">
        <f>(D3230*E3230)</f>
        <v>3735</v>
      </c>
      <c r="G3230" s="182" t="s">
        <v>930</v>
      </c>
      <c r="H3230" s="216" t="s">
        <v>144</v>
      </c>
      <c r="I3230" s="182">
        <v>14.57</v>
      </c>
      <c r="J3230" s="182">
        <f>adopted_rate_gi_wire</f>
        <v>129</v>
      </c>
      <c r="K3230" s="182">
        <f>(I3230*J3230)</f>
        <v>1879.53</v>
      </c>
      <c r="L3230" s="195"/>
      <c r="M3230" s="195"/>
      <c r="N3230" s="195"/>
      <c r="O3230" s="195"/>
      <c r="P3230" s="195"/>
      <c r="Q3230" s="195"/>
      <c r="R3230" s="195"/>
      <c r="S3230" s="195"/>
      <c r="T3230" s="195"/>
      <c r="U3230" s="212"/>
    </row>
    <row r="3231" spans="1:21" s="230" customFormat="1" x14ac:dyDescent="0.25">
      <c r="A3231" s="195"/>
      <c r="B3231" s="195"/>
      <c r="C3231" s="195"/>
      <c r="D3231" s="195"/>
      <c r="E3231" s="195"/>
      <c r="F3231" s="195"/>
      <c r="G3231" s="182" t="s">
        <v>36</v>
      </c>
      <c r="H3231" s="216" t="s">
        <v>144</v>
      </c>
      <c r="I3231" s="182">
        <v>5.0999999999999996</v>
      </c>
      <c r="J3231" s="182">
        <f>adopted_rate_binding_wire</f>
        <v>120</v>
      </c>
      <c r="K3231" s="182">
        <f>(I3231*J3231)</f>
        <v>612</v>
      </c>
      <c r="L3231" s="195"/>
      <c r="M3231" s="195"/>
      <c r="N3231" s="195"/>
      <c r="O3231" s="195"/>
      <c r="P3231" s="195"/>
      <c r="Q3231" s="195"/>
      <c r="R3231" s="195"/>
      <c r="S3231" s="195"/>
      <c r="T3231" s="195"/>
      <c r="U3231" s="212"/>
    </row>
    <row r="3232" spans="1:21" s="230" customFormat="1" x14ac:dyDescent="0.25">
      <c r="A3232" s="195"/>
      <c r="B3232" s="195"/>
      <c r="C3232" s="195"/>
      <c r="D3232" s="195"/>
      <c r="E3232" s="195"/>
      <c r="F3232" s="195"/>
      <c r="G3232" s="182" t="s">
        <v>931</v>
      </c>
      <c r="H3232" s="216" t="s">
        <v>84</v>
      </c>
      <c r="I3232" s="182">
        <v>6.6</v>
      </c>
      <c r="J3232" s="182">
        <f>adopted_rate_rubble</f>
        <v>2575.44</v>
      </c>
      <c r="K3232" s="182">
        <f>(I3232*J3232)</f>
        <v>16997.903999999999</v>
      </c>
      <c r="L3232" s="195"/>
      <c r="M3232" s="195"/>
      <c r="N3232" s="195"/>
      <c r="O3232" s="195"/>
      <c r="P3232" s="195"/>
      <c r="Q3232" s="195"/>
      <c r="R3232" s="195"/>
      <c r="S3232" s="195"/>
      <c r="T3232" s="195"/>
      <c r="U3232" s="212"/>
    </row>
    <row r="3233" spans="1:21" s="230" customFormat="1" x14ac:dyDescent="0.25">
      <c r="A3233" s="537" t="s">
        <v>30</v>
      </c>
      <c r="B3233" s="537"/>
      <c r="C3233" s="537"/>
      <c r="D3233" s="537"/>
      <c r="E3233" s="537"/>
      <c r="F3233" s="184">
        <f>SUM(F3228:F3232)</f>
        <v>12150</v>
      </c>
      <c r="G3233" s="537" t="s">
        <v>31</v>
      </c>
      <c r="H3233" s="537"/>
      <c r="I3233" s="537"/>
      <c r="J3233" s="537"/>
      <c r="K3233" s="184">
        <f>SUM(K3228:K3232)</f>
        <v>32221.734</v>
      </c>
      <c r="L3233" s="537" t="s">
        <v>32</v>
      </c>
      <c r="M3233" s="537"/>
      <c r="N3233" s="537"/>
      <c r="O3233" s="537"/>
      <c r="P3233" s="184">
        <f>SUM(P3228:P3232)</f>
        <v>0</v>
      </c>
      <c r="Q3233" s="537" t="s">
        <v>38</v>
      </c>
      <c r="R3233" s="537"/>
      <c r="S3233" s="537"/>
      <c r="T3233" s="537"/>
      <c r="U3233" s="223">
        <f>SUM(U3228:U3232)</f>
        <v>0</v>
      </c>
    </row>
    <row r="3234" spans="1:21" s="230" customFormat="1" x14ac:dyDescent="0.25">
      <c r="A3234" s="537" t="s">
        <v>33</v>
      </c>
      <c r="B3234" s="537"/>
      <c r="C3234" s="537"/>
      <c r="D3234" s="537"/>
      <c r="E3234" s="537"/>
      <c r="F3234" s="184">
        <f>SUM(F3233+K3233+P3233)</f>
        <v>44371.733999999997</v>
      </c>
      <c r="G3234" s="537" t="s">
        <v>39</v>
      </c>
      <c r="H3234" s="537"/>
      <c r="I3234" s="537"/>
      <c r="J3234" s="537"/>
      <c r="K3234" s="184">
        <f>SUM(F3233+K3233+P3233+U3233)</f>
        <v>44371.733999999997</v>
      </c>
      <c r="L3234" s="537" t="s">
        <v>40</v>
      </c>
      <c r="M3234" s="537"/>
      <c r="N3234" s="537"/>
      <c r="O3234" s="537"/>
      <c r="P3234" s="184">
        <f>SUM(K3234*0.15)</f>
        <v>6655.7600999999995</v>
      </c>
      <c r="Q3234" s="537" t="s">
        <v>41</v>
      </c>
      <c r="R3234" s="537"/>
      <c r="S3234" s="537"/>
      <c r="T3234" s="537"/>
      <c r="U3234" s="223">
        <f>SUM(K3234+P3234)</f>
        <v>51027.494099999996</v>
      </c>
    </row>
    <row r="3235" spans="1:21" s="230" customFormat="1" x14ac:dyDescent="0.25">
      <c r="A3235" s="195"/>
      <c r="B3235" s="195"/>
      <c r="C3235" s="195"/>
      <c r="D3235" s="195"/>
      <c r="E3235" s="195"/>
      <c r="F3235" s="195"/>
      <c r="G3235" s="195"/>
      <c r="H3235" s="217"/>
      <c r="I3235" s="195"/>
      <c r="J3235" s="195"/>
      <c r="K3235" s="195"/>
      <c r="L3235" s="195"/>
      <c r="M3235" s="195"/>
      <c r="N3235" s="195"/>
      <c r="O3235" s="195"/>
      <c r="P3235" s="195"/>
      <c r="Q3235" s="537" t="s">
        <v>42</v>
      </c>
      <c r="R3235" s="537"/>
      <c r="S3235" s="537"/>
      <c r="T3235" s="537"/>
      <c r="U3235" s="224">
        <f>ROUND((U3234/6),2)</f>
        <v>8504.58</v>
      </c>
    </row>
    <row r="3236" spans="1:21" s="230" customFormat="1" x14ac:dyDescent="0.25">
      <c r="A3236" s="544"/>
      <c r="B3236" s="544"/>
      <c r="C3236" s="544"/>
      <c r="D3236" s="544"/>
      <c r="E3236" s="544"/>
      <c r="F3236" s="544"/>
      <c r="G3236" s="544"/>
      <c r="H3236" s="544"/>
      <c r="I3236" s="544"/>
      <c r="J3236" s="544"/>
      <c r="K3236" s="544"/>
      <c r="L3236" s="544"/>
      <c r="M3236" s="544"/>
      <c r="N3236" s="544"/>
      <c r="O3236" s="544"/>
      <c r="P3236" s="544"/>
      <c r="Q3236" s="544"/>
      <c r="R3236" s="544"/>
      <c r="S3236" s="544"/>
      <c r="T3236" s="544"/>
      <c r="U3236" s="544"/>
    </row>
    <row r="3237" spans="1:21" s="230" customFormat="1" x14ac:dyDescent="0.25">
      <c r="A3237" s="538" t="s">
        <v>12</v>
      </c>
      <c r="B3237" s="538"/>
      <c r="C3237" s="540" t="s">
        <v>2118</v>
      </c>
      <c r="D3237" s="540"/>
      <c r="E3237" s="540"/>
      <c r="F3237" s="540"/>
      <c r="G3237" s="540"/>
      <c r="H3237" s="540"/>
      <c r="I3237" s="540"/>
      <c r="J3237" s="540"/>
      <c r="K3237" s="540"/>
      <c r="L3237" s="540"/>
      <c r="M3237" s="540"/>
      <c r="N3237" s="540"/>
      <c r="O3237" s="540"/>
      <c r="P3237" s="540"/>
      <c r="Q3237" s="540"/>
      <c r="R3237" s="540"/>
      <c r="S3237" s="540"/>
      <c r="T3237" s="540"/>
      <c r="U3237" s="541" t="s">
        <v>927</v>
      </c>
    </row>
    <row r="3238" spans="1:21" s="230" customFormat="1" ht="23.25" customHeight="1" x14ac:dyDescent="0.25">
      <c r="A3238" s="538"/>
      <c r="B3238" s="538"/>
      <c r="C3238" s="540"/>
      <c r="D3238" s="540"/>
      <c r="E3238" s="540"/>
      <c r="F3238" s="540"/>
      <c r="G3238" s="540"/>
      <c r="H3238" s="540"/>
      <c r="I3238" s="540"/>
      <c r="J3238" s="540"/>
      <c r="K3238" s="540"/>
      <c r="L3238" s="540"/>
      <c r="M3238" s="540"/>
      <c r="N3238" s="540"/>
      <c r="O3238" s="540"/>
      <c r="P3238" s="540"/>
      <c r="Q3238" s="540"/>
      <c r="R3238" s="540"/>
      <c r="S3238" s="540"/>
      <c r="T3238" s="540"/>
      <c r="U3238" s="541"/>
    </row>
    <row r="3239" spans="1:21" x14ac:dyDescent="0.25">
      <c r="A3239" s="539" t="s">
        <v>925</v>
      </c>
      <c r="B3239" s="539"/>
      <c r="C3239" s="540"/>
      <c r="D3239" s="540"/>
      <c r="E3239" s="540"/>
      <c r="F3239" s="540"/>
      <c r="G3239" s="540"/>
      <c r="H3239" s="540"/>
      <c r="I3239" s="540"/>
      <c r="J3239" s="540"/>
      <c r="K3239" s="540"/>
      <c r="L3239" s="540"/>
      <c r="M3239" s="540"/>
      <c r="N3239" s="540"/>
      <c r="O3239" s="540"/>
      <c r="P3239" s="540"/>
      <c r="Q3239" s="540"/>
      <c r="R3239" s="540"/>
      <c r="S3239" s="540"/>
      <c r="T3239" s="540"/>
      <c r="U3239" s="541"/>
    </row>
    <row r="3240" spans="1:21" x14ac:dyDescent="0.25">
      <c r="A3240" s="542" t="s">
        <v>16</v>
      </c>
      <c r="B3240" s="543" t="s">
        <v>18</v>
      </c>
      <c r="C3240" s="543"/>
      <c r="D3240" s="543"/>
      <c r="E3240" s="543"/>
      <c r="F3240" s="543"/>
      <c r="G3240" s="543" t="s">
        <v>24</v>
      </c>
      <c r="H3240" s="543"/>
      <c r="I3240" s="543"/>
      <c r="J3240" s="543"/>
      <c r="K3240" s="543"/>
      <c r="L3240" s="543" t="s">
        <v>25</v>
      </c>
      <c r="M3240" s="543"/>
      <c r="N3240" s="543"/>
      <c r="O3240" s="543"/>
      <c r="P3240" s="543"/>
      <c r="Q3240" s="543" t="s">
        <v>26</v>
      </c>
      <c r="R3240" s="543"/>
      <c r="S3240" s="543"/>
      <c r="T3240" s="543"/>
      <c r="U3240" s="543"/>
    </row>
    <row r="3241" spans="1:21" x14ac:dyDescent="0.25">
      <c r="A3241" s="542"/>
      <c r="B3241" s="182" t="s">
        <v>19</v>
      </c>
      <c r="C3241" s="182" t="s">
        <v>20</v>
      </c>
      <c r="D3241" s="182" t="s">
        <v>21</v>
      </c>
      <c r="E3241" s="182" t="s">
        <v>22</v>
      </c>
      <c r="F3241" s="182" t="s">
        <v>23</v>
      </c>
      <c r="G3241" s="182" t="s">
        <v>19</v>
      </c>
      <c r="H3241" s="216" t="s">
        <v>20</v>
      </c>
      <c r="I3241" s="182" t="s">
        <v>21</v>
      </c>
      <c r="J3241" s="182" t="s">
        <v>22</v>
      </c>
      <c r="K3241" s="182" t="s">
        <v>23</v>
      </c>
      <c r="L3241" s="182" t="s">
        <v>19</v>
      </c>
      <c r="M3241" s="182" t="s">
        <v>20</v>
      </c>
      <c r="N3241" s="182" t="s">
        <v>21</v>
      </c>
      <c r="O3241" s="182" t="s">
        <v>22</v>
      </c>
      <c r="P3241" s="182" t="s">
        <v>23</v>
      </c>
      <c r="Q3241" s="182" t="s">
        <v>19</v>
      </c>
      <c r="R3241" s="182" t="s">
        <v>20</v>
      </c>
      <c r="S3241" s="182" t="s">
        <v>21</v>
      </c>
      <c r="T3241" s="182" t="s">
        <v>22</v>
      </c>
      <c r="U3241" s="211" t="s">
        <v>23</v>
      </c>
    </row>
    <row r="3242" spans="1:21" ht="31.5" x14ac:dyDescent="0.25">
      <c r="A3242" s="183" t="s">
        <v>952</v>
      </c>
      <c r="B3242" s="182" t="s">
        <v>29</v>
      </c>
      <c r="C3242" s="182" t="s">
        <v>28</v>
      </c>
      <c r="D3242" s="182">
        <v>9</v>
      </c>
      <c r="E3242" s="182">
        <f>unskilled</f>
        <v>935</v>
      </c>
      <c r="F3242" s="184">
        <f>(D3242*E3242)</f>
        <v>8415</v>
      </c>
      <c r="G3242" s="182" t="s">
        <v>929</v>
      </c>
      <c r="H3242" s="216" t="s">
        <v>144</v>
      </c>
      <c r="I3242" s="182">
        <v>134</v>
      </c>
      <c r="J3242" s="182">
        <f>adopted_rate_gabion_mesh_wire</f>
        <v>129</v>
      </c>
      <c r="K3242" s="182">
        <f>(I3242*J3242)</f>
        <v>17286</v>
      </c>
    </row>
    <row r="3243" spans="1:21" x14ac:dyDescent="0.25">
      <c r="B3243" s="182" t="s">
        <v>47</v>
      </c>
      <c r="C3243" s="182" t="s">
        <v>28</v>
      </c>
      <c r="D3243" s="182">
        <v>3</v>
      </c>
      <c r="E3243" s="182">
        <f>skilled</f>
        <v>1245</v>
      </c>
      <c r="F3243" s="184">
        <f>(D3243*E3243)</f>
        <v>3735</v>
      </c>
      <c r="G3243" s="182" t="s">
        <v>930</v>
      </c>
      <c r="H3243" s="216" t="s">
        <v>144</v>
      </c>
      <c r="I3243" s="182">
        <v>22.2</v>
      </c>
      <c r="J3243" s="182">
        <f>adopted_rate_gi_wire</f>
        <v>129</v>
      </c>
      <c r="K3243" s="182">
        <f>(I3243*J3243)</f>
        <v>2863.7999999999997</v>
      </c>
    </row>
    <row r="3244" spans="1:21" x14ac:dyDescent="0.25">
      <c r="G3244" s="182" t="s">
        <v>36</v>
      </c>
      <c r="H3244" s="216" t="s">
        <v>144</v>
      </c>
      <c r="I3244" s="182">
        <v>5.8</v>
      </c>
      <c r="J3244" s="182">
        <f>adopted_rate_binding_wire</f>
        <v>120</v>
      </c>
      <c r="K3244" s="182">
        <f>(I3244*J3244)</f>
        <v>696</v>
      </c>
    </row>
    <row r="3245" spans="1:21" x14ac:dyDescent="0.25">
      <c r="G3245" s="182" t="s">
        <v>931</v>
      </c>
      <c r="H3245" s="216" t="s">
        <v>84</v>
      </c>
      <c r="I3245" s="182">
        <v>6.6</v>
      </c>
      <c r="J3245" s="182">
        <f>adopted_rate_rubble</f>
        <v>2575.44</v>
      </c>
      <c r="K3245" s="182">
        <f>(I3245*J3245)</f>
        <v>16997.903999999999</v>
      </c>
    </row>
    <row r="3246" spans="1:21" x14ac:dyDescent="0.25">
      <c r="A3246" s="537" t="s">
        <v>30</v>
      </c>
      <c r="B3246" s="537"/>
      <c r="C3246" s="537"/>
      <c r="D3246" s="537"/>
      <c r="E3246" s="537"/>
      <c r="F3246" s="184">
        <f>SUM(F3241:F3245)</f>
        <v>12150</v>
      </c>
      <c r="G3246" s="537" t="s">
        <v>31</v>
      </c>
      <c r="H3246" s="537"/>
      <c r="I3246" s="537"/>
      <c r="J3246" s="537"/>
      <c r="K3246" s="184">
        <f>SUM(K3241:K3245)</f>
        <v>37843.703999999998</v>
      </c>
      <c r="L3246" s="537" t="s">
        <v>32</v>
      </c>
      <c r="M3246" s="537"/>
      <c r="N3246" s="537"/>
      <c r="O3246" s="537"/>
      <c r="P3246" s="184">
        <f>SUM(P3241:P3245)</f>
        <v>0</v>
      </c>
      <c r="Q3246" s="537" t="s">
        <v>38</v>
      </c>
      <c r="R3246" s="537"/>
      <c r="S3246" s="537"/>
      <c r="T3246" s="537"/>
      <c r="U3246" s="223">
        <f>SUM(U3241:U3245)</f>
        <v>0</v>
      </c>
    </row>
    <row r="3247" spans="1:21" x14ac:dyDescent="0.25">
      <c r="A3247" s="537" t="s">
        <v>33</v>
      </c>
      <c r="B3247" s="537"/>
      <c r="C3247" s="537"/>
      <c r="D3247" s="537"/>
      <c r="E3247" s="537"/>
      <c r="F3247" s="184">
        <f>SUM(F3246+K3246+P3246)</f>
        <v>49993.703999999998</v>
      </c>
      <c r="G3247" s="537" t="s">
        <v>39</v>
      </c>
      <c r="H3247" s="537"/>
      <c r="I3247" s="537"/>
      <c r="J3247" s="537"/>
      <c r="K3247" s="184">
        <f>SUM(F3246+K3246+P3246+U3246)</f>
        <v>49993.703999999998</v>
      </c>
      <c r="L3247" s="537" t="s">
        <v>40</v>
      </c>
      <c r="M3247" s="537"/>
      <c r="N3247" s="537"/>
      <c r="O3247" s="537"/>
      <c r="P3247" s="184">
        <f>SUM(K3247*0.15)</f>
        <v>7499.0555999999997</v>
      </c>
      <c r="Q3247" s="537" t="s">
        <v>41</v>
      </c>
      <c r="R3247" s="537"/>
      <c r="S3247" s="537"/>
      <c r="T3247" s="537"/>
      <c r="U3247" s="223">
        <f>SUM(K3247+P3247)</f>
        <v>57492.759599999998</v>
      </c>
    </row>
    <row r="3248" spans="1:21" x14ac:dyDescent="0.25">
      <c r="Q3248" s="537" t="s">
        <v>42</v>
      </c>
      <c r="R3248" s="537"/>
      <c r="S3248" s="537"/>
      <c r="T3248" s="537"/>
      <c r="U3248" s="224">
        <f>ROUND((U3247/6),2)</f>
        <v>9582.1299999999992</v>
      </c>
    </row>
    <row r="3249" spans="1:21" x14ac:dyDescent="0.25">
      <c r="A3249" s="544"/>
      <c r="B3249" s="544"/>
      <c r="C3249" s="544"/>
      <c r="D3249" s="544"/>
      <c r="E3249" s="544"/>
      <c r="F3249" s="544"/>
      <c r="G3249" s="544"/>
      <c r="H3249" s="544"/>
      <c r="I3249" s="544"/>
      <c r="J3249" s="544"/>
      <c r="K3249" s="544"/>
      <c r="L3249" s="544"/>
      <c r="M3249" s="544"/>
      <c r="N3249" s="544"/>
      <c r="O3249" s="544"/>
      <c r="P3249" s="544"/>
      <c r="Q3249" s="544"/>
      <c r="R3249" s="544"/>
      <c r="S3249" s="544"/>
      <c r="T3249" s="544"/>
      <c r="U3249" s="544"/>
    </row>
    <row r="3250" spans="1:21" x14ac:dyDescent="0.25">
      <c r="A3250" s="600" t="s">
        <v>12</v>
      </c>
      <c r="B3250" s="600"/>
      <c r="C3250" s="602" t="s">
        <v>2119</v>
      </c>
      <c r="D3250" s="602"/>
      <c r="E3250" s="602"/>
      <c r="F3250" s="602"/>
      <c r="G3250" s="602"/>
      <c r="H3250" s="602"/>
      <c r="I3250" s="602"/>
      <c r="J3250" s="602"/>
      <c r="K3250" s="602"/>
      <c r="L3250" s="602"/>
      <c r="M3250" s="602"/>
      <c r="N3250" s="602"/>
      <c r="O3250" s="602"/>
      <c r="P3250" s="602"/>
      <c r="Q3250" s="602"/>
      <c r="R3250" s="602"/>
      <c r="S3250" s="602"/>
      <c r="T3250" s="602"/>
      <c r="U3250" s="603" t="s">
        <v>927</v>
      </c>
    </row>
    <row r="3251" spans="1:21" x14ac:dyDescent="0.25">
      <c r="A3251" s="600"/>
      <c r="B3251" s="600"/>
      <c r="C3251" s="602"/>
      <c r="D3251" s="602"/>
      <c r="E3251" s="602"/>
      <c r="F3251" s="602"/>
      <c r="G3251" s="602"/>
      <c r="H3251" s="602"/>
      <c r="I3251" s="602"/>
      <c r="J3251" s="602"/>
      <c r="K3251" s="602"/>
      <c r="L3251" s="602"/>
      <c r="M3251" s="602"/>
      <c r="N3251" s="602"/>
      <c r="O3251" s="602"/>
      <c r="P3251" s="602"/>
      <c r="Q3251" s="602"/>
      <c r="R3251" s="602"/>
      <c r="S3251" s="602"/>
      <c r="T3251" s="602"/>
      <c r="U3251" s="603"/>
    </row>
    <row r="3252" spans="1:21" x14ac:dyDescent="0.25">
      <c r="A3252" s="601" t="s">
        <v>925</v>
      </c>
      <c r="B3252" s="601"/>
      <c r="C3252" s="602"/>
      <c r="D3252" s="602"/>
      <c r="E3252" s="602"/>
      <c r="F3252" s="602"/>
      <c r="G3252" s="602"/>
      <c r="H3252" s="602"/>
      <c r="I3252" s="602"/>
      <c r="J3252" s="602"/>
      <c r="K3252" s="602"/>
      <c r="L3252" s="602"/>
      <c r="M3252" s="602"/>
      <c r="N3252" s="602"/>
      <c r="O3252" s="602"/>
      <c r="P3252" s="602"/>
      <c r="Q3252" s="602"/>
      <c r="R3252" s="602"/>
      <c r="S3252" s="602"/>
      <c r="T3252" s="602"/>
      <c r="U3252" s="603"/>
    </row>
    <row r="3253" spans="1:21" x14ac:dyDescent="0.25">
      <c r="A3253" s="604" t="s">
        <v>16</v>
      </c>
      <c r="B3253" s="605" t="s">
        <v>18</v>
      </c>
      <c r="C3253" s="605"/>
      <c r="D3253" s="605"/>
      <c r="E3253" s="605"/>
      <c r="F3253" s="605"/>
      <c r="G3253" s="605" t="s">
        <v>24</v>
      </c>
      <c r="H3253" s="605"/>
      <c r="I3253" s="605"/>
      <c r="J3253" s="605"/>
      <c r="K3253" s="605"/>
      <c r="L3253" s="605" t="s">
        <v>25</v>
      </c>
      <c r="M3253" s="605"/>
      <c r="N3253" s="605"/>
      <c r="O3253" s="605"/>
      <c r="P3253" s="605"/>
      <c r="Q3253" s="605" t="s">
        <v>26</v>
      </c>
      <c r="R3253" s="605"/>
      <c r="S3253" s="605"/>
      <c r="T3253" s="605"/>
      <c r="U3253" s="605"/>
    </row>
    <row r="3254" spans="1:21" x14ac:dyDescent="0.25">
      <c r="A3254" s="604"/>
      <c r="B3254" s="231" t="s">
        <v>19</v>
      </c>
      <c r="C3254" s="231" t="s">
        <v>20</v>
      </c>
      <c r="D3254" s="231" t="s">
        <v>21</v>
      </c>
      <c r="E3254" s="231" t="s">
        <v>22</v>
      </c>
      <c r="F3254" s="231" t="s">
        <v>23</v>
      </c>
      <c r="G3254" s="231" t="s">
        <v>19</v>
      </c>
      <c r="H3254" s="232" t="s">
        <v>20</v>
      </c>
      <c r="I3254" s="231" t="s">
        <v>21</v>
      </c>
      <c r="J3254" s="231" t="s">
        <v>22</v>
      </c>
      <c r="K3254" s="231" t="s">
        <v>23</v>
      </c>
      <c r="L3254" s="231" t="s">
        <v>19</v>
      </c>
      <c r="M3254" s="231" t="s">
        <v>20</v>
      </c>
      <c r="N3254" s="231" t="s">
        <v>21</v>
      </c>
      <c r="O3254" s="231" t="s">
        <v>22</v>
      </c>
      <c r="P3254" s="231" t="s">
        <v>23</v>
      </c>
      <c r="Q3254" s="231" t="s">
        <v>19</v>
      </c>
      <c r="R3254" s="231" t="s">
        <v>20</v>
      </c>
      <c r="S3254" s="231" t="s">
        <v>21</v>
      </c>
      <c r="T3254" s="231" t="s">
        <v>22</v>
      </c>
      <c r="U3254" s="233" t="s">
        <v>23</v>
      </c>
    </row>
    <row r="3255" spans="1:21" x14ac:dyDescent="0.25">
      <c r="A3255" s="234" t="s">
        <v>954</v>
      </c>
      <c r="B3255" s="231" t="s">
        <v>29</v>
      </c>
      <c r="C3255" s="231" t="s">
        <v>28</v>
      </c>
      <c r="D3255" s="231">
        <v>8</v>
      </c>
      <c r="E3255" s="231">
        <f>unskilled</f>
        <v>935</v>
      </c>
      <c r="F3255" s="235">
        <f>(D3255*E3255)</f>
        <v>7480</v>
      </c>
      <c r="G3255" s="231" t="s">
        <v>929</v>
      </c>
      <c r="H3255" s="232" t="s">
        <v>144</v>
      </c>
      <c r="I3255" s="231">
        <v>82.6</v>
      </c>
      <c r="J3255" s="231">
        <f>adopted_rate_gabion_mesh_wire</f>
        <v>129</v>
      </c>
      <c r="K3255" s="231">
        <f>(I3255*J3255)</f>
        <v>10655.4</v>
      </c>
      <c r="L3255" s="230"/>
      <c r="M3255" s="230"/>
      <c r="N3255" s="230"/>
      <c r="O3255" s="230"/>
      <c r="P3255" s="230"/>
      <c r="Q3255" s="230"/>
      <c r="R3255" s="230"/>
      <c r="S3255" s="230"/>
      <c r="T3255" s="230"/>
      <c r="U3255" s="236"/>
    </row>
    <row r="3256" spans="1:21" x14ac:dyDescent="0.25">
      <c r="A3256" s="230"/>
      <c r="B3256" s="231" t="s">
        <v>47</v>
      </c>
      <c r="C3256" s="231" t="s">
        <v>28</v>
      </c>
      <c r="D3256" s="231">
        <v>3</v>
      </c>
      <c r="E3256" s="231">
        <f>skilled</f>
        <v>1245</v>
      </c>
      <c r="F3256" s="235">
        <f>(D3256*E3256)</f>
        <v>3735</v>
      </c>
      <c r="G3256" s="231" t="s">
        <v>930</v>
      </c>
      <c r="H3256" s="232" t="s">
        <v>144</v>
      </c>
      <c r="I3256" s="231">
        <v>7.82</v>
      </c>
      <c r="J3256" s="231">
        <f>adopted_rate_gi_wire</f>
        <v>129</v>
      </c>
      <c r="K3256" s="231">
        <f>(I3256*J3256)</f>
        <v>1008.7800000000001</v>
      </c>
      <c r="L3256" s="230"/>
      <c r="M3256" s="230"/>
      <c r="N3256" s="230"/>
      <c r="O3256" s="230"/>
      <c r="P3256" s="230"/>
      <c r="Q3256" s="230"/>
      <c r="R3256" s="230"/>
      <c r="S3256" s="230"/>
      <c r="T3256" s="230"/>
      <c r="U3256" s="236"/>
    </row>
    <row r="3257" spans="1:21" x14ac:dyDescent="0.25">
      <c r="A3257" s="230"/>
      <c r="B3257" s="230"/>
      <c r="C3257" s="230"/>
      <c r="D3257" s="230"/>
      <c r="E3257" s="230"/>
      <c r="F3257" s="230"/>
      <c r="G3257" s="231" t="s">
        <v>36</v>
      </c>
      <c r="H3257" s="232" t="s">
        <v>144</v>
      </c>
      <c r="I3257" s="231">
        <v>4.12</v>
      </c>
      <c r="J3257" s="231">
        <f>adopted_rate_binding_wire</f>
        <v>120</v>
      </c>
      <c r="K3257" s="231">
        <f>(I3257*J3257)</f>
        <v>494.40000000000003</v>
      </c>
      <c r="L3257" s="230"/>
      <c r="M3257" s="230"/>
      <c r="N3257" s="230"/>
      <c r="O3257" s="230"/>
      <c r="P3257" s="230"/>
      <c r="Q3257" s="230"/>
      <c r="R3257" s="230"/>
      <c r="S3257" s="230"/>
      <c r="T3257" s="230"/>
      <c r="U3257" s="236"/>
    </row>
    <row r="3258" spans="1:21" x14ac:dyDescent="0.25">
      <c r="A3258" s="230"/>
      <c r="B3258" s="230"/>
      <c r="C3258" s="230"/>
      <c r="D3258" s="230"/>
      <c r="E3258" s="230"/>
      <c r="F3258" s="230"/>
      <c r="G3258" s="231" t="s">
        <v>931</v>
      </c>
      <c r="H3258" s="232" t="s">
        <v>84</v>
      </c>
      <c r="I3258" s="231">
        <v>6.6</v>
      </c>
      <c r="J3258" s="231">
        <f>adopted_rate_rubble</f>
        <v>2575.44</v>
      </c>
      <c r="K3258" s="231">
        <f>(I3258*J3258)</f>
        <v>16997.903999999999</v>
      </c>
      <c r="L3258" s="230"/>
      <c r="M3258" s="230"/>
      <c r="N3258" s="230"/>
      <c r="O3258" s="230"/>
      <c r="P3258" s="230"/>
      <c r="Q3258" s="230"/>
      <c r="R3258" s="230"/>
      <c r="S3258" s="230"/>
      <c r="T3258" s="230"/>
      <c r="U3258" s="236"/>
    </row>
    <row r="3259" spans="1:21" x14ac:dyDescent="0.25">
      <c r="A3259" s="603" t="s">
        <v>30</v>
      </c>
      <c r="B3259" s="603"/>
      <c r="C3259" s="603"/>
      <c r="D3259" s="603"/>
      <c r="E3259" s="603"/>
      <c r="F3259" s="235">
        <f>SUM(F3254:F3258)</f>
        <v>11215</v>
      </c>
      <c r="G3259" s="603" t="s">
        <v>31</v>
      </c>
      <c r="H3259" s="603"/>
      <c r="I3259" s="603"/>
      <c r="J3259" s="603"/>
      <c r="K3259" s="235">
        <f>SUM(K3254:K3258)</f>
        <v>29156.483999999997</v>
      </c>
      <c r="L3259" s="603" t="s">
        <v>32</v>
      </c>
      <c r="M3259" s="603"/>
      <c r="N3259" s="603"/>
      <c r="O3259" s="603"/>
      <c r="P3259" s="235">
        <f>SUM(P3254:P3258)</f>
        <v>0</v>
      </c>
      <c r="Q3259" s="603" t="s">
        <v>38</v>
      </c>
      <c r="R3259" s="603"/>
      <c r="S3259" s="603"/>
      <c r="T3259" s="603"/>
      <c r="U3259" s="237">
        <f>SUM(U3254:U3258)</f>
        <v>0</v>
      </c>
    </row>
    <row r="3260" spans="1:21" x14ac:dyDescent="0.25">
      <c r="A3260" s="603" t="s">
        <v>33</v>
      </c>
      <c r="B3260" s="603"/>
      <c r="C3260" s="603"/>
      <c r="D3260" s="603"/>
      <c r="E3260" s="603"/>
      <c r="F3260" s="235">
        <f>SUM(F3259+K3259+P3259)</f>
        <v>40371.483999999997</v>
      </c>
      <c r="G3260" s="603" t="s">
        <v>39</v>
      </c>
      <c r="H3260" s="603"/>
      <c r="I3260" s="603"/>
      <c r="J3260" s="603"/>
      <c r="K3260" s="235">
        <f>SUM(F3259+K3259+P3259+U3259)</f>
        <v>40371.483999999997</v>
      </c>
      <c r="L3260" s="603" t="s">
        <v>40</v>
      </c>
      <c r="M3260" s="603"/>
      <c r="N3260" s="603"/>
      <c r="O3260" s="603"/>
      <c r="P3260" s="235">
        <f>SUM(K3260*0.15)</f>
        <v>6055.7225999999991</v>
      </c>
      <c r="Q3260" s="603" t="s">
        <v>41</v>
      </c>
      <c r="R3260" s="603"/>
      <c r="S3260" s="603"/>
      <c r="T3260" s="603"/>
      <c r="U3260" s="237">
        <f>SUM(K3260+P3260)</f>
        <v>46427.206599999998</v>
      </c>
    </row>
    <row r="3261" spans="1:21" x14ac:dyDescent="0.25">
      <c r="A3261" s="230"/>
      <c r="B3261" s="230"/>
      <c r="C3261" s="230"/>
      <c r="D3261" s="230"/>
      <c r="E3261" s="230"/>
      <c r="F3261" s="230"/>
      <c r="G3261" s="230"/>
      <c r="H3261" s="238"/>
      <c r="I3261" s="230"/>
      <c r="J3261" s="230"/>
      <c r="K3261" s="230"/>
      <c r="L3261" s="230"/>
      <c r="M3261" s="230"/>
      <c r="N3261" s="230"/>
      <c r="O3261" s="230"/>
      <c r="P3261" s="230"/>
      <c r="Q3261" s="603" t="s">
        <v>42</v>
      </c>
      <c r="R3261" s="603"/>
      <c r="S3261" s="603"/>
      <c r="T3261" s="603"/>
      <c r="U3261" s="239">
        <f>ROUND((U3260/6),2)</f>
        <v>7737.87</v>
      </c>
    </row>
    <row r="3262" spans="1:21" x14ac:dyDescent="0.25">
      <c r="A3262" s="606"/>
      <c r="B3262" s="606"/>
      <c r="C3262" s="606"/>
      <c r="D3262" s="606"/>
      <c r="E3262" s="606"/>
      <c r="F3262" s="606"/>
      <c r="G3262" s="606"/>
      <c r="H3262" s="606"/>
      <c r="I3262" s="606"/>
      <c r="J3262" s="606"/>
      <c r="K3262" s="606"/>
      <c r="L3262" s="606"/>
      <c r="M3262" s="606"/>
      <c r="N3262" s="606"/>
      <c r="O3262" s="606"/>
      <c r="P3262" s="606"/>
      <c r="Q3262" s="606"/>
      <c r="R3262" s="606"/>
      <c r="S3262" s="606"/>
      <c r="T3262" s="606"/>
      <c r="U3262" s="606"/>
    </row>
    <row r="3263" spans="1:21" x14ac:dyDescent="0.25">
      <c r="A3263" s="600" t="s">
        <v>12</v>
      </c>
      <c r="B3263" s="600"/>
      <c r="C3263" s="602" t="s">
        <v>2120</v>
      </c>
      <c r="D3263" s="602"/>
      <c r="E3263" s="602"/>
      <c r="F3263" s="602"/>
      <c r="G3263" s="602"/>
      <c r="H3263" s="602"/>
      <c r="I3263" s="602"/>
      <c r="J3263" s="602"/>
      <c r="K3263" s="602"/>
      <c r="L3263" s="602"/>
      <c r="M3263" s="602"/>
      <c r="N3263" s="602"/>
      <c r="O3263" s="602"/>
      <c r="P3263" s="602"/>
      <c r="Q3263" s="602"/>
      <c r="R3263" s="602"/>
      <c r="S3263" s="602"/>
      <c r="T3263" s="602"/>
      <c r="U3263" s="603" t="s">
        <v>927</v>
      </c>
    </row>
    <row r="3264" spans="1:21" x14ac:dyDescent="0.25">
      <c r="A3264" s="600"/>
      <c r="B3264" s="600"/>
      <c r="C3264" s="602"/>
      <c r="D3264" s="602"/>
      <c r="E3264" s="602"/>
      <c r="F3264" s="602"/>
      <c r="G3264" s="602"/>
      <c r="H3264" s="602"/>
      <c r="I3264" s="602"/>
      <c r="J3264" s="602"/>
      <c r="K3264" s="602"/>
      <c r="L3264" s="602"/>
      <c r="M3264" s="602"/>
      <c r="N3264" s="602"/>
      <c r="O3264" s="602"/>
      <c r="P3264" s="602"/>
      <c r="Q3264" s="602"/>
      <c r="R3264" s="602"/>
      <c r="S3264" s="602"/>
      <c r="T3264" s="602"/>
      <c r="U3264" s="603"/>
    </row>
    <row r="3265" spans="1:21" x14ac:dyDescent="0.25">
      <c r="A3265" s="601" t="s">
        <v>925</v>
      </c>
      <c r="B3265" s="601"/>
      <c r="C3265" s="602"/>
      <c r="D3265" s="602"/>
      <c r="E3265" s="602"/>
      <c r="F3265" s="602"/>
      <c r="G3265" s="602"/>
      <c r="H3265" s="602"/>
      <c r="I3265" s="602"/>
      <c r="J3265" s="602"/>
      <c r="K3265" s="602"/>
      <c r="L3265" s="602"/>
      <c r="M3265" s="602"/>
      <c r="N3265" s="602"/>
      <c r="O3265" s="602"/>
      <c r="P3265" s="602"/>
      <c r="Q3265" s="602"/>
      <c r="R3265" s="602"/>
      <c r="S3265" s="602"/>
      <c r="T3265" s="602"/>
      <c r="U3265" s="603"/>
    </row>
    <row r="3266" spans="1:21" x14ac:dyDescent="0.25">
      <c r="A3266" s="604" t="s">
        <v>16</v>
      </c>
      <c r="B3266" s="605" t="s">
        <v>18</v>
      </c>
      <c r="C3266" s="605"/>
      <c r="D3266" s="605"/>
      <c r="E3266" s="605"/>
      <c r="F3266" s="605"/>
      <c r="G3266" s="605" t="s">
        <v>24</v>
      </c>
      <c r="H3266" s="605"/>
      <c r="I3266" s="605"/>
      <c r="J3266" s="605"/>
      <c r="K3266" s="605"/>
      <c r="L3266" s="605" t="s">
        <v>25</v>
      </c>
      <c r="M3266" s="605"/>
      <c r="N3266" s="605"/>
      <c r="O3266" s="605"/>
      <c r="P3266" s="605"/>
      <c r="Q3266" s="605" t="s">
        <v>26</v>
      </c>
      <c r="R3266" s="605"/>
      <c r="S3266" s="605"/>
      <c r="T3266" s="605"/>
      <c r="U3266" s="605"/>
    </row>
    <row r="3267" spans="1:21" x14ac:dyDescent="0.25">
      <c r="A3267" s="604"/>
      <c r="B3267" s="231" t="s">
        <v>19</v>
      </c>
      <c r="C3267" s="231" t="s">
        <v>20</v>
      </c>
      <c r="D3267" s="231" t="s">
        <v>21</v>
      </c>
      <c r="E3267" s="231" t="s">
        <v>22</v>
      </c>
      <c r="F3267" s="231" t="s">
        <v>23</v>
      </c>
      <c r="G3267" s="231" t="s">
        <v>19</v>
      </c>
      <c r="H3267" s="232" t="s">
        <v>20</v>
      </c>
      <c r="I3267" s="231" t="s">
        <v>21</v>
      </c>
      <c r="J3267" s="231" t="s">
        <v>22</v>
      </c>
      <c r="K3267" s="231" t="s">
        <v>23</v>
      </c>
      <c r="L3267" s="231" t="s">
        <v>19</v>
      </c>
      <c r="M3267" s="231" t="s">
        <v>20</v>
      </c>
      <c r="N3267" s="231" t="s">
        <v>21</v>
      </c>
      <c r="O3267" s="231" t="s">
        <v>22</v>
      </c>
      <c r="P3267" s="231" t="s">
        <v>23</v>
      </c>
      <c r="Q3267" s="231" t="s">
        <v>19</v>
      </c>
      <c r="R3267" s="231" t="s">
        <v>20</v>
      </c>
      <c r="S3267" s="231" t="s">
        <v>21</v>
      </c>
      <c r="T3267" s="231" t="s">
        <v>22</v>
      </c>
      <c r="U3267" s="233" t="s">
        <v>23</v>
      </c>
    </row>
    <row r="3268" spans="1:21" x14ac:dyDescent="0.25">
      <c r="A3268" s="234" t="s">
        <v>956</v>
      </c>
      <c r="B3268" s="231" t="s">
        <v>29</v>
      </c>
      <c r="C3268" s="231" t="s">
        <v>28</v>
      </c>
      <c r="D3268" s="231">
        <v>8</v>
      </c>
      <c r="E3268" s="231">
        <f>unskilled</f>
        <v>935</v>
      </c>
      <c r="F3268" s="235">
        <f>(D3268*E3268)</f>
        <v>7480</v>
      </c>
      <c r="G3268" s="231" t="s">
        <v>929</v>
      </c>
      <c r="H3268" s="232" t="s">
        <v>144</v>
      </c>
      <c r="I3268" s="231">
        <v>85.2</v>
      </c>
      <c r="J3268" s="231">
        <f>adopted_rate_gabion_mesh_wire</f>
        <v>129</v>
      </c>
      <c r="K3268" s="231">
        <f>(I3268*J3268)</f>
        <v>10990.800000000001</v>
      </c>
      <c r="L3268" s="230"/>
      <c r="M3268" s="230"/>
      <c r="N3268" s="230"/>
      <c r="O3268" s="230"/>
      <c r="P3268" s="230"/>
      <c r="Q3268" s="230"/>
      <c r="R3268" s="230"/>
      <c r="S3268" s="230"/>
      <c r="T3268" s="230"/>
      <c r="U3268" s="236"/>
    </row>
    <row r="3269" spans="1:21" x14ac:dyDescent="0.25">
      <c r="A3269" s="230"/>
      <c r="B3269" s="231" t="s">
        <v>47</v>
      </c>
      <c r="C3269" s="231" t="s">
        <v>28</v>
      </c>
      <c r="D3269" s="231">
        <v>3</v>
      </c>
      <c r="E3269" s="231">
        <f>skilled</f>
        <v>1245</v>
      </c>
      <c r="F3269" s="235">
        <f>(D3269*E3269)</f>
        <v>3735</v>
      </c>
      <c r="G3269" s="231" t="s">
        <v>930</v>
      </c>
      <c r="H3269" s="232" t="s">
        <v>144</v>
      </c>
      <c r="I3269" s="231">
        <v>8.8699999999999992</v>
      </c>
      <c r="J3269" s="231">
        <f>adopted_rate_gi_wire</f>
        <v>129</v>
      </c>
      <c r="K3269" s="231">
        <f>(I3269*J3269)</f>
        <v>1144.2299999999998</v>
      </c>
      <c r="L3269" s="230"/>
      <c r="M3269" s="230"/>
      <c r="N3269" s="230"/>
      <c r="O3269" s="230"/>
      <c r="P3269" s="230"/>
      <c r="Q3269" s="230"/>
      <c r="R3269" s="230"/>
      <c r="S3269" s="230"/>
      <c r="T3269" s="230"/>
      <c r="U3269" s="236"/>
    </row>
    <row r="3270" spans="1:21" x14ac:dyDescent="0.25">
      <c r="A3270" s="230"/>
      <c r="B3270" s="230"/>
      <c r="C3270" s="230"/>
      <c r="D3270" s="230"/>
      <c r="E3270" s="230"/>
      <c r="F3270" s="230"/>
      <c r="G3270" s="231" t="s">
        <v>36</v>
      </c>
      <c r="H3270" s="232" t="s">
        <v>144</v>
      </c>
      <c r="I3270" s="231">
        <v>4.38</v>
      </c>
      <c r="J3270" s="231">
        <f>adopted_rate_binding_wire</f>
        <v>120</v>
      </c>
      <c r="K3270" s="231">
        <f>(I3270*J3270)</f>
        <v>525.6</v>
      </c>
      <c r="L3270" s="230"/>
      <c r="M3270" s="230"/>
      <c r="N3270" s="230"/>
      <c r="O3270" s="230"/>
      <c r="P3270" s="230"/>
      <c r="Q3270" s="230"/>
      <c r="R3270" s="230"/>
      <c r="S3270" s="230"/>
      <c r="T3270" s="230"/>
      <c r="U3270" s="236"/>
    </row>
    <row r="3271" spans="1:21" x14ac:dyDescent="0.25">
      <c r="A3271" s="230"/>
      <c r="B3271" s="230"/>
      <c r="C3271" s="230"/>
      <c r="D3271" s="230"/>
      <c r="E3271" s="230"/>
      <c r="F3271" s="230"/>
      <c r="G3271" s="231" t="s">
        <v>931</v>
      </c>
      <c r="H3271" s="232" t="s">
        <v>84</v>
      </c>
      <c r="I3271" s="231">
        <v>6.6</v>
      </c>
      <c r="J3271" s="231">
        <f>adopted_rate_rubble</f>
        <v>2575.44</v>
      </c>
      <c r="K3271" s="231">
        <f>(I3271*J3271)</f>
        <v>16997.903999999999</v>
      </c>
      <c r="L3271" s="230"/>
      <c r="M3271" s="230"/>
      <c r="N3271" s="230"/>
      <c r="O3271" s="230"/>
      <c r="P3271" s="230"/>
      <c r="Q3271" s="230"/>
      <c r="R3271" s="230"/>
      <c r="S3271" s="230"/>
      <c r="T3271" s="230"/>
      <c r="U3271" s="236"/>
    </row>
    <row r="3272" spans="1:21" x14ac:dyDescent="0.25">
      <c r="A3272" s="603" t="s">
        <v>30</v>
      </c>
      <c r="B3272" s="603"/>
      <c r="C3272" s="603"/>
      <c r="D3272" s="603"/>
      <c r="E3272" s="603"/>
      <c r="F3272" s="235">
        <f>SUM(F3267:F3271)</f>
        <v>11215</v>
      </c>
      <c r="G3272" s="603" t="s">
        <v>31</v>
      </c>
      <c r="H3272" s="603"/>
      <c r="I3272" s="603"/>
      <c r="J3272" s="603"/>
      <c r="K3272" s="235">
        <f>SUM(K3267:K3271)</f>
        <v>29658.534</v>
      </c>
      <c r="L3272" s="603" t="s">
        <v>32</v>
      </c>
      <c r="M3272" s="603"/>
      <c r="N3272" s="603"/>
      <c r="O3272" s="603"/>
      <c r="P3272" s="235">
        <f>SUM(P3267:P3271)</f>
        <v>0</v>
      </c>
      <c r="Q3272" s="603" t="s">
        <v>38</v>
      </c>
      <c r="R3272" s="603"/>
      <c r="S3272" s="603"/>
      <c r="T3272" s="603"/>
      <c r="U3272" s="237">
        <f>SUM(U3267:U3271)</f>
        <v>0</v>
      </c>
    </row>
    <row r="3273" spans="1:21" x14ac:dyDescent="0.25">
      <c r="A3273" s="603" t="s">
        <v>33</v>
      </c>
      <c r="B3273" s="603"/>
      <c r="C3273" s="603"/>
      <c r="D3273" s="603"/>
      <c r="E3273" s="603"/>
      <c r="F3273" s="235">
        <f>SUM(F3272+K3272+P3272)</f>
        <v>40873.534</v>
      </c>
      <c r="G3273" s="603" t="s">
        <v>39</v>
      </c>
      <c r="H3273" s="603"/>
      <c r="I3273" s="603"/>
      <c r="J3273" s="603"/>
      <c r="K3273" s="235">
        <f>SUM(F3272+K3272+P3272+U3272)</f>
        <v>40873.534</v>
      </c>
      <c r="L3273" s="603" t="s">
        <v>40</v>
      </c>
      <c r="M3273" s="603"/>
      <c r="N3273" s="603"/>
      <c r="O3273" s="603"/>
      <c r="P3273" s="235">
        <f>SUM(K3273*0.15)</f>
        <v>6131.0300999999999</v>
      </c>
      <c r="Q3273" s="603" t="s">
        <v>41</v>
      </c>
      <c r="R3273" s="603"/>
      <c r="S3273" s="603"/>
      <c r="T3273" s="603"/>
      <c r="U3273" s="237">
        <f>SUM(K3273+P3273)</f>
        <v>47004.564100000003</v>
      </c>
    </row>
    <row r="3274" spans="1:21" x14ac:dyDescent="0.25">
      <c r="A3274" s="230"/>
      <c r="B3274" s="230"/>
      <c r="C3274" s="230"/>
      <c r="D3274" s="230"/>
      <c r="E3274" s="230"/>
      <c r="F3274" s="230"/>
      <c r="G3274" s="230"/>
      <c r="H3274" s="238"/>
      <c r="I3274" s="230"/>
      <c r="J3274" s="230"/>
      <c r="K3274" s="230"/>
      <c r="L3274" s="230"/>
      <c r="M3274" s="230"/>
      <c r="N3274" s="230"/>
      <c r="O3274" s="230"/>
      <c r="P3274" s="230"/>
      <c r="Q3274" s="603" t="s">
        <v>42</v>
      </c>
      <c r="R3274" s="603"/>
      <c r="S3274" s="603"/>
      <c r="T3274" s="603"/>
      <c r="U3274" s="239">
        <f>ROUND((U3273/6),2)</f>
        <v>7834.09</v>
      </c>
    </row>
    <row r="3275" spans="1:21" x14ac:dyDescent="0.25">
      <c r="A3275" s="606"/>
      <c r="B3275" s="606"/>
      <c r="C3275" s="606"/>
      <c r="D3275" s="606"/>
      <c r="E3275" s="606"/>
      <c r="F3275" s="606"/>
      <c r="G3275" s="606"/>
      <c r="H3275" s="606"/>
      <c r="I3275" s="606"/>
      <c r="J3275" s="606"/>
      <c r="K3275" s="606"/>
      <c r="L3275" s="606"/>
      <c r="M3275" s="606"/>
      <c r="N3275" s="606"/>
      <c r="O3275" s="606"/>
      <c r="P3275" s="606"/>
      <c r="Q3275" s="606"/>
      <c r="R3275" s="606"/>
      <c r="S3275" s="606"/>
      <c r="T3275" s="606"/>
      <c r="U3275" s="606"/>
    </row>
    <row r="3276" spans="1:21" x14ac:dyDescent="0.25">
      <c r="A3276" s="600" t="s">
        <v>12</v>
      </c>
      <c r="B3276" s="600"/>
      <c r="C3276" s="602" t="s">
        <v>2121</v>
      </c>
      <c r="D3276" s="602"/>
      <c r="E3276" s="602"/>
      <c r="F3276" s="602"/>
      <c r="G3276" s="602"/>
      <c r="H3276" s="602"/>
      <c r="I3276" s="602"/>
      <c r="J3276" s="602"/>
      <c r="K3276" s="602"/>
      <c r="L3276" s="602"/>
      <c r="M3276" s="602"/>
      <c r="N3276" s="602"/>
      <c r="O3276" s="602"/>
      <c r="P3276" s="602"/>
      <c r="Q3276" s="602"/>
      <c r="R3276" s="602"/>
      <c r="S3276" s="602"/>
      <c r="T3276" s="602"/>
      <c r="U3276" s="603" t="s">
        <v>927</v>
      </c>
    </row>
    <row r="3277" spans="1:21" x14ac:dyDescent="0.25">
      <c r="A3277" s="600"/>
      <c r="B3277" s="600"/>
      <c r="C3277" s="602"/>
      <c r="D3277" s="602"/>
      <c r="E3277" s="602"/>
      <c r="F3277" s="602"/>
      <c r="G3277" s="602"/>
      <c r="H3277" s="602"/>
      <c r="I3277" s="602"/>
      <c r="J3277" s="602"/>
      <c r="K3277" s="602"/>
      <c r="L3277" s="602"/>
      <c r="M3277" s="602"/>
      <c r="N3277" s="602"/>
      <c r="O3277" s="602"/>
      <c r="P3277" s="602"/>
      <c r="Q3277" s="602"/>
      <c r="R3277" s="602"/>
      <c r="S3277" s="602"/>
      <c r="T3277" s="602"/>
      <c r="U3277" s="603"/>
    </row>
    <row r="3278" spans="1:21" x14ac:dyDescent="0.25">
      <c r="A3278" s="601" t="s">
        <v>925</v>
      </c>
      <c r="B3278" s="601"/>
      <c r="C3278" s="602"/>
      <c r="D3278" s="602"/>
      <c r="E3278" s="602"/>
      <c r="F3278" s="602"/>
      <c r="G3278" s="602"/>
      <c r="H3278" s="602"/>
      <c r="I3278" s="602"/>
      <c r="J3278" s="602"/>
      <c r="K3278" s="602"/>
      <c r="L3278" s="602"/>
      <c r="M3278" s="602"/>
      <c r="N3278" s="602"/>
      <c r="O3278" s="602"/>
      <c r="P3278" s="602"/>
      <c r="Q3278" s="602"/>
      <c r="R3278" s="602"/>
      <c r="S3278" s="602"/>
      <c r="T3278" s="602"/>
      <c r="U3278" s="603"/>
    </row>
    <row r="3279" spans="1:21" x14ac:dyDescent="0.25">
      <c r="A3279" s="604" t="s">
        <v>16</v>
      </c>
      <c r="B3279" s="605" t="s">
        <v>18</v>
      </c>
      <c r="C3279" s="605"/>
      <c r="D3279" s="605"/>
      <c r="E3279" s="605"/>
      <c r="F3279" s="605"/>
      <c r="G3279" s="605" t="s">
        <v>24</v>
      </c>
      <c r="H3279" s="605"/>
      <c r="I3279" s="605"/>
      <c r="J3279" s="605"/>
      <c r="K3279" s="605"/>
      <c r="L3279" s="605" t="s">
        <v>25</v>
      </c>
      <c r="M3279" s="605"/>
      <c r="N3279" s="605"/>
      <c r="O3279" s="605"/>
      <c r="P3279" s="605"/>
      <c r="Q3279" s="605" t="s">
        <v>26</v>
      </c>
      <c r="R3279" s="605"/>
      <c r="S3279" s="605"/>
      <c r="T3279" s="605"/>
      <c r="U3279" s="605"/>
    </row>
    <row r="3280" spans="1:21" x14ac:dyDescent="0.25">
      <c r="A3280" s="604"/>
      <c r="B3280" s="231" t="s">
        <v>19</v>
      </c>
      <c r="C3280" s="231" t="s">
        <v>20</v>
      </c>
      <c r="D3280" s="231" t="s">
        <v>21</v>
      </c>
      <c r="E3280" s="231" t="s">
        <v>22</v>
      </c>
      <c r="F3280" s="231" t="s">
        <v>23</v>
      </c>
      <c r="G3280" s="231" t="s">
        <v>19</v>
      </c>
      <c r="H3280" s="232" t="s">
        <v>20</v>
      </c>
      <c r="I3280" s="231" t="s">
        <v>21</v>
      </c>
      <c r="J3280" s="231" t="s">
        <v>22</v>
      </c>
      <c r="K3280" s="231" t="s">
        <v>23</v>
      </c>
      <c r="L3280" s="231" t="s">
        <v>19</v>
      </c>
      <c r="M3280" s="231" t="s">
        <v>20</v>
      </c>
      <c r="N3280" s="231" t="s">
        <v>21</v>
      </c>
      <c r="O3280" s="231" t="s">
        <v>22</v>
      </c>
      <c r="P3280" s="231" t="s">
        <v>23</v>
      </c>
      <c r="Q3280" s="231" t="s">
        <v>19</v>
      </c>
      <c r="R3280" s="231" t="s">
        <v>20</v>
      </c>
      <c r="S3280" s="231" t="s">
        <v>21</v>
      </c>
      <c r="T3280" s="231" t="s">
        <v>22</v>
      </c>
      <c r="U3280" s="233" t="s">
        <v>23</v>
      </c>
    </row>
    <row r="3281" spans="1:21" ht="31.5" x14ac:dyDescent="0.25">
      <c r="A3281" s="234" t="s">
        <v>958</v>
      </c>
      <c r="B3281" s="231" t="s">
        <v>29</v>
      </c>
      <c r="C3281" s="231" t="s">
        <v>28</v>
      </c>
      <c r="D3281" s="231">
        <v>8</v>
      </c>
      <c r="E3281" s="231">
        <f>unskilled</f>
        <v>935</v>
      </c>
      <c r="F3281" s="235">
        <f>(D3281*E3281)</f>
        <v>7480</v>
      </c>
      <c r="G3281" s="231" t="s">
        <v>929</v>
      </c>
      <c r="H3281" s="232" t="s">
        <v>144</v>
      </c>
      <c r="I3281" s="231">
        <v>93</v>
      </c>
      <c r="J3281" s="231">
        <f>adopted_rate_gabion_mesh_wire</f>
        <v>129</v>
      </c>
      <c r="K3281" s="231">
        <f>(I3281*J3281)</f>
        <v>11997</v>
      </c>
      <c r="L3281" s="230"/>
      <c r="M3281" s="230"/>
      <c r="N3281" s="230"/>
      <c r="O3281" s="230"/>
      <c r="P3281" s="230"/>
      <c r="Q3281" s="230"/>
      <c r="R3281" s="230"/>
      <c r="S3281" s="230"/>
      <c r="T3281" s="230"/>
      <c r="U3281" s="236"/>
    </row>
    <row r="3282" spans="1:21" x14ac:dyDescent="0.25">
      <c r="A3282" s="230"/>
      <c r="B3282" s="231" t="s">
        <v>47</v>
      </c>
      <c r="C3282" s="231" t="s">
        <v>28</v>
      </c>
      <c r="D3282" s="231">
        <v>3</v>
      </c>
      <c r="E3282" s="231">
        <f>skilled</f>
        <v>1245</v>
      </c>
      <c r="F3282" s="235">
        <f>(D3282*E3282)</f>
        <v>3735</v>
      </c>
      <c r="G3282" s="231" t="s">
        <v>930</v>
      </c>
      <c r="H3282" s="232" t="s">
        <v>144</v>
      </c>
      <c r="I3282" s="231">
        <v>10.75</v>
      </c>
      <c r="J3282" s="231">
        <f>adopted_rate_gi_wire</f>
        <v>129</v>
      </c>
      <c r="K3282" s="231">
        <f>(I3282*J3282)</f>
        <v>1386.75</v>
      </c>
      <c r="L3282" s="230"/>
      <c r="M3282" s="230"/>
      <c r="N3282" s="230"/>
      <c r="O3282" s="230"/>
      <c r="P3282" s="230"/>
      <c r="Q3282" s="230"/>
      <c r="R3282" s="230"/>
      <c r="S3282" s="230"/>
      <c r="T3282" s="230"/>
      <c r="U3282" s="236"/>
    </row>
    <row r="3283" spans="1:21" x14ac:dyDescent="0.25">
      <c r="A3283" s="230"/>
      <c r="B3283" s="230"/>
      <c r="C3283" s="230"/>
      <c r="D3283" s="230"/>
      <c r="E3283" s="230"/>
      <c r="F3283" s="230"/>
      <c r="G3283" s="231" t="s">
        <v>36</v>
      </c>
      <c r="H3283" s="232" t="s">
        <v>144</v>
      </c>
      <c r="I3283" s="231">
        <v>5.68</v>
      </c>
      <c r="J3283" s="231">
        <f>adopted_rate_binding_wire</f>
        <v>120</v>
      </c>
      <c r="K3283" s="231">
        <f>(I3283*J3283)</f>
        <v>681.59999999999991</v>
      </c>
      <c r="L3283" s="230"/>
      <c r="M3283" s="230"/>
      <c r="N3283" s="230"/>
      <c r="O3283" s="230"/>
      <c r="P3283" s="230"/>
      <c r="Q3283" s="230"/>
      <c r="R3283" s="230"/>
      <c r="S3283" s="230"/>
      <c r="T3283" s="230"/>
      <c r="U3283" s="236"/>
    </row>
    <row r="3284" spans="1:21" x14ac:dyDescent="0.25">
      <c r="A3284" s="230"/>
      <c r="B3284" s="230"/>
      <c r="C3284" s="230"/>
      <c r="D3284" s="230"/>
      <c r="E3284" s="230"/>
      <c r="F3284" s="230"/>
      <c r="G3284" s="231" t="s">
        <v>931</v>
      </c>
      <c r="H3284" s="232" t="s">
        <v>84</v>
      </c>
      <c r="I3284" s="231">
        <v>6.6</v>
      </c>
      <c r="J3284" s="231">
        <f>adopted_rate_rubble</f>
        <v>2575.44</v>
      </c>
      <c r="K3284" s="231">
        <f>(I3284*J3284)</f>
        <v>16997.903999999999</v>
      </c>
      <c r="L3284" s="230"/>
      <c r="M3284" s="230"/>
      <c r="N3284" s="230"/>
      <c r="O3284" s="230"/>
      <c r="P3284" s="230"/>
      <c r="Q3284" s="230"/>
      <c r="R3284" s="230"/>
      <c r="S3284" s="230"/>
      <c r="T3284" s="230"/>
      <c r="U3284" s="236"/>
    </row>
    <row r="3285" spans="1:21" x14ac:dyDescent="0.25">
      <c r="A3285" s="603" t="s">
        <v>30</v>
      </c>
      <c r="B3285" s="603"/>
      <c r="C3285" s="603"/>
      <c r="D3285" s="603"/>
      <c r="E3285" s="603"/>
      <c r="F3285" s="235">
        <f>SUM(F3280:F3284)</f>
        <v>11215</v>
      </c>
      <c r="G3285" s="603" t="s">
        <v>31</v>
      </c>
      <c r="H3285" s="603"/>
      <c r="I3285" s="603"/>
      <c r="J3285" s="603"/>
      <c r="K3285" s="235">
        <f>SUM(K3280:K3284)</f>
        <v>31063.254000000001</v>
      </c>
      <c r="L3285" s="603" t="s">
        <v>32</v>
      </c>
      <c r="M3285" s="603"/>
      <c r="N3285" s="603"/>
      <c r="O3285" s="603"/>
      <c r="P3285" s="235">
        <f>SUM(P3280:P3284)</f>
        <v>0</v>
      </c>
      <c r="Q3285" s="603" t="s">
        <v>38</v>
      </c>
      <c r="R3285" s="603"/>
      <c r="S3285" s="603"/>
      <c r="T3285" s="603"/>
      <c r="U3285" s="237">
        <f>SUM(U3280:U3284)</f>
        <v>0</v>
      </c>
    </row>
    <row r="3286" spans="1:21" x14ac:dyDescent="0.25">
      <c r="A3286" s="603" t="s">
        <v>33</v>
      </c>
      <c r="B3286" s="603"/>
      <c r="C3286" s="603"/>
      <c r="D3286" s="603"/>
      <c r="E3286" s="603"/>
      <c r="F3286" s="235">
        <f>SUM(F3285+K3285+P3285)</f>
        <v>42278.254000000001</v>
      </c>
      <c r="G3286" s="603" t="s">
        <v>39</v>
      </c>
      <c r="H3286" s="603"/>
      <c r="I3286" s="603"/>
      <c r="J3286" s="603"/>
      <c r="K3286" s="235">
        <f>SUM(F3285+K3285+P3285+U3285)</f>
        <v>42278.254000000001</v>
      </c>
      <c r="L3286" s="603" t="s">
        <v>40</v>
      </c>
      <c r="M3286" s="603"/>
      <c r="N3286" s="603"/>
      <c r="O3286" s="603"/>
      <c r="P3286" s="235">
        <f>SUM(K3286*0.15)</f>
        <v>6341.7380999999996</v>
      </c>
      <c r="Q3286" s="603" t="s">
        <v>41</v>
      </c>
      <c r="R3286" s="603"/>
      <c r="S3286" s="603"/>
      <c r="T3286" s="603"/>
      <c r="U3286" s="237">
        <f>SUM(K3286+P3286)</f>
        <v>48619.992100000003</v>
      </c>
    </row>
    <row r="3287" spans="1:21" x14ac:dyDescent="0.25">
      <c r="A3287" s="230"/>
      <c r="B3287" s="230"/>
      <c r="C3287" s="230"/>
      <c r="D3287" s="230"/>
      <c r="E3287" s="230"/>
      <c r="F3287" s="230"/>
      <c r="G3287" s="230"/>
      <c r="H3287" s="238"/>
      <c r="I3287" s="230"/>
      <c r="J3287" s="230"/>
      <c r="K3287" s="230"/>
      <c r="L3287" s="230"/>
      <c r="M3287" s="230"/>
      <c r="N3287" s="230"/>
      <c r="O3287" s="230"/>
      <c r="P3287" s="230"/>
      <c r="Q3287" s="603" t="s">
        <v>42</v>
      </c>
      <c r="R3287" s="603"/>
      <c r="S3287" s="603"/>
      <c r="T3287" s="603"/>
      <c r="U3287" s="239">
        <f>ROUND((U3286/6),2)</f>
        <v>8103.33</v>
      </c>
    </row>
    <row r="3288" spans="1:21" x14ac:dyDescent="0.25">
      <c r="A3288" s="606"/>
      <c r="B3288" s="606"/>
      <c r="C3288" s="606"/>
      <c r="D3288" s="606"/>
      <c r="E3288" s="606"/>
      <c r="F3288" s="606"/>
      <c r="G3288" s="606"/>
      <c r="H3288" s="606"/>
      <c r="I3288" s="606"/>
      <c r="J3288" s="606"/>
      <c r="K3288" s="606"/>
      <c r="L3288" s="606"/>
      <c r="M3288" s="606"/>
      <c r="N3288" s="606"/>
      <c r="O3288" s="606"/>
      <c r="P3288" s="606"/>
      <c r="Q3288" s="606"/>
      <c r="R3288" s="606"/>
      <c r="S3288" s="606"/>
      <c r="T3288" s="606"/>
      <c r="U3288" s="606"/>
    </row>
    <row r="3289" spans="1:21" x14ac:dyDescent="0.25">
      <c r="A3289" s="600" t="s">
        <v>12</v>
      </c>
      <c r="B3289" s="600"/>
      <c r="C3289" s="602" t="s">
        <v>2122</v>
      </c>
      <c r="D3289" s="602"/>
      <c r="E3289" s="602"/>
      <c r="F3289" s="602"/>
      <c r="G3289" s="602"/>
      <c r="H3289" s="602"/>
      <c r="I3289" s="602"/>
      <c r="J3289" s="602"/>
      <c r="K3289" s="602"/>
      <c r="L3289" s="602"/>
      <c r="M3289" s="602"/>
      <c r="N3289" s="602"/>
      <c r="O3289" s="602"/>
      <c r="P3289" s="602"/>
      <c r="Q3289" s="602"/>
      <c r="R3289" s="602"/>
      <c r="S3289" s="602"/>
      <c r="T3289" s="602"/>
      <c r="U3289" s="603" t="s">
        <v>927</v>
      </c>
    </row>
    <row r="3290" spans="1:21" x14ac:dyDescent="0.25">
      <c r="A3290" s="600"/>
      <c r="B3290" s="600"/>
      <c r="C3290" s="602"/>
      <c r="D3290" s="602"/>
      <c r="E3290" s="602"/>
      <c r="F3290" s="602"/>
      <c r="G3290" s="602"/>
      <c r="H3290" s="602"/>
      <c r="I3290" s="602"/>
      <c r="J3290" s="602"/>
      <c r="K3290" s="602"/>
      <c r="L3290" s="602"/>
      <c r="M3290" s="602"/>
      <c r="N3290" s="602"/>
      <c r="O3290" s="602"/>
      <c r="P3290" s="602"/>
      <c r="Q3290" s="602"/>
      <c r="R3290" s="602"/>
      <c r="S3290" s="602"/>
      <c r="T3290" s="602"/>
      <c r="U3290" s="603"/>
    </row>
    <row r="3291" spans="1:21" x14ac:dyDescent="0.25">
      <c r="A3291" s="601" t="s">
        <v>925</v>
      </c>
      <c r="B3291" s="601"/>
      <c r="C3291" s="602"/>
      <c r="D3291" s="602"/>
      <c r="E3291" s="602"/>
      <c r="F3291" s="602"/>
      <c r="G3291" s="602"/>
      <c r="H3291" s="602"/>
      <c r="I3291" s="602"/>
      <c r="J3291" s="602"/>
      <c r="K3291" s="602"/>
      <c r="L3291" s="602"/>
      <c r="M3291" s="602"/>
      <c r="N3291" s="602"/>
      <c r="O3291" s="602"/>
      <c r="P3291" s="602"/>
      <c r="Q3291" s="602"/>
      <c r="R3291" s="602"/>
      <c r="S3291" s="602"/>
      <c r="T3291" s="602"/>
      <c r="U3291" s="603"/>
    </row>
    <row r="3292" spans="1:21" x14ac:dyDescent="0.25">
      <c r="A3292" s="604" t="s">
        <v>16</v>
      </c>
      <c r="B3292" s="605" t="s">
        <v>18</v>
      </c>
      <c r="C3292" s="605"/>
      <c r="D3292" s="605"/>
      <c r="E3292" s="605"/>
      <c r="F3292" s="605"/>
      <c r="G3292" s="605" t="s">
        <v>24</v>
      </c>
      <c r="H3292" s="605"/>
      <c r="I3292" s="605"/>
      <c r="J3292" s="605"/>
      <c r="K3292" s="605"/>
      <c r="L3292" s="605" t="s">
        <v>25</v>
      </c>
      <c r="M3292" s="605"/>
      <c r="N3292" s="605"/>
      <c r="O3292" s="605"/>
      <c r="P3292" s="605"/>
      <c r="Q3292" s="605" t="s">
        <v>26</v>
      </c>
      <c r="R3292" s="605"/>
      <c r="S3292" s="605"/>
      <c r="T3292" s="605"/>
      <c r="U3292" s="605"/>
    </row>
    <row r="3293" spans="1:21" x14ac:dyDescent="0.25">
      <c r="A3293" s="604"/>
      <c r="B3293" s="231" t="s">
        <v>19</v>
      </c>
      <c r="C3293" s="231" t="s">
        <v>20</v>
      </c>
      <c r="D3293" s="231" t="s">
        <v>21</v>
      </c>
      <c r="E3293" s="231" t="s">
        <v>22</v>
      </c>
      <c r="F3293" s="231" t="s">
        <v>23</v>
      </c>
      <c r="G3293" s="231" t="s">
        <v>19</v>
      </c>
      <c r="H3293" s="232" t="s">
        <v>20</v>
      </c>
      <c r="I3293" s="231" t="s">
        <v>21</v>
      </c>
      <c r="J3293" s="231" t="s">
        <v>22</v>
      </c>
      <c r="K3293" s="231" t="s">
        <v>23</v>
      </c>
      <c r="L3293" s="231" t="s">
        <v>19</v>
      </c>
      <c r="M3293" s="231" t="s">
        <v>20</v>
      </c>
      <c r="N3293" s="231" t="s">
        <v>21</v>
      </c>
      <c r="O3293" s="231" t="s">
        <v>22</v>
      </c>
      <c r="P3293" s="231" t="s">
        <v>23</v>
      </c>
      <c r="Q3293" s="231" t="s">
        <v>19</v>
      </c>
      <c r="R3293" s="231" t="s">
        <v>20</v>
      </c>
      <c r="S3293" s="231" t="s">
        <v>21</v>
      </c>
      <c r="T3293" s="231" t="s">
        <v>22</v>
      </c>
      <c r="U3293" s="233" t="s">
        <v>23</v>
      </c>
    </row>
    <row r="3294" spans="1:21" ht="31.5" x14ac:dyDescent="0.25">
      <c r="A3294" s="234" t="s">
        <v>960</v>
      </c>
      <c r="B3294" s="231" t="s">
        <v>29</v>
      </c>
      <c r="C3294" s="231" t="s">
        <v>28</v>
      </c>
      <c r="D3294" s="231">
        <v>8</v>
      </c>
      <c r="E3294" s="231">
        <f>unskilled</f>
        <v>935</v>
      </c>
      <c r="F3294" s="235">
        <f>(D3294*E3294)</f>
        <v>7480</v>
      </c>
      <c r="G3294" s="231" t="s">
        <v>929</v>
      </c>
      <c r="H3294" s="232" t="s">
        <v>144</v>
      </c>
      <c r="I3294" s="231">
        <v>92.94</v>
      </c>
      <c r="J3294" s="231">
        <f>adopted_rate_gabion_mesh_wire</f>
        <v>129</v>
      </c>
      <c r="K3294" s="231">
        <f>(I3294*J3294)</f>
        <v>11989.26</v>
      </c>
      <c r="L3294" s="230"/>
      <c r="M3294" s="230"/>
      <c r="N3294" s="230"/>
      <c r="O3294" s="230"/>
      <c r="P3294" s="230"/>
      <c r="Q3294" s="230"/>
      <c r="R3294" s="230"/>
      <c r="S3294" s="230"/>
      <c r="T3294" s="230"/>
      <c r="U3294" s="236"/>
    </row>
    <row r="3295" spans="1:21" x14ac:dyDescent="0.25">
      <c r="A3295" s="230"/>
      <c r="B3295" s="231" t="s">
        <v>47</v>
      </c>
      <c r="C3295" s="231" t="s">
        <v>28</v>
      </c>
      <c r="D3295" s="231">
        <v>3</v>
      </c>
      <c r="E3295" s="231">
        <f>skilled</f>
        <v>1245</v>
      </c>
      <c r="F3295" s="235">
        <f>(D3295*E3295)</f>
        <v>3735</v>
      </c>
      <c r="G3295" s="231" t="s">
        <v>930</v>
      </c>
      <c r="H3295" s="232" t="s">
        <v>144</v>
      </c>
      <c r="I3295" s="231">
        <v>12.07</v>
      </c>
      <c r="J3295" s="231">
        <f>adopted_rate_gi_wire</f>
        <v>129</v>
      </c>
      <c r="K3295" s="231">
        <f>(I3295*J3295)</f>
        <v>1557.03</v>
      </c>
      <c r="L3295" s="230"/>
      <c r="M3295" s="230"/>
      <c r="N3295" s="230"/>
      <c r="O3295" s="230"/>
      <c r="P3295" s="230"/>
      <c r="Q3295" s="230"/>
      <c r="R3295" s="230"/>
      <c r="S3295" s="230"/>
      <c r="T3295" s="230"/>
      <c r="U3295" s="236"/>
    </row>
    <row r="3296" spans="1:21" x14ac:dyDescent="0.25">
      <c r="A3296" s="230"/>
      <c r="B3296" s="230"/>
      <c r="C3296" s="230"/>
      <c r="D3296" s="230"/>
      <c r="E3296" s="230"/>
      <c r="F3296" s="230"/>
      <c r="G3296" s="231" t="s">
        <v>36</v>
      </c>
      <c r="H3296" s="232" t="s">
        <v>144</v>
      </c>
      <c r="I3296" s="231">
        <v>5.22</v>
      </c>
      <c r="J3296" s="231">
        <f>adopted_rate_binding_wire</f>
        <v>120</v>
      </c>
      <c r="K3296" s="231">
        <f>(I3296*J3296)</f>
        <v>626.4</v>
      </c>
      <c r="L3296" s="230"/>
      <c r="M3296" s="230"/>
      <c r="N3296" s="230"/>
      <c r="O3296" s="230"/>
      <c r="P3296" s="230"/>
      <c r="Q3296" s="230"/>
      <c r="R3296" s="230"/>
      <c r="S3296" s="230"/>
      <c r="T3296" s="230"/>
      <c r="U3296" s="236"/>
    </row>
    <row r="3297" spans="1:21" x14ac:dyDescent="0.25">
      <c r="A3297" s="230"/>
      <c r="B3297" s="230"/>
      <c r="C3297" s="230"/>
      <c r="D3297" s="230"/>
      <c r="E3297" s="230"/>
      <c r="F3297" s="230"/>
      <c r="G3297" s="231" t="s">
        <v>931</v>
      </c>
      <c r="H3297" s="232" t="s">
        <v>84</v>
      </c>
      <c r="I3297" s="231">
        <v>6.6</v>
      </c>
      <c r="J3297" s="231">
        <f>adopted_rate_rubble</f>
        <v>2575.44</v>
      </c>
      <c r="K3297" s="231">
        <f>(I3297*J3297)</f>
        <v>16997.903999999999</v>
      </c>
      <c r="L3297" s="230"/>
      <c r="M3297" s="230"/>
      <c r="N3297" s="230"/>
      <c r="O3297" s="230"/>
      <c r="P3297" s="230"/>
      <c r="Q3297" s="230"/>
      <c r="R3297" s="230"/>
      <c r="S3297" s="230"/>
      <c r="T3297" s="230"/>
      <c r="U3297" s="236"/>
    </row>
    <row r="3298" spans="1:21" x14ac:dyDescent="0.25">
      <c r="A3298" s="603" t="s">
        <v>30</v>
      </c>
      <c r="B3298" s="603"/>
      <c r="C3298" s="603"/>
      <c r="D3298" s="603"/>
      <c r="E3298" s="603"/>
      <c r="F3298" s="235">
        <f>SUM(F3293:F3297)</f>
        <v>11215</v>
      </c>
      <c r="G3298" s="603" t="s">
        <v>31</v>
      </c>
      <c r="H3298" s="603"/>
      <c r="I3298" s="603"/>
      <c r="J3298" s="603"/>
      <c r="K3298" s="235">
        <f>SUM(K3293:K3297)</f>
        <v>31170.593999999997</v>
      </c>
      <c r="L3298" s="603" t="s">
        <v>32</v>
      </c>
      <c r="M3298" s="603"/>
      <c r="N3298" s="603"/>
      <c r="O3298" s="603"/>
      <c r="P3298" s="235">
        <f>SUM(P3293:P3297)</f>
        <v>0</v>
      </c>
      <c r="Q3298" s="603" t="s">
        <v>38</v>
      </c>
      <c r="R3298" s="603"/>
      <c r="S3298" s="603"/>
      <c r="T3298" s="603"/>
      <c r="U3298" s="237">
        <f>SUM(U3293:U3297)</f>
        <v>0</v>
      </c>
    </row>
    <row r="3299" spans="1:21" x14ac:dyDescent="0.25">
      <c r="A3299" s="603" t="s">
        <v>33</v>
      </c>
      <c r="B3299" s="603"/>
      <c r="C3299" s="603"/>
      <c r="D3299" s="603"/>
      <c r="E3299" s="603"/>
      <c r="F3299" s="235">
        <f>SUM(F3298+K3298+P3298)</f>
        <v>42385.593999999997</v>
      </c>
      <c r="G3299" s="603" t="s">
        <v>39</v>
      </c>
      <c r="H3299" s="603"/>
      <c r="I3299" s="603"/>
      <c r="J3299" s="603"/>
      <c r="K3299" s="235">
        <f>SUM(F3298+K3298+P3298+U3298)</f>
        <v>42385.593999999997</v>
      </c>
      <c r="L3299" s="603" t="s">
        <v>40</v>
      </c>
      <c r="M3299" s="603"/>
      <c r="N3299" s="603"/>
      <c r="O3299" s="603"/>
      <c r="P3299" s="235">
        <f>SUM(K3299*0.15)</f>
        <v>6357.8390999999992</v>
      </c>
      <c r="Q3299" s="603" t="s">
        <v>41</v>
      </c>
      <c r="R3299" s="603"/>
      <c r="S3299" s="603"/>
      <c r="T3299" s="603"/>
      <c r="U3299" s="237">
        <f>SUM(K3299+P3299)</f>
        <v>48743.433099999995</v>
      </c>
    </row>
    <row r="3300" spans="1:21" x14ac:dyDescent="0.25">
      <c r="A3300" s="230"/>
      <c r="B3300" s="230"/>
      <c r="C3300" s="230"/>
      <c r="D3300" s="230"/>
      <c r="E3300" s="230"/>
      <c r="F3300" s="230"/>
      <c r="G3300" s="230"/>
      <c r="H3300" s="238"/>
      <c r="I3300" s="230"/>
      <c r="J3300" s="230"/>
      <c r="K3300" s="230"/>
      <c r="L3300" s="230"/>
      <c r="M3300" s="230"/>
      <c r="N3300" s="230"/>
      <c r="O3300" s="230"/>
      <c r="P3300" s="230"/>
      <c r="Q3300" s="610" t="s">
        <v>42</v>
      </c>
      <c r="R3300" s="610"/>
      <c r="S3300" s="610"/>
      <c r="T3300" s="610"/>
      <c r="U3300" s="239">
        <f>ROUND((U3299/6),2)</f>
        <v>8123.91</v>
      </c>
    </row>
    <row r="3301" spans="1:21" ht="18.75" x14ac:dyDescent="0.25">
      <c r="A3301" s="230"/>
      <c r="B3301" s="230"/>
      <c r="C3301" s="230"/>
      <c r="D3301" s="230"/>
      <c r="E3301" s="230"/>
      <c r="F3301" s="230"/>
      <c r="G3301" s="230"/>
      <c r="H3301" s="238"/>
      <c r="I3301" s="230"/>
      <c r="J3301" s="230"/>
      <c r="K3301" s="230"/>
      <c r="L3301" s="230"/>
      <c r="M3301" s="230"/>
      <c r="N3301" s="607" t="s">
        <v>2277</v>
      </c>
      <c r="O3301" s="608"/>
      <c r="P3301" s="608"/>
      <c r="Q3301" s="608"/>
      <c r="R3301" s="608"/>
      <c r="S3301" s="608"/>
      <c r="T3301" s="609"/>
      <c r="U3301" s="240">
        <f>(U3300+U3287+U3274+U3261)/4</f>
        <v>7949.8</v>
      </c>
    </row>
    <row r="3302" spans="1:21" x14ac:dyDescent="0.25">
      <c r="A3302" s="544"/>
      <c r="B3302" s="544"/>
      <c r="C3302" s="544"/>
      <c r="D3302" s="544"/>
      <c r="E3302" s="544"/>
      <c r="F3302" s="544"/>
      <c r="G3302" s="544"/>
      <c r="H3302" s="544"/>
      <c r="I3302" s="544"/>
      <c r="J3302" s="544"/>
      <c r="K3302" s="544"/>
      <c r="L3302" s="544"/>
      <c r="M3302" s="544"/>
      <c r="N3302" s="544"/>
      <c r="O3302" s="544"/>
      <c r="P3302" s="544"/>
      <c r="Q3302" s="544"/>
      <c r="R3302" s="544"/>
      <c r="S3302" s="544"/>
      <c r="T3302" s="544"/>
      <c r="U3302" s="544"/>
    </row>
    <row r="3303" spans="1:21" x14ac:dyDescent="0.25">
      <c r="A3303" s="538" t="s">
        <v>12</v>
      </c>
      <c r="B3303" s="538"/>
      <c r="C3303" s="540" t="s">
        <v>2123</v>
      </c>
      <c r="D3303" s="540"/>
      <c r="E3303" s="540"/>
      <c r="F3303" s="540"/>
      <c r="G3303" s="540"/>
      <c r="H3303" s="540"/>
      <c r="I3303" s="540"/>
      <c r="J3303" s="540"/>
      <c r="K3303" s="540"/>
      <c r="L3303" s="540"/>
      <c r="M3303" s="540"/>
      <c r="N3303" s="540"/>
      <c r="O3303" s="540"/>
      <c r="P3303" s="540"/>
      <c r="Q3303" s="540"/>
      <c r="R3303" s="540"/>
      <c r="S3303" s="540"/>
      <c r="T3303" s="540"/>
      <c r="U3303" s="541" t="s">
        <v>939</v>
      </c>
    </row>
    <row r="3304" spans="1:21" x14ac:dyDescent="0.25">
      <c r="A3304" s="538"/>
      <c r="B3304" s="538"/>
      <c r="C3304" s="540"/>
      <c r="D3304" s="540"/>
      <c r="E3304" s="540"/>
      <c r="F3304" s="540"/>
      <c r="G3304" s="540"/>
      <c r="H3304" s="540"/>
      <c r="I3304" s="540"/>
      <c r="J3304" s="540"/>
      <c r="K3304" s="540"/>
      <c r="L3304" s="540"/>
      <c r="M3304" s="540"/>
      <c r="N3304" s="540"/>
      <c r="O3304" s="540"/>
      <c r="P3304" s="540"/>
      <c r="Q3304" s="540"/>
      <c r="R3304" s="540"/>
      <c r="S3304" s="540"/>
      <c r="T3304" s="540"/>
      <c r="U3304" s="541"/>
    </row>
    <row r="3305" spans="1:21" x14ac:dyDescent="0.25">
      <c r="A3305" s="539" t="s">
        <v>925</v>
      </c>
      <c r="B3305" s="539"/>
      <c r="C3305" s="540"/>
      <c r="D3305" s="540"/>
      <c r="E3305" s="540"/>
      <c r="F3305" s="540"/>
      <c r="G3305" s="540"/>
      <c r="H3305" s="540"/>
      <c r="I3305" s="540"/>
      <c r="J3305" s="540"/>
      <c r="K3305" s="540"/>
      <c r="L3305" s="540"/>
      <c r="M3305" s="540"/>
      <c r="N3305" s="540"/>
      <c r="O3305" s="540"/>
      <c r="P3305" s="540"/>
      <c r="Q3305" s="540"/>
      <c r="R3305" s="540"/>
      <c r="S3305" s="540"/>
      <c r="T3305" s="540"/>
      <c r="U3305" s="541"/>
    </row>
    <row r="3306" spans="1:21" x14ac:dyDescent="0.25">
      <c r="A3306" s="542" t="s">
        <v>16</v>
      </c>
      <c r="B3306" s="543" t="s">
        <v>18</v>
      </c>
      <c r="C3306" s="543"/>
      <c r="D3306" s="543"/>
      <c r="E3306" s="543"/>
      <c r="F3306" s="543"/>
      <c r="G3306" s="543" t="s">
        <v>24</v>
      </c>
      <c r="H3306" s="543"/>
      <c r="I3306" s="543"/>
      <c r="J3306" s="543"/>
      <c r="K3306" s="543"/>
      <c r="L3306" s="543" t="s">
        <v>25</v>
      </c>
      <c r="M3306" s="543"/>
      <c r="N3306" s="543"/>
      <c r="O3306" s="543"/>
      <c r="P3306" s="543"/>
      <c r="Q3306" s="543" t="s">
        <v>26</v>
      </c>
      <c r="R3306" s="543"/>
      <c r="S3306" s="543"/>
      <c r="T3306" s="543"/>
      <c r="U3306" s="543"/>
    </row>
    <row r="3307" spans="1:21" x14ac:dyDescent="0.25">
      <c r="A3307" s="542"/>
      <c r="B3307" s="182" t="s">
        <v>19</v>
      </c>
      <c r="C3307" s="182" t="s">
        <v>20</v>
      </c>
      <c r="D3307" s="182" t="s">
        <v>21</v>
      </c>
      <c r="E3307" s="182" t="s">
        <v>22</v>
      </c>
      <c r="F3307" s="182" t="s">
        <v>23</v>
      </c>
      <c r="G3307" s="182" t="s">
        <v>19</v>
      </c>
      <c r="H3307" s="216" t="s">
        <v>20</v>
      </c>
      <c r="I3307" s="182" t="s">
        <v>21</v>
      </c>
      <c r="J3307" s="182" t="s">
        <v>22</v>
      </c>
      <c r="K3307" s="182" t="s">
        <v>23</v>
      </c>
      <c r="L3307" s="182" t="s">
        <v>19</v>
      </c>
      <c r="M3307" s="182" t="s">
        <v>20</v>
      </c>
      <c r="N3307" s="182" t="s">
        <v>21</v>
      </c>
      <c r="O3307" s="182" t="s">
        <v>22</v>
      </c>
      <c r="P3307" s="182" t="s">
        <v>23</v>
      </c>
      <c r="Q3307" s="182" t="s">
        <v>19</v>
      </c>
      <c r="R3307" s="182" t="s">
        <v>20</v>
      </c>
      <c r="S3307" s="182" t="s">
        <v>21</v>
      </c>
      <c r="T3307" s="182" t="s">
        <v>22</v>
      </c>
      <c r="U3307" s="211" t="s">
        <v>23</v>
      </c>
    </row>
    <row r="3308" spans="1:21" x14ac:dyDescent="0.25">
      <c r="A3308" s="183" t="s">
        <v>962</v>
      </c>
      <c r="B3308" s="182" t="s">
        <v>29</v>
      </c>
      <c r="C3308" s="182" t="s">
        <v>28</v>
      </c>
      <c r="D3308" s="182">
        <v>8</v>
      </c>
      <c r="E3308" s="182">
        <f>unskilled</f>
        <v>935</v>
      </c>
      <c r="F3308" s="184">
        <f>(D3308*E3308)</f>
        <v>7480</v>
      </c>
      <c r="G3308" s="182" t="s">
        <v>929</v>
      </c>
      <c r="H3308" s="216" t="s">
        <v>144</v>
      </c>
      <c r="I3308" s="182">
        <v>69.7</v>
      </c>
      <c r="J3308" s="182">
        <f>adopted_rate_gabion_mesh_wire</f>
        <v>129</v>
      </c>
      <c r="K3308" s="182">
        <f>(I3308*J3308)</f>
        <v>8991.3000000000011</v>
      </c>
    </row>
    <row r="3309" spans="1:21" x14ac:dyDescent="0.25">
      <c r="B3309" s="182" t="s">
        <v>47</v>
      </c>
      <c r="C3309" s="182" t="s">
        <v>28</v>
      </c>
      <c r="D3309" s="182">
        <v>3</v>
      </c>
      <c r="E3309" s="182">
        <f>skilled</f>
        <v>1245</v>
      </c>
      <c r="F3309" s="184">
        <f>(D3309*E3309)</f>
        <v>3735</v>
      </c>
      <c r="G3309" s="182" t="s">
        <v>930</v>
      </c>
      <c r="H3309" s="216" t="s">
        <v>144</v>
      </c>
      <c r="I3309" s="182">
        <v>7.18</v>
      </c>
      <c r="J3309" s="182">
        <f>adopted_rate_gi_wire</f>
        <v>129</v>
      </c>
      <c r="K3309" s="182">
        <f>(I3309*J3309)</f>
        <v>926.21999999999991</v>
      </c>
    </row>
    <row r="3310" spans="1:21" x14ac:dyDescent="0.25">
      <c r="G3310" s="182" t="s">
        <v>36</v>
      </c>
      <c r="H3310" s="216" t="s">
        <v>144</v>
      </c>
      <c r="I3310" s="182">
        <v>3.8</v>
      </c>
      <c r="J3310" s="182">
        <f>adopted_rate_binding_wire</f>
        <v>120</v>
      </c>
      <c r="K3310" s="182">
        <f>(I3310*J3310)</f>
        <v>456</v>
      </c>
    </row>
    <row r="3311" spans="1:21" x14ac:dyDescent="0.25">
      <c r="G3311" s="182" t="s">
        <v>931</v>
      </c>
      <c r="H3311" s="216" t="s">
        <v>84</v>
      </c>
      <c r="I3311" s="182">
        <v>4.95</v>
      </c>
      <c r="J3311" s="182">
        <f>adopted_rate_rubble</f>
        <v>2575.44</v>
      </c>
      <c r="K3311" s="182">
        <f>(I3311*J3311)</f>
        <v>12748.428</v>
      </c>
    </row>
    <row r="3312" spans="1:21" x14ac:dyDescent="0.25">
      <c r="A3312" s="537" t="s">
        <v>30</v>
      </c>
      <c r="B3312" s="537"/>
      <c r="C3312" s="537"/>
      <c r="D3312" s="537"/>
      <c r="E3312" s="537"/>
      <c r="F3312" s="184">
        <f>SUM(F3307:F3311)</f>
        <v>11215</v>
      </c>
      <c r="G3312" s="537" t="s">
        <v>31</v>
      </c>
      <c r="H3312" s="537"/>
      <c r="I3312" s="537"/>
      <c r="J3312" s="537"/>
      <c r="K3312" s="184">
        <f>SUM(K3307:K3311)</f>
        <v>23121.948</v>
      </c>
      <c r="L3312" s="537" t="s">
        <v>32</v>
      </c>
      <c r="M3312" s="537"/>
      <c r="N3312" s="537"/>
      <c r="O3312" s="537"/>
      <c r="P3312" s="184">
        <f>SUM(P3307:P3311)</f>
        <v>0</v>
      </c>
      <c r="Q3312" s="537" t="s">
        <v>38</v>
      </c>
      <c r="R3312" s="537"/>
      <c r="S3312" s="537"/>
      <c r="T3312" s="537"/>
      <c r="U3312" s="223">
        <f>SUM(U3307:U3311)</f>
        <v>0</v>
      </c>
    </row>
    <row r="3313" spans="1:21" x14ac:dyDescent="0.25">
      <c r="A3313" s="537" t="s">
        <v>33</v>
      </c>
      <c r="B3313" s="537"/>
      <c r="C3313" s="537"/>
      <c r="D3313" s="537"/>
      <c r="E3313" s="537"/>
      <c r="F3313" s="184">
        <f>SUM(F3312+K3312+P3312)</f>
        <v>34336.948000000004</v>
      </c>
      <c r="G3313" s="537" t="s">
        <v>39</v>
      </c>
      <c r="H3313" s="537"/>
      <c r="I3313" s="537"/>
      <c r="J3313" s="537"/>
      <c r="K3313" s="184">
        <f>SUM(F3312+K3312+P3312+U3312)</f>
        <v>34336.948000000004</v>
      </c>
      <c r="L3313" s="537" t="s">
        <v>40</v>
      </c>
      <c r="M3313" s="537"/>
      <c r="N3313" s="537"/>
      <c r="O3313" s="537"/>
      <c r="P3313" s="184">
        <f>SUM(K3313*0.15)</f>
        <v>5150.5422000000008</v>
      </c>
      <c r="Q3313" s="537" t="s">
        <v>41</v>
      </c>
      <c r="R3313" s="537"/>
      <c r="S3313" s="537"/>
      <c r="T3313" s="537"/>
      <c r="U3313" s="223">
        <f>SUM(K3313+P3313)</f>
        <v>39487.490200000007</v>
      </c>
    </row>
    <row r="3314" spans="1:21" x14ac:dyDescent="0.25">
      <c r="Q3314" s="537" t="s">
        <v>42</v>
      </c>
      <c r="R3314" s="537"/>
      <c r="S3314" s="537"/>
      <c r="T3314" s="537"/>
      <c r="U3314" s="224">
        <f>ROUND((U3313/4.5),2)</f>
        <v>8775</v>
      </c>
    </row>
    <row r="3315" spans="1:21" x14ac:dyDescent="0.25">
      <c r="A3315" s="544"/>
      <c r="B3315" s="544"/>
      <c r="C3315" s="544"/>
      <c r="D3315" s="544"/>
      <c r="E3315" s="544"/>
      <c r="F3315" s="544"/>
      <c r="G3315" s="544"/>
      <c r="H3315" s="544"/>
      <c r="I3315" s="544"/>
      <c r="J3315" s="544"/>
      <c r="K3315" s="544"/>
      <c r="L3315" s="544"/>
      <c r="M3315" s="544"/>
      <c r="N3315" s="544"/>
      <c r="O3315" s="544"/>
      <c r="P3315" s="544"/>
      <c r="Q3315" s="544"/>
      <c r="R3315" s="544"/>
      <c r="S3315" s="544"/>
      <c r="T3315" s="544"/>
      <c r="U3315" s="544"/>
    </row>
    <row r="3316" spans="1:21" x14ac:dyDescent="0.25">
      <c r="A3316" s="538" t="s">
        <v>12</v>
      </c>
      <c r="B3316" s="538"/>
      <c r="C3316" s="540" t="s">
        <v>2124</v>
      </c>
      <c r="D3316" s="540"/>
      <c r="E3316" s="540"/>
      <c r="F3316" s="540"/>
      <c r="G3316" s="540"/>
      <c r="H3316" s="540"/>
      <c r="I3316" s="540"/>
      <c r="J3316" s="540"/>
      <c r="K3316" s="540"/>
      <c r="L3316" s="540"/>
      <c r="M3316" s="540"/>
      <c r="N3316" s="540"/>
      <c r="O3316" s="540"/>
      <c r="P3316" s="540"/>
      <c r="Q3316" s="540"/>
      <c r="R3316" s="540"/>
      <c r="S3316" s="540"/>
      <c r="T3316" s="540"/>
      <c r="U3316" s="541" t="s">
        <v>927</v>
      </c>
    </row>
    <row r="3317" spans="1:21" x14ac:dyDescent="0.25">
      <c r="A3317" s="538"/>
      <c r="B3317" s="538"/>
      <c r="C3317" s="540"/>
      <c r="D3317" s="540"/>
      <c r="E3317" s="540"/>
      <c r="F3317" s="540"/>
      <c r="G3317" s="540"/>
      <c r="H3317" s="540"/>
      <c r="I3317" s="540"/>
      <c r="J3317" s="540"/>
      <c r="K3317" s="540"/>
      <c r="L3317" s="540"/>
      <c r="M3317" s="540"/>
      <c r="N3317" s="540"/>
      <c r="O3317" s="540"/>
      <c r="P3317" s="540"/>
      <c r="Q3317" s="540"/>
      <c r="R3317" s="540"/>
      <c r="S3317" s="540"/>
      <c r="T3317" s="540"/>
      <c r="U3317" s="541"/>
    </row>
    <row r="3318" spans="1:21" x14ac:dyDescent="0.25">
      <c r="A3318" s="539" t="s">
        <v>925</v>
      </c>
      <c r="B3318" s="539"/>
      <c r="C3318" s="540"/>
      <c r="D3318" s="540"/>
      <c r="E3318" s="540"/>
      <c r="F3318" s="540"/>
      <c r="G3318" s="540"/>
      <c r="H3318" s="540"/>
      <c r="I3318" s="540"/>
      <c r="J3318" s="540"/>
      <c r="K3318" s="540"/>
      <c r="L3318" s="540"/>
      <c r="M3318" s="540"/>
      <c r="N3318" s="540"/>
      <c r="O3318" s="540"/>
      <c r="P3318" s="540"/>
      <c r="Q3318" s="540"/>
      <c r="R3318" s="540"/>
      <c r="S3318" s="540"/>
      <c r="T3318" s="540"/>
      <c r="U3318" s="541"/>
    </row>
    <row r="3319" spans="1:21" x14ac:dyDescent="0.25">
      <c r="A3319" s="542" t="s">
        <v>16</v>
      </c>
      <c r="B3319" s="543" t="s">
        <v>18</v>
      </c>
      <c r="C3319" s="543"/>
      <c r="D3319" s="543"/>
      <c r="E3319" s="543"/>
      <c r="F3319" s="543"/>
      <c r="G3319" s="543" t="s">
        <v>24</v>
      </c>
      <c r="H3319" s="543"/>
      <c r="I3319" s="543"/>
      <c r="J3319" s="543"/>
      <c r="K3319" s="543"/>
      <c r="L3319" s="543" t="s">
        <v>25</v>
      </c>
      <c r="M3319" s="543"/>
      <c r="N3319" s="543"/>
      <c r="O3319" s="543"/>
      <c r="P3319" s="543"/>
      <c r="Q3319" s="543" t="s">
        <v>26</v>
      </c>
      <c r="R3319" s="543"/>
      <c r="S3319" s="543"/>
      <c r="T3319" s="543"/>
      <c r="U3319" s="543"/>
    </row>
    <row r="3320" spans="1:21" x14ac:dyDescent="0.25">
      <c r="A3320" s="542"/>
      <c r="B3320" s="182" t="s">
        <v>19</v>
      </c>
      <c r="C3320" s="182" t="s">
        <v>20</v>
      </c>
      <c r="D3320" s="182" t="s">
        <v>21</v>
      </c>
      <c r="E3320" s="182" t="s">
        <v>22</v>
      </c>
      <c r="F3320" s="182" t="s">
        <v>23</v>
      </c>
      <c r="G3320" s="182" t="s">
        <v>19</v>
      </c>
      <c r="H3320" s="216" t="s">
        <v>20</v>
      </c>
      <c r="I3320" s="182" t="s">
        <v>21</v>
      </c>
      <c r="J3320" s="182" t="s">
        <v>22</v>
      </c>
      <c r="K3320" s="182" t="s">
        <v>23</v>
      </c>
      <c r="L3320" s="182" t="s">
        <v>19</v>
      </c>
      <c r="M3320" s="182" t="s">
        <v>20</v>
      </c>
      <c r="N3320" s="182" t="s">
        <v>21</v>
      </c>
      <c r="O3320" s="182" t="s">
        <v>22</v>
      </c>
      <c r="P3320" s="182" t="s">
        <v>23</v>
      </c>
      <c r="Q3320" s="182" t="s">
        <v>19</v>
      </c>
      <c r="R3320" s="182" t="s">
        <v>20</v>
      </c>
      <c r="S3320" s="182" t="s">
        <v>21</v>
      </c>
      <c r="T3320" s="182" t="s">
        <v>22</v>
      </c>
      <c r="U3320" s="211" t="s">
        <v>23</v>
      </c>
    </row>
    <row r="3321" spans="1:21" ht="31.5" x14ac:dyDescent="0.25">
      <c r="A3321" s="183" t="s">
        <v>964</v>
      </c>
      <c r="B3321" s="182" t="s">
        <v>29</v>
      </c>
      <c r="C3321" s="182" t="s">
        <v>28</v>
      </c>
      <c r="D3321" s="182">
        <v>8</v>
      </c>
      <c r="E3321" s="182">
        <f>unskilled</f>
        <v>935</v>
      </c>
      <c r="F3321" s="184">
        <f>(D3321*E3321)</f>
        <v>7480</v>
      </c>
      <c r="G3321" s="182" t="s">
        <v>929</v>
      </c>
      <c r="H3321" s="216" t="s">
        <v>144</v>
      </c>
      <c r="I3321" s="182">
        <v>95.52</v>
      </c>
      <c r="J3321" s="182">
        <f>adopted_rate_gabion_mesh_wire</f>
        <v>129</v>
      </c>
      <c r="K3321" s="182">
        <f>(I3321*J3321)</f>
        <v>12322.08</v>
      </c>
    </row>
    <row r="3322" spans="1:21" x14ac:dyDescent="0.25">
      <c r="B3322" s="182" t="s">
        <v>47</v>
      </c>
      <c r="C3322" s="182" t="s">
        <v>28</v>
      </c>
      <c r="D3322" s="182">
        <v>3</v>
      </c>
      <c r="E3322" s="182">
        <f>skilled</f>
        <v>1245</v>
      </c>
      <c r="F3322" s="184">
        <f>(D3322*E3322)</f>
        <v>3735</v>
      </c>
      <c r="G3322" s="182" t="s">
        <v>930</v>
      </c>
      <c r="H3322" s="216" t="s">
        <v>144</v>
      </c>
      <c r="I3322" s="182">
        <v>10.79</v>
      </c>
      <c r="J3322" s="182">
        <f>adopted_rate_gi_wire</f>
        <v>129</v>
      </c>
      <c r="K3322" s="182">
        <f>(I3322*J3322)</f>
        <v>1391.9099999999999</v>
      </c>
    </row>
    <row r="3323" spans="1:21" x14ac:dyDescent="0.25">
      <c r="G3323" s="182" t="s">
        <v>36</v>
      </c>
      <c r="H3323" s="216" t="s">
        <v>144</v>
      </c>
      <c r="I3323" s="182">
        <v>5.4</v>
      </c>
      <c r="J3323" s="182">
        <f>adopted_rate_binding_wire</f>
        <v>120</v>
      </c>
      <c r="K3323" s="182">
        <f>(I3323*J3323)</f>
        <v>648</v>
      </c>
    </row>
    <row r="3324" spans="1:21" x14ac:dyDescent="0.25">
      <c r="G3324" s="182" t="s">
        <v>931</v>
      </c>
      <c r="H3324" s="216" t="s">
        <v>84</v>
      </c>
      <c r="I3324" s="182">
        <v>6.6</v>
      </c>
      <c r="J3324" s="182">
        <f>adopted_rate_rubble</f>
        <v>2575.44</v>
      </c>
      <c r="K3324" s="182">
        <f>(I3324*J3324)</f>
        <v>16997.903999999999</v>
      </c>
    </row>
    <row r="3325" spans="1:21" x14ac:dyDescent="0.25">
      <c r="A3325" s="537" t="s">
        <v>30</v>
      </c>
      <c r="B3325" s="537"/>
      <c r="C3325" s="537"/>
      <c r="D3325" s="537"/>
      <c r="E3325" s="537"/>
      <c r="F3325" s="184">
        <f>SUM(F3320:F3324)</f>
        <v>11215</v>
      </c>
      <c r="G3325" s="537" t="s">
        <v>31</v>
      </c>
      <c r="H3325" s="537"/>
      <c r="I3325" s="537"/>
      <c r="J3325" s="537"/>
      <c r="K3325" s="184">
        <f>SUM(K3320:K3324)</f>
        <v>31359.894</v>
      </c>
      <c r="L3325" s="537" t="s">
        <v>32</v>
      </c>
      <c r="M3325" s="537"/>
      <c r="N3325" s="537"/>
      <c r="O3325" s="537"/>
      <c r="P3325" s="184">
        <f>SUM(P3320:P3324)</f>
        <v>0</v>
      </c>
      <c r="Q3325" s="537" t="s">
        <v>38</v>
      </c>
      <c r="R3325" s="537"/>
      <c r="S3325" s="537"/>
      <c r="T3325" s="537"/>
      <c r="U3325" s="223">
        <f>SUM(U3320:U3324)</f>
        <v>0</v>
      </c>
    </row>
    <row r="3326" spans="1:21" x14ac:dyDescent="0.25">
      <c r="A3326" s="537" t="s">
        <v>33</v>
      </c>
      <c r="B3326" s="537"/>
      <c r="C3326" s="537"/>
      <c r="D3326" s="537"/>
      <c r="E3326" s="537"/>
      <c r="F3326" s="184">
        <f>SUM(F3325+K3325+P3325)</f>
        <v>42574.894</v>
      </c>
      <c r="G3326" s="537" t="s">
        <v>39</v>
      </c>
      <c r="H3326" s="537"/>
      <c r="I3326" s="537"/>
      <c r="J3326" s="537"/>
      <c r="K3326" s="184">
        <f>SUM(F3325+K3325+P3325+U3325)</f>
        <v>42574.894</v>
      </c>
      <c r="L3326" s="537" t="s">
        <v>40</v>
      </c>
      <c r="M3326" s="537"/>
      <c r="N3326" s="537"/>
      <c r="O3326" s="537"/>
      <c r="P3326" s="184">
        <f>SUM(K3326*0.15)</f>
        <v>6386.2340999999997</v>
      </c>
      <c r="Q3326" s="537" t="s">
        <v>41</v>
      </c>
      <c r="R3326" s="537"/>
      <c r="S3326" s="537"/>
      <c r="T3326" s="537"/>
      <c r="U3326" s="223">
        <f>SUM(K3326+P3326)</f>
        <v>48961.128100000002</v>
      </c>
    </row>
    <row r="3327" spans="1:21" x14ac:dyDescent="0.25">
      <c r="Q3327" s="537" t="s">
        <v>42</v>
      </c>
      <c r="R3327" s="537"/>
      <c r="S3327" s="537"/>
      <c r="T3327" s="537"/>
      <c r="U3327" s="224">
        <f>ROUND((U3326/6),2)</f>
        <v>8160.19</v>
      </c>
    </row>
    <row r="3328" spans="1:21" x14ac:dyDescent="0.25">
      <c r="A3328" s="544"/>
      <c r="B3328" s="544"/>
      <c r="C3328" s="544"/>
      <c r="D3328" s="544"/>
      <c r="E3328" s="544"/>
      <c r="F3328" s="544"/>
      <c r="G3328" s="544"/>
      <c r="H3328" s="544"/>
      <c r="I3328" s="544"/>
      <c r="J3328" s="544"/>
      <c r="K3328" s="544"/>
      <c r="L3328" s="544"/>
      <c r="M3328" s="544"/>
      <c r="N3328" s="544"/>
      <c r="O3328" s="544"/>
      <c r="P3328" s="544"/>
      <c r="Q3328" s="544"/>
      <c r="R3328" s="544"/>
      <c r="S3328" s="544"/>
      <c r="T3328" s="544"/>
      <c r="U3328" s="544"/>
    </row>
    <row r="3329" spans="1:21" x14ac:dyDescent="0.25">
      <c r="A3329" s="538" t="s">
        <v>12</v>
      </c>
      <c r="B3329" s="538"/>
      <c r="C3329" s="540" t="s">
        <v>2125</v>
      </c>
      <c r="D3329" s="540"/>
      <c r="E3329" s="540"/>
      <c r="F3329" s="540"/>
      <c r="G3329" s="540"/>
      <c r="H3329" s="540"/>
      <c r="I3329" s="540"/>
      <c r="J3329" s="540"/>
      <c r="K3329" s="540"/>
      <c r="L3329" s="540"/>
      <c r="M3329" s="540"/>
      <c r="N3329" s="540"/>
      <c r="O3329" s="540"/>
      <c r="P3329" s="540"/>
      <c r="Q3329" s="540"/>
      <c r="R3329" s="540"/>
      <c r="S3329" s="540"/>
      <c r="T3329" s="540"/>
      <c r="U3329" s="541" t="s">
        <v>927</v>
      </c>
    </row>
    <row r="3330" spans="1:21" x14ac:dyDescent="0.25">
      <c r="A3330" s="538"/>
      <c r="B3330" s="538"/>
      <c r="C3330" s="540"/>
      <c r="D3330" s="540"/>
      <c r="E3330" s="540"/>
      <c r="F3330" s="540"/>
      <c r="G3330" s="540"/>
      <c r="H3330" s="540"/>
      <c r="I3330" s="540"/>
      <c r="J3330" s="540"/>
      <c r="K3330" s="540"/>
      <c r="L3330" s="540"/>
      <c r="M3330" s="540"/>
      <c r="N3330" s="540"/>
      <c r="O3330" s="540"/>
      <c r="P3330" s="540"/>
      <c r="Q3330" s="540"/>
      <c r="R3330" s="540"/>
      <c r="S3330" s="540"/>
      <c r="T3330" s="540"/>
      <c r="U3330" s="541"/>
    </row>
    <row r="3331" spans="1:21" x14ac:dyDescent="0.25">
      <c r="A3331" s="539" t="s">
        <v>925</v>
      </c>
      <c r="B3331" s="539"/>
      <c r="C3331" s="540"/>
      <c r="D3331" s="540"/>
      <c r="E3331" s="540"/>
      <c r="F3331" s="540"/>
      <c r="G3331" s="540"/>
      <c r="H3331" s="540"/>
      <c r="I3331" s="540"/>
      <c r="J3331" s="540"/>
      <c r="K3331" s="540"/>
      <c r="L3331" s="540"/>
      <c r="M3331" s="540"/>
      <c r="N3331" s="540"/>
      <c r="O3331" s="540"/>
      <c r="P3331" s="540"/>
      <c r="Q3331" s="540"/>
      <c r="R3331" s="540"/>
      <c r="S3331" s="540"/>
      <c r="T3331" s="540"/>
      <c r="U3331" s="541"/>
    </row>
    <row r="3332" spans="1:21" x14ac:dyDescent="0.25">
      <c r="A3332" s="542" t="s">
        <v>16</v>
      </c>
      <c r="B3332" s="543" t="s">
        <v>18</v>
      </c>
      <c r="C3332" s="543"/>
      <c r="D3332" s="543"/>
      <c r="E3332" s="543"/>
      <c r="F3332" s="543"/>
      <c r="G3332" s="543" t="s">
        <v>24</v>
      </c>
      <c r="H3332" s="543"/>
      <c r="I3332" s="543"/>
      <c r="J3332" s="543"/>
      <c r="K3332" s="543"/>
      <c r="L3332" s="543" t="s">
        <v>25</v>
      </c>
      <c r="M3332" s="543"/>
      <c r="N3332" s="543"/>
      <c r="O3332" s="543"/>
      <c r="P3332" s="543"/>
      <c r="Q3332" s="543" t="s">
        <v>26</v>
      </c>
      <c r="R3332" s="543"/>
      <c r="S3332" s="543"/>
      <c r="T3332" s="543"/>
      <c r="U3332" s="543"/>
    </row>
    <row r="3333" spans="1:21" x14ac:dyDescent="0.25">
      <c r="A3333" s="542"/>
      <c r="B3333" s="182" t="s">
        <v>19</v>
      </c>
      <c r="C3333" s="182" t="s">
        <v>20</v>
      </c>
      <c r="D3333" s="182" t="s">
        <v>21</v>
      </c>
      <c r="E3333" s="182" t="s">
        <v>22</v>
      </c>
      <c r="F3333" s="182" t="s">
        <v>23</v>
      </c>
      <c r="G3333" s="182" t="s">
        <v>19</v>
      </c>
      <c r="H3333" s="216" t="s">
        <v>20</v>
      </c>
      <c r="I3333" s="182" t="s">
        <v>21</v>
      </c>
      <c r="J3333" s="182" t="s">
        <v>22</v>
      </c>
      <c r="K3333" s="182" t="s">
        <v>23</v>
      </c>
      <c r="L3333" s="182" t="s">
        <v>19</v>
      </c>
      <c r="M3333" s="182" t="s">
        <v>20</v>
      </c>
      <c r="N3333" s="182" t="s">
        <v>21</v>
      </c>
      <c r="O3333" s="182" t="s">
        <v>22</v>
      </c>
      <c r="P3333" s="182" t="s">
        <v>23</v>
      </c>
      <c r="Q3333" s="182" t="s">
        <v>19</v>
      </c>
      <c r="R3333" s="182" t="s">
        <v>20</v>
      </c>
      <c r="S3333" s="182" t="s">
        <v>21</v>
      </c>
      <c r="T3333" s="182" t="s">
        <v>22</v>
      </c>
      <c r="U3333" s="211" t="s">
        <v>23</v>
      </c>
    </row>
    <row r="3334" spans="1:21" ht="31.5" x14ac:dyDescent="0.25">
      <c r="A3334" s="183" t="s">
        <v>966</v>
      </c>
      <c r="B3334" s="182" t="s">
        <v>29</v>
      </c>
      <c r="C3334" s="182" t="s">
        <v>28</v>
      </c>
      <c r="D3334" s="182">
        <v>9</v>
      </c>
      <c r="E3334" s="182">
        <f>unskilled</f>
        <v>935</v>
      </c>
      <c r="F3334" s="184">
        <f>(D3334*E3334)</f>
        <v>8415</v>
      </c>
      <c r="G3334" s="182" t="s">
        <v>929</v>
      </c>
      <c r="H3334" s="216" t="s">
        <v>144</v>
      </c>
      <c r="I3334" s="182">
        <v>103.28</v>
      </c>
      <c r="J3334" s="182">
        <f>adopted_rate_gabion_mesh_wire</f>
        <v>129</v>
      </c>
      <c r="K3334" s="182">
        <f>(I3334*J3334)</f>
        <v>13323.12</v>
      </c>
    </row>
    <row r="3335" spans="1:21" x14ac:dyDescent="0.25">
      <c r="B3335" s="182" t="s">
        <v>47</v>
      </c>
      <c r="C3335" s="182" t="s">
        <v>28</v>
      </c>
      <c r="D3335" s="182">
        <v>3</v>
      </c>
      <c r="E3335" s="182">
        <f>skilled</f>
        <v>1245</v>
      </c>
      <c r="F3335" s="184">
        <f>(D3335*E3335)</f>
        <v>3735</v>
      </c>
      <c r="G3335" s="182" t="s">
        <v>930</v>
      </c>
      <c r="H3335" s="216" t="s">
        <v>144</v>
      </c>
      <c r="I3335" s="182">
        <v>14.36</v>
      </c>
      <c r="J3335" s="182">
        <f>adopted_rate_gi_wire</f>
        <v>129</v>
      </c>
      <c r="K3335" s="182">
        <f>(I3335*J3335)</f>
        <v>1852.4399999999998</v>
      </c>
    </row>
    <row r="3336" spans="1:21" x14ac:dyDescent="0.25">
      <c r="G3336" s="182" t="s">
        <v>36</v>
      </c>
      <c r="H3336" s="216" t="s">
        <v>144</v>
      </c>
      <c r="I3336" s="182">
        <v>6.4</v>
      </c>
      <c r="J3336" s="182">
        <f>adopted_rate_binding_wire</f>
        <v>120</v>
      </c>
      <c r="K3336" s="182">
        <f>(I3336*J3336)</f>
        <v>768</v>
      </c>
    </row>
    <row r="3337" spans="1:21" x14ac:dyDescent="0.25">
      <c r="G3337" s="182" t="s">
        <v>931</v>
      </c>
      <c r="H3337" s="216" t="s">
        <v>84</v>
      </c>
      <c r="I3337" s="182">
        <v>6.6</v>
      </c>
      <c r="J3337" s="182">
        <f>adopted_rate_rubble</f>
        <v>2575.44</v>
      </c>
      <c r="K3337" s="182">
        <f>(I3337*J3337)</f>
        <v>16997.903999999999</v>
      </c>
    </row>
    <row r="3338" spans="1:21" x14ac:dyDescent="0.25">
      <c r="A3338" s="537" t="s">
        <v>30</v>
      </c>
      <c r="B3338" s="537"/>
      <c r="C3338" s="537"/>
      <c r="D3338" s="537"/>
      <c r="E3338" s="537"/>
      <c r="F3338" s="184">
        <f>SUM(F3333:F3337)</f>
        <v>12150</v>
      </c>
      <c r="G3338" s="537" t="s">
        <v>31</v>
      </c>
      <c r="H3338" s="537"/>
      <c r="I3338" s="537"/>
      <c r="J3338" s="537"/>
      <c r="K3338" s="184">
        <f>SUM(K3333:K3337)</f>
        <v>32941.464</v>
      </c>
      <c r="L3338" s="537" t="s">
        <v>32</v>
      </c>
      <c r="M3338" s="537"/>
      <c r="N3338" s="537"/>
      <c r="O3338" s="537"/>
      <c r="P3338" s="184">
        <f>SUM(P3333:P3337)</f>
        <v>0</v>
      </c>
      <c r="Q3338" s="537" t="s">
        <v>38</v>
      </c>
      <c r="R3338" s="537"/>
      <c r="S3338" s="537"/>
      <c r="T3338" s="537"/>
      <c r="U3338" s="223">
        <f>SUM(U3333:U3337)</f>
        <v>0</v>
      </c>
    </row>
    <row r="3339" spans="1:21" x14ac:dyDescent="0.25">
      <c r="A3339" s="537" t="s">
        <v>33</v>
      </c>
      <c r="B3339" s="537"/>
      <c r="C3339" s="537"/>
      <c r="D3339" s="537"/>
      <c r="E3339" s="537"/>
      <c r="F3339" s="184">
        <f>SUM(F3338+K3338+P3338)</f>
        <v>45091.464</v>
      </c>
      <c r="G3339" s="537" t="s">
        <v>39</v>
      </c>
      <c r="H3339" s="537"/>
      <c r="I3339" s="537"/>
      <c r="J3339" s="537"/>
      <c r="K3339" s="184">
        <f>SUM(F3338+K3338+P3338+U3338)</f>
        <v>45091.464</v>
      </c>
      <c r="L3339" s="537" t="s">
        <v>40</v>
      </c>
      <c r="M3339" s="537"/>
      <c r="N3339" s="537"/>
      <c r="O3339" s="537"/>
      <c r="P3339" s="184">
        <f>SUM(K3339*0.15)</f>
        <v>6763.7195999999994</v>
      </c>
      <c r="Q3339" s="537" t="s">
        <v>41</v>
      </c>
      <c r="R3339" s="537"/>
      <c r="S3339" s="537"/>
      <c r="T3339" s="537"/>
      <c r="U3339" s="223">
        <f>SUM(K3339+P3339)</f>
        <v>51855.183599999997</v>
      </c>
    </row>
    <row r="3340" spans="1:21" x14ac:dyDescent="0.25">
      <c r="Q3340" s="537" t="s">
        <v>42</v>
      </c>
      <c r="R3340" s="537"/>
      <c r="S3340" s="537"/>
      <c r="T3340" s="537"/>
      <c r="U3340" s="224">
        <f>ROUND((U3339/6),2)</f>
        <v>8642.5300000000007</v>
      </c>
    </row>
    <row r="3341" spans="1:21" x14ac:dyDescent="0.25">
      <c r="A3341" s="544"/>
      <c r="B3341" s="544"/>
      <c r="C3341" s="544"/>
      <c r="D3341" s="544"/>
      <c r="E3341" s="544"/>
      <c r="F3341" s="544"/>
      <c r="G3341" s="544"/>
      <c r="H3341" s="544"/>
      <c r="I3341" s="544"/>
      <c r="J3341" s="544"/>
      <c r="K3341" s="544"/>
      <c r="L3341" s="544"/>
      <c r="M3341" s="544"/>
      <c r="N3341" s="544"/>
      <c r="O3341" s="544"/>
      <c r="P3341" s="544"/>
      <c r="Q3341" s="544"/>
      <c r="R3341" s="544"/>
      <c r="S3341" s="544"/>
      <c r="T3341" s="544"/>
      <c r="U3341" s="544"/>
    </row>
    <row r="3342" spans="1:21" x14ac:dyDescent="0.25">
      <c r="A3342" s="538" t="s">
        <v>12</v>
      </c>
      <c r="B3342" s="538"/>
      <c r="C3342" s="540" t="s">
        <v>2126</v>
      </c>
      <c r="D3342" s="540"/>
      <c r="E3342" s="540"/>
      <c r="F3342" s="540"/>
      <c r="G3342" s="540"/>
      <c r="H3342" s="540"/>
      <c r="I3342" s="540"/>
      <c r="J3342" s="540"/>
      <c r="K3342" s="540"/>
      <c r="L3342" s="540"/>
      <c r="M3342" s="540"/>
      <c r="N3342" s="540"/>
      <c r="O3342" s="540"/>
      <c r="P3342" s="540"/>
      <c r="Q3342" s="540"/>
      <c r="R3342" s="540"/>
      <c r="S3342" s="540"/>
      <c r="T3342" s="540"/>
      <c r="U3342" s="541" t="s">
        <v>927</v>
      </c>
    </row>
    <row r="3343" spans="1:21" x14ac:dyDescent="0.25">
      <c r="A3343" s="538"/>
      <c r="B3343" s="538"/>
      <c r="C3343" s="540"/>
      <c r="D3343" s="540"/>
      <c r="E3343" s="540"/>
      <c r="F3343" s="540"/>
      <c r="G3343" s="540"/>
      <c r="H3343" s="540"/>
      <c r="I3343" s="540"/>
      <c r="J3343" s="540"/>
      <c r="K3343" s="540"/>
      <c r="L3343" s="540"/>
      <c r="M3343" s="540"/>
      <c r="N3343" s="540"/>
      <c r="O3343" s="540"/>
      <c r="P3343" s="540"/>
      <c r="Q3343" s="540"/>
      <c r="R3343" s="540"/>
      <c r="S3343" s="540"/>
      <c r="T3343" s="540"/>
      <c r="U3343" s="541"/>
    </row>
    <row r="3344" spans="1:21" x14ac:dyDescent="0.25">
      <c r="A3344" s="539" t="s">
        <v>925</v>
      </c>
      <c r="B3344" s="539"/>
      <c r="C3344" s="540"/>
      <c r="D3344" s="540"/>
      <c r="E3344" s="540"/>
      <c r="F3344" s="540"/>
      <c r="G3344" s="540"/>
      <c r="H3344" s="540"/>
      <c r="I3344" s="540"/>
      <c r="J3344" s="540"/>
      <c r="K3344" s="540"/>
      <c r="L3344" s="540"/>
      <c r="M3344" s="540"/>
      <c r="N3344" s="540"/>
      <c r="O3344" s="540"/>
      <c r="P3344" s="540"/>
      <c r="Q3344" s="540"/>
      <c r="R3344" s="540"/>
      <c r="S3344" s="540"/>
      <c r="T3344" s="540"/>
      <c r="U3344" s="541"/>
    </row>
    <row r="3345" spans="1:21" x14ac:dyDescent="0.25">
      <c r="A3345" s="542" t="s">
        <v>16</v>
      </c>
      <c r="B3345" s="543" t="s">
        <v>18</v>
      </c>
      <c r="C3345" s="543"/>
      <c r="D3345" s="543"/>
      <c r="E3345" s="543"/>
      <c r="F3345" s="543"/>
      <c r="G3345" s="543" t="s">
        <v>24</v>
      </c>
      <c r="H3345" s="543"/>
      <c r="I3345" s="543"/>
      <c r="J3345" s="543"/>
      <c r="K3345" s="543"/>
      <c r="L3345" s="543" t="s">
        <v>25</v>
      </c>
      <c r="M3345" s="543"/>
      <c r="N3345" s="543"/>
      <c r="O3345" s="543"/>
      <c r="P3345" s="543"/>
      <c r="Q3345" s="543" t="s">
        <v>26</v>
      </c>
      <c r="R3345" s="543"/>
      <c r="S3345" s="543"/>
      <c r="T3345" s="543"/>
      <c r="U3345" s="543"/>
    </row>
    <row r="3346" spans="1:21" x14ac:dyDescent="0.25">
      <c r="A3346" s="542"/>
      <c r="B3346" s="182" t="s">
        <v>19</v>
      </c>
      <c r="C3346" s="182" t="s">
        <v>20</v>
      </c>
      <c r="D3346" s="182" t="s">
        <v>21</v>
      </c>
      <c r="E3346" s="182" t="s">
        <v>22</v>
      </c>
      <c r="F3346" s="182" t="s">
        <v>23</v>
      </c>
      <c r="G3346" s="182" t="s">
        <v>19</v>
      </c>
      <c r="H3346" s="216" t="s">
        <v>20</v>
      </c>
      <c r="I3346" s="182" t="s">
        <v>21</v>
      </c>
      <c r="J3346" s="182" t="s">
        <v>22</v>
      </c>
      <c r="K3346" s="182" t="s">
        <v>23</v>
      </c>
      <c r="L3346" s="182" t="s">
        <v>19</v>
      </c>
      <c r="M3346" s="182" t="s">
        <v>20</v>
      </c>
      <c r="N3346" s="182" t="s">
        <v>21</v>
      </c>
      <c r="O3346" s="182" t="s">
        <v>22</v>
      </c>
      <c r="P3346" s="182" t="s">
        <v>23</v>
      </c>
      <c r="Q3346" s="182" t="s">
        <v>19</v>
      </c>
      <c r="R3346" s="182" t="s">
        <v>20</v>
      </c>
      <c r="S3346" s="182" t="s">
        <v>21</v>
      </c>
      <c r="T3346" s="182" t="s">
        <v>22</v>
      </c>
      <c r="U3346" s="211" t="s">
        <v>23</v>
      </c>
    </row>
    <row r="3347" spans="1:21" ht="31.5" x14ac:dyDescent="0.25">
      <c r="A3347" s="183" t="s">
        <v>968</v>
      </c>
      <c r="B3347" s="182" t="s">
        <v>29</v>
      </c>
      <c r="C3347" s="182" t="s">
        <v>28</v>
      </c>
      <c r="D3347" s="182">
        <v>9</v>
      </c>
      <c r="E3347" s="182">
        <f>unskilled</f>
        <v>935</v>
      </c>
      <c r="F3347" s="184">
        <f>(D3347*E3347)</f>
        <v>8415</v>
      </c>
      <c r="G3347" s="182" t="s">
        <v>929</v>
      </c>
      <c r="H3347" s="216" t="s">
        <v>144</v>
      </c>
      <c r="I3347" s="182">
        <v>113.6</v>
      </c>
      <c r="J3347" s="182">
        <f>adopted_rate_gabion_mesh_wire</f>
        <v>129</v>
      </c>
      <c r="K3347" s="182">
        <f>(I3347*J3347)</f>
        <v>14654.4</v>
      </c>
    </row>
    <row r="3348" spans="1:21" x14ac:dyDescent="0.25">
      <c r="B3348" s="182" t="s">
        <v>47</v>
      </c>
      <c r="C3348" s="182" t="s">
        <v>28</v>
      </c>
      <c r="D3348" s="182">
        <v>3</v>
      </c>
      <c r="E3348" s="182">
        <f>skilled</f>
        <v>1245</v>
      </c>
      <c r="F3348" s="184">
        <f>(D3348*E3348)</f>
        <v>3735</v>
      </c>
      <c r="G3348" s="182" t="s">
        <v>930</v>
      </c>
      <c r="H3348" s="216" t="s">
        <v>144</v>
      </c>
      <c r="I3348" s="182">
        <v>13.11</v>
      </c>
      <c r="J3348" s="182">
        <f>adopted_rate_gi_wire</f>
        <v>129</v>
      </c>
      <c r="K3348" s="182">
        <f>(I3348*J3348)</f>
        <v>1691.1899999999998</v>
      </c>
    </row>
    <row r="3349" spans="1:21" x14ac:dyDescent="0.25">
      <c r="G3349" s="182" t="s">
        <v>36</v>
      </c>
      <c r="H3349" s="216" t="s">
        <v>144</v>
      </c>
      <c r="I3349" s="182">
        <v>5.44</v>
      </c>
      <c r="J3349" s="182">
        <f>adopted_rate_binding_wire</f>
        <v>120</v>
      </c>
      <c r="K3349" s="182">
        <f>(I3349*J3349)</f>
        <v>652.80000000000007</v>
      </c>
    </row>
    <row r="3350" spans="1:21" x14ac:dyDescent="0.25">
      <c r="G3350" s="182" t="s">
        <v>931</v>
      </c>
      <c r="H3350" s="216" t="s">
        <v>84</v>
      </c>
      <c r="I3350" s="182">
        <v>6.6</v>
      </c>
      <c r="J3350" s="182">
        <f>adopted_rate_rubble</f>
        <v>2575.44</v>
      </c>
      <c r="K3350" s="182">
        <f>(I3350*J3350)</f>
        <v>16997.903999999999</v>
      </c>
    </row>
    <row r="3351" spans="1:21" x14ac:dyDescent="0.25">
      <c r="A3351" s="537" t="s">
        <v>30</v>
      </c>
      <c r="B3351" s="537"/>
      <c r="C3351" s="537"/>
      <c r="D3351" s="537"/>
      <c r="E3351" s="537"/>
      <c r="F3351" s="184">
        <f>SUM(F3346:F3350)</f>
        <v>12150</v>
      </c>
      <c r="G3351" s="537" t="s">
        <v>31</v>
      </c>
      <c r="H3351" s="537"/>
      <c r="I3351" s="537"/>
      <c r="J3351" s="537"/>
      <c r="K3351" s="184">
        <f>SUM(K3346:K3350)</f>
        <v>33996.293999999994</v>
      </c>
      <c r="L3351" s="537" t="s">
        <v>32</v>
      </c>
      <c r="M3351" s="537"/>
      <c r="N3351" s="537"/>
      <c r="O3351" s="537"/>
      <c r="P3351" s="184">
        <f>SUM(P3346:P3350)</f>
        <v>0</v>
      </c>
      <c r="Q3351" s="537" t="s">
        <v>38</v>
      </c>
      <c r="R3351" s="537"/>
      <c r="S3351" s="537"/>
      <c r="T3351" s="537"/>
      <c r="U3351" s="223">
        <f>SUM(U3346:U3350)</f>
        <v>0</v>
      </c>
    </row>
    <row r="3352" spans="1:21" x14ac:dyDescent="0.25">
      <c r="A3352" s="537" t="s">
        <v>33</v>
      </c>
      <c r="B3352" s="537"/>
      <c r="C3352" s="537"/>
      <c r="D3352" s="537"/>
      <c r="E3352" s="537"/>
      <c r="F3352" s="184">
        <f>SUM(F3351+K3351+P3351)</f>
        <v>46146.293999999994</v>
      </c>
      <c r="G3352" s="537" t="s">
        <v>39</v>
      </c>
      <c r="H3352" s="537"/>
      <c r="I3352" s="537"/>
      <c r="J3352" s="537"/>
      <c r="K3352" s="184">
        <f>SUM(F3351+K3351+P3351+U3351)</f>
        <v>46146.293999999994</v>
      </c>
      <c r="L3352" s="537" t="s">
        <v>40</v>
      </c>
      <c r="M3352" s="537"/>
      <c r="N3352" s="537"/>
      <c r="O3352" s="537"/>
      <c r="P3352" s="184">
        <f>SUM(K3352*0.15)</f>
        <v>6921.9440999999988</v>
      </c>
      <c r="Q3352" s="537" t="s">
        <v>41</v>
      </c>
      <c r="R3352" s="537"/>
      <c r="S3352" s="537"/>
      <c r="T3352" s="537"/>
      <c r="U3352" s="223">
        <f>SUM(K3352+P3352)</f>
        <v>53068.238099999995</v>
      </c>
    </row>
    <row r="3353" spans="1:21" x14ac:dyDescent="0.25">
      <c r="Q3353" s="537" t="s">
        <v>42</v>
      </c>
      <c r="R3353" s="537"/>
      <c r="S3353" s="537"/>
      <c r="T3353" s="537"/>
      <c r="U3353" s="224">
        <f>ROUND((U3352/6),2)</f>
        <v>8844.7099999999991</v>
      </c>
    </row>
    <row r="3354" spans="1:21" x14ac:dyDescent="0.25">
      <c r="A3354" s="544"/>
      <c r="B3354" s="544"/>
      <c r="C3354" s="544"/>
      <c r="D3354" s="544"/>
      <c r="E3354" s="544"/>
      <c r="F3354" s="544"/>
      <c r="G3354" s="544"/>
      <c r="H3354" s="544"/>
      <c r="I3354" s="544"/>
      <c r="J3354" s="544"/>
      <c r="K3354" s="544"/>
      <c r="L3354" s="544"/>
      <c r="M3354" s="544"/>
      <c r="N3354" s="544"/>
      <c r="O3354" s="544"/>
      <c r="P3354" s="544"/>
      <c r="Q3354" s="544"/>
      <c r="R3354" s="544"/>
      <c r="S3354" s="544"/>
      <c r="T3354" s="544"/>
      <c r="U3354" s="544"/>
    </row>
    <row r="3355" spans="1:21" x14ac:dyDescent="0.25">
      <c r="A3355" s="538" t="s">
        <v>12</v>
      </c>
      <c r="B3355" s="538"/>
      <c r="C3355" s="540" t="s">
        <v>2127</v>
      </c>
      <c r="D3355" s="540"/>
      <c r="E3355" s="540"/>
      <c r="F3355" s="540"/>
      <c r="G3355" s="540"/>
      <c r="H3355" s="540"/>
      <c r="I3355" s="540"/>
      <c r="J3355" s="540"/>
      <c r="K3355" s="540"/>
      <c r="L3355" s="540"/>
      <c r="M3355" s="540"/>
      <c r="N3355" s="540"/>
      <c r="O3355" s="540"/>
      <c r="P3355" s="540"/>
      <c r="Q3355" s="540"/>
      <c r="R3355" s="540"/>
      <c r="S3355" s="540"/>
      <c r="T3355" s="540"/>
      <c r="U3355" s="541" t="s">
        <v>927</v>
      </c>
    </row>
    <row r="3356" spans="1:21" x14ac:dyDescent="0.25">
      <c r="A3356" s="538"/>
      <c r="B3356" s="538"/>
      <c r="C3356" s="540"/>
      <c r="D3356" s="540"/>
      <c r="E3356" s="540"/>
      <c r="F3356" s="540"/>
      <c r="G3356" s="540"/>
      <c r="H3356" s="540"/>
      <c r="I3356" s="540"/>
      <c r="J3356" s="540"/>
      <c r="K3356" s="540"/>
      <c r="L3356" s="540"/>
      <c r="M3356" s="540"/>
      <c r="N3356" s="540"/>
      <c r="O3356" s="540"/>
      <c r="P3356" s="540"/>
      <c r="Q3356" s="540"/>
      <c r="R3356" s="540"/>
      <c r="S3356" s="540"/>
      <c r="T3356" s="540"/>
      <c r="U3356" s="541"/>
    </row>
    <row r="3357" spans="1:21" x14ac:dyDescent="0.25">
      <c r="A3357" s="539" t="s">
        <v>925</v>
      </c>
      <c r="B3357" s="539"/>
      <c r="C3357" s="540"/>
      <c r="D3357" s="540"/>
      <c r="E3357" s="540"/>
      <c r="F3357" s="540"/>
      <c r="G3357" s="540"/>
      <c r="H3357" s="540"/>
      <c r="I3357" s="540"/>
      <c r="J3357" s="540"/>
      <c r="K3357" s="540"/>
      <c r="L3357" s="540"/>
      <c r="M3357" s="540"/>
      <c r="N3357" s="540"/>
      <c r="O3357" s="540"/>
      <c r="P3357" s="540"/>
      <c r="Q3357" s="540"/>
      <c r="R3357" s="540"/>
      <c r="S3357" s="540"/>
      <c r="T3357" s="540"/>
      <c r="U3357" s="541"/>
    </row>
    <row r="3358" spans="1:21" x14ac:dyDescent="0.25">
      <c r="A3358" s="542" t="s">
        <v>16</v>
      </c>
      <c r="B3358" s="543" t="s">
        <v>18</v>
      </c>
      <c r="C3358" s="543"/>
      <c r="D3358" s="543"/>
      <c r="E3358" s="543"/>
      <c r="F3358" s="543"/>
      <c r="G3358" s="543" t="s">
        <v>24</v>
      </c>
      <c r="H3358" s="543"/>
      <c r="I3358" s="543"/>
      <c r="J3358" s="543"/>
      <c r="K3358" s="543"/>
      <c r="L3358" s="543" t="s">
        <v>25</v>
      </c>
      <c r="M3358" s="543"/>
      <c r="N3358" s="543"/>
      <c r="O3358" s="543"/>
      <c r="P3358" s="543"/>
      <c r="Q3358" s="543" t="s">
        <v>26</v>
      </c>
      <c r="R3358" s="543"/>
      <c r="S3358" s="543"/>
      <c r="T3358" s="543"/>
      <c r="U3358" s="543"/>
    </row>
    <row r="3359" spans="1:21" x14ac:dyDescent="0.25">
      <c r="A3359" s="542"/>
      <c r="B3359" s="182" t="s">
        <v>19</v>
      </c>
      <c r="C3359" s="182" t="s">
        <v>20</v>
      </c>
      <c r="D3359" s="182" t="s">
        <v>21</v>
      </c>
      <c r="E3359" s="182" t="s">
        <v>22</v>
      </c>
      <c r="F3359" s="182" t="s">
        <v>23</v>
      </c>
      <c r="G3359" s="182" t="s">
        <v>19</v>
      </c>
      <c r="H3359" s="216" t="s">
        <v>20</v>
      </c>
      <c r="I3359" s="182" t="s">
        <v>21</v>
      </c>
      <c r="J3359" s="182" t="s">
        <v>22</v>
      </c>
      <c r="K3359" s="182" t="s">
        <v>23</v>
      </c>
      <c r="L3359" s="182" t="s">
        <v>19</v>
      </c>
      <c r="M3359" s="182" t="s">
        <v>20</v>
      </c>
      <c r="N3359" s="182" t="s">
        <v>21</v>
      </c>
      <c r="O3359" s="182" t="s">
        <v>22</v>
      </c>
      <c r="P3359" s="182" t="s">
        <v>23</v>
      </c>
      <c r="Q3359" s="182" t="s">
        <v>19</v>
      </c>
      <c r="R3359" s="182" t="s">
        <v>20</v>
      </c>
      <c r="S3359" s="182" t="s">
        <v>21</v>
      </c>
      <c r="T3359" s="182" t="s">
        <v>22</v>
      </c>
      <c r="U3359" s="211" t="s">
        <v>23</v>
      </c>
    </row>
    <row r="3360" spans="1:21" ht="31.5" x14ac:dyDescent="0.25">
      <c r="A3360" s="183" t="s">
        <v>970</v>
      </c>
      <c r="B3360" s="182" t="s">
        <v>29</v>
      </c>
      <c r="C3360" s="182" t="s">
        <v>28</v>
      </c>
      <c r="D3360" s="182">
        <v>9</v>
      </c>
      <c r="E3360" s="182">
        <f>unskilled</f>
        <v>935</v>
      </c>
      <c r="F3360" s="184">
        <f>(D3360*E3360)</f>
        <v>8415</v>
      </c>
      <c r="G3360" s="182" t="s">
        <v>929</v>
      </c>
      <c r="H3360" s="216" t="s">
        <v>144</v>
      </c>
      <c r="I3360" s="182">
        <v>116.4</v>
      </c>
      <c r="J3360" s="182">
        <f>adopted_rate_gabion_mesh_wire</f>
        <v>129</v>
      </c>
      <c r="K3360" s="182">
        <f>(I3360*J3360)</f>
        <v>15015.6</v>
      </c>
    </row>
    <row r="3361" spans="1:21" x14ac:dyDescent="0.25">
      <c r="B3361" s="182" t="s">
        <v>47</v>
      </c>
      <c r="C3361" s="182" t="s">
        <v>28</v>
      </c>
      <c r="D3361" s="182">
        <v>3</v>
      </c>
      <c r="E3361" s="182">
        <f>skilled</f>
        <v>1245</v>
      </c>
      <c r="F3361" s="184">
        <f>(D3361*E3361)</f>
        <v>3735</v>
      </c>
      <c r="G3361" s="182" t="s">
        <v>930</v>
      </c>
      <c r="H3361" s="216" t="s">
        <v>144</v>
      </c>
      <c r="I3361" s="182">
        <v>14.57</v>
      </c>
      <c r="J3361" s="182">
        <f>adopted_rate_gi_wire</f>
        <v>129</v>
      </c>
      <c r="K3361" s="182">
        <f>(I3361*J3361)</f>
        <v>1879.53</v>
      </c>
    </row>
    <row r="3362" spans="1:21" x14ac:dyDescent="0.25">
      <c r="G3362" s="182" t="s">
        <v>36</v>
      </c>
      <c r="H3362" s="216" t="s">
        <v>144</v>
      </c>
      <c r="I3362" s="182">
        <v>6.18</v>
      </c>
      <c r="J3362" s="182">
        <f>adopted_rate_binding_wire</f>
        <v>120</v>
      </c>
      <c r="K3362" s="182">
        <f>(I3362*J3362)</f>
        <v>741.59999999999991</v>
      </c>
    </row>
    <row r="3363" spans="1:21" x14ac:dyDescent="0.25">
      <c r="G3363" s="182" t="s">
        <v>931</v>
      </c>
      <c r="H3363" s="216" t="s">
        <v>84</v>
      </c>
      <c r="I3363" s="182">
        <v>6.6</v>
      </c>
      <c r="J3363" s="182">
        <f>adopted_rate_rubble</f>
        <v>2575.44</v>
      </c>
      <c r="K3363" s="182">
        <f>(I3363*J3363)</f>
        <v>16997.903999999999</v>
      </c>
    </row>
    <row r="3364" spans="1:21" x14ac:dyDescent="0.25">
      <c r="A3364" s="537" t="s">
        <v>30</v>
      </c>
      <c r="B3364" s="537"/>
      <c r="C3364" s="537"/>
      <c r="D3364" s="537"/>
      <c r="E3364" s="537"/>
      <c r="F3364" s="184">
        <f>SUM(F3359:F3363)</f>
        <v>12150</v>
      </c>
      <c r="G3364" s="537" t="s">
        <v>31</v>
      </c>
      <c r="H3364" s="537"/>
      <c r="I3364" s="537"/>
      <c r="J3364" s="537"/>
      <c r="K3364" s="184">
        <f>SUM(K3359:K3363)</f>
        <v>34634.633999999998</v>
      </c>
      <c r="L3364" s="537" t="s">
        <v>32</v>
      </c>
      <c r="M3364" s="537"/>
      <c r="N3364" s="537"/>
      <c r="O3364" s="537"/>
      <c r="P3364" s="184">
        <f>SUM(P3359:P3363)</f>
        <v>0</v>
      </c>
      <c r="Q3364" s="537" t="s">
        <v>38</v>
      </c>
      <c r="R3364" s="537"/>
      <c r="S3364" s="537"/>
      <c r="T3364" s="537"/>
      <c r="U3364" s="223">
        <f>SUM(U3359:U3363)</f>
        <v>0</v>
      </c>
    </row>
    <row r="3365" spans="1:21" x14ac:dyDescent="0.25">
      <c r="A3365" s="537" t="s">
        <v>33</v>
      </c>
      <c r="B3365" s="537"/>
      <c r="C3365" s="537"/>
      <c r="D3365" s="537"/>
      <c r="E3365" s="537"/>
      <c r="F3365" s="184">
        <f>SUM(F3364+K3364+P3364)</f>
        <v>46784.633999999998</v>
      </c>
      <c r="G3365" s="537" t="s">
        <v>39</v>
      </c>
      <c r="H3365" s="537"/>
      <c r="I3365" s="537"/>
      <c r="J3365" s="537"/>
      <c r="K3365" s="184">
        <f>SUM(F3364+K3364+P3364+U3364)</f>
        <v>46784.633999999998</v>
      </c>
      <c r="L3365" s="537" t="s">
        <v>40</v>
      </c>
      <c r="M3365" s="537"/>
      <c r="N3365" s="537"/>
      <c r="O3365" s="537"/>
      <c r="P3365" s="184">
        <f>SUM(K3365*0.15)</f>
        <v>7017.6950999999999</v>
      </c>
      <c r="Q3365" s="537" t="s">
        <v>41</v>
      </c>
      <c r="R3365" s="537"/>
      <c r="S3365" s="537"/>
      <c r="T3365" s="537"/>
      <c r="U3365" s="223">
        <f>SUM(K3365+P3365)</f>
        <v>53802.329099999995</v>
      </c>
    </row>
    <row r="3366" spans="1:21" x14ac:dyDescent="0.25">
      <c r="Q3366" s="537" t="s">
        <v>42</v>
      </c>
      <c r="R3366" s="537"/>
      <c r="S3366" s="537"/>
      <c r="T3366" s="537"/>
      <c r="U3366" s="224">
        <f>ROUND((U3365/6),2)</f>
        <v>8967.0499999999993</v>
      </c>
    </row>
    <row r="3367" spans="1:21" x14ac:dyDescent="0.25">
      <c r="A3367" s="544"/>
      <c r="B3367" s="544"/>
      <c r="C3367" s="544"/>
      <c r="D3367" s="544"/>
      <c r="E3367" s="544"/>
      <c r="F3367" s="544"/>
      <c r="G3367" s="544"/>
      <c r="H3367" s="544"/>
      <c r="I3367" s="544"/>
      <c r="J3367" s="544"/>
      <c r="K3367" s="544"/>
      <c r="L3367" s="544"/>
      <c r="M3367" s="544"/>
      <c r="N3367" s="544"/>
      <c r="O3367" s="544"/>
      <c r="P3367" s="544"/>
      <c r="Q3367" s="544"/>
      <c r="R3367" s="544"/>
      <c r="S3367" s="544"/>
      <c r="T3367" s="544"/>
      <c r="U3367" s="544"/>
    </row>
    <row r="3368" spans="1:21" x14ac:dyDescent="0.25">
      <c r="A3368" s="538" t="s">
        <v>12</v>
      </c>
      <c r="B3368" s="538"/>
      <c r="C3368" s="540" t="s">
        <v>2128</v>
      </c>
      <c r="D3368" s="540"/>
      <c r="E3368" s="540"/>
      <c r="F3368" s="540"/>
      <c r="G3368" s="540"/>
      <c r="H3368" s="540"/>
      <c r="I3368" s="540"/>
      <c r="J3368" s="540"/>
      <c r="K3368" s="540"/>
      <c r="L3368" s="540"/>
      <c r="M3368" s="540"/>
      <c r="N3368" s="540"/>
      <c r="O3368" s="540"/>
      <c r="P3368" s="540"/>
      <c r="Q3368" s="540"/>
      <c r="R3368" s="540"/>
      <c r="S3368" s="540"/>
      <c r="T3368" s="540"/>
      <c r="U3368" s="541" t="s">
        <v>927</v>
      </c>
    </row>
    <row r="3369" spans="1:21" x14ac:dyDescent="0.25">
      <c r="A3369" s="538"/>
      <c r="B3369" s="538"/>
      <c r="C3369" s="540"/>
      <c r="D3369" s="540"/>
      <c r="E3369" s="540"/>
      <c r="F3369" s="540"/>
      <c r="G3369" s="540"/>
      <c r="H3369" s="540"/>
      <c r="I3369" s="540"/>
      <c r="J3369" s="540"/>
      <c r="K3369" s="540"/>
      <c r="L3369" s="540"/>
      <c r="M3369" s="540"/>
      <c r="N3369" s="540"/>
      <c r="O3369" s="540"/>
      <c r="P3369" s="540"/>
      <c r="Q3369" s="540"/>
      <c r="R3369" s="540"/>
      <c r="S3369" s="540"/>
      <c r="T3369" s="540"/>
      <c r="U3369" s="541"/>
    </row>
    <row r="3370" spans="1:21" x14ac:dyDescent="0.25">
      <c r="A3370" s="539" t="s">
        <v>925</v>
      </c>
      <c r="B3370" s="539"/>
      <c r="C3370" s="540"/>
      <c r="D3370" s="540"/>
      <c r="E3370" s="540"/>
      <c r="F3370" s="540"/>
      <c r="G3370" s="540"/>
      <c r="H3370" s="540"/>
      <c r="I3370" s="540"/>
      <c r="J3370" s="540"/>
      <c r="K3370" s="540"/>
      <c r="L3370" s="540"/>
      <c r="M3370" s="540"/>
      <c r="N3370" s="540"/>
      <c r="O3370" s="540"/>
      <c r="P3370" s="540"/>
      <c r="Q3370" s="540"/>
      <c r="R3370" s="540"/>
      <c r="S3370" s="540"/>
      <c r="T3370" s="540"/>
      <c r="U3370" s="541"/>
    </row>
    <row r="3371" spans="1:21" x14ac:dyDescent="0.25">
      <c r="A3371" s="542" t="s">
        <v>16</v>
      </c>
      <c r="B3371" s="543" t="s">
        <v>18</v>
      </c>
      <c r="C3371" s="543"/>
      <c r="D3371" s="543"/>
      <c r="E3371" s="543"/>
      <c r="F3371" s="543"/>
      <c r="G3371" s="543" t="s">
        <v>24</v>
      </c>
      <c r="H3371" s="543"/>
      <c r="I3371" s="543"/>
      <c r="J3371" s="543"/>
      <c r="K3371" s="543"/>
      <c r="L3371" s="543" t="s">
        <v>25</v>
      </c>
      <c r="M3371" s="543"/>
      <c r="N3371" s="543"/>
      <c r="O3371" s="543"/>
      <c r="P3371" s="543"/>
      <c r="Q3371" s="543" t="s">
        <v>26</v>
      </c>
      <c r="R3371" s="543"/>
      <c r="S3371" s="543"/>
      <c r="T3371" s="543"/>
      <c r="U3371" s="543"/>
    </row>
    <row r="3372" spans="1:21" x14ac:dyDescent="0.25">
      <c r="A3372" s="542"/>
      <c r="B3372" s="182" t="s">
        <v>19</v>
      </c>
      <c r="C3372" s="182" t="s">
        <v>20</v>
      </c>
      <c r="D3372" s="182" t="s">
        <v>21</v>
      </c>
      <c r="E3372" s="182" t="s">
        <v>22</v>
      </c>
      <c r="F3372" s="182" t="s">
        <v>23</v>
      </c>
      <c r="G3372" s="182" t="s">
        <v>19</v>
      </c>
      <c r="H3372" s="216" t="s">
        <v>20</v>
      </c>
      <c r="I3372" s="182" t="s">
        <v>21</v>
      </c>
      <c r="J3372" s="182" t="s">
        <v>22</v>
      </c>
      <c r="K3372" s="182" t="s">
        <v>23</v>
      </c>
      <c r="L3372" s="182" t="s">
        <v>19</v>
      </c>
      <c r="M3372" s="182" t="s">
        <v>20</v>
      </c>
      <c r="N3372" s="182" t="s">
        <v>21</v>
      </c>
      <c r="O3372" s="182" t="s">
        <v>22</v>
      </c>
      <c r="P3372" s="182" t="s">
        <v>23</v>
      </c>
      <c r="Q3372" s="182" t="s">
        <v>19</v>
      </c>
      <c r="R3372" s="182" t="s">
        <v>20</v>
      </c>
      <c r="S3372" s="182" t="s">
        <v>21</v>
      </c>
      <c r="T3372" s="182" t="s">
        <v>22</v>
      </c>
      <c r="U3372" s="211" t="s">
        <v>23</v>
      </c>
    </row>
    <row r="3373" spans="1:21" x14ac:dyDescent="0.25">
      <c r="A3373" s="183" t="s">
        <v>972</v>
      </c>
      <c r="B3373" s="182" t="s">
        <v>29</v>
      </c>
      <c r="C3373" s="182" t="s">
        <v>28</v>
      </c>
      <c r="D3373" s="182">
        <v>10</v>
      </c>
      <c r="E3373" s="182">
        <f>unskilled</f>
        <v>935</v>
      </c>
      <c r="F3373" s="184">
        <f>(D3373*E3373)</f>
        <v>9350</v>
      </c>
      <c r="G3373" s="182" t="s">
        <v>929</v>
      </c>
      <c r="H3373" s="216" t="s">
        <v>144</v>
      </c>
      <c r="I3373" s="182">
        <v>123.96</v>
      </c>
      <c r="J3373" s="182">
        <f>adopted_rate_gabion_mesh_wire</f>
        <v>129</v>
      </c>
      <c r="K3373" s="182">
        <f>(I3373*J3373)</f>
        <v>15990.839999999998</v>
      </c>
    </row>
    <row r="3374" spans="1:21" x14ac:dyDescent="0.25">
      <c r="B3374" s="182" t="s">
        <v>47</v>
      </c>
      <c r="C3374" s="182" t="s">
        <v>28</v>
      </c>
      <c r="D3374" s="182">
        <v>3</v>
      </c>
      <c r="E3374" s="182">
        <f>skilled</f>
        <v>1245</v>
      </c>
      <c r="F3374" s="184">
        <f>(D3374*E3374)</f>
        <v>3735</v>
      </c>
      <c r="G3374" s="182" t="s">
        <v>930</v>
      </c>
      <c r="H3374" s="216" t="s">
        <v>144</v>
      </c>
      <c r="I3374" s="182">
        <v>19.04</v>
      </c>
      <c r="J3374" s="182">
        <f>adopted_rate_gi_wire</f>
        <v>129</v>
      </c>
      <c r="K3374" s="182">
        <f>(I3374*J3374)</f>
        <v>2456.16</v>
      </c>
    </row>
    <row r="3375" spans="1:21" x14ac:dyDescent="0.25">
      <c r="G3375" s="182" t="s">
        <v>36</v>
      </c>
      <c r="H3375" s="216" t="s">
        <v>144</v>
      </c>
      <c r="I3375" s="182">
        <v>7.56</v>
      </c>
      <c r="J3375" s="182">
        <f>adopted_rate_binding_wire</f>
        <v>120</v>
      </c>
      <c r="K3375" s="182">
        <f>(I3375*J3375)</f>
        <v>907.19999999999993</v>
      </c>
    </row>
    <row r="3376" spans="1:21" x14ac:dyDescent="0.25">
      <c r="G3376" s="182" t="s">
        <v>931</v>
      </c>
      <c r="H3376" s="216" t="s">
        <v>84</v>
      </c>
      <c r="I3376" s="182">
        <v>6.6</v>
      </c>
      <c r="J3376" s="182">
        <f>adopted_rate_rubble</f>
        <v>2575.44</v>
      </c>
      <c r="K3376" s="182">
        <f>(I3376*J3376)</f>
        <v>16997.903999999999</v>
      </c>
    </row>
    <row r="3377" spans="1:21" x14ac:dyDescent="0.25">
      <c r="A3377" s="537" t="s">
        <v>30</v>
      </c>
      <c r="B3377" s="537"/>
      <c r="C3377" s="537"/>
      <c r="D3377" s="537"/>
      <c r="E3377" s="537"/>
      <c r="F3377" s="184">
        <f>SUM(F3372:F3376)</f>
        <v>13085</v>
      </c>
      <c r="G3377" s="537" t="s">
        <v>31</v>
      </c>
      <c r="H3377" s="537"/>
      <c r="I3377" s="537"/>
      <c r="J3377" s="537"/>
      <c r="K3377" s="184">
        <f>SUM(K3372:K3376)</f>
        <v>36352.103999999999</v>
      </c>
      <c r="L3377" s="537" t="s">
        <v>32</v>
      </c>
      <c r="M3377" s="537"/>
      <c r="N3377" s="537"/>
      <c r="O3377" s="537"/>
      <c r="P3377" s="184">
        <f>SUM(P3372:P3376)</f>
        <v>0</v>
      </c>
      <c r="Q3377" s="537" t="s">
        <v>38</v>
      </c>
      <c r="R3377" s="537"/>
      <c r="S3377" s="537"/>
      <c r="T3377" s="537"/>
      <c r="U3377" s="223">
        <f>SUM(U3372:U3376)</f>
        <v>0</v>
      </c>
    </row>
    <row r="3378" spans="1:21" x14ac:dyDescent="0.25">
      <c r="A3378" s="537" t="s">
        <v>33</v>
      </c>
      <c r="B3378" s="537"/>
      <c r="C3378" s="537"/>
      <c r="D3378" s="537"/>
      <c r="E3378" s="537"/>
      <c r="F3378" s="184">
        <f>SUM(F3377+K3377+P3377)</f>
        <v>49437.103999999999</v>
      </c>
      <c r="G3378" s="537" t="s">
        <v>39</v>
      </c>
      <c r="H3378" s="537"/>
      <c r="I3378" s="537"/>
      <c r="J3378" s="537"/>
      <c r="K3378" s="184">
        <f>SUM(F3377+K3377+P3377+U3377)</f>
        <v>49437.103999999999</v>
      </c>
      <c r="L3378" s="537" t="s">
        <v>40</v>
      </c>
      <c r="M3378" s="537"/>
      <c r="N3378" s="537"/>
      <c r="O3378" s="537"/>
      <c r="P3378" s="184">
        <f>SUM(K3378*0.15)</f>
        <v>7415.5655999999999</v>
      </c>
      <c r="Q3378" s="537" t="s">
        <v>41</v>
      </c>
      <c r="R3378" s="537"/>
      <c r="S3378" s="537"/>
      <c r="T3378" s="537"/>
      <c r="U3378" s="223">
        <f>SUM(K3378+P3378)</f>
        <v>56852.669600000001</v>
      </c>
    </row>
    <row r="3379" spans="1:21" x14ac:dyDescent="0.25">
      <c r="Q3379" s="537" t="s">
        <v>42</v>
      </c>
      <c r="R3379" s="537"/>
      <c r="S3379" s="537"/>
      <c r="T3379" s="537"/>
      <c r="U3379" s="224">
        <f>ROUND((U3378/6),2)</f>
        <v>9475.44</v>
      </c>
    </row>
    <row r="3380" spans="1:21" x14ac:dyDescent="0.25">
      <c r="A3380" s="544"/>
      <c r="B3380" s="544"/>
      <c r="C3380" s="544"/>
      <c r="D3380" s="544"/>
      <c r="E3380" s="544"/>
      <c r="F3380" s="544"/>
      <c r="G3380" s="544"/>
      <c r="H3380" s="544"/>
      <c r="I3380" s="544"/>
      <c r="J3380" s="544"/>
      <c r="K3380" s="544"/>
      <c r="L3380" s="544"/>
      <c r="M3380" s="544"/>
      <c r="N3380" s="544"/>
      <c r="O3380" s="544"/>
      <c r="P3380" s="544"/>
      <c r="Q3380" s="544"/>
      <c r="R3380" s="544"/>
      <c r="S3380" s="544"/>
      <c r="T3380" s="544"/>
      <c r="U3380" s="544"/>
    </row>
    <row r="3381" spans="1:21" x14ac:dyDescent="0.25">
      <c r="A3381" s="538" t="s">
        <v>12</v>
      </c>
      <c r="B3381" s="538"/>
      <c r="C3381" s="540" t="s">
        <v>2129</v>
      </c>
      <c r="D3381" s="540"/>
      <c r="E3381" s="540"/>
      <c r="F3381" s="540"/>
      <c r="G3381" s="540"/>
      <c r="H3381" s="540"/>
      <c r="I3381" s="540"/>
      <c r="J3381" s="540"/>
      <c r="K3381" s="540"/>
      <c r="L3381" s="540"/>
      <c r="M3381" s="540"/>
      <c r="N3381" s="540"/>
      <c r="O3381" s="540"/>
      <c r="P3381" s="540"/>
      <c r="Q3381" s="540"/>
      <c r="R3381" s="540"/>
      <c r="S3381" s="540"/>
      <c r="T3381" s="540"/>
      <c r="U3381" s="541" t="s">
        <v>975</v>
      </c>
    </row>
    <row r="3382" spans="1:21" x14ac:dyDescent="0.25">
      <c r="A3382" s="538"/>
      <c r="B3382" s="538"/>
      <c r="C3382" s="540"/>
      <c r="D3382" s="540"/>
      <c r="E3382" s="540"/>
      <c r="F3382" s="540"/>
      <c r="G3382" s="540"/>
      <c r="H3382" s="540"/>
      <c r="I3382" s="540"/>
      <c r="J3382" s="540"/>
      <c r="K3382" s="540"/>
      <c r="L3382" s="540"/>
      <c r="M3382" s="540"/>
      <c r="N3382" s="540"/>
      <c r="O3382" s="540"/>
      <c r="P3382" s="540"/>
      <c r="Q3382" s="540"/>
      <c r="R3382" s="540"/>
      <c r="S3382" s="540"/>
      <c r="T3382" s="540"/>
      <c r="U3382" s="541"/>
    </row>
    <row r="3383" spans="1:21" x14ac:dyDescent="0.25">
      <c r="A3383" s="539" t="s">
        <v>973</v>
      </c>
      <c r="B3383" s="539"/>
      <c r="C3383" s="540"/>
      <c r="D3383" s="540"/>
      <c r="E3383" s="540"/>
      <c r="F3383" s="540"/>
      <c r="G3383" s="540"/>
      <c r="H3383" s="540"/>
      <c r="I3383" s="540"/>
      <c r="J3383" s="540"/>
      <c r="K3383" s="540"/>
      <c r="L3383" s="540"/>
      <c r="M3383" s="540"/>
      <c r="N3383" s="540"/>
      <c r="O3383" s="540"/>
      <c r="P3383" s="540"/>
      <c r="Q3383" s="540"/>
      <c r="R3383" s="540"/>
      <c r="S3383" s="540"/>
      <c r="T3383" s="540"/>
      <c r="U3383" s="541"/>
    </row>
    <row r="3384" spans="1:21" x14ac:dyDescent="0.25">
      <c r="A3384" s="542" t="s">
        <v>16</v>
      </c>
      <c r="B3384" s="543" t="s">
        <v>18</v>
      </c>
      <c r="C3384" s="543"/>
      <c r="D3384" s="543"/>
      <c r="E3384" s="543"/>
      <c r="F3384" s="543"/>
      <c r="G3384" s="543" t="s">
        <v>24</v>
      </c>
      <c r="H3384" s="543"/>
      <c r="I3384" s="543"/>
      <c r="J3384" s="543"/>
      <c r="K3384" s="543"/>
      <c r="L3384" s="543" t="s">
        <v>25</v>
      </c>
      <c r="M3384" s="543"/>
      <c r="N3384" s="543"/>
      <c r="O3384" s="543"/>
      <c r="P3384" s="543"/>
      <c r="Q3384" s="543" t="s">
        <v>26</v>
      </c>
      <c r="R3384" s="543"/>
      <c r="S3384" s="543"/>
      <c r="T3384" s="543"/>
      <c r="U3384" s="543"/>
    </row>
    <row r="3385" spans="1:21" x14ac:dyDescent="0.25">
      <c r="A3385" s="542"/>
      <c r="B3385" s="182" t="s">
        <v>19</v>
      </c>
      <c r="C3385" s="182" t="s">
        <v>20</v>
      </c>
      <c r="D3385" s="182" t="s">
        <v>21</v>
      </c>
      <c r="E3385" s="182" t="s">
        <v>22</v>
      </c>
      <c r="F3385" s="182" t="s">
        <v>23</v>
      </c>
      <c r="G3385" s="182" t="s">
        <v>19</v>
      </c>
      <c r="H3385" s="216" t="s">
        <v>20</v>
      </c>
      <c r="I3385" s="182" t="s">
        <v>21</v>
      </c>
      <c r="J3385" s="182" t="s">
        <v>22</v>
      </c>
      <c r="K3385" s="182" t="s">
        <v>23</v>
      </c>
      <c r="L3385" s="182" t="s">
        <v>19</v>
      </c>
      <c r="M3385" s="182" t="s">
        <v>20</v>
      </c>
      <c r="N3385" s="182" t="s">
        <v>21</v>
      </c>
      <c r="O3385" s="182" t="s">
        <v>22</v>
      </c>
      <c r="P3385" s="182" t="s">
        <v>23</v>
      </c>
      <c r="Q3385" s="182" t="s">
        <v>19</v>
      </c>
      <c r="R3385" s="182" t="s">
        <v>20</v>
      </c>
      <c r="S3385" s="182" t="s">
        <v>21</v>
      </c>
      <c r="T3385" s="182" t="s">
        <v>22</v>
      </c>
      <c r="U3385" s="211" t="s">
        <v>23</v>
      </c>
    </row>
    <row r="3386" spans="1:21" ht="47.25" x14ac:dyDescent="0.25">
      <c r="A3386" s="183" t="s">
        <v>976</v>
      </c>
      <c r="G3386" s="182" t="s">
        <v>977</v>
      </c>
      <c r="H3386" s="216" t="s">
        <v>438</v>
      </c>
      <c r="I3386" s="182">
        <v>1</v>
      </c>
      <c r="J3386" s="182">
        <f>adopted_rate_Gabion_50x80_MW2.7_SW3.4_LW2.2</f>
        <v>328</v>
      </c>
      <c r="K3386" s="182">
        <f>(I3386*J3386)</f>
        <v>328</v>
      </c>
    </row>
    <row r="3387" spans="1:21" x14ac:dyDescent="0.25">
      <c r="A3387" s="537" t="s">
        <v>30</v>
      </c>
      <c r="B3387" s="537"/>
      <c r="C3387" s="537"/>
      <c r="D3387" s="537"/>
      <c r="E3387" s="537"/>
      <c r="F3387" s="184">
        <f>SUM(F3385:F3386)</f>
        <v>0</v>
      </c>
      <c r="G3387" s="537" t="s">
        <v>31</v>
      </c>
      <c r="H3387" s="537"/>
      <c r="I3387" s="537"/>
      <c r="J3387" s="537"/>
      <c r="K3387" s="184">
        <f>SUM(K3385:K3386)</f>
        <v>328</v>
      </c>
      <c r="L3387" s="537" t="s">
        <v>32</v>
      </c>
      <c r="M3387" s="537"/>
      <c r="N3387" s="537"/>
      <c r="O3387" s="537"/>
      <c r="P3387" s="184">
        <f>SUM(P3385:P3386)</f>
        <v>0</v>
      </c>
      <c r="Q3387" s="537" t="s">
        <v>38</v>
      </c>
      <c r="R3387" s="537"/>
      <c r="S3387" s="537"/>
      <c r="T3387" s="537"/>
      <c r="U3387" s="223">
        <f>SUM(U3385:U3386)</f>
        <v>0</v>
      </c>
    </row>
    <row r="3388" spans="1:21" x14ac:dyDescent="0.25">
      <c r="A3388" s="537" t="s">
        <v>33</v>
      </c>
      <c r="B3388" s="537"/>
      <c r="C3388" s="537"/>
      <c r="D3388" s="537"/>
      <c r="E3388" s="537"/>
      <c r="F3388" s="184">
        <f>SUM(F3387+K3387+P3387)</f>
        <v>328</v>
      </c>
      <c r="G3388" s="537" t="s">
        <v>39</v>
      </c>
      <c r="H3388" s="537"/>
      <c r="I3388" s="537"/>
      <c r="J3388" s="537"/>
      <c r="K3388" s="184">
        <f>SUM(F3387+K3387+P3387+U3387)</f>
        <v>328</v>
      </c>
      <c r="L3388" s="537" t="s">
        <v>40</v>
      </c>
      <c r="M3388" s="537"/>
      <c r="N3388" s="537"/>
      <c r="O3388" s="537"/>
      <c r="P3388" s="184">
        <f>SUM(K3388*0.15)</f>
        <v>49.199999999999996</v>
      </c>
      <c r="Q3388" s="537" t="s">
        <v>41</v>
      </c>
      <c r="R3388" s="537"/>
      <c r="S3388" s="537"/>
      <c r="T3388" s="537"/>
      <c r="U3388" s="223">
        <f>SUM(K3388+P3388)</f>
        <v>377.2</v>
      </c>
    </row>
    <row r="3389" spans="1:21" x14ac:dyDescent="0.25">
      <c r="Q3389" s="537" t="s">
        <v>42</v>
      </c>
      <c r="R3389" s="537"/>
      <c r="S3389" s="537"/>
      <c r="T3389" s="537"/>
      <c r="U3389" s="224">
        <f>ROUND((U3388/1),2)</f>
        <v>377.2</v>
      </c>
    </row>
    <row r="3390" spans="1:21" x14ac:dyDescent="0.25">
      <c r="A3390" s="544"/>
      <c r="B3390" s="544"/>
      <c r="C3390" s="544"/>
      <c r="D3390" s="544"/>
      <c r="E3390" s="544"/>
      <c r="F3390" s="544"/>
      <c r="G3390" s="544"/>
      <c r="H3390" s="544"/>
      <c r="I3390" s="544"/>
      <c r="J3390" s="544"/>
      <c r="K3390" s="544"/>
      <c r="L3390" s="544"/>
      <c r="M3390" s="544"/>
      <c r="N3390" s="544"/>
      <c r="O3390" s="544"/>
      <c r="P3390" s="544"/>
      <c r="Q3390" s="544"/>
      <c r="R3390" s="544"/>
      <c r="S3390" s="544"/>
      <c r="T3390" s="544"/>
      <c r="U3390" s="544"/>
    </row>
    <row r="3391" spans="1:21" x14ac:dyDescent="0.25">
      <c r="A3391" s="538" t="s">
        <v>12</v>
      </c>
      <c r="B3391" s="538"/>
      <c r="C3391" s="540" t="s">
        <v>978</v>
      </c>
      <c r="D3391" s="540"/>
      <c r="E3391" s="540"/>
      <c r="F3391" s="540"/>
      <c r="G3391" s="540"/>
      <c r="H3391" s="540"/>
      <c r="I3391" s="540"/>
      <c r="J3391" s="540"/>
      <c r="K3391" s="540"/>
      <c r="L3391" s="540"/>
      <c r="M3391" s="540"/>
      <c r="N3391" s="540"/>
      <c r="O3391" s="540"/>
      <c r="P3391" s="540"/>
      <c r="Q3391" s="540"/>
      <c r="R3391" s="540"/>
      <c r="S3391" s="540"/>
      <c r="T3391" s="540"/>
      <c r="U3391" s="541" t="s">
        <v>975</v>
      </c>
    </row>
    <row r="3392" spans="1:21" x14ac:dyDescent="0.25">
      <c r="A3392" s="538"/>
      <c r="B3392" s="538"/>
      <c r="C3392" s="540"/>
      <c r="D3392" s="540"/>
      <c r="E3392" s="540"/>
      <c r="F3392" s="540"/>
      <c r="G3392" s="540"/>
      <c r="H3392" s="540"/>
      <c r="I3392" s="540"/>
      <c r="J3392" s="540"/>
      <c r="K3392" s="540"/>
      <c r="L3392" s="540"/>
      <c r="M3392" s="540"/>
      <c r="N3392" s="540"/>
      <c r="O3392" s="540"/>
      <c r="P3392" s="540"/>
      <c r="Q3392" s="540"/>
      <c r="R3392" s="540"/>
      <c r="S3392" s="540"/>
      <c r="T3392" s="540"/>
      <c r="U3392" s="541"/>
    </row>
    <row r="3393" spans="1:21" x14ac:dyDescent="0.25">
      <c r="A3393" s="539" t="s">
        <v>973</v>
      </c>
      <c r="B3393" s="539"/>
      <c r="C3393" s="540"/>
      <c r="D3393" s="540"/>
      <c r="E3393" s="540"/>
      <c r="F3393" s="540"/>
      <c r="G3393" s="540"/>
      <c r="H3393" s="540"/>
      <c r="I3393" s="540"/>
      <c r="J3393" s="540"/>
      <c r="K3393" s="540"/>
      <c r="L3393" s="540"/>
      <c r="M3393" s="540"/>
      <c r="N3393" s="540"/>
      <c r="O3393" s="540"/>
      <c r="P3393" s="540"/>
      <c r="Q3393" s="540"/>
      <c r="R3393" s="540"/>
      <c r="S3393" s="540"/>
      <c r="T3393" s="540"/>
      <c r="U3393" s="541"/>
    </row>
    <row r="3394" spans="1:21" x14ac:dyDescent="0.25">
      <c r="A3394" s="542" t="s">
        <v>16</v>
      </c>
      <c r="B3394" s="543" t="s">
        <v>18</v>
      </c>
      <c r="C3394" s="543"/>
      <c r="D3394" s="543"/>
      <c r="E3394" s="543"/>
      <c r="F3394" s="543"/>
      <c r="G3394" s="543" t="s">
        <v>24</v>
      </c>
      <c r="H3394" s="543"/>
      <c r="I3394" s="543"/>
      <c r="J3394" s="543"/>
      <c r="K3394" s="543"/>
      <c r="L3394" s="543" t="s">
        <v>25</v>
      </c>
      <c r="M3394" s="543"/>
      <c r="N3394" s="543"/>
      <c r="O3394" s="543"/>
      <c r="P3394" s="543"/>
      <c r="Q3394" s="543" t="s">
        <v>26</v>
      </c>
      <c r="R3394" s="543"/>
      <c r="S3394" s="543"/>
      <c r="T3394" s="543"/>
      <c r="U3394" s="543"/>
    </row>
    <row r="3395" spans="1:21" x14ac:dyDescent="0.25">
      <c r="A3395" s="542"/>
      <c r="B3395" s="182" t="s">
        <v>19</v>
      </c>
      <c r="C3395" s="182" t="s">
        <v>20</v>
      </c>
      <c r="D3395" s="182" t="s">
        <v>21</v>
      </c>
      <c r="E3395" s="182" t="s">
        <v>22</v>
      </c>
      <c r="F3395" s="182" t="s">
        <v>23</v>
      </c>
      <c r="G3395" s="182" t="s">
        <v>19</v>
      </c>
      <c r="H3395" s="216" t="s">
        <v>20</v>
      </c>
      <c r="I3395" s="182" t="s">
        <v>21</v>
      </c>
      <c r="J3395" s="182" t="s">
        <v>22</v>
      </c>
      <c r="K3395" s="182" t="s">
        <v>23</v>
      </c>
      <c r="L3395" s="182" t="s">
        <v>19</v>
      </c>
      <c r="M3395" s="182" t="s">
        <v>20</v>
      </c>
      <c r="N3395" s="182" t="s">
        <v>21</v>
      </c>
      <c r="O3395" s="182" t="s">
        <v>22</v>
      </c>
      <c r="P3395" s="182" t="s">
        <v>23</v>
      </c>
      <c r="Q3395" s="182" t="s">
        <v>19</v>
      </c>
      <c r="R3395" s="182" t="s">
        <v>20</v>
      </c>
      <c r="S3395" s="182" t="s">
        <v>21</v>
      </c>
      <c r="T3395" s="182" t="s">
        <v>22</v>
      </c>
      <c r="U3395" s="211" t="s">
        <v>23</v>
      </c>
    </row>
    <row r="3396" spans="1:21" ht="47.25" x14ac:dyDescent="0.25">
      <c r="A3396" s="183" t="s">
        <v>979</v>
      </c>
      <c r="G3396" s="182" t="s">
        <v>980</v>
      </c>
      <c r="H3396" s="216" t="s">
        <v>438</v>
      </c>
      <c r="I3396" s="182">
        <v>1</v>
      </c>
      <c r="J3396" s="182">
        <f>adopted_rate_Gabion_100x120_MW3_SW3.9_LW2.4</f>
        <v>270</v>
      </c>
      <c r="K3396" s="182">
        <f>(I3396*J3396)</f>
        <v>270</v>
      </c>
    </row>
    <row r="3397" spans="1:21" x14ac:dyDescent="0.25">
      <c r="A3397" s="537" t="s">
        <v>30</v>
      </c>
      <c r="B3397" s="537"/>
      <c r="C3397" s="537"/>
      <c r="D3397" s="537"/>
      <c r="E3397" s="537"/>
      <c r="F3397" s="184">
        <f>SUM(F3395:F3396)</f>
        <v>0</v>
      </c>
      <c r="G3397" s="537" t="s">
        <v>31</v>
      </c>
      <c r="H3397" s="537"/>
      <c r="I3397" s="537"/>
      <c r="J3397" s="537"/>
      <c r="K3397" s="184">
        <f>SUM(K3395:K3396)</f>
        <v>270</v>
      </c>
      <c r="L3397" s="537" t="s">
        <v>32</v>
      </c>
      <c r="M3397" s="537"/>
      <c r="N3397" s="537"/>
      <c r="O3397" s="537"/>
      <c r="P3397" s="184">
        <f>SUM(P3395:P3396)</f>
        <v>0</v>
      </c>
      <c r="Q3397" s="537" t="s">
        <v>38</v>
      </c>
      <c r="R3397" s="537"/>
      <c r="S3397" s="537"/>
      <c r="T3397" s="537"/>
      <c r="U3397" s="223">
        <f>SUM(U3395:U3396)</f>
        <v>0</v>
      </c>
    </row>
    <row r="3398" spans="1:21" x14ac:dyDescent="0.25">
      <c r="A3398" s="537" t="s">
        <v>33</v>
      </c>
      <c r="B3398" s="537"/>
      <c r="C3398" s="537"/>
      <c r="D3398" s="537"/>
      <c r="E3398" s="537"/>
      <c r="F3398" s="184">
        <f>SUM(F3397+K3397+P3397)</f>
        <v>270</v>
      </c>
      <c r="G3398" s="537" t="s">
        <v>39</v>
      </c>
      <c r="H3398" s="537"/>
      <c r="I3398" s="537"/>
      <c r="J3398" s="537"/>
      <c r="K3398" s="184">
        <f>SUM(F3397+K3397+P3397+U3397)</f>
        <v>270</v>
      </c>
      <c r="L3398" s="537" t="s">
        <v>40</v>
      </c>
      <c r="M3398" s="537"/>
      <c r="N3398" s="537"/>
      <c r="O3398" s="537"/>
      <c r="P3398" s="184">
        <f>SUM(K3398*0.15)</f>
        <v>40.5</v>
      </c>
      <c r="Q3398" s="537" t="s">
        <v>41</v>
      </c>
      <c r="R3398" s="537"/>
      <c r="S3398" s="537"/>
      <c r="T3398" s="537"/>
      <c r="U3398" s="223">
        <f>SUM(K3398+P3398)</f>
        <v>310.5</v>
      </c>
    </row>
    <row r="3399" spans="1:21" x14ac:dyDescent="0.25">
      <c r="Q3399" s="537" t="s">
        <v>42</v>
      </c>
      <c r="R3399" s="537"/>
      <c r="S3399" s="537"/>
      <c r="T3399" s="537"/>
      <c r="U3399" s="224">
        <f>ROUND((U3398/1),2)</f>
        <v>310.5</v>
      </c>
    </row>
    <row r="3400" spans="1:21" x14ac:dyDescent="0.25">
      <c r="A3400" s="544"/>
      <c r="B3400" s="544"/>
      <c r="C3400" s="544"/>
      <c r="D3400" s="544"/>
      <c r="E3400" s="544"/>
      <c r="F3400" s="544"/>
      <c r="G3400" s="544"/>
      <c r="H3400" s="544"/>
      <c r="I3400" s="544"/>
      <c r="J3400" s="544"/>
      <c r="K3400" s="544"/>
      <c r="L3400" s="544"/>
      <c r="M3400" s="544"/>
      <c r="N3400" s="544"/>
      <c r="O3400" s="544"/>
      <c r="P3400" s="544"/>
      <c r="Q3400" s="544"/>
      <c r="R3400" s="544"/>
      <c r="S3400" s="544"/>
      <c r="T3400" s="544"/>
      <c r="U3400" s="544"/>
    </row>
    <row r="3401" spans="1:21" x14ac:dyDescent="0.25">
      <c r="A3401" s="538" t="s">
        <v>12</v>
      </c>
      <c r="B3401" s="538"/>
      <c r="C3401" s="540" t="s">
        <v>981</v>
      </c>
      <c r="D3401" s="540"/>
      <c r="E3401" s="540"/>
      <c r="F3401" s="540"/>
      <c r="G3401" s="540"/>
      <c r="H3401" s="540"/>
      <c r="I3401" s="540"/>
      <c r="J3401" s="540"/>
      <c r="K3401" s="540"/>
      <c r="L3401" s="540"/>
      <c r="M3401" s="540"/>
      <c r="N3401" s="540"/>
      <c r="O3401" s="540"/>
      <c r="P3401" s="540"/>
      <c r="Q3401" s="540"/>
      <c r="R3401" s="540"/>
      <c r="S3401" s="540"/>
      <c r="T3401" s="540"/>
      <c r="U3401" s="541" t="s">
        <v>975</v>
      </c>
    </row>
    <row r="3402" spans="1:21" x14ac:dyDescent="0.25">
      <c r="A3402" s="538"/>
      <c r="B3402" s="538"/>
      <c r="C3402" s="540"/>
      <c r="D3402" s="540"/>
      <c r="E3402" s="540"/>
      <c r="F3402" s="540"/>
      <c r="G3402" s="540"/>
      <c r="H3402" s="540"/>
      <c r="I3402" s="540"/>
      <c r="J3402" s="540"/>
      <c r="K3402" s="540"/>
      <c r="L3402" s="540"/>
      <c r="M3402" s="540"/>
      <c r="N3402" s="540"/>
      <c r="O3402" s="540"/>
      <c r="P3402" s="540"/>
      <c r="Q3402" s="540"/>
      <c r="R3402" s="540"/>
      <c r="S3402" s="540"/>
      <c r="T3402" s="540"/>
      <c r="U3402" s="541"/>
    </row>
    <row r="3403" spans="1:21" x14ac:dyDescent="0.25">
      <c r="A3403" s="539" t="s">
        <v>973</v>
      </c>
      <c r="B3403" s="539"/>
      <c r="C3403" s="540"/>
      <c r="D3403" s="540"/>
      <c r="E3403" s="540"/>
      <c r="F3403" s="540"/>
      <c r="G3403" s="540"/>
      <c r="H3403" s="540"/>
      <c r="I3403" s="540"/>
      <c r="J3403" s="540"/>
      <c r="K3403" s="540"/>
      <c r="L3403" s="540"/>
      <c r="M3403" s="540"/>
      <c r="N3403" s="540"/>
      <c r="O3403" s="540"/>
      <c r="P3403" s="540"/>
      <c r="Q3403" s="540"/>
      <c r="R3403" s="540"/>
      <c r="S3403" s="540"/>
      <c r="T3403" s="540"/>
      <c r="U3403" s="541"/>
    </row>
    <row r="3404" spans="1:21" x14ac:dyDescent="0.25">
      <c r="A3404" s="542" t="s">
        <v>16</v>
      </c>
      <c r="B3404" s="543" t="s">
        <v>18</v>
      </c>
      <c r="C3404" s="543"/>
      <c r="D3404" s="543"/>
      <c r="E3404" s="543"/>
      <c r="F3404" s="543"/>
      <c r="G3404" s="543" t="s">
        <v>24</v>
      </c>
      <c r="H3404" s="543"/>
      <c r="I3404" s="543"/>
      <c r="J3404" s="543"/>
      <c r="K3404" s="543"/>
      <c r="L3404" s="543" t="s">
        <v>25</v>
      </c>
      <c r="M3404" s="543"/>
      <c r="N3404" s="543"/>
      <c r="O3404" s="543"/>
      <c r="P3404" s="543"/>
      <c r="Q3404" s="543" t="s">
        <v>26</v>
      </c>
      <c r="R3404" s="543"/>
      <c r="S3404" s="543"/>
      <c r="T3404" s="543"/>
      <c r="U3404" s="543"/>
    </row>
    <row r="3405" spans="1:21" ht="31.5" customHeight="1" x14ac:dyDescent="0.25">
      <c r="A3405" s="542"/>
      <c r="B3405" s="182" t="s">
        <v>19</v>
      </c>
      <c r="C3405" s="182" t="s">
        <v>20</v>
      </c>
      <c r="D3405" s="182" t="s">
        <v>21</v>
      </c>
      <c r="E3405" s="182" t="s">
        <v>22</v>
      </c>
      <c r="F3405" s="182" t="s">
        <v>23</v>
      </c>
      <c r="G3405" s="182" t="s">
        <v>19</v>
      </c>
      <c r="H3405" s="216" t="s">
        <v>20</v>
      </c>
      <c r="I3405" s="182" t="s">
        <v>21</v>
      </c>
      <c r="J3405" s="182" t="s">
        <v>22</v>
      </c>
      <c r="K3405" s="182" t="s">
        <v>23</v>
      </c>
      <c r="L3405" s="182" t="s">
        <v>19</v>
      </c>
      <c r="M3405" s="182" t="s">
        <v>20</v>
      </c>
      <c r="N3405" s="182" t="s">
        <v>21</v>
      </c>
      <c r="O3405" s="182" t="s">
        <v>22</v>
      </c>
      <c r="P3405" s="182" t="s">
        <v>23</v>
      </c>
      <c r="Q3405" s="182" t="s">
        <v>19</v>
      </c>
      <c r="R3405" s="182" t="s">
        <v>20</v>
      </c>
      <c r="S3405" s="182" t="s">
        <v>21</v>
      </c>
      <c r="T3405" s="182" t="s">
        <v>22</v>
      </c>
      <c r="U3405" s="211" t="s">
        <v>23</v>
      </c>
    </row>
    <row r="3406" spans="1:21" ht="47.25" x14ac:dyDescent="0.25">
      <c r="A3406" s="183" t="s">
        <v>982</v>
      </c>
      <c r="G3406" s="182" t="s">
        <v>983</v>
      </c>
      <c r="H3406" s="216" t="s">
        <v>438</v>
      </c>
      <c r="I3406" s="182">
        <v>1</v>
      </c>
      <c r="J3406" s="182">
        <f>adopted_rate_Gabion_100x120_MW2.7_3.7_SW3.4_4.4_LW2.2_3.2</f>
        <v>270</v>
      </c>
      <c r="K3406" s="182">
        <f>(I3406*J3406)</f>
        <v>270</v>
      </c>
    </row>
    <row r="3407" spans="1:21" x14ac:dyDescent="0.25">
      <c r="A3407" s="537" t="s">
        <v>30</v>
      </c>
      <c r="B3407" s="537"/>
      <c r="C3407" s="537"/>
      <c r="D3407" s="537"/>
      <c r="E3407" s="537"/>
      <c r="F3407" s="184">
        <f>SUM(F3405:F3406)</f>
        <v>0</v>
      </c>
      <c r="G3407" s="537" t="s">
        <v>31</v>
      </c>
      <c r="H3407" s="537"/>
      <c r="I3407" s="537"/>
      <c r="J3407" s="537"/>
      <c r="K3407" s="184">
        <f>SUM(K3405:K3406)</f>
        <v>270</v>
      </c>
      <c r="L3407" s="537" t="s">
        <v>32</v>
      </c>
      <c r="M3407" s="537"/>
      <c r="N3407" s="537"/>
      <c r="O3407" s="537"/>
      <c r="P3407" s="184">
        <f>SUM(P3405:P3406)</f>
        <v>0</v>
      </c>
      <c r="Q3407" s="537" t="s">
        <v>38</v>
      </c>
      <c r="R3407" s="537"/>
      <c r="S3407" s="537"/>
      <c r="T3407" s="537"/>
      <c r="U3407" s="223">
        <f>SUM(U3405:U3406)</f>
        <v>0</v>
      </c>
    </row>
    <row r="3408" spans="1:21" x14ac:dyDescent="0.25">
      <c r="A3408" s="537" t="s">
        <v>33</v>
      </c>
      <c r="B3408" s="537"/>
      <c r="C3408" s="537"/>
      <c r="D3408" s="537"/>
      <c r="E3408" s="537"/>
      <c r="F3408" s="184">
        <f>SUM(F3407+K3407+P3407)</f>
        <v>270</v>
      </c>
      <c r="G3408" s="537" t="s">
        <v>39</v>
      </c>
      <c r="H3408" s="537"/>
      <c r="I3408" s="537"/>
      <c r="J3408" s="537"/>
      <c r="K3408" s="184">
        <f>SUM(F3407+K3407+P3407+U3407)</f>
        <v>270</v>
      </c>
      <c r="L3408" s="537" t="s">
        <v>40</v>
      </c>
      <c r="M3408" s="537"/>
      <c r="N3408" s="537"/>
      <c r="O3408" s="537"/>
      <c r="P3408" s="184">
        <f>SUM(K3408*0.15)</f>
        <v>40.5</v>
      </c>
      <c r="Q3408" s="537" t="s">
        <v>41</v>
      </c>
      <c r="R3408" s="537"/>
      <c r="S3408" s="537"/>
      <c r="T3408" s="537"/>
      <c r="U3408" s="223">
        <f>SUM(K3408+P3408)</f>
        <v>310.5</v>
      </c>
    </row>
    <row r="3409" spans="1:23" x14ac:dyDescent="0.25">
      <c r="Q3409" s="537" t="s">
        <v>42</v>
      </c>
      <c r="R3409" s="537"/>
      <c r="S3409" s="537"/>
      <c r="T3409" s="537"/>
      <c r="U3409" s="224">
        <f>ROUND((U3408/1),2)</f>
        <v>310.5</v>
      </c>
    </row>
    <row r="3410" spans="1:23" x14ac:dyDescent="0.25">
      <c r="A3410" s="544"/>
      <c r="B3410" s="544"/>
      <c r="C3410" s="544"/>
      <c r="D3410" s="544"/>
      <c r="E3410" s="544"/>
      <c r="F3410" s="544"/>
      <c r="G3410" s="544"/>
      <c r="H3410" s="544"/>
      <c r="I3410" s="544"/>
      <c r="J3410" s="544"/>
      <c r="K3410" s="544"/>
      <c r="L3410" s="544"/>
      <c r="M3410" s="544"/>
      <c r="N3410" s="544"/>
      <c r="O3410" s="544"/>
      <c r="P3410" s="544"/>
      <c r="Q3410" s="544"/>
      <c r="R3410" s="544"/>
      <c r="S3410" s="544"/>
      <c r="T3410" s="544"/>
      <c r="U3410" s="544"/>
    </row>
    <row r="3411" spans="1:23" x14ac:dyDescent="0.25">
      <c r="A3411" s="538" t="s">
        <v>12</v>
      </c>
      <c r="B3411" s="538"/>
      <c r="C3411" s="540" t="s">
        <v>984</v>
      </c>
      <c r="D3411" s="540"/>
      <c r="E3411" s="540"/>
      <c r="F3411" s="540"/>
      <c r="G3411" s="540"/>
      <c r="H3411" s="540"/>
      <c r="I3411" s="540"/>
      <c r="J3411" s="540"/>
      <c r="K3411" s="540"/>
      <c r="L3411" s="540"/>
      <c r="M3411" s="540"/>
      <c r="N3411" s="540"/>
      <c r="O3411" s="540"/>
      <c r="P3411" s="540"/>
      <c r="Q3411" s="540"/>
      <c r="R3411" s="540"/>
      <c r="S3411" s="540"/>
      <c r="T3411" s="540"/>
      <c r="U3411" s="541" t="s">
        <v>975</v>
      </c>
    </row>
    <row r="3412" spans="1:23" x14ac:dyDescent="0.25">
      <c r="A3412" s="538"/>
      <c r="B3412" s="538"/>
      <c r="C3412" s="540"/>
      <c r="D3412" s="540"/>
      <c r="E3412" s="540"/>
      <c r="F3412" s="540"/>
      <c r="G3412" s="540"/>
      <c r="H3412" s="540"/>
      <c r="I3412" s="540"/>
      <c r="J3412" s="540"/>
      <c r="K3412" s="540"/>
      <c r="L3412" s="540"/>
      <c r="M3412" s="540"/>
      <c r="N3412" s="540"/>
      <c r="O3412" s="540"/>
      <c r="P3412" s="540"/>
      <c r="Q3412" s="540"/>
      <c r="R3412" s="540"/>
      <c r="S3412" s="540"/>
      <c r="T3412" s="540"/>
      <c r="U3412" s="541"/>
      <c r="W3412" s="195">
        <f>K3475*3%</f>
        <v>1844.3794799999998</v>
      </c>
    </row>
    <row r="3413" spans="1:23" x14ac:dyDescent="0.25">
      <c r="A3413" s="539" t="s">
        <v>973</v>
      </c>
      <c r="B3413" s="539"/>
      <c r="C3413" s="540"/>
      <c r="D3413" s="540"/>
      <c r="E3413" s="540"/>
      <c r="F3413" s="540"/>
      <c r="G3413" s="540"/>
      <c r="H3413" s="540"/>
      <c r="I3413" s="540"/>
      <c r="J3413" s="540"/>
      <c r="K3413" s="540"/>
      <c r="L3413" s="540"/>
      <c r="M3413" s="540"/>
      <c r="N3413" s="540"/>
      <c r="O3413" s="540"/>
      <c r="P3413" s="540"/>
      <c r="Q3413" s="540"/>
      <c r="R3413" s="540"/>
      <c r="S3413" s="540"/>
      <c r="T3413" s="540"/>
      <c r="U3413" s="541"/>
      <c r="W3413" s="195">
        <f>W3412/10</f>
        <v>184.43794799999998</v>
      </c>
    </row>
    <row r="3414" spans="1:23" x14ac:dyDescent="0.25">
      <c r="A3414" s="542" t="s">
        <v>16</v>
      </c>
      <c r="B3414" s="543" t="s">
        <v>18</v>
      </c>
      <c r="C3414" s="543"/>
      <c r="D3414" s="543"/>
      <c r="E3414" s="543"/>
      <c r="F3414" s="543"/>
      <c r="G3414" s="543" t="s">
        <v>24</v>
      </c>
      <c r="H3414" s="543"/>
      <c r="I3414" s="543"/>
      <c r="J3414" s="543"/>
      <c r="K3414" s="543"/>
      <c r="L3414" s="543" t="s">
        <v>25</v>
      </c>
      <c r="M3414" s="543"/>
      <c r="N3414" s="543"/>
      <c r="O3414" s="543"/>
      <c r="P3414" s="543"/>
      <c r="Q3414" s="543" t="s">
        <v>26</v>
      </c>
      <c r="R3414" s="543"/>
      <c r="S3414" s="543"/>
      <c r="T3414" s="543"/>
      <c r="U3414" s="543"/>
    </row>
    <row r="3415" spans="1:23" x14ac:dyDescent="0.25">
      <c r="A3415" s="542"/>
      <c r="B3415" s="182" t="s">
        <v>19</v>
      </c>
      <c r="C3415" s="182" t="s">
        <v>20</v>
      </c>
      <c r="D3415" s="182" t="s">
        <v>21</v>
      </c>
      <c r="E3415" s="182" t="s">
        <v>22</v>
      </c>
      <c r="F3415" s="182" t="s">
        <v>23</v>
      </c>
      <c r="G3415" s="182" t="s">
        <v>19</v>
      </c>
      <c r="H3415" s="216" t="s">
        <v>20</v>
      </c>
      <c r="I3415" s="182" t="s">
        <v>21</v>
      </c>
      <c r="J3415" s="182" t="s">
        <v>22</v>
      </c>
      <c r="K3415" s="182" t="s">
        <v>23</v>
      </c>
      <c r="L3415" s="182" t="s">
        <v>19</v>
      </c>
      <c r="M3415" s="182" t="s">
        <v>20</v>
      </c>
      <c r="N3415" s="182" t="s">
        <v>21</v>
      </c>
      <c r="O3415" s="182" t="s">
        <v>22</v>
      </c>
      <c r="P3415" s="182" t="s">
        <v>23</v>
      </c>
      <c r="Q3415" s="182" t="s">
        <v>19</v>
      </c>
      <c r="R3415" s="182" t="s">
        <v>20</v>
      </c>
      <c r="S3415" s="182" t="s">
        <v>21</v>
      </c>
      <c r="T3415" s="182" t="s">
        <v>22</v>
      </c>
      <c r="U3415" s="211" t="s">
        <v>23</v>
      </c>
    </row>
    <row r="3416" spans="1:23" ht="47.25" x14ac:dyDescent="0.25">
      <c r="A3416" s="183" t="s">
        <v>985</v>
      </c>
      <c r="G3416" s="182" t="s">
        <v>2130</v>
      </c>
      <c r="H3416" s="216" t="s">
        <v>438</v>
      </c>
      <c r="I3416" s="182">
        <v>1</v>
      </c>
      <c r="J3416" s="182">
        <v>280</v>
      </c>
      <c r="K3416" s="182">
        <f>(I3416*J3416)</f>
        <v>280</v>
      </c>
    </row>
    <row r="3417" spans="1:23" x14ac:dyDescent="0.25">
      <c r="A3417" s="537" t="s">
        <v>30</v>
      </c>
      <c r="B3417" s="537"/>
      <c r="C3417" s="537"/>
      <c r="D3417" s="537"/>
      <c r="E3417" s="537"/>
      <c r="F3417" s="184">
        <f>SUM(F3415:F3416)</f>
        <v>0</v>
      </c>
      <c r="G3417" s="537" t="s">
        <v>31</v>
      </c>
      <c r="H3417" s="537"/>
      <c r="I3417" s="537"/>
      <c r="J3417" s="537"/>
      <c r="K3417" s="184">
        <f>SUM(K3415:K3416)</f>
        <v>280</v>
      </c>
      <c r="L3417" s="537" t="s">
        <v>32</v>
      </c>
      <c r="M3417" s="537"/>
      <c r="N3417" s="537"/>
      <c r="O3417" s="537"/>
      <c r="P3417" s="184">
        <f>SUM(P3415:P3416)</f>
        <v>0</v>
      </c>
      <c r="Q3417" s="537" t="s">
        <v>38</v>
      </c>
      <c r="R3417" s="537"/>
      <c r="S3417" s="537"/>
      <c r="T3417" s="537"/>
      <c r="U3417" s="223">
        <f>SUM(U3415:U3416)</f>
        <v>0</v>
      </c>
    </row>
    <row r="3418" spans="1:23" x14ac:dyDescent="0.25">
      <c r="A3418" s="537" t="s">
        <v>33</v>
      </c>
      <c r="B3418" s="537"/>
      <c r="C3418" s="537"/>
      <c r="D3418" s="537"/>
      <c r="E3418" s="537"/>
      <c r="F3418" s="184">
        <f>SUM(F3417+K3417+P3417)</f>
        <v>280</v>
      </c>
      <c r="G3418" s="537" t="s">
        <v>39</v>
      </c>
      <c r="H3418" s="537"/>
      <c r="I3418" s="537"/>
      <c r="J3418" s="537"/>
      <c r="K3418" s="184">
        <f>SUM(F3417+K3417+P3417+U3417)</f>
        <v>280</v>
      </c>
      <c r="L3418" s="537" t="s">
        <v>40</v>
      </c>
      <c r="M3418" s="537"/>
      <c r="N3418" s="537"/>
      <c r="O3418" s="537"/>
      <c r="P3418" s="184">
        <f>SUM(K3418*0.15)</f>
        <v>42</v>
      </c>
      <c r="Q3418" s="537" t="s">
        <v>41</v>
      </c>
      <c r="R3418" s="537"/>
      <c r="S3418" s="537"/>
      <c r="T3418" s="537"/>
      <c r="U3418" s="223">
        <f>SUM(K3418+P3418)</f>
        <v>322</v>
      </c>
    </row>
    <row r="3419" spans="1:23" x14ac:dyDescent="0.25">
      <c r="Q3419" s="537" t="s">
        <v>42</v>
      </c>
      <c r="R3419" s="537"/>
      <c r="S3419" s="537"/>
      <c r="T3419" s="537"/>
      <c r="U3419" s="224">
        <f>ROUND((U3418/1),2)</f>
        <v>322</v>
      </c>
    </row>
    <row r="3420" spans="1:23" x14ac:dyDescent="0.25">
      <c r="A3420" s="544"/>
      <c r="B3420" s="544"/>
      <c r="C3420" s="544"/>
      <c r="D3420" s="544"/>
      <c r="E3420" s="544"/>
      <c r="F3420" s="544"/>
      <c r="G3420" s="544"/>
      <c r="H3420" s="544"/>
      <c r="I3420" s="544"/>
      <c r="J3420" s="544"/>
      <c r="K3420" s="544"/>
      <c r="L3420" s="544"/>
      <c r="M3420" s="544"/>
      <c r="N3420" s="544"/>
      <c r="O3420" s="544"/>
      <c r="P3420" s="544"/>
      <c r="Q3420" s="544"/>
      <c r="R3420" s="544"/>
      <c r="S3420" s="544"/>
      <c r="T3420" s="544"/>
      <c r="U3420" s="544"/>
    </row>
    <row r="3421" spans="1:23" x14ac:dyDescent="0.25">
      <c r="A3421" s="538" t="s">
        <v>12</v>
      </c>
      <c r="B3421" s="538"/>
      <c r="C3421" s="540" t="s">
        <v>987</v>
      </c>
      <c r="D3421" s="540"/>
      <c r="E3421" s="540"/>
      <c r="F3421" s="540"/>
      <c r="G3421" s="540"/>
      <c r="H3421" s="540"/>
      <c r="I3421" s="540"/>
      <c r="J3421" s="540"/>
      <c r="K3421" s="540"/>
      <c r="L3421" s="540"/>
      <c r="M3421" s="540"/>
      <c r="N3421" s="540"/>
      <c r="O3421" s="540"/>
      <c r="P3421" s="540"/>
      <c r="Q3421" s="540"/>
      <c r="R3421" s="540"/>
      <c r="S3421" s="540"/>
      <c r="T3421" s="540"/>
      <c r="U3421" s="541" t="s">
        <v>975</v>
      </c>
    </row>
    <row r="3422" spans="1:23" x14ac:dyDescent="0.25">
      <c r="A3422" s="538"/>
      <c r="B3422" s="538"/>
      <c r="C3422" s="540"/>
      <c r="D3422" s="540"/>
      <c r="E3422" s="540"/>
      <c r="F3422" s="540"/>
      <c r="G3422" s="540"/>
      <c r="H3422" s="540"/>
      <c r="I3422" s="540"/>
      <c r="J3422" s="540"/>
      <c r="K3422" s="540"/>
      <c r="L3422" s="540"/>
      <c r="M3422" s="540"/>
      <c r="N3422" s="540"/>
      <c r="O3422" s="540"/>
      <c r="P3422" s="540"/>
      <c r="Q3422" s="540"/>
      <c r="R3422" s="540"/>
      <c r="S3422" s="540"/>
      <c r="T3422" s="540"/>
      <c r="U3422" s="541"/>
    </row>
    <row r="3423" spans="1:23" x14ac:dyDescent="0.25">
      <c r="A3423" s="539" t="s">
        <v>973</v>
      </c>
      <c r="B3423" s="539"/>
      <c r="C3423" s="540"/>
      <c r="D3423" s="540"/>
      <c r="E3423" s="540"/>
      <c r="F3423" s="540"/>
      <c r="G3423" s="540"/>
      <c r="H3423" s="540"/>
      <c r="I3423" s="540"/>
      <c r="J3423" s="540"/>
      <c r="K3423" s="540"/>
      <c r="L3423" s="540"/>
      <c r="M3423" s="540"/>
      <c r="N3423" s="540"/>
      <c r="O3423" s="540"/>
      <c r="P3423" s="540"/>
      <c r="Q3423" s="540"/>
      <c r="R3423" s="540"/>
      <c r="S3423" s="540"/>
      <c r="T3423" s="540"/>
      <c r="U3423" s="541"/>
    </row>
    <row r="3424" spans="1:23" x14ac:dyDescent="0.25">
      <c r="A3424" s="542" t="s">
        <v>16</v>
      </c>
      <c r="B3424" s="543" t="s">
        <v>18</v>
      </c>
      <c r="C3424" s="543"/>
      <c r="D3424" s="543"/>
      <c r="E3424" s="543"/>
      <c r="F3424" s="543"/>
      <c r="G3424" s="543" t="s">
        <v>24</v>
      </c>
      <c r="H3424" s="543"/>
      <c r="I3424" s="543"/>
      <c r="J3424" s="543"/>
      <c r="K3424" s="543"/>
      <c r="L3424" s="543" t="s">
        <v>25</v>
      </c>
      <c r="M3424" s="543"/>
      <c r="N3424" s="543"/>
      <c r="O3424" s="543"/>
      <c r="P3424" s="543"/>
      <c r="Q3424" s="543" t="s">
        <v>26</v>
      </c>
      <c r="R3424" s="543"/>
      <c r="S3424" s="543"/>
      <c r="T3424" s="543"/>
      <c r="U3424" s="543"/>
    </row>
    <row r="3425" spans="1:21" x14ac:dyDescent="0.25">
      <c r="A3425" s="542"/>
      <c r="B3425" s="182" t="s">
        <v>19</v>
      </c>
      <c r="C3425" s="182" t="s">
        <v>20</v>
      </c>
      <c r="D3425" s="182" t="s">
        <v>21</v>
      </c>
      <c r="E3425" s="182" t="s">
        <v>22</v>
      </c>
      <c r="F3425" s="182" t="s">
        <v>23</v>
      </c>
      <c r="G3425" s="182" t="s">
        <v>19</v>
      </c>
      <c r="H3425" s="216" t="s">
        <v>20</v>
      </c>
      <c r="I3425" s="182" t="s">
        <v>21</v>
      </c>
      <c r="J3425" s="182" t="s">
        <v>22</v>
      </c>
      <c r="K3425" s="182" t="s">
        <v>23</v>
      </c>
      <c r="L3425" s="182" t="s">
        <v>19</v>
      </c>
      <c r="M3425" s="182" t="s">
        <v>20</v>
      </c>
      <c r="N3425" s="182" t="s">
        <v>21</v>
      </c>
      <c r="O3425" s="182" t="s">
        <v>22</v>
      </c>
      <c r="P3425" s="182" t="s">
        <v>23</v>
      </c>
      <c r="Q3425" s="182" t="s">
        <v>19</v>
      </c>
      <c r="R3425" s="182" t="s">
        <v>20</v>
      </c>
      <c r="S3425" s="182" t="s">
        <v>21</v>
      </c>
      <c r="T3425" s="182" t="s">
        <v>22</v>
      </c>
      <c r="U3425" s="211" t="s">
        <v>23</v>
      </c>
    </row>
    <row r="3426" spans="1:21" ht="63" x14ac:dyDescent="0.25">
      <c r="A3426" s="183" t="s">
        <v>988</v>
      </c>
      <c r="G3426" s="182" t="s">
        <v>989</v>
      </c>
      <c r="H3426" s="216" t="s">
        <v>438</v>
      </c>
      <c r="I3426" s="182">
        <v>1</v>
      </c>
      <c r="J3426" s="182">
        <f>adopted_rate_Gabion_100x120_MW2.7_SW3.4_LW2.2</f>
        <v>318</v>
      </c>
      <c r="K3426" s="182">
        <f>(I3426*J3426)</f>
        <v>318</v>
      </c>
    </row>
    <row r="3427" spans="1:21" x14ac:dyDescent="0.25">
      <c r="A3427" s="537" t="s">
        <v>30</v>
      </c>
      <c r="B3427" s="537"/>
      <c r="C3427" s="537"/>
      <c r="D3427" s="537"/>
      <c r="E3427" s="537"/>
      <c r="F3427" s="184">
        <f>SUM(F3425:F3426)</f>
        <v>0</v>
      </c>
      <c r="G3427" s="537" t="s">
        <v>31</v>
      </c>
      <c r="H3427" s="537"/>
      <c r="I3427" s="537"/>
      <c r="J3427" s="537"/>
      <c r="K3427" s="184">
        <f>SUM(K3425:K3426)</f>
        <v>318</v>
      </c>
      <c r="L3427" s="537" t="s">
        <v>32</v>
      </c>
      <c r="M3427" s="537"/>
      <c r="N3427" s="537"/>
      <c r="O3427" s="537"/>
      <c r="P3427" s="184">
        <f>SUM(P3425:P3426)</f>
        <v>0</v>
      </c>
      <c r="Q3427" s="537" t="s">
        <v>38</v>
      </c>
      <c r="R3427" s="537"/>
      <c r="S3427" s="537"/>
      <c r="T3427" s="537"/>
      <c r="U3427" s="223">
        <f>SUM(U3425:U3426)</f>
        <v>0</v>
      </c>
    </row>
    <row r="3428" spans="1:21" x14ac:dyDescent="0.25">
      <c r="A3428" s="537" t="s">
        <v>33</v>
      </c>
      <c r="B3428" s="537"/>
      <c r="C3428" s="537"/>
      <c r="D3428" s="537"/>
      <c r="E3428" s="537"/>
      <c r="F3428" s="184">
        <f>SUM(F3427+K3427+P3427)</f>
        <v>318</v>
      </c>
      <c r="G3428" s="537" t="s">
        <v>39</v>
      </c>
      <c r="H3428" s="537"/>
      <c r="I3428" s="537"/>
      <c r="J3428" s="537"/>
      <c r="K3428" s="184">
        <f>SUM(F3427+K3427+P3427+U3427)</f>
        <v>318</v>
      </c>
      <c r="L3428" s="537" t="s">
        <v>40</v>
      </c>
      <c r="M3428" s="537"/>
      <c r="N3428" s="537"/>
      <c r="O3428" s="537"/>
      <c r="P3428" s="184">
        <f>SUM(K3428*0.15)</f>
        <v>47.699999999999996</v>
      </c>
      <c r="Q3428" s="537" t="s">
        <v>41</v>
      </c>
      <c r="R3428" s="537"/>
      <c r="S3428" s="537"/>
      <c r="T3428" s="537"/>
      <c r="U3428" s="223">
        <f>SUM(K3428+P3428)</f>
        <v>365.7</v>
      </c>
    </row>
    <row r="3429" spans="1:21" x14ac:dyDescent="0.25">
      <c r="Q3429" s="537" t="s">
        <v>42</v>
      </c>
      <c r="R3429" s="537"/>
      <c r="S3429" s="537"/>
      <c r="T3429" s="537"/>
      <c r="U3429" s="224">
        <f>ROUND((U3428/1),2)</f>
        <v>365.7</v>
      </c>
    </row>
    <row r="3430" spans="1:21" x14ac:dyDescent="0.25">
      <c r="A3430" s="544"/>
      <c r="B3430" s="544"/>
      <c r="C3430" s="544"/>
      <c r="D3430" s="544"/>
      <c r="E3430" s="544"/>
      <c r="F3430" s="544"/>
      <c r="G3430" s="544"/>
      <c r="H3430" s="544"/>
      <c r="I3430" s="544"/>
      <c r="J3430" s="544"/>
      <c r="K3430" s="544"/>
      <c r="L3430" s="544"/>
      <c r="M3430" s="544"/>
      <c r="N3430" s="544"/>
      <c r="O3430" s="544"/>
      <c r="P3430" s="544"/>
      <c r="Q3430" s="544"/>
      <c r="R3430" s="544"/>
      <c r="S3430" s="544"/>
      <c r="T3430" s="544"/>
      <c r="U3430" s="544"/>
    </row>
    <row r="3431" spans="1:21" x14ac:dyDescent="0.25">
      <c r="A3431" s="538" t="s">
        <v>12</v>
      </c>
      <c r="B3431" s="538"/>
      <c r="C3431" s="540" t="s">
        <v>990</v>
      </c>
      <c r="D3431" s="540"/>
      <c r="E3431" s="540"/>
      <c r="F3431" s="540"/>
      <c r="G3431" s="540"/>
      <c r="H3431" s="540"/>
      <c r="I3431" s="540"/>
      <c r="J3431" s="540"/>
      <c r="K3431" s="540"/>
      <c r="L3431" s="540"/>
      <c r="M3431" s="540"/>
      <c r="N3431" s="540"/>
      <c r="O3431" s="540"/>
      <c r="P3431" s="540"/>
      <c r="Q3431" s="540"/>
      <c r="R3431" s="540"/>
      <c r="S3431" s="540"/>
      <c r="T3431" s="540"/>
      <c r="U3431" s="541" t="s">
        <v>975</v>
      </c>
    </row>
    <row r="3432" spans="1:21" s="199" customFormat="1" x14ac:dyDescent="0.25">
      <c r="A3432" s="538"/>
      <c r="B3432" s="538"/>
      <c r="C3432" s="540"/>
      <c r="D3432" s="540"/>
      <c r="E3432" s="540"/>
      <c r="F3432" s="540"/>
      <c r="G3432" s="540"/>
      <c r="H3432" s="540"/>
      <c r="I3432" s="540"/>
      <c r="J3432" s="540"/>
      <c r="K3432" s="540"/>
      <c r="L3432" s="540"/>
      <c r="M3432" s="540"/>
      <c r="N3432" s="540"/>
      <c r="O3432" s="540"/>
      <c r="P3432" s="540"/>
      <c r="Q3432" s="540"/>
      <c r="R3432" s="540"/>
      <c r="S3432" s="540"/>
      <c r="T3432" s="540"/>
      <c r="U3432" s="541"/>
    </row>
    <row r="3433" spans="1:21" s="199" customFormat="1" x14ac:dyDescent="0.25">
      <c r="A3433" s="539" t="s">
        <v>973</v>
      </c>
      <c r="B3433" s="539"/>
      <c r="C3433" s="540"/>
      <c r="D3433" s="540"/>
      <c r="E3433" s="540"/>
      <c r="F3433" s="540"/>
      <c r="G3433" s="540"/>
      <c r="H3433" s="540"/>
      <c r="I3433" s="540"/>
      <c r="J3433" s="540"/>
      <c r="K3433" s="540"/>
      <c r="L3433" s="540"/>
      <c r="M3433" s="540"/>
      <c r="N3433" s="540"/>
      <c r="O3433" s="540"/>
      <c r="P3433" s="540"/>
      <c r="Q3433" s="540"/>
      <c r="R3433" s="540"/>
      <c r="S3433" s="540"/>
      <c r="T3433" s="540"/>
      <c r="U3433" s="541"/>
    </row>
    <row r="3434" spans="1:21" s="199" customFormat="1" x14ac:dyDescent="0.25">
      <c r="A3434" s="542" t="s">
        <v>16</v>
      </c>
      <c r="B3434" s="543" t="s">
        <v>18</v>
      </c>
      <c r="C3434" s="543"/>
      <c r="D3434" s="543"/>
      <c r="E3434" s="543"/>
      <c r="F3434" s="543"/>
      <c r="G3434" s="543" t="s">
        <v>24</v>
      </c>
      <c r="H3434" s="543"/>
      <c r="I3434" s="543"/>
      <c r="J3434" s="543"/>
      <c r="K3434" s="543"/>
      <c r="L3434" s="543" t="s">
        <v>25</v>
      </c>
      <c r="M3434" s="543"/>
      <c r="N3434" s="543"/>
      <c r="O3434" s="543"/>
      <c r="P3434" s="543"/>
      <c r="Q3434" s="543" t="s">
        <v>26</v>
      </c>
      <c r="R3434" s="543"/>
      <c r="S3434" s="543"/>
      <c r="T3434" s="543"/>
      <c r="U3434" s="543"/>
    </row>
    <row r="3435" spans="1:21" s="199" customFormat="1" x14ac:dyDescent="0.25">
      <c r="A3435" s="542"/>
      <c r="B3435" s="182" t="s">
        <v>19</v>
      </c>
      <c r="C3435" s="182" t="s">
        <v>20</v>
      </c>
      <c r="D3435" s="182" t="s">
        <v>21</v>
      </c>
      <c r="E3435" s="182" t="s">
        <v>22</v>
      </c>
      <c r="F3435" s="182" t="s">
        <v>23</v>
      </c>
      <c r="G3435" s="182" t="s">
        <v>19</v>
      </c>
      <c r="H3435" s="216" t="s">
        <v>20</v>
      </c>
      <c r="I3435" s="182" t="s">
        <v>21</v>
      </c>
      <c r="J3435" s="182" t="s">
        <v>22</v>
      </c>
      <c r="K3435" s="182" t="s">
        <v>23</v>
      </c>
      <c r="L3435" s="182" t="s">
        <v>19</v>
      </c>
      <c r="M3435" s="182" t="s">
        <v>20</v>
      </c>
      <c r="N3435" s="182" t="s">
        <v>21</v>
      </c>
      <c r="O3435" s="182" t="s">
        <v>22</v>
      </c>
      <c r="P3435" s="182" t="s">
        <v>23</v>
      </c>
      <c r="Q3435" s="182" t="s">
        <v>19</v>
      </c>
      <c r="R3435" s="182" t="s">
        <v>20</v>
      </c>
      <c r="S3435" s="182" t="s">
        <v>21</v>
      </c>
      <c r="T3435" s="182" t="s">
        <v>22</v>
      </c>
      <c r="U3435" s="211" t="s">
        <v>23</v>
      </c>
    </row>
    <row r="3436" spans="1:21" s="199" customFormat="1" ht="63" x14ac:dyDescent="0.25">
      <c r="A3436" s="183" t="s">
        <v>991</v>
      </c>
      <c r="B3436" s="195"/>
      <c r="C3436" s="195"/>
      <c r="D3436" s="195"/>
      <c r="E3436" s="195"/>
      <c r="F3436" s="195"/>
      <c r="G3436" s="182" t="s">
        <v>989</v>
      </c>
      <c r="H3436" s="216" t="s">
        <v>438</v>
      </c>
      <c r="I3436" s="182">
        <v>1</v>
      </c>
      <c r="J3436" s="182">
        <f>adopted_rate_Gabion_100x120_MW2.7_SW3.4_LW2.2</f>
        <v>318</v>
      </c>
      <c r="K3436" s="182">
        <f>(I3436*J3436)</f>
        <v>318</v>
      </c>
      <c r="L3436" s="195"/>
      <c r="M3436" s="195"/>
      <c r="N3436" s="195"/>
      <c r="O3436" s="195"/>
      <c r="P3436" s="195"/>
      <c r="Q3436" s="195"/>
      <c r="R3436" s="195"/>
      <c r="S3436" s="195"/>
      <c r="T3436" s="195"/>
      <c r="U3436" s="212"/>
    </row>
    <row r="3437" spans="1:21" s="199" customFormat="1" x14ac:dyDescent="0.25">
      <c r="A3437" s="537" t="s">
        <v>30</v>
      </c>
      <c r="B3437" s="537"/>
      <c r="C3437" s="537"/>
      <c r="D3437" s="537"/>
      <c r="E3437" s="537"/>
      <c r="F3437" s="184">
        <f>SUM(F3435:F3436)</f>
        <v>0</v>
      </c>
      <c r="G3437" s="537" t="s">
        <v>31</v>
      </c>
      <c r="H3437" s="537"/>
      <c r="I3437" s="537"/>
      <c r="J3437" s="537"/>
      <c r="K3437" s="184">
        <f>SUM(K3435:K3436)</f>
        <v>318</v>
      </c>
      <c r="L3437" s="537" t="s">
        <v>32</v>
      </c>
      <c r="M3437" s="537"/>
      <c r="N3437" s="537"/>
      <c r="O3437" s="537"/>
      <c r="P3437" s="184">
        <f>SUM(P3435:P3436)</f>
        <v>0</v>
      </c>
      <c r="Q3437" s="537" t="s">
        <v>38</v>
      </c>
      <c r="R3437" s="537"/>
      <c r="S3437" s="537"/>
      <c r="T3437" s="537"/>
      <c r="U3437" s="223">
        <f>SUM(U3435:U3436)</f>
        <v>0</v>
      </c>
    </row>
    <row r="3438" spans="1:21" s="199" customFormat="1" x14ac:dyDescent="0.25">
      <c r="A3438" s="537" t="s">
        <v>33</v>
      </c>
      <c r="B3438" s="537"/>
      <c r="C3438" s="537"/>
      <c r="D3438" s="537"/>
      <c r="E3438" s="537"/>
      <c r="F3438" s="184">
        <f>SUM(F3437+K3437+P3437)</f>
        <v>318</v>
      </c>
      <c r="G3438" s="537" t="s">
        <v>39</v>
      </c>
      <c r="H3438" s="537"/>
      <c r="I3438" s="537"/>
      <c r="J3438" s="537"/>
      <c r="K3438" s="184">
        <f>SUM(F3437+K3437+P3437+U3437)</f>
        <v>318</v>
      </c>
      <c r="L3438" s="537" t="s">
        <v>40</v>
      </c>
      <c r="M3438" s="537"/>
      <c r="N3438" s="537"/>
      <c r="O3438" s="537"/>
      <c r="P3438" s="184">
        <f>SUM(K3438*0.15)</f>
        <v>47.699999999999996</v>
      </c>
      <c r="Q3438" s="537" t="s">
        <v>41</v>
      </c>
      <c r="R3438" s="537"/>
      <c r="S3438" s="537"/>
      <c r="T3438" s="537"/>
      <c r="U3438" s="223">
        <f>SUM(K3438+P3438)</f>
        <v>365.7</v>
      </c>
    </row>
    <row r="3439" spans="1:21" s="199" customFormat="1" x14ac:dyDescent="0.25">
      <c r="A3439" s="195"/>
      <c r="B3439" s="195"/>
      <c r="C3439" s="195"/>
      <c r="D3439" s="195"/>
      <c r="E3439" s="195"/>
      <c r="F3439" s="195"/>
      <c r="G3439" s="195"/>
      <c r="H3439" s="217"/>
      <c r="I3439" s="195"/>
      <c r="J3439" s="195"/>
      <c r="K3439" s="195"/>
      <c r="L3439" s="195"/>
      <c r="M3439" s="195"/>
      <c r="N3439" s="195"/>
      <c r="O3439" s="195"/>
      <c r="P3439" s="195"/>
      <c r="Q3439" s="537" t="s">
        <v>42</v>
      </c>
      <c r="R3439" s="537"/>
      <c r="S3439" s="537"/>
      <c r="T3439" s="537"/>
      <c r="U3439" s="224">
        <f>ROUND((U3438/1),2)</f>
        <v>365.7</v>
      </c>
    </row>
    <row r="3440" spans="1:21" s="199" customFormat="1" x14ac:dyDescent="0.25">
      <c r="A3440" s="544"/>
      <c r="B3440" s="544"/>
      <c r="C3440" s="544"/>
      <c r="D3440" s="544"/>
      <c r="E3440" s="544"/>
      <c r="F3440" s="544"/>
      <c r="G3440" s="544"/>
      <c r="H3440" s="544"/>
      <c r="I3440" s="544"/>
      <c r="J3440" s="544"/>
      <c r="K3440" s="544"/>
      <c r="L3440" s="544"/>
      <c r="M3440" s="544"/>
      <c r="N3440" s="544"/>
      <c r="O3440" s="544"/>
      <c r="P3440" s="544"/>
      <c r="Q3440" s="544"/>
      <c r="R3440" s="544"/>
      <c r="S3440" s="544"/>
      <c r="T3440" s="544"/>
      <c r="U3440" s="544"/>
    </row>
    <row r="3441" spans="1:21" s="199" customFormat="1" x14ac:dyDescent="0.25">
      <c r="A3441" s="538" t="s">
        <v>12</v>
      </c>
      <c r="B3441" s="538"/>
      <c r="C3441" s="540" t="s">
        <v>993</v>
      </c>
      <c r="D3441" s="540"/>
      <c r="E3441" s="540"/>
      <c r="F3441" s="540"/>
      <c r="G3441" s="540"/>
      <c r="H3441" s="540"/>
      <c r="I3441" s="540"/>
      <c r="J3441" s="540"/>
      <c r="K3441" s="540"/>
      <c r="L3441" s="540"/>
      <c r="M3441" s="540"/>
      <c r="N3441" s="540"/>
      <c r="O3441" s="540"/>
      <c r="P3441" s="540"/>
      <c r="Q3441" s="540"/>
      <c r="R3441" s="540"/>
      <c r="S3441" s="540"/>
      <c r="T3441" s="540"/>
      <c r="U3441" s="541" t="s">
        <v>516</v>
      </c>
    </row>
    <row r="3442" spans="1:21" s="199" customFormat="1" x14ac:dyDescent="0.25">
      <c r="A3442" s="538"/>
      <c r="B3442" s="538"/>
      <c r="C3442" s="540"/>
      <c r="D3442" s="540"/>
      <c r="E3442" s="540"/>
      <c r="F3442" s="540"/>
      <c r="G3442" s="540"/>
      <c r="H3442" s="540"/>
      <c r="I3442" s="540"/>
      <c r="J3442" s="540"/>
      <c r="K3442" s="540"/>
      <c r="L3442" s="540"/>
      <c r="M3442" s="540"/>
      <c r="N3442" s="540"/>
      <c r="O3442" s="540"/>
      <c r="P3442" s="540"/>
      <c r="Q3442" s="540"/>
      <c r="R3442" s="540"/>
      <c r="S3442" s="540"/>
      <c r="T3442" s="540"/>
      <c r="U3442" s="541"/>
    </row>
    <row r="3443" spans="1:21" s="199" customFormat="1" x14ac:dyDescent="0.25">
      <c r="A3443" s="539" t="s">
        <v>992</v>
      </c>
      <c r="B3443" s="539"/>
      <c r="C3443" s="540"/>
      <c r="D3443" s="540"/>
      <c r="E3443" s="540"/>
      <c r="F3443" s="540"/>
      <c r="G3443" s="540"/>
      <c r="H3443" s="540"/>
      <c r="I3443" s="540"/>
      <c r="J3443" s="540"/>
      <c r="K3443" s="540"/>
      <c r="L3443" s="540"/>
      <c r="M3443" s="540"/>
      <c r="N3443" s="540"/>
      <c r="O3443" s="540"/>
      <c r="P3443" s="540"/>
      <c r="Q3443" s="540"/>
      <c r="R3443" s="540"/>
      <c r="S3443" s="540"/>
      <c r="T3443" s="540"/>
      <c r="U3443" s="541"/>
    </row>
    <row r="3444" spans="1:21" s="199" customFormat="1" x14ac:dyDescent="0.25">
      <c r="A3444" s="542" t="s">
        <v>16</v>
      </c>
      <c r="B3444" s="543" t="s">
        <v>18</v>
      </c>
      <c r="C3444" s="543"/>
      <c r="D3444" s="543"/>
      <c r="E3444" s="543"/>
      <c r="F3444" s="543"/>
      <c r="G3444" s="543" t="s">
        <v>24</v>
      </c>
      <c r="H3444" s="543"/>
      <c r="I3444" s="543"/>
      <c r="J3444" s="543"/>
      <c r="K3444" s="543"/>
      <c r="L3444" s="543" t="s">
        <v>25</v>
      </c>
      <c r="M3444" s="543"/>
      <c r="N3444" s="543"/>
      <c r="O3444" s="543"/>
      <c r="P3444" s="543"/>
      <c r="Q3444" s="543" t="s">
        <v>26</v>
      </c>
      <c r="R3444" s="543"/>
      <c r="S3444" s="543"/>
      <c r="T3444" s="543"/>
      <c r="U3444" s="543"/>
    </row>
    <row r="3445" spans="1:21" s="199" customFormat="1" x14ac:dyDescent="0.25">
      <c r="A3445" s="542"/>
      <c r="B3445" s="182" t="s">
        <v>19</v>
      </c>
      <c r="C3445" s="182" t="s">
        <v>20</v>
      </c>
      <c r="D3445" s="182" t="s">
        <v>21</v>
      </c>
      <c r="E3445" s="182" t="s">
        <v>22</v>
      </c>
      <c r="F3445" s="182" t="s">
        <v>23</v>
      </c>
      <c r="G3445" s="182" t="s">
        <v>19</v>
      </c>
      <c r="H3445" s="216" t="s">
        <v>20</v>
      </c>
      <c r="I3445" s="182" t="s">
        <v>21</v>
      </c>
      <c r="J3445" s="182" t="s">
        <v>22</v>
      </c>
      <c r="K3445" s="182" t="s">
        <v>23</v>
      </c>
      <c r="L3445" s="182" t="s">
        <v>19</v>
      </c>
      <c r="M3445" s="182" t="s">
        <v>20</v>
      </c>
      <c r="N3445" s="182" t="s">
        <v>21</v>
      </c>
      <c r="O3445" s="182" t="s">
        <v>22</v>
      </c>
      <c r="P3445" s="182" t="s">
        <v>23</v>
      </c>
      <c r="Q3445" s="182" t="s">
        <v>19</v>
      </c>
      <c r="R3445" s="182" t="s">
        <v>20</v>
      </c>
      <c r="S3445" s="182" t="s">
        <v>21</v>
      </c>
      <c r="T3445" s="182" t="s">
        <v>22</v>
      </c>
      <c r="U3445" s="211" t="s">
        <v>23</v>
      </c>
    </row>
    <row r="3446" spans="1:21" s="199" customFormat="1" x14ac:dyDescent="0.25">
      <c r="A3446" s="183" t="s">
        <v>994</v>
      </c>
      <c r="B3446" s="182" t="s">
        <v>47</v>
      </c>
      <c r="C3446" s="182" t="s">
        <v>28</v>
      </c>
      <c r="D3446" s="182">
        <v>1</v>
      </c>
      <c r="E3446" s="182">
        <f>skilled</f>
        <v>1245</v>
      </c>
      <c r="F3446" s="184">
        <f>(D3446*E3446)</f>
        <v>1245</v>
      </c>
      <c r="G3446" s="182" t="s">
        <v>995</v>
      </c>
      <c r="H3446" s="216" t="s">
        <v>438</v>
      </c>
      <c r="I3446" s="182">
        <v>360</v>
      </c>
      <c r="J3446" s="182">
        <f>adopted_rate_geotextile</f>
        <v>126</v>
      </c>
      <c r="K3446" s="182">
        <f>(I3446*J3446)</f>
        <v>45360</v>
      </c>
      <c r="L3446" s="195"/>
      <c r="M3446" s="195"/>
      <c r="N3446" s="195"/>
      <c r="O3446" s="195"/>
      <c r="P3446" s="195"/>
      <c r="Q3446" s="195"/>
      <c r="R3446" s="195"/>
      <c r="S3446" s="195"/>
      <c r="T3446" s="195"/>
      <c r="U3446" s="212"/>
    </row>
    <row r="3447" spans="1:21" x14ac:dyDescent="0.25">
      <c r="B3447" s="182" t="s">
        <v>29</v>
      </c>
      <c r="C3447" s="182" t="s">
        <v>28</v>
      </c>
      <c r="D3447" s="182">
        <v>2</v>
      </c>
      <c r="E3447" s="182">
        <f>unskilled</f>
        <v>935</v>
      </c>
      <c r="F3447" s="184">
        <f>(D3447*E3447)</f>
        <v>1870</v>
      </c>
    </row>
    <row r="3448" spans="1:21" x14ac:dyDescent="0.25">
      <c r="A3448" s="537" t="s">
        <v>30</v>
      </c>
      <c r="B3448" s="537"/>
      <c r="C3448" s="537"/>
      <c r="D3448" s="537"/>
      <c r="E3448" s="537"/>
      <c r="F3448" s="184">
        <f>SUM(F3445:F3447)</f>
        <v>3115</v>
      </c>
      <c r="G3448" s="537" t="s">
        <v>31</v>
      </c>
      <c r="H3448" s="537"/>
      <c r="I3448" s="537"/>
      <c r="J3448" s="537"/>
      <c r="K3448" s="184">
        <f>SUM(K3445:K3447)</f>
        <v>45360</v>
      </c>
      <c r="L3448" s="537" t="s">
        <v>32</v>
      </c>
      <c r="M3448" s="537"/>
      <c r="N3448" s="537"/>
      <c r="O3448" s="537"/>
      <c r="P3448" s="184">
        <f>SUM(P3445:P3447)</f>
        <v>0</v>
      </c>
      <c r="Q3448" s="537" t="s">
        <v>38</v>
      </c>
      <c r="R3448" s="537"/>
      <c r="S3448" s="537"/>
      <c r="T3448" s="537"/>
      <c r="U3448" s="223">
        <f>SUM(U3445:U3447)</f>
        <v>0</v>
      </c>
    </row>
    <row r="3449" spans="1:21" x14ac:dyDescent="0.25">
      <c r="A3449" s="537" t="s">
        <v>33</v>
      </c>
      <c r="B3449" s="537"/>
      <c r="C3449" s="537"/>
      <c r="D3449" s="537"/>
      <c r="E3449" s="537"/>
      <c r="F3449" s="184">
        <f>SUM(F3448+K3448+P3448)</f>
        <v>48475</v>
      </c>
      <c r="G3449" s="537" t="s">
        <v>39</v>
      </c>
      <c r="H3449" s="537"/>
      <c r="I3449" s="537"/>
      <c r="J3449" s="537"/>
      <c r="K3449" s="184">
        <f>SUM(F3448+K3448+P3448+U3448)</f>
        <v>48475</v>
      </c>
      <c r="L3449" s="537" t="s">
        <v>40</v>
      </c>
      <c r="M3449" s="537"/>
      <c r="N3449" s="537"/>
      <c r="O3449" s="537"/>
      <c r="P3449" s="184">
        <f>SUM(K3449*0.15)</f>
        <v>7271.25</v>
      </c>
      <c r="Q3449" s="537" t="s">
        <v>41</v>
      </c>
      <c r="R3449" s="537"/>
      <c r="S3449" s="537"/>
      <c r="T3449" s="537"/>
      <c r="U3449" s="223">
        <f>SUM(K3449+P3449)</f>
        <v>55746.25</v>
      </c>
    </row>
    <row r="3450" spans="1:21" x14ac:dyDescent="0.25">
      <c r="Q3450" s="537" t="s">
        <v>42</v>
      </c>
      <c r="R3450" s="537"/>
      <c r="S3450" s="537"/>
      <c r="T3450" s="537"/>
      <c r="U3450" s="224">
        <f>ROUND((U3449/300),2)</f>
        <v>185.82</v>
      </c>
    </row>
    <row r="3451" spans="1:21" x14ac:dyDescent="0.25">
      <c r="A3451" s="544"/>
      <c r="B3451" s="544"/>
      <c r="C3451" s="544"/>
      <c r="D3451" s="544"/>
      <c r="E3451" s="544"/>
      <c r="F3451" s="544"/>
      <c r="G3451" s="544"/>
      <c r="H3451" s="544"/>
      <c r="I3451" s="544"/>
      <c r="J3451" s="544"/>
      <c r="K3451" s="544"/>
      <c r="L3451" s="544"/>
      <c r="M3451" s="544"/>
      <c r="N3451" s="544"/>
      <c r="O3451" s="544"/>
      <c r="P3451" s="544"/>
      <c r="Q3451" s="544"/>
      <c r="R3451" s="544"/>
      <c r="S3451" s="544"/>
      <c r="T3451" s="544"/>
      <c r="U3451" s="544"/>
    </row>
    <row r="3452" spans="1:21" x14ac:dyDescent="0.25">
      <c r="A3452" s="538" t="s">
        <v>12</v>
      </c>
      <c r="B3452" s="538"/>
      <c r="C3452" s="540" t="s">
        <v>996</v>
      </c>
      <c r="D3452" s="540"/>
      <c r="E3452" s="540"/>
      <c r="F3452" s="540"/>
      <c r="G3452" s="540"/>
      <c r="H3452" s="540"/>
      <c r="I3452" s="540"/>
      <c r="J3452" s="540"/>
      <c r="K3452" s="540"/>
      <c r="L3452" s="540"/>
      <c r="M3452" s="540"/>
      <c r="N3452" s="540"/>
      <c r="O3452" s="540"/>
      <c r="P3452" s="540"/>
      <c r="Q3452" s="540"/>
      <c r="R3452" s="540"/>
      <c r="S3452" s="540"/>
      <c r="T3452" s="540"/>
      <c r="U3452" s="541" t="s">
        <v>516</v>
      </c>
    </row>
    <row r="3453" spans="1:21" x14ac:dyDescent="0.25">
      <c r="A3453" s="538"/>
      <c r="B3453" s="538"/>
      <c r="C3453" s="540"/>
      <c r="D3453" s="540"/>
      <c r="E3453" s="540"/>
      <c r="F3453" s="540"/>
      <c r="G3453" s="540"/>
      <c r="H3453" s="540"/>
      <c r="I3453" s="540"/>
      <c r="J3453" s="540"/>
      <c r="K3453" s="540"/>
      <c r="L3453" s="540"/>
      <c r="M3453" s="540"/>
      <c r="N3453" s="540"/>
      <c r="O3453" s="540"/>
      <c r="P3453" s="540"/>
      <c r="Q3453" s="540"/>
      <c r="R3453" s="540"/>
      <c r="S3453" s="540"/>
      <c r="T3453" s="540"/>
      <c r="U3453" s="541"/>
    </row>
    <row r="3454" spans="1:21" x14ac:dyDescent="0.25">
      <c r="A3454" s="539" t="s">
        <v>992</v>
      </c>
      <c r="B3454" s="539"/>
      <c r="C3454" s="540"/>
      <c r="D3454" s="540"/>
      <c r="E3454" s="540"/>
      <c r="F3454" s="540"/>
      <c r="G3454" s="540"/>
      <c r="H3454" s="540"/>
      <c r="I3454" s="540"/>
      <c r="J3454" s="540"/>
      <c r="K3454" s="540"/>
      <c r="L3454" s="540"/>
      <c r="M3454" s="540"/>
      <c r="N3454" s="540"/>
      <c r="O3454" s="540"/>
      <c r="P3454" s="540"/>
      <c r="Q3454" s="540"/>
      <c r="R3454" s="540"/>
      <c r="S3454" s="540"/>
      <c r="T3454" s="540"/>
      <c r="U3454" s="541"/>
    </row>
    <row r="3455" spans="1:21" x14ac:dyDescent="0.25">
      <c r="A3455" s="542" t="s">
        <v>16</v>
      </c>
      <c r="B3455" s="543" t="s">
        <v>18</v>
      </c>
      <c r="C3455" s="543"/>
      <c r="D3455" s="543"/>
      <c r="E3455" s="543"/>
      <c r="F3455" s="543"/>
      <c r="G3455" s="543" t="s">
        <v>24</v>
      </c>
      <c r="H3455" s="543"/>
      <c r="I3455" s="543"/>
      <c r="J3455" s="543"/>
      <c r="K3455" s="543"/>
      <c r="L3455" s="543" t="s">
        <v>25</v>
      </c>
      <c r="M3455" s="543"/>
      <c r="N3455" s="543"/>
      <c r="O3455" s="543"/>
      <c r="P3455" s="543"/>
      <c r="Q3455" s="543" t="s">
        <v>26</v>
      </c>
      <c r="R3455" s="543"/>
      <c r="S3455" s="543"/>
      <c r="T3455" s="543"/>
      <c r="U3455" s="543"/>
    </row>
    <row r="3456" spans="1:21" x14ac:dyDescent="0.25">
      <c r="A3456" s="542"/>
      <c r="B3456" s="182" t="s">
        <v>19</v>
      </c>
      <c r="C3456" s="182" t="s">
        <v>20</v>
      </c>
      <c r="D3456" s="182" t="s">
        <v>21</v>
      </c>
      <c r="E3456" s="182" t="s">
        <v>22</v>
      </c>
      <c r="F3456" s="182" t="s">
        <v>23</v>
      </c>
      <c r="G3456" s="182" t="s">
        <v>19</v>
      </c>
      <c r="H3456" s="216" t="s">
        <v>20</v>
      </c>
      <c r="I3456" s="182" t="s">
        <v>21</v>
      </c>
      <c r="J3456" s="182" t="s">
        <v>22</v>
      </c>
      <c r="K3456" s="182" t="s">
        <v>23</v>
      </c>
      <c r="L3456" s="182" t="s">
        <v>19</v>
      </c>
      <c r="M3456" s="182" t="s">
        <v>20</v>
      </c>
      <c r="N3456" s="182" t="s">
        <v>21</v>
      </c>
      <c r="O3456" s="182" t="s">
        <v>22</v>
      </c>
      <c r="P3456" s="182" t="s">
        <v>23</v>
      </c>
      <c r="Q3456" s="182" t="s">
        <v>19</v>
      </c>
      <c r="R3456" s="182" t="s">
        <v>20</v>
      </c>
      <c r="S3456" s="182" t="s">
        <v>21</v>
      </c>
      <c r="T3456" s="182" t="s">
        <v>22</v>
      </c>
      <c r="U3456" s="211" t="s">
        <v>23</v>
      </c>
    </row>
    <row r="3457" spans="1:21" x14ac:dyDescent="0.25">
      <c r="A3457" s="183" t="s">
        <v>997</v>
      </c>
      <c r="B3457" s="182" t="s">
        <v>47</v>
      </c>
      <c r="C3457" s="182" t="s">
        <v>28</v>
      </c>
      <c r="D3457" s="182">
        <v>1</v>
      </c>
      <c r="E3457" s="182">
        <f>skilled</f>
        <v>1245</v>
      </c>
      <c r="F3457" s="184">
        <f>(D3457*E3457)</f>
        <v>1245</v>
      </c>
      <c r="G3457" s="182" t="s">
        <v>995</v>
      </c>
      <c r="H3457" s="216" t="s">
        <v>438</v>
      </c>
      <c r="I3457" s="182">
        <v>360</v>
      </c>
      <c r="J3457" s="182">
        <f>adopted_rate_geotextile</f>
        <v>126</v>
      </c>
      <c r="K3457" s="182">
        <f>(I3457*J3457)</f>
        <v>45360</v>
      </c>
    </row>
    <row r="3458" spans="1:21" x14ac:dyDescent="0.25">
      <c r="B3458" s="182" t="s">
        <v>29</v>
      </c>
      <c r="C3458" s="182" t="s">
        <v>28</v>
      </c>
      <c r="D3458" s="182">
        <v>2</v>
      </c>
      <c r="E3458" s="182">
        <f>unskilled</f>
        <v>935</v>
      </c>
      <c r="F3458" s="184">
        <f>(D3458*E3458)</f>
        <v>1870</v>
      </c>
    </row>
    <row r="3459" spans="1:21" x14ac:dyDescent="0.25">
      <c r="A3459" s="537" t="s">
        <v>30</v>
      </c>
      <c r="B3459" s="537"/>
      <c r="C3459" s="537"/>
      <c r="D3459" s="537"/>
      <c r="E3459" s="537"/>
      <c r="F3459" s="184">
        <f>SUM(F3456:F3458)</f>
        <v>3115</v>
      </c>
      <c r="G3459" s="537" t="s">
        <v>31</v>
      </c>
      <c r="H3459" s="537"/>
      <c r="I3459" s="537"/>
      <c r="J3459" s="537"/>
      <c r="K3459" s="184">
        <f>SUM(K3456:K3458)</f>
        <v>45360</v>
      </c>
      <c r="L3459" s="537" t="s">
        <v>32</v>
      </c>
      <c r="M3459" s="537"/>
      <c r="N3459" s="537"/>
      <c r="O3459" s="537"/>
      <c r="P3459" s="184">
        <f>SUM(P3456:P3458)</f>
        <v>0</v>
      </c>
      <c r="Q3459" s="537" t="s">
        <v>38</v>
      </c>
      <c r="R3459" s="537"/>
      <c r="S3459" s="537"/>
      <c r="T3459" s="537"/>
      <c r="U3459" s="223">
        <f>SUM(U3456:U3458)</f>
        <v>0</v>
      </c>
    </row>
    <row r="3460" spans="1:21" x14ac:dyDescent="0.25">
      <c r="A3460" s="537" t="s">
        <v>33</v>
      </c>
      <c r="B3460" s="537"/>
      <c r="C3460" s="537"/>
      <c r="D3460" s="537"/>
      <c r="E3460" s="537"/>
      <c r="F3460" s="184">
        <f>SUM(F3459+K3459+P3459)</f>
        <v>48475</v>
      </c>
      <c r="G3460" s="537" t="s">
        <v>39</v>
      </c>
      <c r="H3460" s="537"/>
      <c r="I3460" s="537"/>
      <c r="J3460" s="537"/>
      <c r="K3460" s="184">
        <f>SUM(F3459+K3459+P3459+U3459)</f>
        <v>48475</v>
      </c>
      <c r="L3460" s="537" t="s">
        <v>40</v>
      </c>
      <c r="M3460" s="537"/>
      <c r="N3460" s="537"/>
      <c r="O3460" s="537"/>
      <c r="P3460" s="184">
        <f>SUM(K3460*0.15)</f>
        <v>7271.25</v>
      </c>
      <c r="Q3460" s="537" t="s">
        <v>41</v>
      </c>
      <c r="R3460" s="537"/>
      <c r="S3460" s="537"/>
      <c r="T3460" s="537"/>
      <c r="U3460" s="223">
        <f>SUM(K3460+P3460)</f>
        <v>55746.25</v>
      </c>
    </row>
    <row r="3461" spans="1:21" x14ac:dyDescent="0.25">
      <c r="Q3461" s="537" t="s">
        <v>42</v>
      </c>
      <c r="R3461" s="537"/>
      <c r="S3461" s="537"/>
      <c r="T3461" s="537"/>
      <c r="U3461" s="224">
        <f>ROUND((U3460/300),2)</f>
        <v>185.82</v>
      </c>
    </row>
    <row r="3462" spans="1:21" x14ac:dyDescent="0.25">
      <c r="A3462" s="544"/>
      <c r="B3462" s="544"/>
      <c r="C3462" s="544"/>
      <c r="D3462" s="544"/>
      <c r="E3462" s="544"/>
      <c r="F3462" s="544"/>
      <c r="G3462" s="544"/>
      <c r="H3462" s="544"/>
      <c r="I3462" s="544"/>
      <c r="J3462" s="544"/>
      <c r="K3462" s="544"/>
      <c r="L3462" s="544"/>
      <c r="M3462" s="544"/>
      <c r="N3462" s="544"/>
      <c r="O3462" s="544"/>
      <c r="P3462" s="544"/>
      <c r="Q3462" s="544"/>
      <c r="R3462" s="544"/>
      <c r="S3462" s="544"/>
      <c r="T3462" s="544"/>
      <c r="U3462" s="544"/>
    </row>
    <row r="3463" spans="1:21" x14ac:dyDescent="0.25">
      <c r="A3463" s="538" t="s">
        <v>12</v>
      </c>
      <c r="B3463" s="538"/>
      <c r="C3463" s="540" t="s">
        <v>999</v>
      </c>
      <c r="D3463" s="540"/>
      <c r="E3463" s="540"/>
      <c r="F3463" s="540"/>
      <c r="G3463" s="540"/>
      <c r="H3463" s="540"/>
      <c r="I3463" s="540"/>
      <c r="J3463" s="540"/>
      <c r="K3463" s="540"/>
      <c r="L3463" s="540"/>
      <c r="M3463" s="540"/>
      <c r="N3463" s="540"/>
      <c r="O3463" s="540"/>
      <c r="P3463" s="540"/>
      <c r="Q3463" s="540"/>
      <c r="R3463" s="540"/>
      <c r="S3463" s="540"/>
      <c r="T3463" s="540"/>
      <c r="U3463" s="541" t="s">
        <v>61</v>
      </c>
    </row>
    <row r="3464" spans="1:21" x14ac:dyDescent="0.25">
      <c r="A3464" s="538"/>
      <c r="B3464" s="538"/>
      <c r="C3464" s="540"/>
      <c r="D3464" s="540"/>
      <c r="E3464" s="540"/>
      <c r="F3464" s="540"/>
      <c r="G3464" s="540"/>
      <c r="H3464" s="540"/>
      <c r="I3464" s="540"/>
      <c r="J3464" s="540"/>
      <c r="K3464" s="540"/>
      <c r="L3464" s="540"/>
      <c r="M3464" s="540"/>
      <c r="N3464" s="540"/>
      <c r="O3464" s="540"/>
      <c r="P3464" s="540"/>
      <c r="Q3464" s="540"/>
      <c r="R3464" s="540"/>
      <c r="S3464" s="540"/>
      <c r="T3464" s="540"/>
      <c r="U3464" s="541"/>
    </row>
    <row r="3465" spans="1:21" x14ac:dyDescent="0.25">
      <c r="A3465" s="539" t="s">
        <v>998</v>
      </c>
      <c r="B3465" s="539"/>
      <c r="C3465" s="540"/>
      <c r="D3465" s="540"/>
      <c r="E3465" s="540"/>
      <c r="F3465" s="540"/>
      <c r="G3465" s="540"/>
      <c r="H3465" s="540"/>
      <c r="I3465" s="540"/>
      <c r="J3465" s="540"/>
      <c r="K3465" s="540"/>
      <c r="L3465" s="540"/>
      <c r="M3465" s="540"/>
      <c r="N3465" s="540"/>
      <c r="O3465" s="540"/>
      <c r="P3465" s="540"/>
      <c r="Q3465" s="540"/>
      <c r="R3465" s="540"/>
      <c r="S3465" s="540"/>
      <c r="T3465" s="540"/>
      <c r="U3465" s="541"/>
    </row>
    <row r="3466" spans="1:21" x14ac:dyDescent="0.25">
      <c r="A3466" s="542" t="s">
        <v>16</v>
      </c>
      <c r="B3466" s="543" t="s">
        <v>18</v>
      </c>
      <c r="C3466" s="543"/>
      <c r="D3466" s="543"/>
      <c r="E3466" s="543"/>
      <c r="F3466" s="543"/>
      <c r="G3466" s="543" t="s">
        <v>24</v>
      </c>
      <c r="H3466" s="543"/>
      <c r="I3466" s="543"/>
      <c r="J3466" s="543"/>
      <c r="K3466" s="543"/>
      <c r="L3466" s="543" t="s">
        <v>25</v>
      </c>
      <c r="M3466" s="543"/>
      <c r="N3466" s="543"/>
      <c r="O3466" s="543"/>
      <c r="P3466" s="543"/>
      <c r="Q3466" s="543" t="s">
        <v>26</v>
      </c>
      <c r="R3466" s="543"/>
      <c r="S3466" s="543"/>
      <c r="T3466" s="543"/>
      <c r="U3466" s="543"/>
    </row>
    <row r="3467" spans="1:21" x14ac:dyDescent="0.25">
      <c r="A3467" s="542"/>
      <c r="B3467" s="182" t="s">
        <v>19</v>
      </c>
      <c r="C3467" s="182" t="s">
        <v>20</v>
      </c>
      <c r="D3467" s="182" t="s">
        <v>21</v>
      </c>
      <c r="E3467" s="182" t="s">
        <v>22</v>
      </c>
      <c r="F3467" s="182" t="s">
        <v>23</v>
      </c>
      <c r="G3467" s="182" t="s">
        <v>19</v>
      </c>
      <c r="H3467" s="216" t="s">
        <v>20</v>
      </c>
      <c r="I3467" s="182" t="s">
        <v>21</v>
      </c>
      <c r="J3467" s="182" t="s">
        <v>22</v>
      </c>
      <c r="K3467" s="182" t="s">
        <v>23</v>
      </c>
      <c r="L3467" s="182" t="s">
        <v>19</v>
      </c>
      <c r="M3467" s="182" t="s">
        <v>20</v>
      </c>
      <c r="N3467" s="182" t="s">
        <v>21</v>
      </c>
      <c r="O3467" s="182" t="s">
        <v>22</v>
      </c>
      <c r="P3467" s="182" t="s">
        <v>23</v>
      </c>
      <c r="Q3467" s="182" t="s">
        <v>19</v>
      </c>
      <c r="R3467" s="182" t="s">
        <v>20</v>
      </c>
      <c r="S3467" s="182" t="s">
        <v>21</v>
      </c>
      <c r="T3467" s="182" t="s">
        <v>22</v>
      </c>
      <c r="U3467" s="211" t="s">
        <v>23</v>
      </c>
    </row>
    <row r="3468" spans="1:21" ht="31.5" x14ac:dyDescent="0.25">
      <c r="A3468" s="183" t="s">
        <v>1000</v>
      </c>
      <c r="B3468" s="182" t="s">
        <v>47</v>
      </c>
      <c r="C3468" s="182" t="s">
        <v>28</v>
      </c>
      <c r="D3468" s="182">
        <v>3</v>
      </c>
      <c r="E3468" s="182">
        <f>skilled</f>
        <v>1245</v>
      </c>
      <c r="F3468" s="184">
        <f>(D3468*E3468)</f>
        <v>3735</v>
      </c>
      <c r="G3468" s="182" t="s">
        <v>85</v>
      </c>
      <c r="H3468" s="216" t="s">
        <v>35</v>
      </c>
      <c r="I3468" s="182">
        <v>1.7</v>
      </c>
      <c r="J3468" s="182">
        <f>adopted_rate_cement</f>
        <v>13031</v>
      </c>
      <c r="K3468" s="182">
        <f>(I3468*J3468)</f>
        <v>22152.7</v>
      </c>
      <c r="L3468" s="182" t="s">
        <v>276</v>
      </c>
      <c r="M3468" s="182" t="s">
        <v>58</v>
      </c>
      <c r="N3468" s="182">
        <v>6</v>
      </c>
      <c r="O3468" s="182">
        <f>concrete_mixer</f>
        <v>296</v>
      </c>
      <c r="P3468" s="184">
        <f>(N3468*O3468)</f>
        <v>1776</v>
      </c>
      <c r="Q3468" s="611" t="s">
        <v>2347</v>
      </c>
      <c r="U3468" s="212">
        <f>ROUND(3.75%*F3476,2)</f>
        <v>3564.01</v>
      </c>
    </row>
    <row r="3469" spans="1:21" x14ac:dyDescent="0.25">
      <c r="B3469" s="182" t="s">
        <v>29</v>
      </c>
      <c r="C3469" s="182" t="s">
        <v>28</v>
      </c>
      <c r="D3469" s="182">
        <v>30</v>
      </c>
      <c r="E3469" s="182">
        <f>unskilled</f>
        <v>935</v>
      </c>
      <c r="F3469" s="184">
        <f>(D3469*E3469)</f>
        <v>28050</v>
      </c>
      <c r="G3469" s="182" t="s">
        <v>1001</v>
      </c>
      <c r="H3469" s="216"/>
      <c r="L3469" s="182" t="s">
        <v>1004</v>
      </c>
      <c r="M3469" s="182" t="s">
        <v>58</v>
      </c>
      <c r="N3469" s="182">
        <v>6</v>
      </c>
      <c r="O3469" s="182">
        <f>concrete_needle_vibrator</f>
        <v>0</v>
      </c>
      <c r="P3469" s="184">
        <f>(N3469*O3469)</f>
        <v>0</v>
      </c>
      <c r="Q3469" s="612"/>
    </row>
    <row r="3470" spans="1:21" x14ac:dyDescent="0.25">
      <c r="G3470" s="182" t="s">
        <v>1002</v>
      </c>
      <c r="H3470" s="216" t="s">
        <v>84</v>
      </c>
      <c r="I3470" s="182">
        <v>3.45</v>
      </c>
      <c r="J3470" s="182">
        <f>adopted_rate_aggregate_20_40_mm</f>
        <v>3175.2000000000003</v>
      </c>
      <c r="K3470" s="182">
        <f>(I3470*J3470)</f>
        <v>10954.440000000002</v>
      </c>
      <c r="Q3470" s="612"/>
    </row>
    <row r="3471" spans="1:21" x14ac:dyDescent="0.25">
      <c r="G3471" s="182" t="s">
        <v>1003</v>
      </c>
      <c r="H3471" s="216" t="s">
        <v>84</v>
      </c>
      <c r="I3471" s="182">
        <v>1.56</v>
      </c>
      <c r="J3471" s="182">
        <f>adopted_rate_aggregate_10_20_mm</f>
        <v>3351.6</v>
      </c>
      <c r="K3471" s="182">
        <f>(I3471*J3471)</f>
        <v>5228.4960000000001</v>
      </c>
      <c r="Q3471" s="612"/>
    </row>
    <row r="3472" spans="1:21" x14ac:dyDescent="0.25">
      <c r="G3472" s="182" t="s">
        <v>734</v>
      </c>
      <c r="H3472" s="216" t="s">
        <v>84</v>
      </c>
      <c r="I3472" s="182">
        <v>0.72</v>
      </c>
      <c r="J3472" s="182">
        <f>adopted_rate_aggregate_10_mm</f>
        <v>3175.2000000000003</v>
      </c>
      <c r="K3472" s="182">
        <f>(I3472*J3472)</f>
        <v>2286.1440000000002</v>
      </c>
      <c r="Q3472" s="612"/>
    </row>
    <row r="3473" spans="1:21" x14ac:dyDescent="0.25">
      <c r="G3473" s="182" t="s">
        <v>83</v>
      </c>
      <c r="H3473" s="216" t="s">
        <v>84</v>
      </c>
      <c r="I3473" s="182">
        <v>3</v>
      </c>
      <c r="J3473" s="182">
        <f>adopted_rate_sand</f>
        <v>3175.2000000000003</v>
      </c>
      <c r="K3473" s="182">
        <f>(I3473*J3473)</f>
        <v>9525.6</v>
      </c>
      <c r="Q3473" s="612"/>
    </row>
    <row r="3474" spans="1:21" x14ac:dyDescent="0.25">
      <c r="G3474" s="182" t="s">
        <v>931</v>
      </c>
      <c r="H3474" s="216" t="s">
        <v>84</v>
      </c>
      <c r="I3474" s="182">
        <v>4.4000000000000004</v>
      </c>
      <c r="J3474" s="182">
        <f>adopted_rate_rubble</f>
        <v>2575.44</v>
      </c>
      <c r="K3474" s="182">
        <f>(I3474*J3474)</f>
        <v>11331.936000000002</v>
      </c>
      <c r="Q3474" s="613"/>
    </row>
    <row r="3475" spans="1:21" x14ac:dyDescent="0.25">
      <c r="A3475" s="537" t="s">
        <v>30</v>
      </c>
      <c r="B3475" s="537"/>
      <c r="C3475" s="537"/>
      <c r="D3475" s="537"/>
      <c r="E3475" s="537"/>
      <c r="F3475" s="184">
        <f>SUM(F3467:F3474)</f>
        <v>31785</v>
      </c>
      <c r="G3475" s="537" t="s">
        <v>31</v>
      </c>
      <c r="H3475" s="537"/>
      <c r="I3475" s="537"/>
      <c r="J3475" s="537"/>
      <c r="K3475" s="184">
        <f>SUM(K3467:K3474)</f>
        <v>61479.315999999999</v>
      </c>
      <c r="L3475" s="537" t="s">
        <v>32</v>
      </c>
      <c r="M3475" s="537"/>
      <c r="N3475" s="537"/>
      <c r="O3475" s="537"/>
      <c r="P3475" s="184">
        <f>SUM(P3467:P3474)</f>
        <v>1776</v>
      </c>
      <c r="Q3475" s="537" t="s">
        <v>38</v>
      </c>
      <c r="R3475" s="537"/>
      <c r="S3475" s="537"/>
      <c r="T3475" s="537"/>
      <c r="U3475" s="223">
        <f>SUM(U3468:U3474)</f>
        <v>3564.01</v>
      </c>
    </row>
    <row r="3476" spans="1:21" x14ac:dyDescent="0.25">
      <c r="A3476" s="537" t="s">
        <v>33</v>
      </c>
      <c r="B3476" s="537"/>
      <c r="C3476" s="537"/>
      <c r="D3476" s="537"/>
      <c r="E3476" s="537"/>
      <c r="F3476" s="184">
        <f>SUM(F3475+K3475+P3475)</f>
        <v>95040.315999999992</v>
      </c>
      <c r="G3476" s="537" t="s">
        <v>39</v>
      </c>
      <c r="H3476" s="537"/>
      <c r="I3476" s="537"/>
      <c r="J3476" s="537"/>
      <c r="K3476" s="184">
        <f>SUM(F3475+K3475+P3475+U3475)</f>
        <v>98604.325999999986</v>
      </c>
      <c r="L3476" s="537" t="s">
        <v>40</v>
      </c>
      <c r="M3476" s="537"/>
      <c r="N3476" s="537"/>
      <c r="O3476" s="537"/>
      <c r="P3476" s="184">
        <f>SUM(K3476*0.15)</f>
        <v>14790.648899999997</v>
      </c>
      <c r="Q3476" s="537" t="s">
        <v>41</v>
      </c>
      <c r="R3476" s="537"/>
      <c r="S3476" s="537"/>
      <c r="T3476" s="537"/>
      <c r="U3476" s="223">
        <f>SUM(K3476+P3476)</f>
        <v>113394.97489999999</v>
      </c>
    </row>
    <row r="3477" spans="1:21" x14ac:dyDescent="0.25">
      <c r="Q3477" s="537" t="s">
        <v>42</v>
      </c>
      <c r="R3477" s="537"/>
      <c r="S3477" s="537"/>
      <c r="T3477" s="537"/>
      <c r="U3477" s="224">
        <f>ROUND((U3476/10),2)</f>
        <v>11339.5</v>
      </c>
    </row>
    <row r="3478" spans="1:21" x14ac:dyDescent="0.25">
      <c r="A3478" s="544"/>
      <c r="B3478" s="544"/>
      <c r="C3478" s="544"/>
      <c r="D3478" s="544"/>
      <c r="E3478" s="544"/>
      <c r="F3478" s="544"/>
      <c r="G3478" s="544"/>
      <c r="H3478" s="544"/>
      <c r="I3478" s="544"/>
      <c r="J3478" s="544"/>
      <c r="K3478" s="544"/>
      <c r="L3478" s="544"/>
      <c r="M3478" s="544"/>
      <c r="N3478" s="544"/>
      <c r="O3478" s="544"/>
      <c r="P3478" s="544"/>
      <c r="Q3478" s="544"/>
      <c r="R3478" s="544"/>
      <c r="S3478" s="544"/>
      <c r="T3478" s="544"/>
      <c r="U3478" s="544"/>
    </row>
    <row r="3479" spans="1:21" x14ac:dyDescent="0.25">
      <c r="A3479" s="538" t="s">
        <v>12</v>
      </c>
      <c r="B3479" s="538"/>
      <c r="C3479" s="540" t="s">
        <v>1005</v>
      </c>
      <c r="D3479" s="540"/>
      <c r="E3479" s="540"/>
      <c r="F3479" s="540"/>
      <c r="G3479" s="540"/>
      <c r="H3479" s="540"/>
      <c r="I3479" s="540"/>
      <c r="J3479" s="540"/>
      <c r="K3479" s="540"/>
      <c r="L3479" s="540"/>
      <c r="M3479" s="540"/>
      <c r="N3479" s="540"/>
      <c r="O3479" s="540"/>
      <c r="P3479" s="540"/>
      <c r="Q3479" s="540"/>
      <c r="R3479" s="540"/>
      <c r="S3479" s="540"/>
      <c r="T3479" s="540"/>
      <c r="U3479" s="541" t="s">
        <v>197</v>
      </c>
    </row>
    <row r="3480" spans="1:21" x14ac:dyDescent="0.25">
      <c r="A3480" s="538"/>
      <c r="B3480" s="538"/>
      <c r="C3480" s="540"/>
      <c r="D3480" s="540"/>
      <c r="E3480" s="540"/>
      <c r="F3480" s="540"/>
      <c r="G3480" s="540"/>
      <c r="H3480" s="540"/>
      <c r="I3480" s="540"/>
      <c r="J3480" s="540"/>
      <c r="K3480" s="540"/>
      <c r="L3480" s="540"/>
      <c r="M3480" s="540"/>
      <c r="N3480" s="540"/>
      <c r="O3480" s="540"/>
      <c r="P3480" s="540"/>
      <c r="Q3480" s="540"/>
      <c r="R3480" s="540"/>
      <c r="S3480" s="540"/>
      <c r="T3480" s="540"/>
      <c r="U3480" s="541"/>
    </row>
    <row r="3481" spans="1:21" x14ac:dyDescent="0.25">
      <c r="A3481" s="539" t="s">
        <v>998</v>
      </c>
      <c r="B3481" s="539"/>
      <c r="C3481" s="540"/>
      <c r="D3481" s="540"/>
      <c r="E3481" s="540"/>
      <c r="F3481" s="540"/>
      <c r="G3481" s="540"/>
      <c r="H3481" s="540"/>
      <c r="I3481" s="540"/>
      <c r="J3481" s="540"/>
      <c r="K3481" s="540"/>
      <c r="L3481" s="540"/>
      <c r="M3481" s="540"/>
      <c r="N3481" s="540"/>
      <c r="O3481" s="540"/>
      <c r="P3481" s="540"/>
      <c r="Q3481" s="540"/>
      <c r="R3481" s="540"/>
      <c r="S3481" s="540"/>
      <c r="T3481" s="540"/>
      <c r="U3481" s="541"/>
    </row>
    <row r="3482" spans="1:21" x14ac:dyDescent="0.25">
      <c r="A3482" s="542" t="s">
        <v>16</v>
      </c>
      <c r="B3482" s="543" t="s">
        <v>18</v>
      </c>
      <c r="C3482" s="543"/>
      <c r="D3482" s="543"/>
      <c r="E3482" s="543"/>
      <c r="F3482" s="543"/>
      <c r="G3482" s="543" t="s">
        <v>24</v>
      </c>
      <c r="H3482" s="543"/>
      <c r="I3482" s="543"/>
      <c r="J3482" s="543"/>
      <c r="K3482" s="543"/>
      <c r="L3482" s="543" t="s">
        <v>25</v>
      </c>
      <c r="M3482" s="543"/>
      <c r="N3482" s="543"/>
      <c r="O3482" s="543"/>
      <c r="P3482" s="543"/>
      <c r="Q3482" s="543" t="s">
        <v>26</v>
      </c>
      <c r="R3482" s="543"/>
      <c r="S3482" s="543"/>
      <c r="T3482" s="543"/>
      <c r="U3482" s="543"/>
    </row>
    <row r="3483" spans="1:21" x14ac:dyDescent="0.25">
      <c r="A3483" s="542"/>
      <c r="B3483" s="182" t="s">
        <v>19</v>
      </c>
      <c r="C3483" s="182" t="s">
        <v>20</v>
      </c>
      <c r="D3483" s="182" t="s">
        <v>21</v>
      </c>
      <c r="E3483" s="182" t="s">
        <v>22</v>
      </c>
      <c r="F3483" s="182" t="s">
        <v>23</v>
      </c>
      <c r="G3483" s="182" t="s">
        <v>19</v>
      </c>
      <c r="H3483" s="216" t="s">
        <v>20</v>
      </c>
      <c r="I3483" s="182" t="s">
        <v>21</v>
      </c>
      <c r="J3483" s="182" t="s">
        <v>22</v>
      </c>
      <c r="K3483" s="182" t="s">
        <v>23</v>
      </c>
      <c r="L3483" s="182" t="s">
        <v>19</v>
      </c>
      <c r="M3483" s="182" t="s">
        <v>20</v>
      </c>
      <c r="N3483" s="182" t="s">
        <v>21</v>
      </c>
      <c r="O3483" s="182" t="s">
        <v>22</v>
      </c>
      <c r="P3483" s="182" t="s">
        <v>23</v>
      </c>
      <c r="Q3483" s="182" t="s">
        <v>19</v>
      </c>
      <c r="R3483" s="182" t="s">
        <v>20</v>
      </c>
      <c r="S3483" s="182" t="s">
        <v>21</v>
      </c>
      <c r="T3483" s="182" t="s">
        <v>22</v>
      </c>
      <c r="U3483" s="211" t="s">
        <v>23</v>
      </c>
    </row>
    <row r="3484" spans="1:21" ht="31.5" x14ac:dyDescent="0.25">
      <c r="A3484" s="183" t="s">
        <v>1006</v>
      </c>
      <c r="B3484" s="182" t="s">
        <v>47</v>
      </c>
      <c r="C3484" s="182" t="s">
        <v>28</v>
      </c>
      <c r="D3484" s="182">
        <v>1</v>
      </c>
      <c r="E3484" s="182">
        <f>skilled</f>
        <v>1245</v>
      </c>
      <c r="F3484" s="184">
        <f>(D3484*E3484)</f>
        <v>1245</v>
      </c>
      <c r="G3484" s="182" t="s">
        <v>85</v>
      </c>
      <c r="H3484" s="216" t="s">
        <v>35</v>
      </c>
      <c r="I3484" s="182">
        <v>0.185</v>
      </c>
      <c r="J3484" s="182">
        <f>adopted_rate_cement</f>
        <v>13031</v>
      </c>
      <c r="K3484" s="182">
        <f>(I3484*J3484)</f>
        <v>2410.7350000000001</v>
      </c>
      <c r="Q3484" s="611" t="s">
        <v>2347</v>
      </c>
      <c r="R3484" s="263"/>
      <c r="S3484" s="263"/>
      <c r="T3484" s="263"/>
      <c r="U3484" s="212">
        <f>ROUND(3.75%*F3492,2)</f>
        <v>418.66</v>
      </c>
    </row>
    <row r="3485" spans="1:21" x14ac:dyDescent="0.25">
      <c r="B3485" s="182" t="s">
        <v>29</v>
      </c>
      <c r="C3485" s="182" t="s">
        <v>28</v>
      </c>
      <c r="D3485" s="182">
        <v>4</v>
      </c>
      <c r="E3485" s="182">
        <f>unskilled</f>
        <v>935</v>
      </c>
      <c r="F3485" s="184">
        <f>(D3485*E3485)</f>
        <v>3740</v>
      </c>
      <c r="G3485" s="182" t="s">
        <v>1001</v>
      </c>
      <c r="H3485" s="216"/>
      <c r="Q3485" s="612"/>
      <c r="R3485" s="263"/>
      <c r="S3485" s="263"/>
      <c r="T3485" s="263"/>
    </row>
    <row r="3486" spans="1:21" x14ac:dyDescent="0.25">
      <c r="G3486" s="182" t="s">
        <v>1002</v>
      </c>
      <c r="H3486" s="216" t="s">
        <v>84</v>
      </c>
      <c r="I3486" s="182">
        <v>0.156</v>
      </c>
      <c r="J3486" s="182">
        <f>adopted_rate_aggregate_20_40_mm</f>
        <v>3175.2000000000003</v>
      </c>
      <c r="K3486" s="182">
        <f>(I3486*J3486)</f>
        <v>495.33120000000002</v>
      </c>
      <c r="Q3486" s="612"/>
      <c r="R3486" s="263"/>
      <c r="S3486" s="263"/>
      <c r="T3486" s="263"/>
    </row>
    <row r="3487" spans="1:21" x14ac:dyDescent="0.25">
      <c r="G3487" s="182" t="s">
        <v>1003</v>
      </c>
      <c r="H3487" s="216" t="s">
        <v>84</v>
      </c>
      <c r="I3487" s="182">
        <v>7.1999999999999995E-2</v>
      </c>
      <c r="J3487" s="182">
        <f>adopted_rate_aggregate_10_20_mm</f>
        <v>3351.6</v>
      </c>
      <c r="K3487" s="182">
        <f>(I3487*J3487)</f>
        <v>241.31519999999998</v>
      </c>
      <c r="Q3487" s="612"/>
      <c r="R3487" s="263"/>
      <c r="S3487" s="263"/>
      <c r="T3487" s="263"/>
    </row>
    <row r="3488" spans="1:21" x14ac:dyDescent="0.25">
      <c r="G3488" s="182" t="s">
        <v>734</v>
      </c>
      <c r="H3488" s="216" t="s">
        <v>84</v>
      </c>
      <c r="I3488" s="182">
        <v>0.29899999999999999</v>
      </c>
      <c r="J3488" s="182">
        <f>adopted_rate_aggregate_10_mm</f>
        <v>3175.2000000000003</v>
      </c>
      <c r="K3488" s="182">
        <f>(I3488*J3488)</f>
        <v>949.38480000000004</v>
      </c>
      <c r="Q3488" s="612"/>
      <c r="R3488" s="263"/>
      <c r="S3488" s="263"/>
      <c r="T3488" s="263"/>
    </row>
    <row r="3489" spans="1:21" x14ac:dyDescent="0.25">
      <c r="G3489" s="182" t="s">
        <v>83</v>
      </c>
      <c r="H3489" s="216" t="s">
        <v>84</v>
      </c>
      <c r="I3489" s="182">
        <v>0.29899999999999999</v>
      </c>
      <c r="J3489" s="182">
        <f>adopted_rate_sand</f>
        <v>3175.2000000000003</v>
      </c>
      <c r="K3489" s="182">
        <f>(I3489*J3489)</f>
        <v>949.38480000000004</v>
      </c>
      <c r="Q3489" s="612"/>
      <c r="R3489" s="263"/>
      <c r="S3489" s="263"/>
      <c r="T3489" s="263"/>
    </row>
    <row r="3490" spans="1:21" x14ac:dyDescent="0.25">
      <c r="G3490" s="182" t="s">
        <v>931</v>
      </c>
      <c r="H3490" s="216" t="s">
        <v>84</v>
      </c>
      <c r="I3490" s="182">
        <v>0.44</v>
      </c>
      <c r="J3490" s="182">
        <f>adopted_rate_rubble</f>
        <v>2575.44</v>
      </c>
      <c r="K3490" s="182">
        <f>(I3490*J3490)</f>
        <v>1133.1936000000001</v>
      </c>
      <c r="Q3490" s="613"/>
      <c r="R3490" s="263"/>
      <c r="S3490" s="263"/>
      <c r="T3490" s="263"/>
    </row>
    <row r="3491" spans="1:21" x14ac:dyDescent="0.25">
      <c r="A3491" s="537" t="s">
        <v>30</v>
      </c>
      <c r="B3491" s="537"/>
      <c r="C3491" s="537"/>
      <c r="D3491" s="537"/>
      <c r="E3491" s="537"/>
      <c r="F3491" s="184">
        <f>SUM(F3483:F3490)</f>
        <v>4985</v>
      </c>
      <c r="G3491" s="537" t="s">
        <v>31</v>
      </c>
      <c r="H3491" s="537"/>
      <c r="I3491" s="537"/>
      <c r="J3491" s="537"/>
      <c r="K3491" s="184">
        <f>SUM(K3483:K3490)</f>
        <v>6179.3446000000004</v>
      </c>
      <c r="L3491" s="537" t="s">
        <v>32</v>
      </c>
      <c r="M3491" s="537"/>
      <c r="N3491" s="537"/>
      <c r="O3491" s="537"/>
      <c r="P3491" s="184">
        <f>SUM(P3483:P3490)</f>
        <v>0</v>
      </c>
      <c r="Q3491" s="537" t="s">
        <v>38</v>
      </c>
      <c r="R3491" s="537"/>
      <c r="S3491" s="537"/>
      <c r="T3491" s="537"/>
      <c r="U3491" s="223">
        <f>SUM(U3484:U3490)</f>
        <v>418.66</v>
      </c>
    </row>
    <row r="3492" spans="1:21" x14ac:dyDescent="0.25">
      <c r="A3492" s="537" t="s">
        <v>33</v>
      </c>
      <c r="B3492" s="537"/>
      <c r="C3492" s="537"/>
      <c r="D3492" s="537"/>
      <c r="E3492" s="537"/>
      <c r="F3492" s="184">
        <f>SUM(F3491+K3491+P3491)</f>
        <v>11164.3446</v>
      </c>
      <c r="G3492" s="537" t="s">
        <v>39</v>
      </c>
      <c r="H3492" s="537"/>
      <c r="I3492" s="537"/>
      <c r="J3492" s="537"/>
      <c r="K3492" s="184">
        <f>SUM(F3491+K3491+P3491+U3491)</f>
        <v>11583.0046</v>
      </c>
      <c r="L3492" s="537" t="s">
        <v>40</v>
      </c>
      <c r="M3492" s="537"/>
      <c r="N3492" s="537"/>
      <c r="O3492" s="537"/>
      <c r="P3492" s="184">
        <f>SUM(K3492*0.15)</f>
        <v>1737.4506899999999</v>
      </c>
      <c r="Q3492" s="537" t="s">
        <v>41</v>
      </c>
      <c r="R3492" s="537"/>
      <c r="S3492" s="537"/>
      <c r="T3492" s="537"/>
      <c r="U3492" s="223">
        <f>SUM(K3492+P3492)</f>
        <v>13320.45529</v>
      </c>
    </row>
    <row r="3493" spans="1:21" x14ac:dyDescent="0.25">
      <c r="Q3493" s="537" t="s">
        <v>42</v>
      </c>
      <c r="R3493" s="537"/>
      <c r="S3493" s="537"/>
      <c r="T3493" s="537"/>
      <c r="U3493" s="224">
        <f>ROUND((U3492/1),2)</f>
        <v>13320.46</v>
      </c>
    </row>
    <row r="3494" spans="1:21" x14ac:dyDescent="0.25">
      <c r="A3494" s="544"/>
      <c r="B3494" s="544"/>
      <c r="C3494" s="544"/>
      <c r="D3494" s="544"/>
      <c r="E3494" s="544"/>
      <c r="F3494" s="544"/>
      <c r="G3494" s="544"/>
      <c r="H3494" s="544"/>
      <c r="I3494" s="544"/>
      <c r="J3494" s="544"/>
      <c r="K3494" s="544"/>
      <c r="L3494" s="544"/>
      <c r="M3494" s="544"/>
      <c r="N3494" s="544"/>
      <c r="O3494" s="544"/>
      <c r="P3494" s="544"/>
      <c r="Q3494" s="544"/>
      <c r="R3494" s="544"/>
      <c r="S3494" s="544"/>
      <c r="T3494" s="544"/>
      <c r="U3494" s="544"/>
    </row>
    <row r="3495" spans="1:21" x14ac:dyDescent="0.25">
      <c r="A3495" s="525" t="s">
        <v>12</v>
      </c>
      <c r="B3495" s="525"/>
      <c r="C3495" s="526" t="s">
        <v>1007</v>
      </c>
      <c r="D3495" s="526"/>
      <c r="E3495" s="526"/>
      <c r="F3495" s="526"/>
      <c r="G3495" s="526"/>
      <c r="H3495" s="526"/>
      <c r="I3495" s="526"/>
      <c r="J3495" s="526"/>
      <c r="K3495" s="526"/>
      <c r="L3495" s="526"/>
      <c r="M3495" s="526"/>
      <c r="N3495" s="526"/>
      <c r="O3495" s="526"/>
      <c r="P3495" s="526"/>
      <c r="Q3495" s="526"/>
      <c r="R3495" s="526"/>
      <c r="S3495" s="526"/>
      <c r="T3495" s="526"/>
      <c r="U3495" s="524" t="s">
        <v>61</v>
      </c>
    </row>
    <row r="3496" spans="1:21" x14ac:dyDescent="0.25">
      <c r="A3496" s="525"/>
      <c r="B3496" s="525"/>
      <c r="C3496" s="526"/>
      <c r="D3496" s="526"/>
      <c r="E3496" s="526"/>
      <c r="F3496" s="526"/>
      <c r="G3496" s="526"/>
      <c r="H3496" s="526"/>
      <c r="I3496" s="526"/>
      <c r="J3496" s="526"/>
      <c r="K3496" s="526"/>
      <c r="L3496" s="526"/>
      <c r="M3496" s="526"/>
      <c r="N3496" s="526"/>
      <c r="O3496" s="526"/>
      <c r="P3496" s="526"/>
      <c r="Q3496" s="526"/>
      <c r="R3496" s="526"/>
      <c r="S3496" s="526"/>
      <c r="T3496" s="526"/>
      <c r="U3496" s="524"/>
    </row>
    <row r="3497" spans="1:21" x14ac:dyDescent="0.25">
      <c r="A3497" s="527" t="s">
        <v>998</v>
      </c>
      <c r="B3497" s="527"/>
      <c r="C3497" s="526"/>
      <c r="D3497" s="526"/>
      <c r="E3497" s="526"/>
      <c r="F3497" s="526"/>
      <c r="G3497" s="526"/>
      <c r="H3497" s="526"/>
      <c r="I3497" s="526"/>
      <c r="J3497" s="526"/>
      <c r="K3497" s="526"/>
      <c r="L3497" s="526"/>
      <c r="M3497" s="526"/>
      <c r="N3497" s="526"/>
      <c r="O3497" s="526"/>
      <c r="P3497" s="526"/>
      <c r="Q3497" s="526"/>
      <c r="R3497" s="526"/>
      <c r="S3497" s="526"/>
      <c r="T3497" s="526"/>
      <c r="U3497" s="524"/>
    </row>
    <row r="3498" spans="1:21" x14ac:dyDescent="0.25">
      <c r="A3498" s="528" t="s">
        <v>16</v>
      </c>
      <c r="B3498" s="529" t="s">
        <v>18</v>
      </c>
      <c r="C3498" s="529"/>
      <c r="D3498" s="529"/>
      <c r="E3498" s="529"/>
      <c r="F3498" s="529"/>
      <c r="G3498" s="529" t="s">
        <v>24</v>
      </c>
      <c r="H3498" s="529"/>
      <c r="I3498" s="529"/>
      <c r="J3498" s="529"/>
      <c r="K3498" s="529"/>
      <c r="L3498" s="529" t="s">
        <v>25</v>
      </c>
      <c r="M3498" s="529"/>
      <c r="N3498" s="529"/>
      <c r="O3498" s="529"/>
      <c r="P3498" s="529"/>
      <c r="Q3498" s="529" t="s">
        <v>26</v>
      </c>
      <c r="R3498" s="529"/>
      <c r="S3498" s="529"/>
      <c r="T3498" s="529"/>
      <c r="U3498" s="529"/>
    </row>
    <row r="3499" spans="1:21" x14ac:dyDescent="0.25">
      <c r="A3499" s="528"/>
      <c r="B3499" s="197" t="s">
        <v>19</v>
      </c>
      <c r="C3499" s="197" t="s">
        <v>20</v>
      </c>
      <c r="D3499" s="197" t="s">
        <v>21</v>
      </c>
      <c r="E3499" s="197" t="s">
        <v>22</v>
      </c>
      <c r="F3499" s="197" t="s">
        <v>23</v>
      </c>
      <c r="G3499" s="197" t="s">
        <v>19</v>
      </c>
      <c r="H3499" s="219" t="s">
        <v>20</v>
      </c>
      <c r="I3499" s="197" t="s">
        <v>21</v>
      </c>
      <c r="J3499" s="197" t="s">
        <v>22</v>
      </c>
      <c r="K3499" s="197" t="s">
        <v>23</v>
      </c>
      <c r="L3499" s="197" t="s">
        <v>19</v>
      </c>
      <c r="M3499" s="197" t="s">
        <v>20</v>
      </c>
      <c r="N3499" s="197" t="s">
        <v>21</v>
      </c>
      <c r="O3499" s="197" t="s">
        <v>22</v>
      </c>
      <c r="P3499" s="197" t="s">
        <v>23</v>
      </c>
      <c r="Q3499" s="197" t="s">
        <v>19</v>
      </c>
      <c r="R3499" s="197" t="s">
        <v>20</v>
      </c>
      <c r="S3499" s="197" t="s">
        <v>21</v>
      </c>
      <c r="T3499" s="197" t="s">
        <v>22</v>
      </c>
      <c r="U3499" s="214" t="s">
        <v>23</v>
      </c>
    </row>
    <row r="3500" spans="1:21" ht="31.5" x14ac:dyDescent="0.25">
      <c r="A3500" s="200" t="s">
        <v>1008</v>
      </c>
      <c r="B3500" s="197" t="s">
        <v>47</v>
      </c>
      <c r="C3500" s="197" t="s">
        <v>28</v>
      </c>
      <c r="D3500" s="197">
        <v>4</v>
      </c>
      <c r="E3500" s="197">
        <f>skilled</f>
        <v>1245</v>
      </c>
      <c r="F3500" s="201">
        <f>(D3500*E3500)</f>
        <v>4980</v>
      </c>
      <c r="G3500" s="197" t="s">
        <v>85</v>
      </c>
      <c r="H3500" s="219" t="s">
        <v>35</v>
      </c>
      <c r="I3500" s="197">
        <v>1.95</v>
      </c>
      <c r="J3500" s="197">
        <f>adopted_rate_cement</f>
        <v>13031</v>
      </c>
      <c r="K3500" s="197">
        <f>(I3500*J3500)</f>
        <v>25410.45</v>
      </c>
      <c r="L3500" s="197" t="s">
        <v>276</v>
      </c>
      <c r="M3500" s="197" t="s">
        <v>58</v>
      </c>
      <c r="N3500" s="197">
        <v>6</v>
      </c>
      <c r="O3500" s="197">
        <f>concrete_mixer</f>
        <v>296</v>
      </c>
      <c r="P3500" s="201">
        <f>(N3500*O3500)</f>
        <v>1776</v>
      </c>
      <c r="Q3500" s="611" t="s">
        <v>2347</v>
      </c>
      <c r="R3500" s="263"/>
      <c r="S3500" s="263"/>
      <c r="T3500" s="263"/>
      <c r="U3500" s="212">
        <f>ROUND(3.75%*F3508,2)</f>
        <v>3785.39</v>
      </c>
    </row>
    <row r="3501" spans="1:21" x14ac:dyDescent="0.25">
      <c r="A3501" s="199"/>
      <c r="B3501" s="197" t="s">
        <v>29</v>
      </c>
      <c r="C3501" s="197" t="s">
        <v>28</v>
      </c>
      <c r="D3501" s="197">
        <v>30</v>
      </c>
      <c r="E3501" s="197">
        <f>unskilled</f>
        <v>935</v>
      </c>
      <c r="F3501" s="201">
        <f>(D3501*E3501)</f>
        <v>28050</v>
      </c>
      <c r="G3501" s="197" t="s">
        <v>1001</v>
      </c>
      <c r="H3501" s="219"/>
      <c r="I3501" s="199"/>
      <c r="J3501" s="199"/>
      <c r="K3501" s="199"/>
      <c r="L3501" s="197" t="s">
        <v>1004</v>
      </c>
      <c r="M3501" s="197" t="s">
        <v>58</v>
      </c>
      <c r="N3501" s="197">
        <v>6</v>
      </c>
      <c r="O3501" s="197">
        <f>concrete_needle_vibrator</f>
        <v>0</v>
      </c>
      <c r="P3501" s="201">
        <f>(N3501*O3501)</f>
        <v>0</v>
      </c>
      <c r="Q3501" s="612"/>
      <c r="R3501" s="263"/>
      <c r="S3501" s="263"/>
      <c r="T3501" s="263"/>
    </row>
    <row r="3502" spans="1:21" x14ac:dyDescent="0.25">
      <c r="A3502" s="199"/>
      <c r="B3502" s="199"/>
      <c r="C3502" s="199"/>
      <c r="D3502" s="199"/>
      <c r="E3502" s="199"/>
      <c r="F3502" s="199"/>
      <c r="G3502" s="197" t="s">
        <v>1002</v>
      </c>
      <c r="H3502" s="219" t="s">
        <v>84</v>
      </c>
      <c r="I3502" s="197">
        <v>4</v>
      </c>
      <c r="J3502" s="197">
        <f>adopted_rate_aggregate_20_40_mm</f>
        <v>3175.2000000000003</v>
      </c>
      <c r="K3502" s="197">
        <f>(I3502*J3502)</f>
        <v>12700.800000000001</v>
      </c>
      <c r="L3502" s="199"/>
      <c r="M3502" s="199"/>
      <c r="N3502" s="199"/>
      <c r="O3502" s="199"/>
      <c r="P3502" s="199"/>
      <c r="Q3502" s="612"/>
      <c r="R3502" s="263"/>
      <c r="S3502" s="263"/>
      <c r="T3502" s="263"/>
    </row>
    <row r="3503" spans="1:21" x14ac:dyDescent="0.25">
      <c r="A3503" s="199"/>
      <c r="B3503" s="199"/>
      <c r="C3503" s="199"/>
      <c r="D3503" s="199"/>
      <c r="E3503" s="199"/>
      <c r="F3503" s="199"/>
      <c r="G3503" s="197" t="s">
        <v>1003</v>
      </c>
      <c r="H3503" s="219" t="s">
        <v>84</v>
      </c>
      <c r="I3503" s="197">
        <v>1.8</v>
      </c>
      <c r="J3503" s="197">
        <f>adopted_rate_aggregate_10_20_mm</f>
        <v>3351.6</v>
      </c>
      <c r="K3503" s="197">
        <f>(I3503*J3503)</f>
        <v>6032.88</v>
      </c>
      <c r="L3503" s="199"/>
      <c r="M3503" s="199"/>
      <c r="N3503" s="199"/>
      <c r="O3503" s="199"/>
      <c r="P3503" s="199"/>
      <c r="Q3503" s="612"/>
      <c r="R3503" s="263"/>
      <c r="S3503" s="263"/>
      <c r="T3503" s="263"/>
    </row>
    <row r="3504" spans="1:21" x14ac:dyDescent="0.25">
      <c r="A3504" s="199"/>
      <c r="B3504" s="199"/>
      <c r="C3504" s="199"/>
      <c r="D3504" s="199"/>
      <c r="E3504" s="199"/>
      <c r="F3504" s="199"/>
      <c r="G3504" s="197" t="s">
        <v>734</v>
      </c>
      <c r="H3504" s="219" t="s">
        <v>84</v>
      </c>
      <c r="I3504" s="197">
        <v>0.8</v>
      </c>
      <c r="J3504" s="197">
        <f>adopted_rate_aggregate_10_mm</f>
        <v>3175.2000000000003</v>
      </c>
      <c r="K3504" s="197">
        <f>(I3504*J3504)</f>
        <v>2540.1600000000003</v>
      </c>
      <c r="L3504" s="199"/>
      <c r="M3504" s="199"/>
      <c r="N3504" s="199"/>
      <c r="O3504" s="199"/>
      <c r="P3504" s="199"/>
      <c r="Q3504" s="612"/>
      <c r="R3504" s="263"/>
      <c r="S3504" s="263"/>
      <c r="T3504" s="263"/>
    </row>
    <row r="3505" spans="1:21" x14ac:dyDescent="0.25">
      <c r="A3505" s="199"/>
      <c r="B3505" s="199"/>
      <c r="C3505" s="199"/>
      <c r="D3505" s="199"/>
      <c r="E3505" s="199"/>
      <c r="F3505" s="199"/>
      <c r="G3505" s="197" t="s">
        <v>83</v>
      </c>
      <c r="H3505" s="219" t="s">
        <v>84</v>
      </c>
      <c r="I3505" s="197">
        <v>3.45</v>
      </c>
      <c r="J3505" s="197">
        <f>adopted_rate_sand</f>
        <v>3175.2000000000003</v>
      </c>
      <c r="K3505" s="197">
        <f>(I3505*J3505)</f>
        <v>10954.440000000002</v>
      </c>
      <c r="L3505" s="199"/>
      <c r="M3505" s="199"/>
      <c r="N3505" s="199"/>
      <c r="O3505" s="199"/>
      <c r="P3505" s="199"/>
      <c r="Q3505" s="612"/>
      <c r="R3505" s="263"/>
      <c r="S3505" s="263"/>
      <c r="T3505" s="263"/>
    </row>
    <row r="3506" spans="1:21" x14ac:dyDescent="0.25">
      <c r="A3506" s="199"/>
      <c r="B3506" s="199"/>
      <c r="C3506" s="199"/>
      <c r="D3506" s="199"/>
      <c r="E3506" s="199"/>
      <c r="F3506" s="199"/>
      <c r="G3506" s="197" t="s">
        <v>931</v>
      </c>
      <c r="H3506" s="219" t="s">
        <v>84</v>
      </c>
      <c r="I3506" s="197">
        <v>3.3</v>
      </c>
      <c r="J3506" s="197">
        <f>adopted_rate_rubble</f>
        <v>2575.44</v>
      </c>
      <c r="K3506" s="197">
        <f>(I3506*J3506)</f>
        <v>8498.9519999999993</v>
      </c>
      <c r="L3506" s="199"/>
      <c r="M3506" s="199"/>
      <c r="N3506" s="199"/>
      <c r="O3506" s="199"/>
      <c r="P3506" s="199"/>
      <c r="Q3506" s="613"/>
      <c r="R3506" s="263"/>
      <c r="S3506" s="263"/>
      <c r="T3506" s="263"/>
    </row>
    <row r="3507" spans="1:21" x14ac:dyDescent="0.25">
      <c r="A3507" s="524" t="s">
        <v>30</v>
      </c>
      <c r="B3507" s="524"/>
      <c r="C3507" s="524"/>
      <c r="D3507" s="524"/>
      <c r="E3507" s="524"/>
      <c r="F3507" s="201">
        <f>SUM(F3499:F3506)</f>
        <v>33030</v>
      </c>
      <c r="G3507" s="524" t="s">
        <v>31</v>
      </c>
      <c r="H3507" s="524"/>
      <c r="I3507" s="524"/>
      <c r="J3507" s="524"/>
      <c r="K3507" s="201">
        <f>SUM(K3499:K3506)</f>
        <v>66137.682000000001</v>
      </c>
      <c r="L3507" s="524" t="s">
        <v>32</v>
      </c>
      <c r="M3507" s="524"/>
      <c r="N3507" s="524"/>
      <c r="O3507" s="524"/>
      <c r="P3507" s="201">
        <f>SUM(P3499:P3506)</f>
        <v>1776</v>
      </c>
      <c r="Q3507" s="524" t="s">
        <v>38</v>
      </c>
      <c r="R3507" s="524"/>
      <c r="S3507" s="524"/>
      <c r="T3507" s="524"/>
      <c r="U3507" s="225">
        <f>SUM(U3500:U3506)</f>
        <v>3785.39</v>
      </c>
    </row>
    <row r="3508" spans="1:21" x14ac:dyDescent="0.25">
      <c r="A3508" s="524" t="s">
        <v>33</v>
      </c>
      <c r="B3508" s="524"/>
      <c r="C3508" s="524"/>
      <c r="D3508" s="524"/>
      <c r="E3508" s="524"/>
      <c r="F3508" s="201">
        <f>SUM(F3507+K3507+P3507)</f>
        <v>100943.682</v>
      </c>
      <c r="G3508" s="524" t="s">
        <v>39</v>
      </c>
      <c r="H3508" s="524"/>
      <c r="I3508" s="524"/>
      <c r="J3508" s="524"/>
      <c r="K3508" s="201">
        <f>SUM(F3507+K3507+P3507+U3507)</f>
        <v>104729.072</v>
      </c>
      <c r="L3508" s="524" t="s">
        <v>40</v>
      </c>
      <c r="M3508" s="524"/>
      <c r="N3508" s="524"/>
      <c r="O3508" s="524"/>
      <c r="P3508" s="201">
        <f>SUM(K3508*0.15)</f>
        <v>15709.360799999999</v>
      </c>
      <c r="Q3508" s="524" t="s">
        <v>41</v>
      </c>
      <c r="R3508" s="524"/>
      <c r="S3508" s="524"/>
      <c r="T3508" s="524"/>
      <c r="U3508" s="225">
        <f>SUM(K3508+P3508)</f>
        <v>120438.4328</v>
      </c>
    </row>
    <row r="3509" spans="1:21" x14ac:dyDescent="0.25">
      <c r="A3509" s="199"/>
      <c r="B3509" s="199"/>
      <c r="C3509" s="199"/>
      <c r="D3509" s="199"/>
      <c r="E3509" s="199"/>
      <c r="F3509" s="199"/>
      <c r="G3509" s="199"/>
      <c r="H3509" s="220"/>
      <c r="I3509" s="199"/>
      <c r="J3509" s="199"/>
      <c r="K3509" s="199"/>
      <c r="L3509" s="199"/>
      <c r="M3509" s="199"/>
      <c r="N3509" s="199"/>
      <c r="O3509" s="199"/>
      <c r="P3509" s="199"/>
      <c r="Q3509" s="524" t="s">
        <v>42</v>
      </c>
      <c r="R3509" s="524"/>
      <c r="S3509" s="524"/>
      <c r="T3509" s="524"/>
      <c r="U3509" s="206">
        <f>ROUND((U3508/10),2)</f>
        <v>12043.84</v>
      </c>
    </row>
    <row r="3510" spans="1:21" x14ac:dyDescent="0.25">
      <c r="A3510" s="544"/>
      <c r="B3510" s="544"/>
      <c r="C3510" s="544"/>
      <c r="D3510" s="544"/>
      <c r="E3510" s="544"/>
      <c r="F3510" s="544"/>
      <c r="G3510" s="544"/>
      <c r="H3510" s="544"/>
      <c r="I3510" s="544"/>
      <c r="J3510" s="544"/>
      <c r="K3510" s="544"/>
      <c r="L3510" s="544"/>
      <c r="M3510" s="544"/>
      <c r="N3510" s="544"/>
      <c r="O3510" s="544"/>
      <c r="P3510" s="544"/>
      <c r="Q3510" s="544"/>
      <c r="R3510" s="544"/>
      <c r="S3510" s="544"/>
      <c r="T3510" s="544"/>
      <c r="U3510" s="544"/>
    </row>
    <row r="3511" spans="1:21" x14ac:dyDescent="0.25">
      <c r="A3511" s="538" t="s">
        <v>12</v>
      </c>
      <c r="B3511" s="538"/>
      <c r="C3511" s="540" t="s">
        <v>1009</v>
      </c>
      <c r="D3511" s="540"/>
      <c r="E3511" s="540"/>
      <c r="F3511" s="540"/>
      <c r="G3511" s="540"/>
      <c r="H3511" s="540"/>
      <c r="I3511" s="540"/>
      <c r="J3511" s="540"/>
      <c r="K3511" s="540"/>
      <c r="L3511" s="540"/>
      <c r="M3511" s="540"/>
      <c r="N3511" s="540"/>
      <c r="O3511" s="540"/>
      <c r="P3511" s="540"/>
      <c r="Q3511" s="540"/>
      <c r="R3511" s="540"/>
      <c r="S3511" s="540"/>
      <c r="T3511" s="540"/>
      <c r="U3511" s="541" t="s">
        <v>197</v>
      </c>
    </row>
    <row r="3512" spans="1:21" x14ac:dyDescent="0.25">
      <c r="A3512" s="538"/>
      <c r="B3512" s="538"/>
      <c r="C3512" s="540"/>
      <c r="D3512" s="540"/>
      <c r="E3512" s="540"/>
      <c r="F3512" s="540"/>
      <c r="G3512" s="540"/>
      <c r="H3512" s="540"/>
      <c r="I3512" s="540"/>
      <c r="J3512" s="540"/>
      <c r="K3512" s="540"/>
      <c r="L3512" s="540"/>
      <c r="M3512" s="540"/>
      <c r="N3512" s="540"/>
      <c r="O3512" s="540"/>
      <c r="P3512" s="540"/>
      <c r="Q3512" s="540"/>
      <c r="R3512" s="540"/>
      <c r="S3512" s="540"/>
      <c r="T3512" s="540"/>
      <c r="U3512" s="541"/>
    </row>
    <row r="3513" spans="1:21" x14ac:dyDescent="0.25">
      <c r="A3513" s="539" t="s">
        <v>998</v>
      </c>
      <c r="B3513" s="539"/>
      <c r="C3513" s="540"/>
      <c r="D3513" s="540"/>
      <c r="E3513" s="540"/>
      <c r="F3513" s="540"/>
      <c r="G3513" s="540"/>
      <c r="H3513" s="540"/>
      <c r="I3513" s="540"/>
      <c r="J3513" s="540"/>
      <c r="K3513" s="540"/>
      <c r="L3513" s="540"/>
      <c r="M3513" s="540"/>
      <c r="N3513" s="540"/>
      <c r="O3513" s="540"/>
      <c r="P3513" s="540"/>
      <c r="Q3513" s="540"/>
      <c r="R3513" s="540"/>
      <c r="S3513" s="540"/>
      <c r="T3513" s="540"/>
      <c r="U3513" s="541"/>
    </row>
    <row r="3514" spans="1:21" x14ac:dyDescent="0.25">
      <c r="A3514" s="542" t="s">
        <v>16</v>
      </c>
      <c r="B3514" s="543" t="s">
        <v>18</v>
      </c>
      <c r="C3514" s="543"/>
      <c r="D3514" s="543"/>
      <c r="E3514" s="543"/>
      <c r="F3514" s="543"/>
      <c r="G3514" s="543" t="s">
        <v>24</v>
      </c>
      <c r="H3514" s="543"/>
      <c r="I3514" s="543"/>
      <c r="J3514" s="543"/>
      <c r="K3514" s="543"/>
      <c r="L3514" s="543" t="s">
        <v>25</v>
      </c>
      <c r="M3514" s="543"/>
      <c r="N3514" s="543"/>
      <c r="O3514" s="543"/>
      <c r="P3514" s="543"/>
      <c r="Q3514" s="543" t="s">
        <v>26</v>
      </c>
      <c r="R3514" s="543"/>
      <c r="S3514" s="543"/>
      <c r="T3514" s="543"/>
      <c r="U3514" s="543"/>
    </row>
    <row r="3515" spans="1:21" x14ac:dyDescent="0.25">
      <c r="A3515" s="542"/>
      <c r="B3515" s="182" t="s">
        <v>19</v>
      </c>
      <c r="C3515" s="182" t="s">
        <v>20</v>
      </c>
      <c r="D3515" s="182" t="s">
        <v>21</v>
      </c>
      <c r="E3515" s="182" t="s">
        <v>22</v>
      </c>
      <c r="F3515" s="182" t="s">
        <v>23</v>
      </c>
      <c r="G3515" s="182" t="s">
        <v>19</v>
      </c>
      <c r="H3515" s="216" t="s">
        <v>20</v>
      </c>
      <c r="I3515" s="182" t="s">
        <v>21</v>
      </c>
      <c r="J3515" s="182" t="s">
        <v>22</v>
      </c>
      <c r="K3515" s="182" t="s">
        <v>23</v>
      </c>
      <c r="L3515" s="182" t="s">
        <v>19</v>
      </c>
      <c r="M3515" s="182" t="s">
        <v>20</v>
      </c>
      <c r="N3515" s="182" t="s">
        <v>21</v>
      </c>
      <c r="O3515" s="182" t="s">
        <v>22</v>
      </c>
      <c r="P3515" s="182" t="s">
        <v>23</v>
      </c>
      <c r="Q3515" s="182" t="s">
        <v>19</v>
      </c>
      <c r="R3515" s="182" t="s">
        <v>20</v>
      </c>
      <c r="S3515" s="182" t="s">
        <v>21</v>
      </c>
      <c r="T3515" s="182" t="s">
        <v>22</v>
      </c>
      <c r="U3515" s="211" t="s">
        <v>23</v>
      </c>
    </row>
    <row r="3516" spans="1:21" ht="31.5" x14ac:dyDescent="0.25">
      <c r="A3516" s="183" t="s">
        <v>1010</v>
      </c>
      <c r="B3516" s="182" t="s">
        <v>47</v>
      </c>
      <c r="C3516" s="182" t="s">
        <v>28</v>
      </c>
      <c r="D3516" s="182">
        <v>1</v>
      </c>
      <c r="E3516" s="182">
        <f>skilled</f>
        <v>1245</v>
      </c>
      <c r="F3516" s="184">
        <f>(D3516*E3516)</f>
        <v>1245</v>
      </c>
      <c r="G3516" s="182" t="s">
        <v>85</v>
      </c>
      <c r="H3516" s="216" t="s">
        <v>35</v>
      </c>
      <c r="I3516" s="182">
        <v>0.214</v>
      </c>
      <c r="J3516" s="182">
        <f>adopted_rate_cement</f>
        <v>13031</v>
      </c>
      <c r="K3516" s="182">
        <f>(I3516*J3516)</f>
        <v>2788.634</v>
      </c>
      <c r="Q3516" s="611" t="s">
        <v>2347</v>
      </c>
      <c r="R3516" s="263"/>
      <c r="S3516" s="263"/>
      <c r="T3516" s="263"/>
      <c r="U3516" s="212">
        <f>ROUND(3.75%*F3524,2)</f>
        <v>444.24</v>
      </c>
    </row>
    <row r="3517" spans="1:21" x14ac:dyDescent="0.25">
      <c r="B3517" s="182" t="s">
        <v>29</v>
      </c>
      <c r="C3517" s="182" t="s">
        <v>28</v>
      </c>
      <c r="D3517" s="182">
        <v>4</v>
      </c>
      <c r="E3517" s="182">
        <f>unskilled</f>
        <v>935</v>
      </c>
      <c r="F3517" s="184">
        <f>(D3517*E3517)</f>
        <v>3740</v>
      </c>
      <c r="G3517" s="182" t="s">
        <v>1001</v>
      </c>
      <c r="H3517" s="216"/>
      <c r="Q3517" s="612"/>
      <c r="R3517" s="263"/>
      <c r="S3517" s="263"/>
      <c r="T3517" s="263"/>
    </row>
    <row r="3518" spans="1:21" x14ac:dyDescent="0.25">
      <c r="G3518" s="182" t="s">
        <v>1002</v>
      </c>
      <c r="H3518" s="216" t="s">
        <v>84</v>
      </c>
      <c r="I3518" s="182">
        <v>0.39800000000000002</v>
      </c>
      <c r="J3518" s="182">
        <f>adopted_rate_aggregate_20_40_mm</f>
        <v>3175.2000000000003</v>
      </c>
      <c r="K3518" s="182">
        <f>(I3518*J3518)</f>
        <v>1263.7296000000001</v>
      </c>
      <c r="Q3518" s="612"/>
      <c r="R3518" s="263"/>
      <c r="S3518" s="263"/>
      <c r="T3518" s="263"/>
    </row>
    <row r="3519" spans="1:21" x14ac:dyDescent="0.25">
      <c r="G3519" s="182" t="s">
        <v>1003</v>
      </c>
      <c r="H3519" s="216" t="s">
        <v>84</v>
      </c>
      <c r="I3519" s="182">
        <v>0.18</v>
      </c>
      <c r="J3519" s="182">
        <f>adopted_rate_aggregate_10_20_mm</f>
        <v>3351.6</v>
      </c>
      <c r="K3519" s="182">
        <f>(I3519*J3519)</f>
        <v>603.28800000000001</v>
      </c>
      <c r="Q3519" s="612"/>
      <c r="R3519" s="263"/>
      <c r="S3519" s="263"/>
      <c r="T3519" s="263"/>
    </row>
    <row r="3520" spans="1:21" x14ac:dyDescent="0.25">
      <c r="G3520" s="182" t="s">
        <v>734</v>
      </c>
      <c r="H3520" s="216" t="s">
        <v>84</v>
      </c>
      <c r="I3520" s="182">
        <v>8.2000000000000003E-2</v>
      </c>
      <c r="J3520" s="182">
        <f>adopted_rate_aggregate_10_mm</f>
        <v>3175.2000000000003</v>
      </c>
      <c r="K3520" s="182">
        <f>(I3520*J3520)</f>
        <v>260.36640000000006</v>
      </c>
      <c r="Q3520" s="612"/>
      <c r="R3520" s="263"/>
      <c r="S3520" s="263"/>
      <c r="T3520" s="263"/>
    </row>
    <row r="3521" spans="1:21" x14ac:dyDescent="0.25">
      <c r="G3521" s="182" t="s">
        <v>83</v>
      </c>
      <c r="H3521" s="216" t="s">
        <v>84</v>
      </c>
      <c r="I3521" s="182">
        <v>0.34499999999999997</v>
      </c>
      <c r="J3521" s="182">
        <f>adopted_rate_sand</f>
        <v>3175.2000000000003</v>
      </c>
      <c r="K3521" s="182">
        <f>(I3521*J3521)</f>
        <v>1095.444</v>
      </c>
      <c r="Q3521" s="612"/>
      <c r="R3521" s="263"/>
      <c r="S3521" s="263"/>
      <c r="T3521" s="263"/>
    </row>
    <row r="3522" spans="1:21" x14ac:dyDescent="0.25">
      <c r="G3522" s="182" t="s">
        <v>931</v>
      </c>
      <c r="H3522" s="216" t="s">
        <v>84</v>
      </c>
      <c r="I3522" s="182">
        <v>0.33</v>
      </c>
      <c r="J3522" s="182">
        <f>adopted_rate_rubble</f>
        <v>2575.44</v>
      </c>
      <c r="K3522" s="182">
        <f>(I3522*J3522)</f>
        <v>849.89520000000005</v>
      </c>
      <c r="Q3522" s="613"/>
      <c r="R3522" s="263"/>
      <c r="S3522" s="263"/>
      <c r="T3522" s="263"/>
    </row>
    <row r="3523" spans="1:21" x14ac:dyDescent="0.25">
      <c r="A3523" s="537" t="s">
        <v>30</v>
      </c>
      <c r="B3523" s="537"/>
      <c r="C3523" s="537"/>
      <c r="D3523" s="537"/>
      <c r="E3523" s="537"/>
      <c r="F3523" s="184">
        <f>SUM(F3515:F3522)</f>
        <v>4985</v>
      </c>
      <c r="G3523" s="537" t="s">
        <v>31</v>
      </c>
      <c r="H3523" s="537"/>
      <c r="I3523" s="537"/>
      <c r="J3523" s="537"/>
      <c r="K3523" s="184">
        <f>SUM(K3515:K3522)</f>
        <v>6861.3571999999995</v>
      </c>
      <c r="L3523" s="537" t="s">
        <v>32</v>
      </c>
      <c r="M3523" s="537"/>
      <c r="N3523" s="537"/>
      <c r="O3523" s="537"/>
      <c r="P3523" s="184">
        <f>SUM(P3515:P3522)</f>
        <v>0</v>
      </c>
      <c r="Q3523" s="537" t="s">
        <v>38</v>
      </c>
      <c r="R3523" s="537"/>
      <c r="S3523" s="537"/>
      <c r="T3523" s="537"/>
      <c r="U3523" s="223">
        <f>SUM(U3516:U3522)</f>
        <v>444.24</v>
      </c>
    </row>
    <row r="3524" spans="1:21" x14ac:dyDescent="0.25">
      <c r="A3524" s="537" t="s">
        <v>33</v>
      </c>
      <c r="B3524" s="537"/>
      <c r="C3524" s="537"/>
      <c r="D3524" s="537"/>
      <c r="E3524" s="537"/>
      <c r="F3524" s="184">
        <f>SUM(F3523+K3523+P3523)</f>
        <v>11846.357199999999</v>
      </c>
      <c r="G3524" s="537" t="s">
        <v>39</v>
      </c>
      <c r="H3524" s="537"/>
      <c r="I3524" s="537"/>
      <c r="J3524" s="537"/>
      <c r="K3524" s="184">
        <f>SUM(F3523+K3523+P3523+U3523)</f>
        <v>12290.597199999998</v>
      </c>
      <c r="L3524" s="537" t="s">
        <v>40</v>
      </c>
      <c r="M3524" s="537"/>
      <c r="N3524" s="537"/>
      <c r="O3524" s="537"/>
      <c r="P3524" s="184">
        <f>SUM(K3524*0.15)</f>
        <v>1843.5895799999996</v>
      </c>
      <c r="Q3524" s="537" t="s">
        <v>41</v>
      </c>
      <c r="R3524" s="537"/>
      <c r="S3524" s="537"/>
      <c r="T3524" s="537"/>
      <c r="U3524" s="223">
        <f>SUM(K3524+P3524)</f>
        <v>14134.186779999998</v>
      </c>
    </row>
    <row r="3525" spans="1:21" x14ac:dyDescent="0.25">
      <c r="Q3525" s="537" t="s">
        <v>42</v>
      </c>
      <c r="R3525" s="537"/>
      <c r="S3525" s="537"/>
      <c r="T3525" s="537"/>
      <c r="U3525" s="226">
        <f>ROUND((U3524),2)</f>
        <v>14134.19</v>
      </c>
    </row>
    <row r="3526" spans="1:21" x14ac:dyDescent="0.25">
      <c r="A3526" s="544"/>
      <c r="B3526" s="544"/>
      <c r="C3526" s="544"/>
      <c r="D3526" s="544"/>
      <c r="E3526" s="544"/>
      <c r="F3526" s="544"/>
      <c r="G3526" s="544"/>
      <c r="H3526" s="544"/>
      <c r="I3526" s="544"/>
      <c r="J3526" s="544"/>
      <c r="K3526" s="544"/>
      <c r="L3526" s="544"/>
      <c r="M3526" s="544"/>
      <c r="N3526" s="544"/>
      <c r="O3526" s="544"/>
      <c r="P3526" s="544"/>
      <c r="Q3526" s="544"/>
      <c r="R3526" s="544"/>
      <c r="S3526" s="544"/>
      <c r="T3526" s="544"/>
      <c r="U3526" s="544"/>
    </row>
    <row r="3527" spans="1:21" x14ac:dyDescent="0.25">
      <c r="A3527" s="538" t="s">
        <v>12</v>
      </c>
      <c r="B3527" s="538"/>
      <c r="C3527" s="540" t="s">
        <v>1012</v>
      </c>
      <c r="D3527" s="540"/>
      <c r="E3527" s="540"/>
      <c r="F3527" s="540"/>
      <c r="G3527" s="540"/>
      <c r="H3527" s="540"/>
      <c r="I3527" s="540"/>
      <c r="J3527" s="540"/>
      <c r="K3527" s="540"/>
      <c r="L3527" s="540"/>
      <c r="M3527" s="540"/>
      <c r="N3527" s="540"/>
      <c r="O3527" s="540"/>
      <c r="P3527" s="540"/>
      <c r="Q3527" s="540"/>
      <c r="R3527" s="540"/>
      <c r="S3527" s="540"/>
      <c r="T3527" s="540"/>
      <c r="U3527" s="541" t="s">
        <v>549</v>
      </c>
    </row>
    <row r="3528" spans="1:21" x14ac:dyDescent="0.25">
      <c r="A3528" s="538"/>
      <c r="B3528" s="538"/>
      <c r="C3528" s="540"/>
      <c r="D3528" s="540"/>
      <c r="E3528" s="540"/>
      <c r="F3528" s="540"/>
      <c r="G3528" s="540"/>
      <c r="H3528" s="540"/>
      <c r="I3528" s="540"/>
      <c r="J3528" s="540"/>
      <c r="K3528" s="540"/>
      <c r="L3528" s="540"/>
      <c r="M3528" s="540"/>
      <c r="N3528" s="540"/>
      <c r="O3528" s="540"/>
      <c r="P3528" s="540"/>
      <c r="Q3528" s="540"/>
      <c r="R3528" s="540"/>
      <c r="S3528" s="540"/>
      <c r="T3528" s="540"/>
      <c r="U3528" s="541"/>
    </row>
    <row r="3529" spans="1:21" x14ac:dyDescent="0.25">
      <c r="A3529" s="539" t="s">
        <v>1011</v>
      </c>
      <c r="B3529" s="539"/>
      <c r="C3529" s="540"/>
      <c r="D3529" s="540"/>
      <c r="E3529" s="540"/>
      <c r="F3529" s="540"/>
      <c r="G3529" s="540"/>
      <c r="H3529" s="540"/>
      <c r="I3529" s="540"/>
      <c r="J3529" s="540"/>
      <c r="K3529" s="540"/>
      <c r="L3529" s="540"/>
      <c r="M3529" s="540"/>
      <c r="N3529" s="540"/>
      <c r="O3529" s="540"/>
      <c r="P3529" s="540"/>
      <c r="Q3529" s="540"/>
      <c r="R3529" s="540"/>
      <c r="S3529" s="540"/>
      <c r="T3529" s="540"/>
      <c r="U3529" s="541"/>
    </row>
    <row r="3530" spans="1:21" x14ac:dyDescent="0.25">
      <c r="A3530" s="542" t="s">
        <v>16</v>
      </c>
      <c r="B3530" s="543" t="s">
        <v>18</v>
      </c>
      <c r="C3530" s="543"/>
      <c r="D3530" s="543"/>
      <c r="E3530" s="543"/>
      <c r="F3530" s="543"/>
      <c r="G3530" s="543" t="s">
        <v>24</v>
      </c>
      <c r="H3530" s="543"/>
      <c r="I3530" s="543"/>
      <c r="J3530" s="543"/>
      <c r="K3530" s="543"/>
      <c r="L3530" s="543" t="s">
        <v>25</v>
      </c>
      <c r="M3530" s="543"/>
      <c r="N3530" s="543"/>
      <c r="O3530" s="543"/>
      <c r="P3530" s="543"/>
      <c r="Q3530" s="543" t="s">
        <v>26</v>
      </c>
      <c r="R3530" s="543"/>
      <c r="S3530" s="543"/>
      <c r="T3530" s="543"/>
      <c r="U3530" s="543"/>
    </row>
    <row r="3531" spans="1:21" x14ac:dyDescent="0.25">
      <c r="A3531" s="542"/>
      <c r="B3531" s="182" t="s">
        <v>19</v>
      </c>
      <c r="C3531" s="182" t="s">
        <v>20</v>
      </c>
      <c r="D3531" s="182" t="s">
        <v>21</v>
      </c>
      <c r="E3531" s="182" t="s">
        <v>22</v>
      </c>
      <c r="F3531" s="182" t="s">
        <v>23</v>
      </c>
      <c r="G3531" s="182" t="s">
        <v>19</v>
      </c>
      <c r="H3531" s="216" t="s">
        <v>20</v>
      </c>
      <c r="I3531" s="182" t="s">
        <v>21</v>
      </c>
      <c r="J3531" s="182" t="s">
        <v>22</v>
      </c>
      <c r="K3531" s="182" t="s">
        <v>23</v>
      </c>
      <c r="L3531" s="182" t="s">
        <v>19</v>
      </c>
      <c r="M3531" s="182" t="s">
        <v>20</v>
      </c>
      <c r="N3531" s="182" t="s">
        <v>21</v>
      </c>
      <c r="O3531" s="182" t="s">
        <v>22</v>
      </c>
      <c r="P3531" s="182" t="s">
        <v>23</v>
      </c>
      <c r="Q3531" s="182" t="s">
        <v>19</v>
      </c>
      <c r="R3531" s="182" t="s">
        <v>20</v>
      </c>
      <c r="S3531" s="182" t="s">
        <v>21</v>
      </c>
      <c r="T3531" s="182" t="s">
        <v>22</v>
      </c>
      <c r="U3531" s="211" t="s">
        <v>23</v>
      </c>
    </row>
    <row r="3532" spans="1:21" ht="31.5" x14ac:dyDescent="0.25">
      <c r="A3532" s="183" t="s">
        <v>1013</v>
      </c>
      <c r="B3532" s="182" t="s">
        <v>47</v>
      </c>
      <c r="C3532" s="182" t="s">
        <v>28</v>
      </c>
      <c r="D3532" s="182">
        <v>1</v>
      </c>
      <c r="E3532" s="182">
        <f>skilled</f>
        <v>1245</v>
      </c>
      <c r="F3532" s="184">
        <f>(D3532*E3532)</f>
        <v>1245</v>
      </c>
      <c r="G3532" s="182" t="s">
        <v>1014</v>
      </c>
      <c r="H3532" s="216" t="s">
        <v>75</v>
      </c>
      <c r="I3532" s="182">
        <v>11</v>
      </c>
      <c r="J3532" s="182">
        <f>adopted_rate_hume_pipe_dia_100_mm</f>
        <v>0</v>
      </c>
      <c r="K3532" s="182">
        <f>(I3532*J3532)</f>
        <v>0</v>
      </c>
    </row>
    <row r="3533" spans="1:21" x14ac:dyDescent="0.25">
      <c r="B3533" s="182" t="s">
        <v>29</v>
      </c>
      <c r="C3533" s="182" t="s">
        <v>28</v>
      </c>
      <c r="D3533" s="182">
        <v>3</v>
      </c>
      <c r="E3533" s="182">
        <f>unskilled</f>
        <v>935</v>
      </c>
      <c r="F3533" s="184">
        <f>(D3533*E3533)</f>
        <v>2805</v>
      </c>
      <c r="G3533" s="182" t="s">
        <v>1015</v>
      </c>
      <c r="H3533" s="216" t="s">
        <v>84</v>
      </c>
      <c r="I3533" s="182">
        <v>2.4</v>
      </c>
      <c r="J3533" s="182" t="e">
        <f>adopted_rate_aggregate</f>
        <v>#NAME?</v>
      </c>
      <c r="K3533" s="182" t="e">
        <f>(I3533*J3533)</f>
        <v>#NAME?</v>
      </c>
    </row>
    <row r="3534" spans="1:21" x14ac:dyDescent="0.25">
      <c r="A3534" s="537" t="s">
        <v>30</v>
      </c>
      <c r="B3534" s="537"/>
      <c r="C3534" s="537"/>
      <c r="D3534" s="537"/>
      <c r="E3534" s="537"/>
      <c r="F3534" s="184">
        <f>SUM(F3531:F3533)</f>
        <v>4050</v>
      </c>
      <c r="G3534" s="537" t="s">
        <v>31</v>
      </c>
      <c r="H3534" s="537"/>
      <c r="I3534" s="537"/>
      <c r="J3534" s="537"/>
      <c r="K3534" s="184" t="e">
        <f>SUM(K3531:K3533)</f>
        <v>#NAME?</v>
      </c>
      <c r="L3534" s="537" t="s">
        <v>32</v>
      </c>
      <c r="M3534" s="537"/>
      <c r="N3534" s="537"/>
      <c r="O3534" s="537"/>
      <c r="P3534" s="184">
        <f>SUM(P3531:P3533)</f>
        <v>0</v>
      </c>
      <c r="Q3534" s="537" t="s">
        <v>38</v>
      </c>
      <c r="R3534" s="537"/>
      <c r="S3534" s="537"/>
      <c r="T3534" s="537"/>
      <c r="U3534" s="223">
        <f>SUM(U3531:U3533)</f>
        <v>0</v>
      </c>
    </row>
    <row r="3535" spans="1:21" x14ac:dyDescent="0.25">
      <c r="A3535" s="537" t="s">
        <v>33</v>
      </c>
      <c r="B3535" s="537"/>
      <c r="C3535" s="537"/>
      <c r="D3535" s="537"/>
      <c r="E3535" s="537"/>
      <c r="F3535" s="184" t="e">
        <f>SUM(F3534+K3534+P3534)</f>
        <v>#NAME?</v>
      </c>
      <c r="G3535" s="537" t="s">
        <v>39</v>
      </c>
      <c r="H3535" s="537"/>
      <c r="I3535" s="537"/>
      <c r="J3535" s="537"/>
      <c r="K3535" s="184" t="e">
        <f>SUM(F3534+K3534+P3534+U3534)</f>
        <v>#NAME?</v>
      </c>
      <c r="L3535" s="537" t="s">
        <v>40</v>
      </c>
      <c r="M3535" s="537"/>
      <c r="N3535" s="537"/>
      <c r="O3535" s="537"/>
      <c r="P3535" s="184" t="e">
        <f>SUM(K3535*0.15)</f>
        <v>#NAME?</v>
      </c>
      <c r="Q3535" s="537" t="s">
        <v>41</v>
      </c>
      <c r="R3535" s="537"/>
      <c r="S3535" s="537"/>
      <c r="T3535" s="537"/>
      <c r="U3535" s="223" t="e">
        <f>SUM(K3535+P3535)</f>
        <v>#NAME?</v>
      </c>
    </row>
    <row r="3536" spans="1:21" x14ac:dyDescent="0.25">
      <c r="Q3536" s="537" t="s">
        <v>42</v>
      </c>
      <c r="R3536" s="537"/>
      <c r="S3536" s="537"/>
      <c r="T3536" s="537"/>
      <c r="U3536" s="224" t="e">
        <f>ROUND((U3535/10),2)</f>
        <v>#NAME?</v>
      </c>
    </row>
    <row r="3537" spans="1:21" x14ac:dyDescent="0.25">
      <c r="A3537" s="544"/>
      <c r="B3537" s="544"/>
      <c r="C3537" s="544"/>
      <c r="D3537" s="544"/>
      <c r="E3537" s="544"/>
      <c r="F3537" s="544"/>
      <c r="G3537" s="544"/>
      <c r="H3537" s="544"/>
      <c r="I3537" s="544"/>
      <c r="J3537" s="544"/>
      <c r="K3537" s="544"/>
      <c r="L3537" s="544"/>
      <c r="M3537" s="544"/>
      <c r="N3537" s="544"/>
      <c r="O3537" s="544"/>
      <c r="P3537" s="544"/>
      <c r="Q3537" s="544"/>
      <c r="R3537" s="544"/>
      <c r="S3537" s="544"/>
      <c r="T3537" s="544"/>
      <c r="U3537" s="544"/>
    </row>
    <row r="3538" spans="1:21" x14ac:dyDescent="0.25">
      <c r="A3538" s="538" t="s">
        <v>12</v>
      </c>
      <c r="B3538" s="538"/>
      <c r="C3538" s="540" t="s">
        <v>1017</v>
      </c>
      <c r="D3538" s="540"/>
      <c r="E3538" s="540"/>
      <c r="F3538" s="540"/>
      <c r="G3538" s="540"/>
      <c r="H3538" s="540"/>
      <c r="I3538" s="540"/>
      <c r="J3538" s="540"/>
      <c r="K3538" s="540"/>
      <c r="L3538" s="540"/>
      <c r="M3538" s="540"/>
      <c r="N3538" s="540"/>
      <c r="O3538" s="540"/>
      <c r="P3538" s="540"/>
      <c r="Q3538" s="540"/>
      <c r="R3538" s="540"/>
      <c r="S3538" s="540"/>
      <c r="T3538" s="540"/>
      <c r="U3538" s="541" t="s">
        <v>1018</v>
      </c>
    </row>
    <row r="3539" spans="1:21" x14ac:dyDescent="0.25">
      <c r="A3539" s="538"/>
      <c r="B3539" s="538"/>
      <c r="C3539" s="540"/>
      <c r="D3539" s="540"/>
      <c r="E3539" s="540"/>
      <c r="F3539" s="540"/>
      <c r="G3539" s="540"/>
      <c r="H3539" s="540"/>
      <c r="I3539" s="540"/>
      <c r="J3539" s="540"/>
      <c r="K3539" s="540"/>
      <c r="L3539" s="540"/>
      <c r="M3539" s="540"/>
      <c r="N3539" s="540"/>
      <c r="O3539" s="540"/>
      <c r="P3539" s="540"/>
      <c r="Q3539" s="540"/>
      <c r="R3539" s="540"/>
      <c r="S3539" s="540"/>
      <c r="T3539" s="540"/>
      <c r="U3539" s="541"/>
    </row>
    <row r="3540" spans="1:21" x14ac:dyDescent="0.25">
      <c r="A3540" s="539" t="s">
        <v>1016</v>
      </c>
      <c r="B3540" s="539"/>
      <c r="C3540" s="540"/>
      <c r="D3540" s="540"/>
      <c r="E3540" s="540"/>
      <c r="F3540" s="540"/>
      <c r="G3540" s="540"/>
      <c r="H3540" s="540"/>
      <c r="I3540" s="540"/>
      <c r="J3540" s="540"/>
      <c r="K3540" s="540"/>
      <c r="L3540" s="540"/>
      <c r="M3540" s="540"/>
      <c r="N3540" s="540"/>
      <c r="O3540" s="540"/>
      <c r="P3540" s="540"/>
      <c r="Q3540" s="540"/>
      <c r="R3540" s="540"/>
      <c r="S3540" s="540"/>
      <c r="T3540" s="540"/>
      <c r="U3540" s="541"/>
    </row>
    <row r="3541" spans="1:21" x14ac:dyDescent="0.25">
      <c r="A3541" s="542" t="s">
        <v>16</v>
      </c>
      <c r="B3541" s="543" t="s">
        <v>18</v>
      </c>
      <c r="C3541" s="543"/>
      <c r="D3541" s="543"/>
      <c r="E3541" s="543"/>
      <c r="F3541" s="543"/>
      <c r="G3541" s="543" t="s">
        <v>24</v>
      </c>
      <c r="H3541" s="543"/>
      <c r="I3541" s="543"/>
      <c r="J3541" s="543"/>
      <c r="K3541" s="543"/>
      <c r="L3541" s="543" t="s">
        <v>25</v>
      </c>
      <c r="M3541" s="543"/>
      <c r="N3541" s="543"/>
      <c r="O3541" s="543"/>
      <c r="P3541" s="543"/>
      <c r="Q3541" s="543" t="s">
        <v>26</v>
      </c>
      <c r="R3541" s="543"/>
      <c r="S3541" s="543"/>
      <c r="T3541" s="543"/>
      <c r="U3541" s="543"/>
    </row>
    <row r="3542" spans="1:21" x14ac:dyDescent="0.25">
      <c r="A3542" s="542"/>
      <c r="B3542" s="182" t="s">
        <v>19</v>
      </c>
      <c r="C3542" s="182" t="s">
        <v>20</v>
      </c>
      <c r="D3542" s="182" t="s">
        <v>21</v>
      </c>
      <c r="E3542" s="182" t="s">
        <v>22</v>
      </c>
      <c r="F3542" s="182" t="s">
        <v>23</v>
      </c>
      <c r="G3542" s="182" t="s">
        <v>19</v>
      </c>
      <c r="H3542" s="216" t="s">
        <v>20</v>
      </c>
      <c r="I3542" s="182" t="s">
        <v>21</v>
      </c>
      <c r="J3542" s="182" t="s">
        <v>22</v>
      </c>
      <c r="K3542" s="182" t="s">
        <v>23</v>
      </c>
      <c r="L3542" s="182" t="s">
        <v>19</v>
      </c>
      <c r="M3542" s="182" t="s">
        <v>20</v>
      </c>
      <c r="N3542" s="182" t="s">
        <v>21</v>
      </c>
      <c r="O3542" s="182" t="s">
        <v>22</v>
      </c>
      <c r="P3542" s="182" t="s">
        <v>23</v>
      </c>
      <c r="Q3542" s="182" t="s">
        <v>19</v>
      </c>
      <c r="R3542" s="182" t="s">
        <v>20</v>
      </c>
      <c r="S3542" s="182" t="s">
        <v>21</v>
      </c>
      <c r="T3542" s="182" t="s">
        <v>22</v>
      </c>
      <c r="U3542" s="211" t="s">
        <v>23</v>
      </c>
    </row>
    <row r="3543" spans="1:21" x14ac:dyDescent="0.25">
      <c r="A3543" s="183" t="s">
        <v>1019</v>
      </c>
      <c r="B3543" s="182" t="s">
        <v>47</v>
      </c>
      <c r="C3543" s="182" t="s">
        <v>28</v>
      </c>
      <c r="D3543" s="182">
        <v>6</v>
      </c>
      <c r="E3543" s="182">
        <f>skilled</f>
        <v>1245</v>
      </c>
      <c r="F3543" s="184">
        <f>(D3543*E3543)</f>
        <v>7470</v>
      </c>
      <c r="G3543" s="182" t="s">
        <v>1020</v>
      </c>
      <c r="H3543" s="216" t="s">
        <v>49</v>
      </c>
      <c r="I3543" s="182">
        <v>2800</v>
      </c>
      <c r="J3543" s="182">
        <f>adopted_rate_bricks_1st_class</f>
        <v>15.14</v>
      </c>
      <c r="K3543" s="182">
        <f>(I3543*J3543)</f>
        <v>42392</v>
      </c>
    </row>
    <row r="3544" spans="1:21" x14ac:dyDescent="0.25">
      <c r="B3544" s="182" t="s">
        <v>29</v>
      </c>
      <c r="C3544" s="182" t="s">
        <v>28</v>
      </c>
      <c r="D3544" s="182">
        <v>12</v>
      </c>
      <c r="E3544" s="182">
        <f>unskilled</f>
        <v>935</v>
      </c>
      <c r="F3544" s="184">
        <f>(D3544*E3544)</f>
        <v>11220</v>
      </c>
      <c r="G3544" s="182" t="s">
        <v>85</v>
      </c>
      <c r="H3544" s="216" t="s">
        <v>35</v>
      </c>
      <c r="I3544" s="182">
        <v>0.8</v>
      </c>
      <c r="J3544" s="182">
        <f>adopted_rate_cement</f>
        <v>13031</v>
      </c>
      <c r="K3544" s="182">
        <f>(I3544*J3544)</f>
        <v>10424.800000000001</v>
      </c>
    </row>
    <row r="3545" spans="1:21" x14ac:dyDescent="0.25">
      <c r="G3545" s="182" t="s">
        <v>83</v>
      </c>
      <c r="H3545" s="216" t="s">
        <v>84</v>
      </c>
      <c r="I3545" s="182">
        <v>1.1200000000000001</v>
      </c>
      <c r="J3545" s="182">
        <f>adopted_rate_sand</f>
        <v>3175.2000000000003</v>
      </c>
      <c r="K3545" s="182">
        <f>(I3545*J3545)</f>
        <v>3556.2240000000006</v>
      </c>
    </row>
    <row r="3546" spans="1:21" x14ac:dyDescent="0.25">
      <c r="G3546" s="182" t="s">
        <v>171</v>
      </c>
      <c r="H3546" s="216" t="s">
        <v>1021</v>
      </c>
      <c r="I3546" s="182">
        <v>0.1</v>
      </c>
      <c r="J3546" s="182">
        <f>adopted_rate_water</f>
        <v>310</v>
      </c>
      <c r="K3546" s="182">
        <f>(I3546*J3546)</f>
        <v>31</v>
      </c>
    </row>
    <row r="3547" spans="1:21" x14ac:dyDescent="0.25">
      <c r="A3547" s="537" t="s">
        <v>30</v>
      </c>
      <c r="B3547" s="537"/>
      <c r="C3547" s="537"/>
      <c r="D3547" s="537"/>
      <c r="E3547" s="537"/>
      <c r="F3547" s="184">
        <f>SUM(F3542:F3546)</f>
        <v>18690</v>
      </c>
      <c r="G3547" s="537" t="s">
        <v>31</v>
      </c>
      <c r="H3547" s="537"/>
      <c r="I3547" s="537"/>
      <c r="J3547" s="537"/>
      <c r="K3547" s="184">
        <f>SUM(K3542:K3546)</f>
        <v>56404.024000000005</v>
      </c>
      <c r="L3547" s="537" t="s">
        <v>32</v>
      </c>
      <c r="M3547" s="537"/>
      <c r="N3547" s="537"/>
      <c r="O3547" s="537"/>
      <c r="P3547" s="184">
        <f>SUM(P3542:P3546)</f>
        <v>0</v>
      </c>
      <c r="Q3547" s="537" t="s">
        <v>38</v>
      </c>
      <c r="R3547" s="537"/>
      <c r="S3547" s="537"/>
      <c r="T3547" s="537"/>
      <c r="U3547" s="223">
        <f>SUM(U3542:U3546)</f>
        <v>0</v>
      </c>
    </row>
    <row r="3548" spans="1:21" x14ac:dyDescent="0.25">
      <c r="A3548" s="537" t="s">
        <v>33</v>
      </c>
      <c r="B3548" s="537"/>
      <c r="C3548" s="537"/>
      <c r="D3548" s="537"/>
      <c r="E3548" s="537"/>
      <c r="F3548" s="184">
        <f>SUM(F3547+K3547+P3547)</f>
        <v>75094.024000000005</v>
      </c>
      <c r="G3548" s="537" t="s">
        <v>39</v>
      </c>
      <c r="H3548" s="537"/>
      <c r="I3548" s="537"/>
      <c r="J3548" s="537"/>
      <c r="K3548" s="184">
        <f>SUM(F3547+K3547+P3547+U3547)</f>
        <v>75094.024000000005</v>
      </c>
      <c r="L3548" s="537" t="s">
        <v>40</v>
      </c>
      <c r="M3548" s="537"/>
      <c r="N3548" s="537"/>
      <c r="O3548" s="537"/>
      <c r="P3548" s="184">
        <f>SUM(K3548*0.15)</f>
        <v>11264.1036</v>
      </c>
      <c r="Q3548" s="537" t="s">
        <v>41</v>
      </c>
      <c r="R3548" s="537"/>
      <c r="S3548" s="537"/>
      <c r="T3548" s="537"/>
      <c r="U3548" s="223">
        <f>SUM(K3548+P3548)</f>
        <v>86358.127600000007</v>
      </c>
    </row>
    <row r="3549" spans="1:21" x14ac:dyDescent="0.25">
      <c r="Q3549" s="537" t="s">
        <v>42</v>
      </c>
      <c r="R3549" s="537"/>
      <c r="S3549" s="537"/>
      <c r="T3549" s="537"/>
      <c r="U3549" s="224">
        <f>ROUND((U3548/5),2)</f>
        <v>17271.63</v>
      </c>
    </row>
    <row r="3550" spans="1:21" x14ac:dyDescent="0.25">
      <c r="A3550" s="544"/>
      <c r="B3550" s="544"/>
      <c r="C3550" s="544"/>
      <c r="D3550" s="544"/>
      <c r="E3550" s="544"/>
      <c r="F3550" s="544"/>
      <c r="G3550" s="544"/>
      <c r="H3550" s="544"/>
      <c r="I3550" s="544"/>
      <c r="J3550" s="544"/>
      <c r="K3550" s="544"/>
      <c r="L3550" s="544"/>
      <c r="M3550" s="544"/>
      <c r="N3550" s="544"/>
      <c r="O3550" s="544"/>
      <c r="P3550" s="544"/>
      <c r="Q3550" s="544"/>
      <c r="R3550" s="544"/>
      <c r="S3550" s="544"/>
      <c r="T3550" s="544"/>
      <c r="U3550" s="544"/>
    </row>
    <row r="3551" spans="1:21" x14ac:dyDescent="0.25">
      <c r="A3551" s="538" t="s">
        <v>12</v>
      </c>
      <c r="B3551" s="538"/>
      <c r="C3551" s="540" t="s">
        <v>1022</v>
      </c>
      <c r="D3551" s="540"/>
      <c r="E3551" s="540"/>
      <c r="F3551" s="540"/>
      <c r="G3551" s="540"/>
      <c r="H3551" s="540"/>
      <c r="I3551" s="540"/>
      <c r="J3551" s="540"/>
      <c r="K3551" s="540"/>
      <c r="L3551" s="540"/>
      <c r="M3551" s="540"/>
      <c r="N3551" s="540"/>
      <c r="O3551" s="540"/>
      <c r="P3551" s="540"/>
      <c r="Q3551" s="540"/>
      <c r="R3551" s="540"/>
      <c r="S3551" s="540"/>
      <c r="T3551" s="540"/>
      <c r="U3551" s="541" t="s">
        <v>1018</v>
      </c>
    </row>
    <row r="3552" spans="1:21" x14ac:dyDescent="0.25">
      <c r="A3552" s="538"/>
      <c r="B3552" s="538"/>
      <c r="C3552" s="540"/>
      <c r="D3552" s="540"/>
      <c r="E3552" s="540"/>
      <c r="F3552" s="540"/>
      <c r="G3552" s="540"/>
      <c r="H3552" s="540"/>
      <c r="I3552" s="540"/>
      <c r="J3552" s="540"/>
      <c r="K3552" s="540"/>
      <c r="L3552" s="540"/>
      <c r="M3552" s="540"/>
      <c r="N3552" s="540"/>
      <c r="O3552" s="540"/>
      <c r="P3552" s="540"/>
      <c r="Q3552" s="540"/>
      <c r="R3552" s="540"/>
      <c r="S3552" s="540"/>
      <c r="T3552" s="540"/>
      <c r="U3552" s="541"/>
    </row>
    <row r="3553" spans="1:21" x14ac:dyDescent="0.25">
      <c r="A3553" s="539" t="s">
        <v>1016</v>
      </c>
      <c r="B3553" s="539"/>
      <c r="C3553" s="540"/>
      <c r="D3553" s="540"/>
      <c r="E3553" s="540"/>
      <c r="F3553" s="540"/>
      <c r="G3553" s="540"/>
      <c r="H3553" s="540"/>
      <c r="I3553" s="540"/>
      <c r="J3553" s="540"/>
      <c r="K3553" s="540"/>
      <c r="L3553" s="540"/>
      <c r="M3553" s="540"/>
      <c r="N3553" s="540"/>
      <c r="O3553" s="540"/>
      <c r="P3553" s="540"/>
      <c r="Q3553" s="540"/>
      <c r="R3553" s="540"/>
      <c r="S3553" s="540"/>
      <c r="T3553" s="540"/>
      <c r="U3553" s="541"/>
    </row>
    <row r="3554" spans="1:21" x14ac:dyDescent="0.25">
      <c r="A3554" s="542" t="s">
        <v>16</v>
      </c>
      <c r="B3554" s="543" t="s">
        <v>18</v>
      </c>
      <c r="C3554" s="543"/>
      <c r="D3554" s="543"/>
      <c r="E3554" s="543"/>
      <c r="F3554" s="543"/>
      <c r="G3554" s="543" t="s">
        <v>24</v>
      </c>
      <c r="H3554" s="543"/>
      <c r="I3554" s="543"/>
      <c r="J3554" s="543"/>
      <c r="K3554" s="543"/>
      <c r="L3554" s="543" t="s">
        <v>25</v>
      </c>
      <c r="M3554" s="543"/>
      <c r="N3554" s="543"/>
      <c r="O3554" s="543"/>
      <c r="P3554" s="543"/>
      <c r="Q3554" s="543" t="s">
        <v>26</v>
      </c>
      <c r="R3554" s="543"/>
      <c r="S3554" s="543"/>
      <c r="T3554" s="543"/>
      <c r="U3554" s="543"/>
    </row>
    <row r="3555" spans="1:21" x14ac:dyDescent="0.25">
      <c r="A3555" s="542"/>
      <c r="B3555" s="182" t="s">
        <v>19</v>
      </c>
      <c r="C3555" s="182" t="s">
        <v>20</v>
      </c>
      <c r="D3555" s="182" t="s">
        <v>21</v>
      </c>
      <c r="E3555" s="182" t="s">
        <v>22</v>
      </c>
      <c r="F3555" s="182" t="s">
        <v>23</v>
      </c>
      <c r="G3555" s="182" t="s">
        <v>19</v>
      </c>
      <c r="H3555" s="216" t="s">
        <v>20</v>
      </c>
      <c r="I3555" s="182" t="s">
        <v>21</v>
      </c>
      <c r="J3555" s="182" t="s">
        <v>22</v>
      </c>
      <c r="K3555" s="182" t="s">
        <v>23</v>
      </c>
      <c r="L3555" s="182" t="s">
        <v>19</v>
      </c>
      <c r="M3555" s="182" t="s">
        <v>20</v>
      </c>
      <c r="N3555" s="182" t="s">
        <v>21</v>
      </c>
      <c r="O3555" s="182" t="s">
        <v>22</v>
      </c>
      <c r="P3555" s="182" t="s">
        <v>23</v>
      </c>
      <c r="Q3555" s="182" t="s">
        <v>19</v>
      </c>
      <c r="R3555" s="182" t="s">
        <v>20</v>
      </c>
      <c r="S3555" s="182" t="s">
        <v>21</v>
      </c>
      <c r="T3555" s="182" t="s">
        <v>22</v>
      </c>
      <c r="U3555" s="211" t="s">
        <v>23</v>
      </c>
    </row>
    <row r="3556" spans="1:21" ht="31.5" x14ac:dyDescent="0.25">
      <c r="A3556" s="183" t="s">
        <v>1023</v>
      </c>
      <c r="B3556" s="182" t="s">
        <v>47</v>
      </c>
      <c r="C3556" s="182" t="s">
        <v>28</v>
      </c>
      <c r="D3556" s="182">
        <v>6</v>
      </c>
      <c r="E3556" s="182">
        <f>skilled</f>
        <v>1245</v>
      </c>
      <c r="F3556" s="184">
        <f>(D3556*E3556)</f>
        <v>7470</v>
      </c>
      <c r="G3556" s="182" t="s">
        <v>1020</v>
      </c>
      <c r="H3556" s="216" t="s">
        <v>49</v>
      </c>
      <c r="I3556" s="182">
        <v>2800</v>
      </c>
      <c r="J3556" s="182">
        <f>adopted_rate_bricks_1st_class</f>
        <v>15.14</v>
      </c>
      <c r="K3556" s="182">
        <f>(I3556*J3556)</f>
        <v>42392</v>
      </c>
    </row>
    <row r="3557" spans="1:21" x14ac:dyDescent="0.25">
      <c r="B3557" s="182" t="s">
        <v>29</v>
      </c>
      <c r="C3557" s="182" t="s">
        <v>28</v>
      </c>
      <c r="D3557" s="182">
        <v>9</v>
      </c>
      <c r="E3557" s="182">
        <f>unskilled</f>
        <v>935</v>
      </c>
      <c r="F3557" s="184">
        <f>(D3557*E3557)</f>
        <v>8415</v>
      </c>
      <c r="G3557" s="182" t="s">
        <v>85</v>
      </c>
      <c r="H3557" s="216" t="s">
        <v>35</v>
      </c>
      <c r="I3557" s="182">
        <v>0.8</v>
      </c>
      <c r="J3557" s="182">
        <f>adopted_rate_cement</f>
        <v>13031</v>
      </c>
      <c r="K3557" s="182">
        <f>(I3557*J3557)</f>
        <v>10424.800000000001</v>
      </c>
    </row>
    <row r="3558" spans="1:21" x14ac:dyDescent="0.25">
      <c r="G3558" s="182" t="s">
        <v>83</v>
      </c>
      <c r="H3558" s="216" t="s">
        <v>84</v>
      </c>
      <c r="I3558" s="182">
        <v>1.1200000000000001</v>
      </c>
      <c r="J3558" s="182">
        <f>adopted_rate_sand</f>
        <v>3175.2000000000003</v>
      </c>
      <c r="K3558" s="182">
        <f>(I3558*J3558)</f>
        <v>3556.2240000000006</v>
      </c>
    </row>
    <row r="3559" spans="1:21" x14ac:dyDescent="0.25">
      <c r="G3559" s="182" t="s">
        <v>171</v>
      </c>
      <c r="H3559" s="216" t="s">
        <v>1021</v>
      </c>
      <c r="I3559" s="182">
        <v>0.1</v>
      </c>
      <c r="J3559" s="182">
        <f>adopted_rate_water</f>
        <v>310</v>
      </c>
      <c r="K3559" s="182">
        <f>(I3559*J3559)</f>
        <v>31</v>
      </c>
    </row>
    <row r="3560" spans="1:21" x14ac:dyDescent="0.25">
      <c r="A3560" s="537" t="s">
        <v>30</v>
      </c>
      <c r="B3560" s="537"/>
      <c r="C3560" s="537"/>
      <c r="D3560" s="537"/>
      <c r="E3560" s="537"/>
      <c r="F3560" s="184">
        <f>SUM(F3555:F3559)</f>
        <v>15885</v>
      </c>
      <c r="G3560" s="537" t="s">
        <v>31</v>
      </c>
      <c r="H3560" s="537"/>
      <c r="I3560" s="537"/>
      <c r="J3560" s="537"/>
      <c r="K3560" s="184">
        <f>SUM(K3555:K3559)</f>
        <v>56404.024000000005</v>
      </c>
      <c r="L3560" s="537" t="s">
        <v>32</v>
      </c>
      <c r="M3560" s="537"/>
      <c r="N3560" s="537"/>
      <c r="O3560" s="537"/>
      <c r="P3560" s="184">
        <f>SUM(P3555:P3559)</f>
        <v>0</v>
      </c>
      <c r="Q3560" s="537" t="s">
        <v>38</v>
      </c>
      <c r="R3560" s="537"/>
      <c r="S3560" s="537"/>
      <c r="T3560" s="537"/>
      <c r="U3560" s="223">
        <f>SUM(U3555:U3559)</f>
        <v>0</v>
      </c>
    </row>
    <row r="3561" spans="1:21" x14ac:dyDescent="0.25">
      <c r="A3561" s="537" t="s">
        <v>33</v>
      </c>
      <c r="B3561" s="537"/>
      <c r="C3561" s="537"/>
      <c r="D3561" s="537"/>
      <c r="E3561" s="537"/>
      <c r="F3561" s="184">
        <f>SUM(F3560+K3560+P3560)</f>
        <v>72289.024000000005</v>
      </c>
      <c r="G3561" s="537" t="s">
        <v>39</v>
      </c>
      <c r="H3561" s="537"/>
      <c r="I3561" s="537"/>
      <c r="J3561" s="537"/>
      <c r="K3561" s="184">
        <f>SUM(F3560+K3560+P3560+U3560)</f>
        <v>72289.024000000005</v>
      </c>
      <c r="L3561" s="537" t="s">
        <v>40</v>
      </c>
      <c r="M3561" s="537"/>
      <c r="N3561" s="537"/>
      <c r="O3561" s="537"/>
      <c r="P3561" s="184">
        <f>SUM(K3561*0.15)</f>
        <v>10843.3536</v>
      </c>
      <c r="Q3561" s="537" t="s">
        <v>41</v>
      </c>
      <c r="R3561" s="537"/>
      <c r="S3561" s="537"/>
      <c r="T3561" s="537"/>
      <c r="U3561" s="223">
        <f>SUM(K3561+P3561)</f>
        <v>83132.377600000007</v>
      </c>
    </row>
    <row r="3562" spans="1:21" x14ac:dyDescent="0.25">
      <c r="Q3562" s="537" t="s">
        <v>42</v>
      </c>
      <c r="R3562" s="537"/>
      <c r="S3562" s="537"/>
      <c r="T3562" s="537"/>
      <c r="U3562" s="224">
        <f>ROUND((U3561/5),2)</f>
        <v>16626.48</v>
      </c>
    </row>
    <row r="3563" spans="1:21" x14ac:dyDescent="0.25">
      <c r="A3563" s="544"/>
      <c r="B3563" s="544"/>
      <c r="C3563" s="544"/>
      <c r="D3563" s="544"/>
      <c r="E3563" s="544"/>
      <c r="F3563" s="544"/>
      <c r="G3563" s="544"/>
      <c r="H3563" s="544"/>
      <c r="I3563" s="544"/>
      <c r="J3563" s="544"/>
      <c r="K3563" s="544"/>
      <c r="L3563" s="544"/>
      <c r="M3563" s="544"/>
      <c r="N3563" s="544"/>
      <c r="O3563" s="544"/>
      <c r="P3563" s="544"/>
      <c r="Q3563" s="544"/>
      <c r="R3563" s="544"/>
      <c r="S3563" s="544"/>
      <c r="T3563" s="544"/>
      <c r="U3563" s="544"/>
    </row>
    <row r="3564" spans="1:21" x14ac:dyDescent="0.25">
      <c r="A3564" s="538" t="s">
        <v>12</v>
      </c>
      <c r="B3564" s="538"/>
      <c r="C3564" s="540" t="s">
        <v>1024</v>
      </c>
      <c r="D3564" s="540"/>
      <c r="E3564" s="540"/>
      <c r="F3564" s="540"/>
      <c r="G3564" s="540"/>
      <c r="H3564" s="540"/>
      <c r="I3564" s="540"/>
      <c r="J3564" s="540"/>
      <c r="K3564" s="540"/>
      <c r="L3564" s="540"/>
      <c r="M3564" s="540"/>
      <c r="N3564" s="540"/>
      <c r="O3564" s="540"/>
      <c r="P3564" s="540"/>
      <c r="Q3564" s="540"/>
      <c r="R3564" s="540"/>
      <c r="S3564" s="540"/>
      <c r="T3564" s="540"/>
      <c r="U3564" s="541" t="s">
        <v>1018</v>
      </c>
    </row>
    <row r="3565" spans="1:21" x14ac:dyDescent="0.25">
      <c r="A3565" s="538"/>
      <c r="B3565" s="538"/>
      <c r="C3565" s="540"/>
      <c r="D3565" s="540"/>
      <c r="E3565" s="540"/>
      <c r="F3565" s="540"/>
      <c r="G3565" s="540"/>
      <c r="H3565" s="540"/>
      <c r="I3565" s="540"/>
      <c r="J3565" s="540"/>
      <c r="K3565" s="540"/>
      <c r="L3565" s="540"/>
      <c r="M3565" s="540"/>
      <c r="N3565" s="540"/>
      <c r="O3565" s="540"/>
      <c r="P3565" s="540"/>
      <c r="Q3565" s="540"/>
      <c r="R3565" s="540"/>
      <c r="S3565" s="540"/>
      <c r="T3565" s="540"/>
      <c r="U3565" s="541"/>
    </row>
    <row r="3566" spans="1:21" x14ac:dyDescent="0.25">
      <c r="A3566" s="539" t="s">
        <v>1016</v>
      </c>
      <c r="B3566" s="539"/>
      <c r="C3566" s="540"/>
      <c r="D3566" s="540"/>
      <c r="E3566" s="540"/>
      <c r="F3566" s="540"/>
      <c r="G3566" s="540"/>
      <c r="H3566" s="540"/>
      <c r="I3566" s="540"/>
      <c r="J3566" s="540"/>
      <c r="K3566" s="540"/>
      <c r="L3566" s="540"/>
      <c r="M3566" s="540"/>
      <c r="N3566" s="540"/>
      <c r="O3566" s="540"/>
      <c r="P3566" s="540"/>
      <c r="Q3566" s="540"/>
      <c r="R3566" s="540"/>
      <c r="S3566" s="540"/>
      <c r="T3566" s="540"/>
      <c r="U3566" s="541"/>
    </row>
    <row r="3567" spans="1:21" x14ac:dyDescent="0.25">
      <c r="A3567" s="542" t="s">
        <v>16</v>
      </c>
      <c r="B3567" s="543" t="s">
        <v>18</v>
      </c>
      <c r="C3567" s="543"/>
      <c r="D3567" s="543"/>
      <c r="E3567" s="543"/>
      <c r="F3567" s="543"/>
      <c r="G3567" s="543" t="s">
        <v>24</v>
      </c>
      <c r="H3567" s="543"/>
      <c r="I3567" s="543"/>
      <c r="J3567" s="543"/>
      <c r="K3567" s="543"/>
      <c r="L3567" s="543" t="s">
        <v>25</v>
      </c>
      <c r="M3567" s="543"/>
      <c r="N3567" s="543"/>
      <c r="O3567" s="543"/>
      <c r="P3567" s="543"/>
      <c r="Q3567" s="543" t="s">
        <v>26</v>
      </c>
      <c r="R3567" s="543"/>
      <c r="S3567" s="543"/>
      <c r="T3567" s="543"/>
      <c r="U3567" s="543"/>
    </row>
    <row r="3568" spans="1:21" x14ac:dyDescent="0.25">
      <c r="A3568" s="542"/>
      <c r="B3568" s="182" t="s">
        <v>19</v>
      </c>
      <c r="C3568" s="182" t="s">
        <v>20</v>
      </c>
      <c r="D3568" s="182" t="s">
        <v>21</v>
      </c>
      <c r="E3568" s="182" t="s">
        <v>22</v>
      </c>
      <c r="F3568" s="182" t="s">
        <v>23</v>
      </c>
      <c r="G3568" s="182" t="s">
        <v>19</v>
      </c>
      <c r="H3568" s="216" t="s">
        <v>20</v>
      </c>
      <c r="I3568" s="182" t="s">
        <v>21</v>
      </c>
      <c r="J3568" s="182" t="s">
        <v>22</v>
      </c>
      <c r="K3568" s="182" t="s">
        <v>23</v>
      </c>
      <c r="L3568" s="182" t="s">
        <v>19</v>
      </c>
      <c r="M3568" s="182" t="s">
        <v>20</v>
      </c>
      <c r="N3568" s="182" t="s">
        <v>21</v>
      </c>
      <c r="O3568" s="182" t="s">
        <v>22</v>
      </c>
      <c r="P3568" s="182" t="s">
        <v>23</v>
      </c>
      <c r="Q3568" s="182" t="s">
        <v>19</v>
      </c>
      <c r="R3568" s="182" t="s">
        <v>20</v>
      </c>
      <c r="S3568" s="182" t="s">
        <v>21</v>
      </c>
      <c r="T3568" s="182" t="s">
        <v>22</v>
      </c>
      <c r="U3568" s="211" t="s">
        <v>23</v>
      </c>
    </row>
    <row r="3569" spans="1:21" x14ac:dyDescent="0.25">
      <c r="A3569" s="183" t="s">
        <v>1025</v>
      </c>
      <c r="B3569" s="182" t="s">
        <v>47</v>
      </c>
      <c r="C3569" s="182" t="s">
        <v>28</v>
      </c>
      <c r="D3569" s="182">
        <v>6</v>
      </c>
      <c r="E3569" s="182">
        <f>skilled</f>
        <v>1245</v>
      </c>
      <c r="F3569" s="184">
        <f>(D3569*E3569)</f>
        <v>7470</v>
      </c>
      <c r="G3569" s="182" t="s">
        <v>1020</v>
      </c>
      <c r="H3569" s="216" t="s">
        <v>49</v>
      </c>
      <c r="I3569" s="182">
        <v>2800</v>
      </c>
      <c r="J3569" s="182">
        <f>adopted_rate_bricks_1st_class</f>
        <v>15.14</v>
      </c>
      <c r="K3569" s="182">
        <f>(I3569*J3569)</f>
        <v>42392</v>
      </c>
    </row>
    <row r="3570" spans="1:21" x14ac:dyDescent="0.25">
      <c r="B3570" s="182" t="s">
        <v>29</v>
      </c>
      <c r="C3570" s="182" t="s">
        <v>28</v>
      </c>
      <c r="D3570" s="182">
        <v>12</v>
      </c>
      <c r="E3570" s="182">
        <f>unskilled</f>
        <v>935</v>
      </c>
      <c r="F3570" s="184">
        <f>(D3570*E3570)</f>
        <v>11220</v>
      </c>
      <c r="G3570" s="182" t="s">
        <v>85</v>
      </c>
      <c r="H3570" s="216" t="s">
        <v>35</v>
      </c>
      <c r="I3570" s="182">
        <v>0.61</v>
      </c>
      <c r="J3570" s="182">
        <f>adopted_rate_cement</f>
        <v>13031</v>
      </c>
      <c r="K3570" s="182">
        <f>(I3570*J3570)</f>
        <v>7948.91</v>
      </c>
    </row>
    <row r="3571" spans="1:21" x14ac:dyDescent="0.25">
      <c r="G3571" s="182" t="s">
        <v>83</v>
      </c>
      <c r="H3571" s="216" t="s">
        <v>84</v>
      </c>
      <c r="I3571" s="182">
        <v>1.26</v>
      </c>
      <c r="J3571" s="182">
        <f>adopted_rate_sand</f>
        <v>3175.2000000000003</v>
      </c>
      <c r="K3571" s="182">
        <f>(I3571*J3571)</f>
        <v>4000.7520000000004</v>
      </c>
    </row>
    <row r="3572" spans="1:21" x14ac:dyDescent="0.25">
      <c r="G3572" s="182" t="s">
        <v>171</v>
      </c>
      <c r="H3572" s="216" t="s">
        <v>1021</v>
      </c>
      <c r="I3572" s="182">
        <v>0.1</v>
      </c>
      <c r="J3572" s="182">
        <f>adopted_rate_water</f>
        <v>310</v>
      </c>
      <c r="K3572" s="182">
        <f>(I3572*J3572)</f>
        <v>31</v>
      </c>
    </row>
    <row r="3573" spans="1:21" x14ac:dyDescent="0.25">
      <c r="A3573" s="537" t="s">
        <v>30</v>
      </c>
      <c r="B3573" s="537"/>
      <c r="C3573" s="537"/>
      <c r="D3573" s="537"/>
      <c r="E3573" s="537"/>
      <c r="F3573" s="184">
        <f>SUM(F3568:F3572)</f>
        <v>18690</v>
      </c>
      <c r="G3573" s="537" t="s">
        <v>31</v>
      </c>
      <c r="H3573" s="537"/>
      <c r="I3573" s="537"/>
      <c r="J3573" s="537"/>
      <c r="K3573" s="184">
        <f>SUM(K3568:K3572)</f>
        <v>54372.662000000004</v>
      </c>
      <c r="L3573" s="537" t="s">
        <v>32</v>
      </c>
      <c r="M3573" s="537"/>
      <c r="N3573" s="537"/>
      <c r="O3573" s="537"/>
      <c r="P3573" s="184">
        <f>SUM(P3568:P3572)</f>
        <v>0</v>
      </c>
      <c r="Q3573" s="537" t="s">
        <v>38</v>
      </c>
      <c r="R3573" s="537"/>
      <c r="S3573" s="537"/>
      <c r="T3573" s="537"/>
      <c r="U3573" s="223">
        <f>SUM(U3568:U3572)</f>
        <v>0</v>
      </c>
    </row>
    <row r="3574" spans="1:21" x14ac:dyDescent="0.25">
      <c r="A3574" s="537" t="s">
        <v>33</v>
      </c>
      <c r="B3574" s="537"/>
      <c r="C3574" s="537"/>
      <c r="D3574" s="537"/>
      <c r="E3574" s="537"/>
      <c r="F3574" s="184">
        <f>SUM(F3573+K3573+P3573)</f>
        <v>73062.662000000011</v>
      </c>
      <c r="G3574" s="537" t="s">
        <v>39</v>
      </c>
      <c r="H3574" s="537"/>
      <c r="I3574" s="537"/>
      <c r="J3574" s="537"/>
      <c r="K3574" s="184">
        <f>SUM(F3573+K3573+P3573+U3573)</f>
        <v>73062.662000000011</v>
      </c>
      <c r="L3574" s="537" t="s">
        <v>40</v>
      </c>
      <c r="M3574" s="537"/>
      <c r="N3574" s="537"/>
      <c r="O3574" s="537"/>
      <c r="P3574" s="184">
        <f>SUM(K3574*0.15)</f>
        <v>10959.399300000001</v>
      </c>
      <c r="Q3574" s="537" t="s">
        <v>41</v>
      </c>
      <c r="R3574" s="537"/>
      <c r="S3574" s="537"/>
      <c r="T3574" s="537"/>
      <c r="U3574" s="223">
        <f>SUM(K3574+P3574)</f>
        <v>84022.061300000016</v>
      </c>
    </row>
    <row r="3575" spans="1:21" x14ac:dyDescent="0.25">
      <c r="Q3575" s="537" t="s">
        <v>42</v>
      </c>
      <c r="R3575" s="537"/>
      <c r="S3575" s="537"/>
      <c r="T3575" s="537"/>
      <c r="U3575" s="224">
        <f>ROUND((U3574/5),2)</f>
        <v>16804.41</v>
      </c>
    </row>
    <row r="3576" spans="1:21" x14ac:dyDescent="0.25">
      <c r="A3576" s="544"/>
      <c r="B3576" s="544"/>
      <c r="C3576" s="544"/>
      <c r="D3576" s="544"/>
      <c r="E3576" s="544"/>
      <c r="F3576" s="544"/>
      <c r="G3576" s="544"/>
      <c r="H3576" s="544"/>
      <c r="I3576" s="544"/>
      <c r="J3576" s="544"/>
      <c r="K3576" s="544"/>
      <c r="L3576" s="544"/>
      <c r="M3576" s="544"/>
      <c r="N3576" s="544"/>
      <c r="O3576" s="544"/>
      <c r="P3576" s="544"/>
      <c r="Q3576" s="544"/>
      <c r="R3576" s="544"/>
      <c r="S3576" s="544"/>
      <c r="T3576" s="544"/>
      <c r="U3576" s="544"/>
    </row>
    <row r="3577" spans="1:21" x14ac:dyDescent="0.25">
      <c r="A3577" s="538" t="s">
        <v>12</v>
      </c>
      <c r="B3577" s="538"/>
      <c r="C3577" s="540" t="s">
        <v>1026</v>
      </c>
      <c r="D3577" s="540"/>
      <c r="E3577" s="540"/>
      <c r="F3577" s="540"/>
      <c r="G3577" s="540"/>
      <c r="H3577" s="540"/>
      <c r="I3577" s="540"/>
      <c r="J3577" s="540"/>
      <c r="K3577" s="540"/>
      <c r="L3577" s="540"/>
      <c r="M3577" s="540"/>
      <c r="N3577" s="540"/>
      <c r="O3577" s="540"/>
      <c r="P3577" s="540"/>
      <c r="Q3577" s="540"/>
      <c r="R3577" s="540"/>
      <c r="S3577" s="540"/>
      <c r="T3577" s="540"/>
      <c r="U3577" s="541" t="s">
        <v>1018</v>
      </c>
    </row>
    <row r="3578" spans="1:21" x14ac:dyDescent="0.25">
      <c r="A3578" s="538"/>
      <c r="B3578" s="538"/>
      <c r="C3578" s="540"/>
      <c r="D3578" s="540"/>
      <c r="E3578" s="540"/>
      <c r="F3578" s="540"/>
      <c r="G3578" s="540"/>
      <c r="H3578" s="540"/>
      <c r="I3578" s="540"/>
      <c r="J3578" s="540"/>
      <c r="K3578" s="540"/>
      <c r="L3578" s="540"/>
      <c r="M3578" s="540"/>
      <c r="N3578" s="540"/>
      <c r="O3578" s="540"/>
      <c r="P3578" s="540"/>
      <c r="Q3578" s="540"/>
      <c r="R3578" s="540"/>
      <c r="S3578" s="540"/>
      <c r="T3578" s="540"/>
      <c r="U3578" s="541"/>
    </row>
    <row r="3579" spans="1:21" x14ac:dyDescent="0.25">
      <c r="A3579" s="539" t="s">
        <v>1016</v>
      </c>
      <c r="B3579" s="539"/>
      <c r="C3579" s="540"/>
      <c r="D3579" s="540"/>
      <c r="E3579" s="540"/>
      <c r="F3579" s="540"/>
      <c r="G3579" s="540"/>
      <c r="H3579" s="540"/>
      <c r="I3579" s="540"/>
      <c r="J3579" s="540"/>
      <c r="K3579" s="540"/>
      <c r="L3579" s="540"/>
      <c r="M3579" s="540"/>
      <c r="N3579" s="540"/>
      <c r="O3579" s="540"/>
      <c r="P3579" s="540"/>
      <c r="Q3579" s="540"/>
      <c r="R3579" s="540"/>
      <c r="S3579" s="540"/>
      <c r="T3579" s="540"/>
      <c r="U3579" s="541"/>
    </row>
    <row r="3580" spans="1:21" x14ac:dyDescent="0.25">
      <c r="A3580" s="542" t="s">
        <v>16</v>
      </c>
      <c r="B3580" s="543" t="s">
        <v>18</v>
      </c>
      <c r="C3580" s="543"/>
      <c r="D3580" s="543"/>
      <c r="E3580" s="543"/>
      <c r="F3580" s="543"/>
      <c r="G3580" s="543" t="s">
        <v>24</v>
      </c>
      <c r="H3580" s="543"/>
      <c r="I3580" s="543"/>
      <c r="J3580" s="543"/>
      <c r="K3580" s="543"/>
      <c r="L3580" s="543" t="s">
        <v>25</v>
      </c>
      <c r="M3580" s="543"/>
      <c r="N3580" s="543"/>
      <c r="O3580" s="543"/>
      <c r="P3580" s="543"/>
      <c r="Q3580" s="543" t="s">
        <v>26</v>
      </c>
      <c r="R3580" s="543"/>
      <c r="S3580" s="543"/>
      <c r="T3580" s="543"/>
      <c r="U3580" s="543"/>
    </row>
    <row r="3581" spans="1:21" x14ac:dyDescent="0.25">
      <c r="A3581" s="542"/>
      <c r="B3581" s="182" t="s">
        <v>19</v>
      </c>
      <c r="C3581" s="182" t="s">
        <v>20</v>
      </c>
      <c r="D3581" s="182" t="s">
        <v>21</v>
      </c>
      <c r="E3581" s="182" t="s">
        <v>22</v>
      </c>
      <c r="F3581" s="182" t="s">
        <v>23</v>
      </c>
      <c r="G3581" s="182" t="s">
        <v>19</v>
      </c>
      <c r="H3581" s="216" t="s">
        <v>20</v>
      </c>
      <c r="I3581" s="182" t="s">
        <v>21</v>
      </c>
      <c r="J3581" s="182" t="s">
        <v>22</v>
      </c>
      <c r="K3581" s="182" t="s">
        <v>23</v>
      </c>
      <c r="L3581" s="182" t="s">
        <v>19</v>
      </c>
      <c r="M3581" s="182" t="s">
        <v>20</v>
      </c>
      <c r="N3581" s="182" t="s">
        <v>21</v>
      </c>
      <c r="O3581" s="182" t="s">
        <v>22</v>
      </c>
      <c r="P3581" s="182" t="s">
        <v>23</v>
      </c>
      <c r="Q3581" s="182" t="s">
        <v>19</v>
      </c>
      <c r="R3581" s="182" t="s">
        <v>20</v>
      </c>
      <c r="S3581" s="182" t="s">
        <v>21</v>
      </c>
      <c r="T3581" s="182" t="s">
        <v>22</v>
      </c>
      <c r="U3581" s="211" t="s">
        <v>23</v>
      </c>
    </row>
    <row r="3582" spans="1:21" ht="31.5" x14ac:dyDescent="0.25">
      <c r="A3582" s="183" t="s">
        <v>1027</v>
      </c>
      <c r="B3582" s="182" t="s">
        <v>47</v>
      </c>
      <c r="C3582" s="182" t="s">
        <v>28</v>
      </c>
      <c r="D3582" s="182">
        <v>6</v>
      </c>
      <c r="E3582" s="182">
        <f>skilled</f>
        <v>1245</v>
      </c>
      <c r="F3582" s="184">
        <f>(D3582*E3582)</f>
        <v>7470</v>
      </c>
      <c r="G3582" s="182" t="s">
        <v>1020</v>
      </c>
      <c r="H3582" s="216" t="s">
        <v>49</v>
      </c>
      <c r="I3582" s="182">
        <v>2800</v>
      </c>
      <c r="J3582" s="182">
        <f>adopted_rate_bricks_1st_class</f>
        <v>15.14</v>
      </c>
      <c r="K3582" s="182">
        <f>(I3582*J3582)</f>
        <v>42392</v>
      </c>
      <c r="L3582" s="182" t="s">
        <v>276</v>
      </c>
      <c r="M3582" s="182" t="s">
        <v>1028</v>
      </c>
      <c r="N3582" s="182" t="s">
        <v>1029</v>
      </c>
      <c r="O3582" s="182">
        <f>concrete_mixer</f>
        <v>296</v>
      </c>
      <c r="P3582" s="184">
        <f>(N3582*O3582)</f>
        <v>222</v>
      </c>
    </row>
    <row r="3583" spans="1:21" x14ac:dyDescent="0.25">
      <c r="B3583" s="182" t="s">
        <v>29</v>
      </c>
      <c r="C3583" s="182" t="s">
        <v>28</v>
      </c>
      <c r="D3583" s="182">
        <v>9</v>
      </c>
      <c r="E3583" s="182">
        <f>unskilled</f>
        <v>935</v>
      </c>
      <c r="F3583" s="184">
        <f>(D3583*E3583)</f>
        <v>8415</v>
      </c>
      <c r="G3583" s="182" t="s">
        <v>85</v>
      </c>
      <c r="H3583" s="216" t="s">
        <v>35</v>
      </c>
      <c r="I3583" s="182">
        <v>0.61</v>
      </c>
      <c r="J3583" s="182">
        <f>adopted_rate_cement</f>
        <v>13031</v>
      </c>
      <c r="K3583" s="182">
        <f>(I3583*J3583)</f>
        <v>7948.91</v>
      </c>
    </row>
    <row r="3584" spans="1:21" x14ac:dyDescent="0.25">
      <c r="G3584" s="182" t="s">
        <v>83</v>
      </c>
      <c r="H3584" s="216" t="s">
        <v>84</v>
      </c>
      <c r="I3584" s="182">
        <v>1.26</v>
      </c>
      <c r="J3584" s="182">
        <f>adopted_rate_sand</f>
        <v>3175.2000000000003</v>
      </c>
      <c r="K3584" s="182">
        <f>(I3584*J3584)</f>
        <v>4000.7520000000004</v>
      </c>
    </row>
    <row r="3585" spans="1:21" x14ac:dyDescent="0.25">
      <c r="G3585" s="182" t="s">
        <v>171</v>
      </c>
      <c r="H3585" s="216" t="s">
        <v>1021</v>
      </c>
      <c r="I3585" s="182">
        <v>0.1</v>
      </c>
      <c r="J3585" s="182">
        <f>adopted_rate_water</f>
        <v>310</v>
      </c>
      <c r="K3585" s="182">
        <f>(I3585*J3585)</f>
        <v>31</v>
      </c>
    </row>
    <row r="3586" spans="1:21" x14ac:dyDescent="0.25">
      <c r="A3586" s="537" t="s">
        <v>30</v>
      </c>
      <c r="B3586" s="537"/>
      <c r="C3586" s="537"/>
      <c r="D3586" s="537"/>
      <c r="E3586" s="537"/>
      <c r="F3586" s="184">
        <f>SUM(F3581:F3585)</f>
        <v>15885</v>
      </c>
      <c r="G3586" s="537" t="s">
        <v>31</v>
      </c>
      <c r="H3586" s="537"/>
      <c r="I3586" s="537"/>
      <c r="J3586" s="537"/>
      <c r="K3586" s="184">
        <f>SUM(K3581:K3585)</f>
        <v>54372.662000000004</v>
      </c>
      <c r="L3586" s="537" t="s">
        <v>32</v>
      </c>
      <c r="M3586" s="537"/>
      <c r="N3586" s="537"/>
      <c r="O3586" s="537"/>
      <c r="P3586" s="184">
        <f>SUM(P3581:P3585)</f>
        <v>222</v>
      </c>
      <c r="Q3586" s="537" t="s">
        <v>38</v>
      </c>
      <c r="R3586" s="537"/>
      <c r="S3586" s="537"/>
      <c r="T3586" s="537"/>
      <c r="U3586" s="223">
        <f>SUM(U3581:U3585)</f>
        <v>0</v>
      </c>
    </row>
    <row r="3587" spans="1:21" x14ac:dyDescent="0.25">
      <c r="A3587" s="537" t="s">
        <v>33</v>
      </c>
      <c r="B3587" s="537"/>
      <c r="C3587" s="537"/>
      <c r="D3587" s="537"/>
      <c r="E3587" s="537"/>
      <c r="F3587" s="184">
        <f>SUM(F3586+K3586+P3586)</f>
        <v>70479.662000000011</v>
      </c>
      <c r="G3587" s="537" t="s">
        <v>39</v>
      </c>
      <c r="H3587" s="537"/>
      <c r="I3587" s="537"/>
      <c r="J3587" s="537"/>
      <c r="K3587" s="184">
        <f>SUM(F3586+K3586+P3586+U3586)</f>
        <v>70479.662000000011</v>
      </c>
      <c r="L3587" s="537" t="s">
        <v>40</v>
      </c>
      <c r="M3587" s="537"/>
      <c r="N3587" s="537"/>
      <c r="O3587" s="537"/>
      <c r="P3587" s="184">
        <f>SUM(K3587*0.15)</f>
        <v>10571.949300000002</v>
      </c>
      <c r="Q3587" s="537" t="s">
        <v>41</v>
      </c>
      <c r="R3587" s="537"/>
      <c r="S3587" s="537"/>
      <c r="T3587" s="537"/>
      <c r="U3587" s="223">
        <f>SUM(K3587+P3587)</f>
        <v>81051.611300000019</v>
      </c>
    </row>
    <row r="3588" spans="1:21" x14ac:dyDescent="0.25">
      <c r="Q3588" s="537" t="s">
        <v>42</v>
      </c>
      <c r="R3588" s="537"/>
      <c r="S3588" s="537"/>
      <c r="T3588" s="537"/>
      <c r="U3588" s="224">
        <f>ROUND((U3587/5),2)</f>
        <v>16210.32</v>
      </c>
    </row>
    <row r="3589" spans="1:21" x14ac:dyDescent="0.25">
      <c r="A3589" s="544"/>
      <c r="B3589" s="544"/>
      <c r="C3589" s="544"/>
      <c r="D3589" s="544"/>
      <c r="E3589" s="544"/>
      <c r="F3589" s="544"/>
      <c r="G3589" s="544"/>
      <c r="H3589" s="544"/>
      <c r="I3589" s="544"/>
      <c r="J3589" s="544"/>
      <c r="K3589" s="544"/>
      <c r="L3589" s="544"/>
      <c r="M3589" s="544"/>
      <c r="N3589" s="544"/>
      <c r="O3589" s="544"/>
      <c r="P3589" s="544"/>
      <c r="Q3589" s="544"/>
      <c r="R3589" s="544"/>
      <c r="S3589" s="544"/>
      <c r="T3589" s="544"/>
      <c r="U3589" s="544"/>
    </row>
    <row r="3590" spans="1:21" x14ac:dyDescent="0.25">
      <c r="A3590" s="538" t="s">
        <v>12</v>
      </c>
      <c r="B3590" s="538"/>
      <c r="C3590" s="540" t="s">
        <v>1030</v>
      </c>
      <c r="D3590" s="540"/>
      <c r="E3590" s="540"/>
      <c r="F3590" s="540"/>
      <c r="G3590" s="540"/>
      <c r="H3590" s="540"/>
      <c r="I3590" s="540"/>
      <c r="J3590" s="540"/>
      <c r="K3590" s="540"/>
      <c r="L3590" s="540"/>
      <c r="M3590" s="540"/>
      <c r="N3590" s="540"/>
      <c r="O3590" s="540"/>
      <c r="P3590" s="540"/>
      <c r="Q3590" s="540"/>
      <c r="R3590" s="540"/>
      <c r="S3590" s="540"/>
      <c r="T3590" s="540"/>
      <c r="U3590" s="541" t="s">
        <v>1018</v>
      </c>
    </row>
    <row r="3591" spans="1:21" x14ac:dyDescent="0.25">
      <c r="A3591" s="538"/>
      <c r="B3591" s="538"/>
      <c r="C3591" s="540"/>
      <c r="D3591" s="540"/>
      <c r="E3591" s="540"/>
      <c r="F3591" s="540"/>
      <c r="G3591" s="540"/>
      <c r="H3591" s="540"/>
      <c r="I3591" s="540"/>
      <c r="J3591" s="540"/>
      <c r="K3591" s="540"/>
      <c r="L3591" s="540"/>
      <c r="M3591" s="540"/>
      <c r="N3591" s="540"/>
      <c r="O3591" s="540"/>
      <c r="P3591" s="540"/>
      <c r="Q3591" s="540"/>
      <c r="R3591" s="540"/>
      <c r="S3591" s="540"/>
      <c r="T3591" s="540"/>
      <c r="U3591" s="541"/>
    </row>
    <row r="3592" spans="1:21" x14ac:dyDescent="0.25">
      <c r="A3592" s="539" t="s">
        <v>1016</v>
      </c>
      <c r="B3592" s="539"/>
      <c r="C3592" s="540"/>
      <c r="D3592" s="540"/>
      <c r="E3592" s="540"/>
      <c r="F3592" s="540"/>
      <c r="G3592" s="540"/>
      <c r="H3592" s="540"/>
      <c r="I3592" s="540"/>
      <c r="J3592" s="540"/>
      <c r="K3592" s="540"/>
      <c r="L3592" s="540"/>
      <c r="M3592" s="540"/>
      <c r="N3592" s="540"/>
      <c r="O3592" s="540"/>
      <c r="P3592" s="540"/>
      <c r="Q3592" s="540"/>
      <c r="R3592" s="540"/>
      <c r="S3592" s="540"/>
      <c r="T3592" s="540"/>
      <c r="U3592" s="541"/>
    </row>
    <row r="3593" spans="1:21" x14ac:dyDescent="0.25">
      <c r="A3593" s="542" t="s">
        <v>16</v>
      </c>
      <c r="B3593" s="543" t="s">
        <v>18</v>
      </c>
      <c r="C3593" s="543"/>
      <c r="D3593" s="543"/>
      <c r="E3593" s="543"/>
      <c r="F3593" s="543"/>
      <c r="G3593" s="543" t="s">
        <v>24</v>
      </c>
      <c r="H3593" s="543"/>
      <c r="I3593" s="543"/>
      <c r="J3593" s="543"/>
      <c r="K3593" s="543"/>
      <c r="L3593" s="543" t="s">
        <v>25</v>
      </c>
      <c r="M3593" s="543"/>
      <c r="N3593" s="543"/>
      <c r="O3593" s="543"/>
      <c r="P3593" s="543"/>
      <c r="Q3593" s="543" t="s">
        <v>26</v>
      </c>
      <c r="R3593" s="543"/>
      <c r="S3593" s="543"/>
      <c r="T3593" s="543"/>
      <c r="U3593" s="543"/>
    </row>
    <row r="3594" spans="1:21" x14ac:dyDescent="0.25">
      <c r="A3594" s="542"/>
      <c r="B3594" s="182" t="s">
        <v>19</v>
      </c>
      <c r="C3594" s="182" t="s">
        <v>20</v>
      </c>
      <c r="D3594" s="182" t="s">
        <v>21</v>
      </c>
      <c r="E3594" s="182" t="s">
        <v>22</v>
      </c>
      <c r="F3594" s="182" t="s">
        <v>23</v>
      </c>
      <c r="G3594" s="182" t="s">
        <v>19</v>
      </c>
      <c r="H3594" s="216" t="s">
        <v>20</v>
      </c>
      <c r="I3594" s="182" t="s">
        <v>21</v>
      </c>
      <c r="J3594" s="182" t="s">
        <v>22</v>
      </c>
      <c r="K3594" s="182" t="s">
        <v>23</v>
      </c>
      <c r="L3594" s="182" t="s">
        <v>19</v>
      </c>
      <c r="M3594" s="182" t="s">
        <v>20</v>
      </c>
      <c r="N3594" s="182" t="s">
        <v>21</v>
      </c>
      <c r="O3594" s="182" t="s">
        <v>22</v>
      </c>
      <c r="P3594" s="182" t="s">
        <v>23</v>
      </c>
      <c r="Q3594" s="182" t="s">
        <v>19</v>
      </c>
      <c r="R3594" s="182" t="s">
        <v>20</v>
      </c>
      <c r="S3594" s="182" t="s">
        <v>21</v>
      </c>
      <c r="T3594" s="182" t="s">
        <v>22</v>
      </c>
      <c r="U3594" s="211" t="s">
        <v>23</v>
      </c>
    </row>
    <row r="3595" spans="1:21" x14ac:dyDescent="0.25">
      <c r="A3595" s="183" t="s">
        <v>1031</v>
      </c>
      <c r="B3595" s="182" t="s">
        <v>47</v>
      </c>
      <c r="C3595" s="182" t="s">
        <v>28</v>
      </c>
      <c r="D3595" s="182">
        <v>6</v>
      </c>
      <c r="E3595" s="182">
        <f>skilled</f>
        <v>1245</v>
      </c>
      <c r="F3595" s="184">
        <f>(D3595*E3595)</f>
        <v>7470</v>
      </c>
      <c r="G3595" s="182" t="s">
        <v>1020</v>
      </c>
      <c r="H3595" s="216" t="s">
        <v>49</v>
      </c>
      <c r="I3595" s="182">
        <v>2800</v>
      </c>
      <c r="J3595" s="182">
        <f>adopted_rate_bricks_1st_class</f>
        <v>15.14</v>
      </c>
      <c r="K3595" s="182">
        <f>(I3595*J3595)</f>
        <v>42392</v>
      </c>
    </row>
    <row r="3596" spans="1:21" x14ac:dyDescent="0.25">
      <c r="B3596" s="182" t="s">
        <v>29</v>
      </c>
      <c r="C3596" s="182" t="s">
        <v>28</v>
      </c>
      <c r="D3596" s="182">
        <v>12</v>
      </c>
      <c r="E3596" s="182">
        <f>unskilled</f>
        <v>935</v>
      </c>
      <c r="F3596" s="184">
        <f>(D3596*E3596)</f>
        <v>11220</v>
      </c>
      <c r="G3596" s="182" t="s">
        <v>85</v>
      </c>
      <c r="H3596" s="216" t="s">
        <v>35</v>
      </c>
      <c r="I3596" s="182">
        <v>0.48</v>
      </c>
      <c r="J3596" s="182">
        <f>adopted_rate_cement</f>
        <v>13031</v>
      </c>
      <c r="K3596" s="182">
        <f>(I3596*J3596)</f>
        <v>6254.88</v>
      </c>
    </row>
    <row r="3597" spans="1:21" x14ac:dyDescent="0.25">
      <c r="G3597" s="182" t="s">
        <v>83</v>
      </c>
      <c r="H3597" s="216" t="s">
        <v>84</v>
      </c>
      <c r="I3597" s="182">
        <v>1.35</v>
      </c>
      <c r="J3597" s="182">
        <f>adopted_rate_sand</f>
        <v>3175.2000000000003</v>
      </c>
      <c r="K3597" s="182">
        <f>(I3597*J3597)</f>
        <v>4286.5200000000004</v>
      </c>
    </row>
    <row r="3598" spans="1:21" x14ac:dyDescent="0.25">
      <c r="G3598" s="182" t="s">
        <v>171</v>
      </c>
      <c r="H3598" s="216" t="s">
        <v>1021</v>
      </c>
      <c r="I3598" s="182">
        <v>0.1</v>
      </c>
      <c r="J3598" s="182">
        <f>adopted_rate_water</f>
        <v>310</v>
      </c>
      <c r="K3598" s="182">
        <f>(I3598*J3598)</f>
        <v>31</v>
      </c>
    </row>
    <row r="3599" spans="1:21" x14ac:dyDescent="0.25">
      <c r="A3599" s="537" t="s">
        <v>30</v>
      </c>
      <c r="B3599" s="537"/>
      <c r="C3599" s="537"/>
      <c r="D3599" s="537"/>
      <c r="E3599" s="537"/>
      <c r="F3599" s="184">
        <f>SUM(F3594:F3598)</f>
        <v>18690</v>
      </c>
      <c r="G3599" s="537" t="s">
        <v>31</v>
      </c>
      <c r="H3599" s="537"/>
      <c r="I3599" s="537"/>
      <c r="J3599" s="537"/>
      <c r="K3599" s="184">
        <f>SUM(K3594:K3598)</f>
        <v>52964.399999999994</v>
      </c>
      <c r="L3599" s="537" t="s">
        <v>32</v>
      </c>
      <c r="M3599" s="537"/>
      <c r="N3599" s="537"/>
      <c r="O3599" s="537"/>
      <c r="P3599" s="184">
        <f>SUM(P3594:P3598)</f>
        <v>0</v>
      </c>
      <c r="Q3599" s="537" t="s">
        <v>38</v>
      </c>
      <c r="R3599" s="537"/>
      <c r="S3599" s="537"/>
      <c r="T3599" s="537"/>
      <c r="U3599" s="223">
        <f>SUM(U3594:U3598)</f>
        <v>0</v>
      </c>
    </row>
    <row r="3600" spans="1:21" x14ac:dyDescent="0.25">
      <c r="A3600" s="537" t="s">
        <v>33</v>
      </c>
      <c r="B3600" s="537"/>
      <c r="C3600" s="537"/>
      <c r="D3600" s="537"/>
      <c r="E3600" s="537"/>
      <c r="F3600" s="184">
        <f>SUM(F3599+K3599+P3599)</f>
        <v>71654.399999999994</v>
      </c>
      <c r="G3600" s="537" t="s">
        <v>39</v>
      </c>
      <c r="H3600" s="537"/>
      <c r="I3600" s="537"/>
      <c r="J3600" s="537"/>
      <c r="K3600" s="184">
        <f>SUM(F3599+K3599+P3599+U3599)</f>
        <v>71654.399999999994</v>
      </c>
      <c r="L3600" s="537" t="s">
        <v>40</v>
      </c>
      <c r="M3600" s="537"/>
      <c r="N3600" s="537"/>
      <c r="O3600" s="537"/>
      <c r="P3600" s="184">
        <f>SUM(K3600*0.15)</f>
        <v>10748.159999999998</v>
      </c>
      <c r="Q3600" s="537" t="s">
        <v>41</v>
      </c>
      <c r="R3600" s="537"/>
      <c r="S3600" s="537"/>
      <c r="T3600" s="537"/>
      <c r="U3600" s="223">
        <f>SUM(K3600+P3600)</f>
        <v>82402.559999999998</v>
      </c>
    </row>
    <row r="3601" spans="1:21" x14ac:dyDescent="0.25">
      <c r="Q3601" s="537" t="s">
        <v>42</v>
      </c>
      <c r="R3601" s="537"/>
      <c r="S3601" s="537"/>
      <c r="T3601" s="537"/>
      <c r="U3601" s="224">
        <f>ROUND((U3600/5),2)</f>
        <v>16480.509999999998</v>
      </c>
    </row>
    <row r="3602" spans="1:21" x14ac:dyDescent="0.25">
      <c r="A3602" s="544"/>
      <c r="B3602" s="544"/>
      <c r="C3602" s="544"/>
      <c r="D3602" s="544"/>
      <c r="E3602" s="544"/>
      <c r="F3602" s="544"/>
      <c r="G3602" s="544"/>
      <c r="H3602" s="544"/>
      <c r="I3602" s="544"/>
      <c r="J3602" s="544"/>
      <c r="K3602" s="544"/>
      <c r="L3602" s="544"/>
      <c r="M3602" s="544"/>
      <c r="N3602" s="544"/>
      <c r="O3602" s="544"/>
      <c r="P3602" s="544"/>
      <c r="Q3602" s="544"/>
      <c r="R3602" s="544"/>
      <c r="S3602" s="544"/>
      <c r="T3602" s="544"/>
      <c r="U3602" s="544"/>
    </row>
    <row r="3603" spans="1:21" x14ac:dyDescent="0.25">
      <c r="A3603" s="538" t="s">
        <v>12</v>
      </c>
      <c r="B3603" s="538"/>
      <c r="C3603" s="540" t="s">
        <v>1032</v>
      </c>
      <c r="D3603" s="540"/>
      <c r="E3603" s="540"/>
      <c r="F3603" s="540"/>
      <c r="G3603" s="540"/>
      <c r="H3603" s="540"/>
      <c r="I3603" s="540"/>
      <c r="J3603" s="540"/>
      <c r="K3603" s="540"/>
      <c r="L3603" s="540"/>
      <c r="M3603" s="540"/>
      <c r="N3603" s="540"/>
      <c r="O3603" s="540"/>
      <c r="P3603" s="540"/>
      <c r="Q3603" s="540"/>
      <c r="R3603" s="540"/>
      <c r="S3603" s="540"/>
      <c r="T3603" s="540"/>
      <c r="U3603" s="541" t="s">
        <v>1018</v>
      </c>
    </row>
    <row r="3604" spans="1:21" x14ac:dyDescent="0.25">
      <c r="A3604" s="538"/>
      <c r="B3604" s="538"/>
      <c r="C3604" s="540"/>
      <c r="D3604" s="540"/>
      <c r="E3604" s="540"/>
      <c r="F3604" s="540"/>
      <c r="G3604" s="540"/>
      <c r="H3604" s="540"/>
      <c r="I3604" s="540"/>
      <c r="J3604" s="540"/>
      <c r="K3604" s="540"/>
      <c r="L3604" s="540"/>
      <c r="M3604" s="540"/>
      <c r="N3604" s="540"/>
      <c r="O3604" s="540"/>
      <c r="P3604" s="540"/>
      <c r="Q3604" s="540"/>
      <c r="R3604" s="540"/>
      <c r="S3604" s="540"/>
      <c r="T3604" s="540"/>
      <c r="U3604" s="541"/>
    </row>
    <row r="3605" spans="1:21" x14ac:dyDescent="0.25">
      <c r="A3605" s="539" t="s">
        <v>1016</v>
      </c>
      <c r="B3605" s="539"/>
      <c r="C3605" s="540"/>
      <c r="D3605" s="540"/>
      <c r="E3605" s="540"/>
      <c r="F3605" s="540"/>
      <c r="G3605" s="540"/>
      <c r="H3605" s="540"/>
      <c r="I3605" s="540"/>
      <c r="J3605" s="540"/>
      <c r="K3605" s="540"/>
      <c r="L3605" s="540"/>
      <c r="M3605" s="540"/>
      <c r="N3605" s="540"/>
      <c r="O3605" s="540"/>
      <c r="P3605" s="540"/>
      <c r="Q3605" s="540"/>
      <c r="R3605" s="540"/>
      <c r="S3605" s="540"/>
      <c r="T3605" s="540"/>
      <c r="U3605" s="541"/>
    </row>
    <row r="3606" spans="1:21" x14ac:dyDescent="0.25">
      <c r="A3606" s="542" t="s">
        <v>16</v>
      </c>
      <c r="B3606" s="543" t="s">
        <v>18</v>
      </c>
      <c r="C3606" s="543"/>
      <c r="D3606" s="543"/>
      <c r="E3606" s="543"/>
      <c r="F3606" s="543"/>
      <c r="G3606" s="543" t="s">
        <v>24</v>
      </c>
      <c r="H3606" s="543"/>
      <c r="I3606" s="543"/>
      <c r="J3606" s="543"/>
      <c r="K3606" s="543"/>
      <c r="L3606" s="543" t="s">
        <v>25</v>
      </c>
      <c r="M3606" s="543"/>
      <c r="N3606" s="543"/>
      <c r="O3606" s="543"/>
      <c r="P3606" s="543"/>
      <c r="Q3606" s="543" t="s">
        <v>26</v>
      </c>
      <c r="R3606" s="543"/>
      <c r="S3606" s="543"/>
      <c r="T3606" s="543"/>
      <c r="U3606" s="543"/>
    </row>
    <row r="3607" spans="1:21" x14ac:dyDescent="0.25">
      <c r="A3607" s="542"/>
      <c r="B3607" s="182" t="s">
        <v>19</v>
      </c>
      <c r="C3607" s="182" t="s">
        <v>20</v>
      </c>
      <c r="D3607" s="182" t="s">
        <v>21</v>
      </c>
      <c r="E3607" s="182" t="s">
        <v>22</v>
      </c>
      <c r="F3607" s="182" t="s">
        <v>23</v>
      </c>
      <c r="G3607" s="182" t="s">
        <v>19</v>
      </c>
      <c r="H3607" s="216" t="s">
        <v>20</v>
      </c>
      <c r="I3607" s="182" t="s">
        <v>21</v>
      </c>
      <c r="J3607" s="182" t="s">
        <v>22</v>
      </c>
      <c r="K3607" s="182" t="s">
        <v>23</v>
      </c>
      <c r="L3607" s="182" t="s">
        <v>19</v>
      </c>
      <c r="M3607" s="182" t="s">
        <v>20</v>
      </c>
      <c r="N3607" s="182" t="s">
        <v>21</v>
      </c>
      <c r="O3607" s="182" t="s">
        <v>22</v>
      </c>
      <c r="P3607" s="182" t="s">
        <v>23</v>
      </c>
      <c r="Q3607" s="182" t="s">
        <v>19</v>
      </c>
      <c r="R3607" s="182" t="s">
        <v>20</v>
      </c>
      <c r="S3607" s="182" t="s">
        <v>21</v>
      </c>
      <c r="T3607" s="182" t="s">
        <v>22</v>
      </c>
      <c r="U3607" s="211" t="s">
        <v>23</v>
      </c>
    </row>
    <row r="3608" spans="1:21" ht="31.5" x14ac:dyDescent="0.25">
      <c r="A3608" s="183" t="s">
        <v>1033</v>
      </c>
      <c r="B3608" s="182" t="s">
        <v>47</v>
      </c>
      <c r="C3608" s="182" t="s">
        <v>28</v>
      </c>
      <c r="D3608" s="182">
        <v>6</v>
      </c>
      <c r="E3608" s="182">
        <f>skilled</f>
        <v>1245</v>
      </c>
      <c r="F3608" s="184">
        <f>(D3608*E3608)</f>
        <v>7470</v>
      </c>
      <c r="G3608" s="182" t="s">
        <v>1020</v>
      </c>
      <c r="H3608" s="216" t="s">
        <v>49</v>
      </c>
      <c r="I3608" s="182">
        <v>2800</v>
      </c>
      <c r="J3608" s="182">
        <f>adopted_rate_bricks_1st_class</f>
        <v>15.14</v>
      </c>
      <c r="K3608" s="182">
        <f>(I3608*J3608)</f>
        <v>42392</v>
      </c>
      <c r="L3608" s="182" t="s">
        <v>276</v>
      </c>
      <c r="M3608" s="182" t="s">
        <v>1028</v>
      </c>
      <c r="N3608" s="182" t="s">
        <v>1029</v>
      </c>
      <c r="O3608" s="182">
        <f>concrete_mixer</f>
        <v>296</v>
      </c>
      <c r="P3608" s="184">
        <f>(N3608*O3608)</f>
        <v>222</v>
      </c>
    </row>
    <row r="3609" spans="1:21" x14ac:dyDescent="0.25">
      <c r="B3609" s="182" t="s">
        <v>29</v>
      </c>
      <c r="C3609" s="182" t="s">
        <v>28</v>
      </c>
      <c r="D3609" s="182">
        <v>9</v>
      </c>
      <c r="E3609" s="182">
        <f>unskilled</f>
        <v>935</v>
      </c>
      <c r="F3609" s="184">
        <f>(D3609*E3609)</f>
        <v>8415</v>
      </c>
      <c r="G3609" s="182" t="s">
        <v>85</v>
      </c>
      <c r="H3609" s="216" t="s">
        <v>35</v>
      </c>
      <c r="I3609" s="182">
        <v>0.48</v>
      </c>
      <c r="J3609" s="182">
        <f>adopted_rate_cement</f>
        <v>13031</v>
      </c>
      <c r="K3609" s="182">
        <f>(I3609*J3609)</f>
        <v>6254.88</v>
      </c>
    </row>
    <row r="3610" spans="1:21" x14ac:dyDescent="0.25">
      <c r="G3610" s="182" t="s">
        <v>83</v>
      </c>
      <c r="H3610" s="216" t="s">
        <v>84</v>
      </c>
      <c r="I3610" s="182">
        <v>1.35</v>
      </c>
      <c r="J3610" s="182">
        <f>adopted_rate_sand</f>
        <v>3175.2000000000003</v>
      </c>
      <c r="K3610" s="182">
        <f>(I3610*J3610)</f>
        <v>4286.5200000000004</v>
      </c>
    </row>
    <row r="3611" spans="1:21" x14ac:dyDescent="0.25">
      <c r="G3611" s="182" t="s">
        <v>171</v>
      </c>
      <c r="H3611" s="216" t="s">
        <v>1021</v>
      </c>
      <c r="I3611" s="182">
        <v>0.1</v>
      </c>
      <c r="J3611" s="182">
        <f>adopted_rate_water</f>
        <v>310</v>
      </c>
      <c r="K3611" s="182">
        <f>(I3611*J3611)</f>
        <v>31</v>
      </c>
    </row>
    <row r="3612" spans="1:21" x14ac:dyDescent="0.25">
      <c r="A3612" s="537" t="s">
        <v>30</v>
      </c>
      <c r="B3612" s="537"/>
      <c r="C3612" s="537"/>
      <c r="D3612" s="537"/>
      <c r="E3612" s="537"/>
      <c r="F3612" s="184">
        <f>SUM(F3607:F3611)</f>
        <v>15885</v>
      </c>
      <c r="G3612" s="537" t="s">
        <v>31</v>
      </c>
      <c r="H3612" s="537"/>
      <c r="I3612" s="537"/>
      <c r="J3612" s="537"/>
      <c r="K3612" s="184">
        <f>SUM(K3607:K3611)</f>
        <v>52964.399999999994</v>
      </c>
      <c r="L3612" s="537" t="s">
        <v>32</v>
      </c>
      <c r="M3612" s="537"/>
      <c r="N3612" s="537"/>
      <c r="O3612" s="537"/>
      <c r="P3612" s="184">
        <f>SUM(P3607:P3611)</f>
        <v>222</v>
      </c>
      <c r="Q3612" s="537" t="s">
        <v>38</v>
      </c>
      <c r="R3612" s="537"/>
      <c r="S3612" s="537"/>
      <c r="T3612" s="537"/>
      <c r="U3612" s="223">
        <f>SUM(U3607:U3611)</f>
        <v>0</v>
      </c>
    </row>
    <row r="3613" spans="1:21" x14ac:dyDescent="0.25">
      <c r="A3613" s="537" t="s">
        <v>33</v>
      </c>
      <c r="B3613" s="537"/>
      <c r="C3613" s="537"/>
      <c r="D3613" s="537"/>
      <c r="E3613" s="537"/>
      <c r="F3613" s="184">
        <f>SUM(F3612+K3612+P3612)</f>
        <v>69071.399999999994</v>
      </c>
      <c r="G3613" s="537" t="s">
        <v>39</v>
      </c>
      <c r="H3613" s="537"/>
      <c r="I3613" s="537"/>
      <c r="J3613" s="537"/>
      <c r="K3613" s="184">
        <f>SUM(F3612+K3612+P3612+U3612)</f>
        <v>69071.399999999994</v>
      </c>
      <c r="L3613" s="537" t="s">
        <v>40</v>
      </c>
      <c r="M3613" s="537"/>
      <c r="N3613" s="537"/>
      <c r="O3613" s="537"/>
      <c r="P3613" s="184">
        <f>SUM(K3613*0.15)</f>
        <v>10360.709999999999</v>
      </c>
      <c r="Q3613" s="537" t="s">
        <v>41</v>
      </c>
      <c r="R3613" s="537"/>
      <c r="S3613" s="537"/>
      <c r="T3613" s="537"/>
      <c r="U3613" s="223">
        <f>SUM(K3613+P3613)</f>
        <v>79432.109999999986</v>
      </c>
    </row>
    <row r="3614" spans="1:21" x14ac:dyDescent="0.25">
      <c r="Q3614" s="537" t="s">
        <v>42</v>
      </c>
      <c r="R3614" s="537"/>
      <c r="S3614" s="537"/>
      <c r="T3614" s="537"/>
      <c r="U3614" s="224">
        <f>ROUND((U3613/5),2)</f>
        <v>15886.42</v>
      </c>
    </row>
    <row r="3615" spans="1:21" x14ac:dyDescent="0.25">
      <c r="A3615" s="544"/>
      <c r="B3615" s="544"/>
      <c r="C3615" s="544"/>
      <c r="D3615" s="544"/>
      <c r="E3615" s="544"/>
      <c r="F3615" s="544"/>
      <c r="G3615" s="544"/>
      <c r="H3615" s="544"/>
      <c r="I3615" s="544"/>
      <c r="J3615" s="544"/>
      <c r="K3615" s="544"/>
      <c r="L3615" s="544"/>
      <c r="M3615" s="544"/>
      <c r="N3615" s="544"/>
      <c r="O3615" s="544"/>
      <c r="P3615" s="544"/>
      <c r="Q3615" s="544"/>
      <c r="R3615" s="544"/>
      <c r="S3615" s="544"/>
      <c r="T3615" s="544"/>
      <c r="U3615" s="544"/>
    </row>
    <row r="3616" spans="1:21" x14ac:dyDescent="0.25">
      <c r="A3616" s="538" t="s">
        <v>12</v>
      </c>
      <c r="B3616" s="538"/>
      <c r="C3616" s="540" t="s">
        <v>1034</v>
      </c>
      <c r="D3616" s="540"/>
      <c r="E3616" s="540"/>
      <c r="F3616" s="540"/>
      <c r="G3616" s="540"/>
      <c r="H3616" s="540"/>
      <c r="I3616" s="540"/>
      <c r="J3616" s="540"/>
      <c r="K3616" s="540"/>
      <c r="L3616" s="540"/>
      <c r="M3616" s="540"/>
      <c r="N3616" s="540"/>
      <c r="O3616" s="540"/>
      <c r="P3616" s="540"/>
      <c r="Q3616" s="540"/>
      <c r="R3616" s="540"/>
      <c r="S3616" s="540"/>
      <c r="T3616" s="540"/>
      <c r="U3616" s="541" t="s">
        <v>1018</v>
      </c>
    </row>
    <row r="3617" spans="1:21" x14ac:dyDescent="0.25">
      <c r="A3617" s="538"/>
      <c r="B3617" s="538"/>
      <c r="C3617" s="540"/>
      <c r="D3617" s="540"/>
      <c r="E3617" s="540"/>
      <c r="F3617" s="540"/>
      <c r="G3617" s="540"/>
      <c r="H3617" s="540"/>
      <c r="I3617" s="540"/>
      <c r="J3617" s="540"/>
      <c r="K3617" s="540"/>
      <c r="L3617" s="540"/>
      <c r="M3617" s="540"/>
      <c r="N3617" s="540"/>
      <c r="O3617" s="540"/>
      <c r="P3617" s="540"/>
      <c r="Q3617" s="540"/>
      <c r="R3617" s="540"/>
      <c r="S3617" s="540"/>
      <c r="T3617" s="540"/>
      <c r="U3617" s="541"/>
    </row>
    <row r="3618" spans="1:21" x14ac:dyDescent="0.25">
      <c r="A3618" s="539" t="s">
        <v>1016</v>
      </c>
      <c r="B3618" s="539"/>
      <c r="C3618" s="540"/>
      <c r="D3618" s="540"/>
      <c r="E3618" s="540"/>
      <c r="F3618" s="540"/>
      <c r="G3618" s="540"/>
      <c r="H3618" s="540"/>
      <c r="I3618" s="540"/>
      <c r="J3618" s="540"/>
      <c r="K3618" s="540"/>
      <c r="L3618" s="540"/>
      <c r="M3618" s="540"/>
      <c r="N3618" s="540"/>
      <c r="O3618" s="540"/>
      <c r="P3618" s="540"/>
      <c r="Q3618" s="540"/>
      <c r="R3618" s="540"/>
      <c r="S3618" s="540"/>
      <c r="T3618" s="540"/>
      <c r="U3618" s="541"/>
    </row>
    <row r="3619" spans="1:21" x14ac:dyDescent="0.25">
      <c r="A3619" s="542" t="s">
        <v>16</v>
      </c>
      <c r="B3619" s="543" t="s">
        <v>18</v>
      </c>
      <c r="C3619" s="543"/>
      <c r="D3619" s="543"/>
      <c r="E3619" s="543"/>
      <c r="F3619" s="543"/>
      <c r="G3619" s="543" t="s">
        <v>24</v>
      </c>
      <c r="H3619" s="543"/>
      <c r="I3619" s="543"/>
      <c r="J3619" s="543"/>
      <c r="K3619" s="543"/>
      <c r="L3619" s="543" t="s">
        <v>25</v>
      </c>
      <c r="M3619" s="543"/>
      <c r="N3619" s="543"/>
      <c r="O3619" s="543"/>
      <c r="P3619" s="543"/>
      <c r="Q3619" s="543" t="s">
        <v>26</v>
      </c>
      <c r="R3619" s="543"/>
      <c r="S3619" s="543"/>
      <c r="T3619" s="543"/>
      <c r="U3619" s="543"/>
    </row>
    <row r="3620" spans="1:21" x14ac:dyDescent="0.25">
      <c r="A3620" s="542"/>
      <c r="B3620" s="182" t="s">
        <v>19</v>
      </c>
      <c r="C3620" s="182" t="s">
        <v>20</v>
      </c>
      <c r="D3620" s="182" t="s">
        <v>21</v>
      </c>
      <c r="E3620" s="182" t="s">
        <v>22</v>
      </c>
      <c r="F3620" s="182" t="s">
        <v>23</v>
      </c>
      <c r="G3620" s="182" t="s">
        <v>19</v>
      </c>
      <c r="H3620" s="216" t="s">
        <v>20</v>
      </c>
      <c r="I3620" s="182" t="s">
        <v>21</v>
      </c>
      <c r="J3620" s="182" t="s">
        <v>22</v>
      </c>
      <c r="K3620" s="182" t="s">
        <v>23</v>
      </c>
      <c r="L3620" s="182" t="s">
        <v>19</v>
      </c>
      <c r="M3620" s="182" t="s">
        <v>20</v>
      </c>
      <c r="N3620" s="182" t="s">
        <v>21</v>
      </c>
      <c r="O3620" s="182" t="s">
        <v>22</v>
      </c>
      <c r="P3620" s="182" t="s">
        <v>23</v>
      </c>
      <c r="Q3620" s="182" t="s">
        <v>19</v>
      </c>
      <c r="R3620" s="182" t="s">
        <v>20</v>
      </c>
      <c r="S3620" s="182" t="s">
        <v>21</v>
      </c>
      <c r="T3620" s="182" t="s">
        <v>22</v>
      </c>
      <c r="U3620" s="211" t="s">
        <v>23</v>
      </c>
    </row>
    <row r="3621" spans="1:21" x14ac:dyDescent="0.25">
      <c r="A3621" s="183" t="s">
        <v>1035</v>
      </c>
      <c r="B3621" s="182" t="s">
        <v>47</v>
      </c>
      <c r="C3621" s="182" t="s">
        <v>28</v>
      </c>
      <c r="D3621" s="182">
        <v>6</v>
      </c>
      <c r="E3621" s="182">
        <f>skilled</f>
        <v>1245</v>
      </c>
      <c r="F3621" s="184">
        <f>(D3621*E3621)</f>
        <v>7470</v>
      </c>
      <c r="G3621" s="182" t="s">
        <v>1020</v>
      </c>
      <c r="H3621" s="216" t="s">
        <v>49</v>
      </c>
      <c r="I3621" s="182">
        <v>2800</v>
      </c>
      <c r="J3621" s="182">
        <f>adopted_rate_bricks_1st_class</f>
        <v>15.14</v>
      </c>
      <c r="K3621" s="182">
        <f>(I3621*J3621)</f>
        <v>42392</v>
      </c>
    </row>
    <row r="3622" spans="1:21" x14ac:dyDescent="0.25">
      <c r="B3622" s="182" t="s">
        <v>29</v>
      </c>
      <c r="C3622" s="182" t="s">
        <v>28</v>
      </c>
      <c r="D3622" s="182">
        <v>12</v>
      </c>
      <c r="E3622" s="182">
        <f>unskilled</f>
        <v>935</v>
      </c>
      <c r="F3622" s="184">
        <f>(D3622*E3622)</f>
        <v>11220</v>
      </c>
      <c r="G3622" s="182" t="s">
        <v>85</v>
      </c>
      <c r="H3622" s="216" t="s">
        <v>35</v>
      </c>
      <c r="I3622" s="182">
        <v>0.35</v>
      </c>
      <c r="J3622" s="182">
        <f>adopted_rate_cement</f>
        <v>13031</v>
      </c>
      <c r="K3622" s="182">
        <f>(I3622*J3622)</f>
        <v>4560.8499999999995</v>
      </c>
    </row>
    <row r="3623" spans="1:21" x14ac:dyDescent="0.25">
      <c r="G3623" s="182" t="s">
        <v>83</v>
      </c>
      <c r="H3623" s="216" t="s">
        <v>84</v>
      </c>
      <c r="I3623" s="182">
        <v>1.45</v>
      </c>
      <c r="J3623" s="182">
        <f>adopted_rate_sand</f>
        <v>3175.2000000000003</v>
      </c>
      <c r="K3623" s="182">
        <f>(I3623*J3623)</f>
        <v>4604.04</v>
      </c>
    </row>
    <row r="3624" spans="1:21" x14ac:dyDescent="0.25">
      <c r="G3624" s="182" t="s">
        <v>171</v>
      </c>
      <c r="H3624" s="216" t="s">
        <v>1021</v>
      </c>
      <c r="I3624" s="182">
        <v>0.1</v>
      </c>
      <c r="J3624" s="182">
        <f>adopted_rate_water</f>
        <v>310</v>
      </c>
      <c r="K3624" s="182">
        <f>(I3624*J3624)</f>
        <v>31</v>
      </c>
    </row>
    <row r="3625" spans="1:21" x14ac:dyDescent="0.25">
      <c r="A3625" s="537" t="s">
        <v>30</v>
      </c>
      <c r="B3625" s="537"/>
      <c r="C3625" s="537"/>
      <c r="D3625" s="537"/>
      <c r="E3625" s="537"/>
      <c r="F3625" s="184">
        <f>SUM(F3620:F3624)</f>
        <v>18690</v>
      </c>
      <c r="G3625" s="537" t="s">
        <v>31</v>
      </c>
      <c r="H3625" s="537"/>
      <c r="I3625" s="537"/>
      <c r="J3625" s="537"/>
      <c r="K3625" s="184">
        <f>SUM(K3620:K3624)</f>
        <v>51587.89</v>
      </c>
      <c r="L3625" s="537" t="s">
        <v>32</v>
      </c>
      <c r="M3625" s="537"/>
      <c r="N3625" s="537"/>
      <c r="O3625" s="537"/>
      <c r="P3625" s="184">
        <f>SUM(P3620:P3624)</f>
        <v>0</v>
      </c>
      <c r="Q3625" s="537" t="s">
        <v>38</v>
      </c>
      <c r="R3625" s="537"/>
      <c r="S3625" s="537"/>
      <c r="T3625" s="537"/>
      <c r="U3625" s="223">
        <f>SUM(U3620:U3624)</f>
        <v>0</v>
      </c>
    </row>
    <row r="3626" spans="1:21" x14ac:dyDescent="0.25">
      <c r="A3626" s="537" t="s">
        <v>33</v>
      </c>
      <c r="B3626" s="537"/>
      <c r="C3626" s="537"/>
      <c r="D3626" s="537"/>
      <c r="E3626" s="537"/>
      <c r="F3626" s="184">
        <f>SUM(F3625+K3625+P3625)</f>
        <v>70277.89</v>
      </c>
      <c r="G3626" s="537" t="s">
        <v>39</v>
      </c>
      <c r="H3626" s="537"/>
      <c r="I3626" s="537"/>
      <c r="J3626" s="537"/>
      <c r="K3626" s="184">
        <f>SUM(F3625+K3625+P3625+U3625)</f>
        <v>70277.89</v>
      </c>
      <c r="L3626" s="537" t="s">
        <v>40</v>
      </c>
      <c r="M3626" s="537"/>
      <c r="N3626" s="537"/>
      <c r="O3626" s="537"/>
      <c r="P3626" s="184">
        <f>SUM(K3626*0.15)</f>
        <v>10541.683499999999</v>
      </c>
      <c r="Q3626" s="537" t="s">
        <v>41</v>
      </c>
      <c r="R3626" s="537"/>
      <c r="S3626" s="537"/>
      <c r="T3626" s="537"/>
      <c r="U3626" s="223">
        <f>SUM(K3626+P3626)</f>
        <v>80819.573499999999</v>
      </c>
    </row>
    <row r="3627" spans="1:21" x14ac:dyDescent="0.25">
      <c r="Q3627" s="537" t="s">
        <v>42</v>
      </c>
      <c r="R3627" s="537"/>
      <c r="S3627" s="537"/>
      <c r="T3627" s="537"/>
      <c r="U3627" s="224">
        <f>ROUND((U3626/5),2)</f>
        <v>16163.91</v>
      </c>
    </row>
    <row r="3628" spans="1:21" x14ac:dyDescent="0.25">
      <c r="A3628" s="544"/>
      <c r="B3628" s="544"/>
      <c r="C3628" s="544"/>
      <c r="D3628" s="544"/>
      <c r="E3628" s="544"/>
      <c r="F3628" s="544"/>
      <c r="G3628" s="544"/>
      <c r="H3628" s="544"/>
      <c r="I3628" s="544"/>
      <c r="J3628" s="544"/>
      <c r="K3628" s="544"/>
      <c r="L3628" s="544"/>
      <c r="M3628" s="544"/>
      <c r="N3628" s="544"/>
      <c r="O3628" s="544"/>
      <c r="P3628" s="544"/>
      <c r="Q3628" s="544"/>
      <c r="R3628" s="544"/>
      <c r="S3628" s="544"/>
      <c r="T3628" s="544"/>
      <c r="U3628" s="544"/>
    </row>
    <row r="3629" spans="1:21" x14ac:dyDescent="0.25">
      <c r="A3629" s="538" t="s">
        <v>12</v>
      </c>
      <c r="B3629" s="538"/>
      <c r="C3629" s="540" t="s">
        <v>1036</v>
      </c>
      <c r="D3629" s="540"/>
      <c r="E3629" s="540"/>
      <c r="F3629" s="540"/>
      <c r="G3629" s="540"/>
      <c r="H3629" s="540"/>
      <c r="I3629" s="540"/>
      <c r="J3629" s="540"/>
      <c r="K3629" s="540"/>
      <c r="L3629" s="540"/>
      <c r="M3629" s="540"/>
      <c r="N3629" s="540"/>
      <c r="O3629" s="540"/>
      <c r="P3629" s="540"/>
      <c r="Q3629" s="540"/>
      <c r="R3629" s="540"/>
      <c r="S3629" s="540"/>
      <c r="T3629" s="540"/>
      <c r="U3629" s="541" t="s">
        <v>1018</v>
      </c>
    </row>
    <row r="3630" spans="1:21" x14ac:dyDescent="0.25">
      <c r="A3630" s="538"/>
      <c r="B3630" s="538"/>
      <c r="C3630" s="540"/>
      <c r="D3630" s="540"/>
      <c r="E3630" s="540"/>
      <c r="F3630" s="540"/>
      <c r="G3630" s="540"/>
      <c r="H3630" s="540"/>
      <c r="I3630" s="540"/>
      <c r="J3630" s="540"/>
      <c r="K3630" s="540"/>
      <c r="L3630" s="540"/>
      <c r="M3630" s="540"/>
      <c r="N3630" s="540"/>
      <c r="O3630" s="540"/>
      <c r="P3630" s="540"/>
      <c r="Q3630" s="540"/>
      <c r="R3630" s="540"/>
      <c r="S3630" s="540"/>
      <c r="T3630" s="540"/>
      <c r="U3630" s="541"/>
    </row>
    <row r="3631" spans="1:21" x14ac:dyDescent="0.25">
      <c r="A3631" s="539" t="s">
        <v>1016</v>
      </c>
      <c r="B3631" s="539"/>
      <c r="C3631" s="540"/>
      <c r="D3631" s="540"/>
      <c r="E3631" s="540"/>
      <c r="F3631" s="540"/>
      <c r="G3631" s="540"/>
      <c r="H3631" s="540"/>
      <c r="I3631" s="540"/>
      <c r="J3631" s="540"/>
      <c r="K3631" s="540"/>
      <c r="L3631" s="540"/>
      <c r="M3631" s="540"/>
      <c r="N3631" s="540"/>
      <c r="O3631" s="540"/>
      <c r="P3631" s="540"/>
      <c r="Q3631" s="540"/>
      <c r="R3631" s="540"/>
      <c r="S3631" s="540"/>
      <c r="T3631" s="540"/>
      <c r="U3631" s="541"/>
    </row>
    <row r="3632" spans="1:21" x14ac:dyDescent="0.25">
      <c r="A3632" s="542" t="s">
        <v>16</v>
      </c>
      <c r="B3632" s="543" t="s">
        <v>18</v>
      </c>
      <c r="C3632" s="543"/>
      <c r="D3632" s="543"/>
      <c r="E3632" s="543"/>
      <c r="F3632" s="543"/>
      <c r="G3632" s="543" t="s">
        <v>24</v>
      </c>
      <c r="H3632" s="543"/>
      <c r="I3632" s="543"/>
      <c r="J3632" s="543"/>
      <c r="K3632" s="543"/>
      <c r="L3632" s="543" t="s">
        <v>25</v>
      </c>
      <c r="M3632" s="543"/>
      <c r="N3632" s="543"/>
      <c r="O3632" s="543"/>
      <c r="P3632" s="543"/>
      <c r="Q3632" s="543" t="s">
        <v>26</v>
      </c>
      <c r="R3632" s="543"/>
      <c r="S3632" s="543"/>
      <c r="T3632" s="543"/>
      <c r="U3632" s="543"/>
    </row>
    <row r="3633" spans="1:21" x14ac:dyDescent="0.25">
      <c r="A3633" s="542"/>
      <c r="B3633" s="182" t="s">
        <v>19</v>
      </c>
      <c r="C3633" s="182" t="s">
        <v>20</v>
      </c>
      <c r="D3633" s="182" t="s">
        <v>21</v>
      </c>
      <c r="E3633" s="182" t="s">
        <v>22</v>
      </c>
      <c r="F3633" s="182" t="s">
        <v>23</v>
      </c>
      <c r="G3633" s="182" t="s">
        <v>19</v>
      </c>
      <c r="H3633" s="216" t="s">
        <v>20</v>
      </c>
      <c r="I3633" s="182" t="s">
        <v>21</v>
      </c>
      <c r="J3633" s="182" t="s">
        <v>22</v>
      </c>
      <c r="K3633" s="182" t="s">
        <v>23</v>
      </c>
      <c r="L3633" s="182" t="s">
        <v>19</v>
      </c>
      <c r="M3633" s="182" t="s">
        <v>20</v>
      </c>
      <c r="N3633" s="182" t="s">
        <v>21</v>
      </c>
      <c r="O3633" s="182" t="s">
        <v>22</v>
      </c>
      <c r="P3633" s="182" t="s">
        <v>23</v>
      </c>
      <c r="Q3633" s="182" t="s">
        <v>19</v>
      </c>
      <c r="R3633" s="182" t="s">
        <v>20</v>
      </c>
      <c r="S3633" s="182" t="s">
        <v>21</v>
      </c>
      <c r="T3633" s="182" t="s">
        <v>22</v>
      </c>
      <c r="U3633" s="211" t="s">
        <v>23</v>
      </c>
    </row>
    <row r="3634" spans="1:21" ht="31.5" x14ac:dyDescent="0.25">
      <c r="A3634" s="183" t="s">
        <v>1037</v>
      </c>
      <c r="B3634" s="182" t="s">
        <v>47</v>
      </c>
      <c r="C3634" s="182" t="s">
        <v>28</v>
      </c>
      <c r="D3634" s="182">
        <v>6</v>
      </c>
      <c r="E3634" s="182">
        <f>skilled</f>
        <v>1245</v>
      </c>
      <c r="F3634" s="184">
        <f>(D3634*E3634)</f>
        <v>7470</v>
      </c>
      <c r="G3634" s="182" t="s">
        <v>1020</v>
      </c>
      <c r="H3634" s="216" t="s">
        <v>49</v>
      </c>
      <c r="I3634" s="182">
        <v>2800</v>
      </c>
      <c r="J3634" s="182">
        <f>adopted_rate_bricks_1st_class</f>
        <v>15.14</v>
      </c>
      <c r="K3634" s="182">
        <f>(I3634*J3634)</f>
        <v>42392</v>
      </c>
      <c r="L3634" s="182" t="s">
        <v>276</v>
      </c>
      <c r="M3634" s="182" t="s">
        <v>1028</v>
      </c>
      <c r="N3634" s="182" t="s">
        <v>1029</v>
      </c>
      <c r="O3634" s="182">
        <f>concrete_mixer</f>
        <v>296</v>
      </c>
      <c r="P3634" s="184">
        <f>(N3634*O3634)</f>
        <v>222</v>
      </c>
    </row>
    <row r="3635" spans="1:21" x14ac:dyDescent="0.25">
      <c r="B3635" s="182" t="s">
        <v>29</v>
      </c>
      <c r="C3635" s="182" t="s">
        <v>28</v>
      </c>
      <c r="D3635" s="182">
        <v>9</v>
      </c>
      <c r="E3635" s="182">
        <f>unskilled</f>
        <v>935</v>
      </c>
      <c r="F3635" s="184">
        <f>(D3635*E3635)</f>
        <v>8415</v>
      </c>
      <c r="G3635" s="182" t="s">
        <v>85</v>
      </c>
      <c r="H3635" s="216" t="s">
        <v>35</v>
      </c>
      <c r="I3635" s="182">
        <v>0.35</v>
      </c>
      <c r="J3635" s="182">
        <f>adopted_rate_cement</f>
        <v>13031</v>
      </c>
      <c r="K3635" s="182">
        <f>(I3635*J3635)</f>
        <v>4560.8499999999995</v>
      </c>
    </row>
    <row r="3636" spans="1:21" x14ac:dyDescent="0.25">
      <c r="G3636" s="182" t="s">
        <v>83</v>
      </c>
      <c r="H3636" s="216" t="s">
        <v>84</v>
      </c>
      <c r="I3636" s="182">
        <v>1.45</v>
      </c>
      <c r="J3636" s="182">
        <f>adopted_rate_sand</f>
        <v>3175.2000000000003</v>
      </c>
      <c r="K3636" s="182">
        <f>(I3636*J3636)</f>
        <v>4604.04</v>
      </c>
    </row>
    <row r="3637" spans="1:21" x14ac:dyDescent="0.25">
      <c r="G3637" s="182" t="s">
        <v>171</v>
      </c>
      <c r="H3637" s="216" t="s">
        <v>1021</v>
      </c>
      <c r="I3637" s="182">
        <v>0.1</v>
      </c>
      <c r="J3637" s="182">
        <f>adopted_rate_water</f>
        <v>310</v>
      </c>
      <c r="K3637" s="182">
        <f>(I3637*J3637)</f>
        <v>31</v>
      </c>
    </row>
    <row r="3638" spans="1:21" x14ac:dyDescent="0.25">
      <c r="A3638" s="537" t="s">
        <v>30</v>
      </c>
      <c r="B3638" s="537"/>
      <c r="C3638" s="537"/>
      <c r="D3638" s="537"/>
      <c r="E3638" s="537"/>
      <c r="F3638" s="184">
        <f>SUM(F3633:F3637)</f>
        <v>15885</v>
      </c>
      <c r="G3638" s="537" t="s">
        <v>31</v>
      </c>
      <c r="H3638" s="537"/>
      <c r="I3638" s="537"/>
      <c r="J3638" s="537"/>
      <c r="K3638" s="184">
        <f>SUM(K3633:K3637)</f>
        <v>51587.89</v>
      </c>
      <c r="L3638" s="537" t="s">
        <v>32</v>
      </c>
      <c r="M3638" s="537"/>
      <c r="N3638" s="537"/>
      <c r="O3638" s="537"/>
      <c r="P3638" s="184">
        <f>SUM(P3633:P3637)</f>
        <v>222</v>
      </c>
      <c r="Q3638" s="537" t="s">
        <v>38</v>
      </c>
      <c r="R3638" s="537"/>
      <c r="S3638" s="537"/>
      <c r="T3638" s="537"/>
      <c r="U3638" s="223">
        <f>SUM(U3633:U3637)</f>
        <v>0</v>
      </c>
    </row>
    <row r="3639" spans="1:21" x14ac:dyDescent="0.25">
      <c r="A3639" s="537" t="s">
        <v>33</v>
      </c>
      <c r="B3639" s="537"/>
      <c r="C3639" s="537"/>
      <c r="D3639" s="537"/>
      <c r="E3639" s="537"/>
      <c r="F3639" s="184">
        <f>SUM(F3638+K3638+P3638)</f>
        <v>67694.89</v>
      </c>
      <c r="G3639" s="537" t="s">
        <v>39</v>
      </c>
      <c r="H3639" s="537"/>
      <c r="I3639" s="537"/>
      <c r="J3639" s="537"/>
      <c r="K3639" s="184">
        <f>SUM(F3638+K3638+P3638+U3638)</f>
        <v>67694.89</v>
      </c>
      <c r="L3639" s="537" t="s">
        <v>40</v>
      </c>
      <c r="M3639" s="537"/>
      <c r="N3639" s="537"/>
      <c r="O3639" s="537"/>
      <c r="P3639" s="184">
        <f>SUM(K3639*0.15)</f>
        <v>10154.2335</v>
      </c>
      <c r="Q3639" s="537" t="s">
        <v>41</v>
      </c>
      <c r="R3639" s="537"/>
      <c r="S3639" s="537"/>
      <c r="T3639" s="537"/>
      <c r="U3639" s="223">
        <f>SUM(K3639+P3639)</f>
        <v>77849.123500000002</v>
      </c>
    </row>
    <row r="3640" spans="1:21" x14ac:dyDescent="0.25">
      <c r="Q3640" s="537" t="s">
        <v>42</v>
      </c>
      <c r="R3640" s="537"/>
      <c r="S3640" s="537"/>
      <c r="T3640" s="537"/>
      <c r="U3640" s="224">
        <f>ROUND((U3639/5),2)</f>
        <v>15569.82</v>
      </c>
    </row>
    <row r="3641" spans="1:21" x14ac:dyDescent="0.25">
      <c r="A3641" s="544"/>
      <c r="B3641" s="544"/>
      <c r="C3641" s="544"/>
      <c r="D3641" s="544"/>
      <c r="E3641" s="544"/>
      <c r="F3641" s="544"/>
      <c r="G3641" s="544"/>
      <c r="H3641" s="544"/>
      <c r="I3641" s="544"/>
      <c r="J3641" s="544"/>
      <c r="K3641" s="544"/>
      <c r="L3641" s="544"/>
      <c r="M3641" s="544"/>
      <c r="N3641" s="544"/>
      <c r="O3641" s="544"/>
      <c r="P3641" s="544"/>
      <c r="Q3641" s="544"/>
      <c r="R3641" s="544"/>
      <c r="S3641" s="544"/>
      <c r="T3641" s="544"/>
      <c r="U3641" s="544"/>
    </row>
    <row r="3642" spans="1:21" x14ac:dyDescent="0.25">
      <c r="A3642" s="538" t="s">
        <v>12</v>
      </c>
      <c r="B3642" s="538"/>
      <c r="C3642" s="540" t="s">
        <v>1038</v>
      </c>
      <c r="D3642" s="540"/>
      <c r="E3642" s="540"/>
      <c r="F3642" s="540"/>
      <c r="G3642" s="540"/>
      <c r="H3642" s="540"/>
      <c r="I3642" s="540"/>
      <c r="J3642" s="540"/>
      <c r="K3642" s="540"/>
      <c r="L3642" s="540"/>
      <c r="M3642" s="540"/>
      <c r="N3642" s="540"/>
      <c r="O3642" s="540"/>
      <c r="P3642" s="540"/>
      <c r="Q3642" s="540"/>
      <c r="R3642" s="540"/>
      <c r="S3642" s="540"/>
      <c r="T3642" s="540"/>
      <c r="U3642" s="541" t="s">
        <v>1018</v>
      </c>
    </row>
    <row r="3643" spans="1:21" x14ac:dyDescent="0.25">
      <c r="A3643" s="538"/>
      <c r="B3643" s="538"/>
      <c r="C3643" s="540"/>
      <c r="D3643" s="540"/>
      <c r="E3643" s="540"/>
      <c r="F3643" s="540"/>
      <c r="G3643" s="540"/>
      <c r="H3643" s="540"/>
      <c r="I3643" s="540"/>
      <c r="J3643" s="540"/>
      <c r="K3643" s="540"/>
      <c r="L3643" s="540"/>
      <c r="M3643" s="540"/>
      <c r="N3643" s="540"/>
      <c r="O3643" s="540"/>
      <c r="P3643" s="540"/>
      <c r="Q3643" s="540"/>
      <c r="R3643" s="540"/>
      <c r="S3643" s="540"/>
      <c r="T3643" s="540"/>
      <c r="U3643" s="541"/>
    </row>
    <row r="3644" spans="1:21" x14ac:dyDescent="0.25">
      <c r="A3644" s="539" t="s">
        <v>1016</v>
      </c>
      <c r="B3644" s="539"/>
      <c r="C3644" s="540"/>
      <c r="D3644" s="540"/>
      <c r="E3644" s="540"/>
      <c r="F3644" s="540"/>
      <c r="G3644" s="540"/>
      <c r="H3644" s="540"/>
      <c r="I3644" s="540"/>
      <c r="J3644" s="540"/>
      <c r="K3644" s="540"/>
      <c r="L3644" s="540"/>
      <c r="M3644" s="540"/>
      <c r="N3644" s="540"/>
      <c r="O3644" s="540"/>
      <c r="P3644" s="540"/>
      <c r="Q3644" s="540"/>
      <c r="R3644" s="540"/>
      <c r="S3644" s="540"/>
      <c r="T3644" s="540"/>
      <c r="U3644" s="541"/>
    </row>
    <row r="3645" spans="1:21" x14ac:dyDescent="0.25">
      <c r="A3645" s="542" t="s">
        <v>16</v>
      </c>
      <c r="B3645" s="543" t="s">
        <v>18</v>
      </c>
      <c r="C3645" s="543"/>
      <c r="D3645" s="543"/>
      <c r="E3645" s="543"/>
      <c r="F3645" s="543"/>
      <c r="G3645" s="543" t="s">
        <v>24</v>
      </c>
      <c r="H3645" s="543"/>
      <c r="I3645" s="543"/>
      <c r="J3645" s="543"/>
      <c r="K3645" s="543"/>
      <c r="L3645" s="543" t="s">
        <v>25</v>
      </c>
      <c r="M3645" s="543"/>
      <c r="N3645" s="543"/>
      <c r="O3645" s="543"/>
      <c r="P3645" s="543"/>
      <c r="Q3645" s="543" t="s">
        <v>26</v>
      </c>
      <c r="R3645" s="543"/>
      <c r="S3645" s="543"/>
      <c r="T3645" s="543"/>
      <c r="U3645" s="543"/>
    </row>
    <row r="3646" spans="1:21" x14ac:dyDescent="0.25">
      <c r="A3646" s="542"/>
      <c r="B3646" s="182" t="s">
        <v>19</v>
      </c>
      <c r="C3646" s="182" t="s">
        <v>20</v>
      </c>
      <c r="D3646" s="182" t="s">
        <v>21</v>
      </c>
      <c r="E3646" s="182" t="s">
        <v>22</v>
      </c>
      <c r="F3646" s="182" t="s">
        <v>23</v>
      </c>
      <c r="G3646" s="182" t="s">
        <v>19</v>
      </c>
      <c r="H3646" s="216" t="s">
        <v>20</v>
      </c>
      <c r="I3646" s="182" t="s">
        <v>21</v>
      </c>
      <c r="J3646" s="182" t="s">
        <v>22</v>
      </c>
      <c r="K3646" s="182" t="s">
        <v>23</v>
      </c>
      <c r="L3646" s="182" t="s">
        <v>19</v>
      </c>
      <c r="M3646" s="182" t="s">
        <v>20</v>
      </c>
      <c r="N3646" s="182" t="s">
        <v>21</v>
      </c>
      <c r="O3646" s="182" t="s">
        <v>22</v>
      </c>
      <c r="P3646" s="182" t="s">
        <v>23</v>
      </c>
      <c r="Q3646" s="182" t="s">
        <v>19</v>
      </c>
      <c r="R3646" s="182" t="s">
        <v>20</v>
      </c>
      <c r="S3646" s="182" t="s">
        <v>21</v>
      </c>
      <c r="T3646" s="182" t="s">
        <v>22</v>
      </c>
      <c r="U3646" s="211" t="s">
        <v>23</v>
      </c>
    </row>
    <row r="3647" spans="1:21" x14ac:dyDescent="0.25">
      <c r="A3647" s="183" t="s">
        <v>1039</v>
      </c>
      <c r="B3647" s="182" t="s">
        <v>47</v>
      </c>
      <c r="C3647" s="182" t="s">
        <v>28</v>
      </c>
      <c r="D3647" s="182">
        <v>6</v>
      </c>
      <c r="E3647" s="182">
        <f>skilled</f>
        <v>1245</v>
      </c>
      <c r="F3647" s="184">
        <f>(D3647*E3647)</f>
        <v>7470</v>
      </c>
      <c r="G3647" s="182" t="s">
        <v>1020</v>
      </c>
      <c r="H3647" s="216" t="s">
        <v>49</v>
      </c>
      <c r="I3647" s="182">
        <v>2800</v>
      </c>
      <c r="J3647" s="182">
        <f>adopted_rate_bricks_1st_class</f>
        <v>15.14</v>
      </c>
      <c r="K3647" s="182">
        <f>(I3647*J3647)</f>
        <v>42392</v>
      </c>
    </row>
    <row r="3648" spans="1:21" x14ac:dyDescent="0.25">
      <c r="B3648" s="182" t="s">
        <v>29</v>
      </c>
      <c r="C3648" s="182" t="s">
        <v>28</v>
      </c>
      <c r="D3648" s="182">
        <v>12</v>
      </c>
      <c r="E3648" s="182">
        <f>unskilled</f>
        <v>935</v>
      </c>
      <c r="F3648" s="184">
        <f>(D3648*E3648)</f>
        <v>11220</v>
      </c>
      <c r="G3648" s="182" t="s">
        <v>85</v>
      </c>
      <c r="H3648" s="216" t="s">
        <v>35</v>
      </c>
      <c r="I3648" s="182">
        <v>0.61</v>
      </c>
      <c r="J3648" s="182">
        <f>adopted_rate_cement</f>
        <v>13031</v>
      </c>
      <c r="K3648" s="182">
        <f>(I3648*J3648)</f>
        <v>7948.91</v>
      </c>
    </row>
    <row r="3649" spans="1:21" x14ac:dyDescent="0.25">
      <c r="G3649" s="182" t="s">
        <v>83</v>
      </c>
      <c r="H3649" s="216" t="s">
        <v>84</v>
      </c>
      <c r="I3649" s="182">
        <v>1.26</v>
      </c>
      <c r="J3649" s="182">
        <f>adopted_rate_sand</f>
        <v>3175.2000000000003</v>
      </c>
      <c r="K3649" s="182">
        <f>(I3649*J3649)</f>
        <v>4000.7520000000004</v>
      </c>
    </row>
    <row r="3650" spans="1:21" x14ac:dyDescent="0.25">
      <c r="G3650" s="182" t="s">
        <v>171</v>
      </c>
      <c r="H3650" s="216" t="s">
        <v>1021</v>
      </c>
      <c r="I3650" s="182">
        <v>0.1</v>
      </c>
      <c r="J3650" s="182">
        <f>adopted_rate_water</f>
        <v>310</v>
      </c>
      <c r="K3650" s="182">
        <f>(I3650*J3650)</f>
        <v>31</v>
      </c>
    </row>
    <row r="3651" spans="1:21" ht="31.5" x14ac:dyDescent="0.25">
      <c r="G3651" s="182" t="s">
        <v>1040</v>
      </c>
      <c r="H3651" s="216"/>
      <c r="K3651" s="184">
        <f>((F3652+(SUM(K3647:K3650)))*5/100)</f>
        <v>3653.1331000000005</v>
      </c>
    </row>
    <row r="3652" spans="1:21" x14ac:dyDescent="0.25">
      <c r="A3652" s="537" t="s">
        <v>30</v>
      </c>
      <c r="B3652" s="537"/>
      <c r="C3652" s="537"/>
      <c r="D3652" s="537"/>
      <c r="E3652" s="537"/>
      <c r="F3652" s="184">
        <f>SUM(F3646:F3651)</f>
        <v>18690</v>
      </c>
      <c r="G3652" s="537" t="s">
        <v>31</v>
      </c>
      <c r="H3652" s="537"/>
      <c r="I3652" s="537"/>
      <c r="J3652" s="537"/>
      <c r="K3652" s="184">
        <f>SUM(K3646:K3651)</f>
        <v>58025.795100000003</v>
      </c>
      <c r="L3652" s="537" t="s">
        <v>32</v>
      </c>
      <c r="M3652" s="537"/>
      <c r="N3652" s="537"/>
      <c r="O3652" s="537"/>
      <c r="P3652" s="184">
        <f>SUM(P3646:P3651)</f>
        <v>0</v>
      </c>
      <c r="Q3652" s="537" t="s">
        <v>38</v>
      </c>
      <c r="R3652" s="537"/>
      <c r="S3652" s="537"/>
      <c r="T3652" s="537"/>
      <c r="U3652" s="223">
        <f>SUM(U3646:U3651)</f>
        <v>0</v>
      </c>
    </row>
    <row r="3653" spans="1:21" x14ac:dyDescent="0.25">
      <c r="A3653" s="537" t="s">
        <v>33</v>
      </c>
      <c r="B3653" s="537"/>
      <c r="C3653" s="537"/>
      <c r="D3653" s="537"/>
      <c r="E3653" s="537"/>
      <c r="F3653" s="184">
        <f>SUM(F3652+K3652+P3652)</f>
        <v>76715.795100000003</v>
      </c>
      <c r="G3653" s="537" t="s">
        <v>39</v>
      </c>
      <c r="H3653" s="537"/>
      <c r="I3653" s="537"/>
      <c r="J3653" s="537"/>
      <c r="K3653" s="184">
        <f>SUM(F3652+K3652+P3652+U3652)</f>
        <v>76715.795100000003</v>
      </c>
      <c r="L3653" s="537" t="s">
        <v>40</v>
      </c>
      <c r="M3653" s="537"/>
      <c r="N3653" s="537"/>
      <c r="O3653" s="537"/>
      <c r="P3653" s="184">
        <f>SUM(K3653*0.15)</f>
        <v>11507.369264999999</v>
      </c>
      <c r="Q3653" s="537" t="s">
        <v>41</v>
      </c>
      <c r="R3653" s="537"/>
      <c r="S3653" s="537"/>
      <c r="T3653" s="537"/>
      <c r="U3653" s="223">
        <f>SUM(K3653+P3653)</f>
        <v>88223.164365000004</v>
      </c>
    </row>
    <row r="3654" spans="1:21" x14ac:dyDescent="0.25">
      <c r="Q3654" s="537" t="s">
        <v>42</v>
      </c>
      <c r="R3654" s="537"/>
      <c r="S3654" s="537"/>
      <c r="T3654" s="537"/>
      <c r="U3654" s="224">
        <f>ROUND((U3653/5),2)</f>
        <v>17644.63</v>
      </c>
    </row>
    <row r="3655" spans="1:21" x14ac:dyDescent="0.25">
      <c r="A3655" s="544"/>
      <c r="B3655" s="544"/>
      <c r="C3655" s="544"/>
      <c r="D3655" s="544"/>
      <c r="E3655" s="544"/>
      <c r="F3655" s="544"/>
      <c r="G3655" s="544"/>
      <c r="H3655" s="544"/>
      <c r="I3655" s="544"/>
      <c r="J3655" s="544"/>
      <c r="K3655" s="544"/>
      <c r="L3655" s="544"/>
      <c r="M3655" s="544"/>
      <c r="N3655" s="544"/>
      <c r="O3655" s="544"/>
      <c r="P3655" s="544"/>
      <c r="Q3655" s="544"/>
      <c r="R3655" s="544"/>
      <c r="S3655" s="544"/>
      <c r="T3655" s="544"/>
      <c r="U3655" s="544"/>
    </row>
    <row r="3656" spans="1:21" x14ac:dyDescent="0.25">
      <c r="A3656" s="538" t="s">
        <v>12</v>
      </c>
      <c r="B3656" s="538"/>
      <c r="C3656" s="540" t="s">
        <v>1041</v>
      </c>
      <c r="D3656" s="540"/>
      <c r="E3656" s="540"/>
      <c r="F3656" s="540"/>
      <c r="G3656" s="540"/>
      <c r="H3656" s="540"/>
      <c r="I3656" s="540"/>
      <c r="J3656" s="540"/>
      <c r="K3656" s="540"/>
      <c r="L3656" s="540"/>
      <c r="M3656" s="540"/>
      <c r="N3656" s="540"/>
      <c r="O3656" s="540"/>
      <c r="P3656" s="540"/>
      <c r="Q3656" s="540"/>
      <c r="R3656" s="540"/>
      <c r="S3656" s="540"/>
      <c r="T3656" s="540"/>
      <c r="U3656" s="541" t="s">
        <v>1018</v>
      </c>
    </row>
    <row r="3657" spans="1:21" x14ac:dyDescent="0.25">
      <c r="A3657" s="538"/>
      <c r="B3657" s="538"/>
      <c r="C3657" s="540"/>
      <c r="D3657" s="540"/>
      <c r="E3657" s="540"/>
      <c r="F3657" s="540"/>
      <c r="G3657" s="540"/>
      <c r="H3657" s="540"/>
      <c r="I3657" s="540"/>
      <c r="J3657" s="540"/>
      <c r="K3657" s="540"/>
      <c r="L3657" s="540"/>
      <c r="M3657" s="540"/>
      <c r="N3657" s="540"/>
      <c r="O3657" s="540"/>
      <c r="P3657" s="540"/>
      <c r="Q3657" s="540"/>
      <c r="R3657" s="540"/>
      <c r="S3657" s="540"/>
      <c r="T3657" s="540"/>
      <c r="U3657" s="541"/>
    </row>
    <row r="3658" spans="1:21" x14ac:dyDescent="0.25">
      <c r="A3658" s="539" t="s">
        <v>1016</v>
      </c>
      <c r="B3658" s="539"/>
      <c r="C3658" s="540"/>
      <c r="D3658" s="540"/>
      <c r="E3658" s="540"/>
      <c r="F3658" s="540"/>
      <c r="G3658" s="540"/>
      <c r="H3658" s="540"/>
      <c r="I3658" s="540"/>
      <c r="J3658" s="540"/>
      <c r="K3658" s="540"/>
      <c r="L3658" s="540"/>
      <c r="M3658" s="540"/>
      <c r="N3658" s="540"/>
      <c r="O3658" s="540"/>
      <c r="P3658" s="540"/>
      <c r="Q3658" s="540"/>
      <c r="R3658" s="540"/>
      <c r="S3658" s="540"/>
      <c r="T3658" s="540"/>
      <c r="U3658" s="541"/>
    </row>
    <row r="3659" spans="1:21" x14ac:dyDescent="0.25">
      <c r="A3659" s="542" t="s">
        <v>16</v>
      </c>
      <c r="B3659" s="543" t="s">
        <v>18</v>
      </c>
      <c r="C3659" s="543"/>
      <c r="D3659" s="543"/>
      <c r="E3659" s="543"/>
      <c r="F3659" s="543"/>
      <c r="G3659" s="543" t="s">
        <v>24</v>
      </c>
      <c r="H3659" s="543"/>
      <c r="I3659" s="543"/>
      <c r="J3659" s="543"/>
      <c r="K3659" s="543"/>
      <c r="L3659" s="543" t="s">
        <v>25</v>
      </c>
      <c r="M3659" s="543"/>
      <c r="N3659" s="543"/>
      <c r="O3659" s="543"/>
      <c r="P3659" s="543"/>
      <c r="Q3659" s="543" t="s">
        <v>26</v>
      </c>
      <c r="R3659" s="543"/>
      <c r="S3659" s="543"/>
      <c r="T3659" s="543"/>
      <c r="U3659" s="543"/>
    </row>
    <row r="3660" spans="1:21" x14ac:dyDescent="0.25">
      <c r="A3660" s="542"/>
      <c r="B3660" s="182" t="s">
        <v>19</v>
      </c>
      <c r="C3660" s="182" t="s">
        <v>20</v>
      </c>
      <c r="D3660" s="182" t="s">
        <v>21</v>
      </c>
      <c r="E3660" s="182" t="s">
        <v>22</v>
      </c>
      <c r="F3660" s="182" t="s">
        <v>23</v>
      </c>
      <c r="G3660" s="182" t="s">
        <v>19</v>
      </c>
      <c r="H3660" s="216" t="s">
        <v>20</v>
      </c>
      <c r="I3660" s="182" t="s">
        <v>21</v>
      </c>
      <c r="J3660" s="182" t="s">
        <v>22</v>
      </c>
      <c r="K3660" s="182" t="s">
        <v>23</v>
      </c>
      <c r="L3660" s="182" t="s">
        <v>19</v>
      </c>
      <c r="M3660" s="182" t="s">
        <v>20</v>
      </c>
      <c r="N3660" s="182" t="s">
        <v>21</v>
      </c>
      <c r="O3660" s="182" t="s">
        <v>22</v>
      </c>
      <c r="P3660" s="182" t="s">
        <v>23</v>
      </c>
      <c r="Q3660" s="182" t="s">
        <v>19</v>
      </c>
      <c r="R3660" s="182" t="s">
        <v>20</v>
      </c>
      <c r="S3660" s="182" t="s">
        <v>21</v>
      </c>
      <c r="T3660" s="182" t="s">
        <v>22</v>
      </c>
      <c r="U3660" s="211" t="s">
        <v>23</v>
      </c>
    </row>
    <row r="3661" spans="1:21" ht="31.5" x14ac:dyDescent="0.25">
      <c r="A3661" s="183" t="s">
        <v>1042</v>
      </c>
      <c r="B3661" s="182" t="s">
        <v>47</v>
      </c>
      <c r="C3661" s="182" t="s">
        <v>28</v>
      </c>
      <c r="D3661" s="182">
        <v>6</v>
      </c>
      <c r="E3661" s="182">
        <f>skilled</f>
        <v>1245</v>
      </c>
      <c r="F3661" s="184">
        <f>(D3661*E3661)</f>
        <v>7470</v>
      </c>
      <c r="G3661" s="182" t="s">
        <v>1020</v>
      </c>
      <c r="H3661" s="216" t="s">
        <v>49</v>
      </c>
      <c r="I3661" s="182">
        <v>2800</v>
      </c>
      <c r="J3661" s="182">
        <f>adopted_rate_bricks_1st_class</f>
        <v>15.14</v>
      </c>
      <c r="K3661" s="182">
        <f>(I3661*J3661)</f>
        <v>42392</v>
      </c>
      <c r="L3661" s="182" t="s">
        <v>276</v>
      </c>
      <c r="M3661" s="182" t="s">
        <v>1028</v>
      </c>
      <c r="N3661" s="182" t="s">
        <v>1029</v>
      </c>
      <c r="O3661" s="182">
        <f>concrete_mixer</f>
        <v>296</v>
      </c>
      <c r="P3661" s="184">
        <f>(N3661*O3661)</f>
        <v>222</v>
      </c>
    </row>
    <row r="3662" spans="1:21" x14ac:dyDescent="0.25">
      <c r="B3662" s="182" t="s">
        <v>29</v>
      </c>
      <c r="C3662" s="182" t="s">
        <v>28</v>
      </c>
      <c r="D3662" s="182">
        <v>9</v>
      </c>
      <c r="E3662" s="182">
        <f>unskilled</f>
        <v>935</v>
      </c>
      <c r="F3662" s="184">
        <f>(D3662*E3662)</f>
        <v>8415</v>
      </c>
      <c r="G3662" s="182" t="s">
        <v>85</v>
      </c>
      <c r="H3662" s="216" t="s">
        <v>35</v>
      </c>
      <c r="I3662" s="182">
        <v>0.61</v>
      </c>
      <c r="J3662" s="182">
        <f>adopted_rate_cement</f>
        <v>13031</v>
      </c>
      <c r="K3662" s="182">
        <f>(I3662*J3662)</f>
        <v>7948.91</v>
      </c>
    </row>
    <row r="3663" spans="1:21" x14ac:dyDescent="0.25">
      <c r="G3663" s="182" t="s">
        <v>83</v>
      </c>
      <c r="H3663" s="216" t="s">
        <v>84</v>
      </c>
      <c r="I3663" s="182">
        <v>1.26</v>
      </c>
      <c r="J3663" s="182">
        <f>adopted_rate_sand</f>
        <v>3175.2000000000003</v>
      </c>
      <c r="K3663" s="182">
        <f>(I3663*J3663)</f>
        <v>4000.7520000000004</v>
      </c>
    </row>
    <row r="3664" spans="1:21" x14ac:dyDescent="0.25">
      <c r="G3664" s="182" t="s">
        <v>171</v>
      </c>
      <c r="H3664" s="216" t="s">
        <v>1021</v>
      </c>
      <c r="I3664" s="182">
        <v>0.1</v>
      </c>
      <c r="J3664" s="182">
        <f>adopted_rate_water</f>
        <v>310</v>
      </c>
      <c r="K3664" s="182">
        <f>(I3664*J3664)</f>
        <v>31</v>
      </c>
    </row>
    <row r="3665" spans="1:21" ht="31.5" x14ac:dyDescent="0.25">
      <c r="G3665" s="182" t="s">
        <v>1040</v>
      </c>
      <c r="H3665" s="216"/>
      <c r="K3665" s="184">
        <f>((F3666+(SUM(K3661:K3664)))*5/100)</f>
        <v>3512.8831000000005</v>
      </c>
    </row>
    <row r="3666" spans="1:21" x14ac:dyDescent="0.25">
      <c r="A3666" s="537" t="s">
        <v>30</v>
      </c>
      <c r="B3666" s="537"/>
      <c r="C3666" s="537"/>
      <c r="D3666" s="537"/>
      <c r="E3666" s="537"/>
      <c r="F3666" s="184">
        <f>SUM(F3660:F3665)</f>
        <v>15885</v>
      </c>
      <c r="G3666" s="537" t="s">
        <v>31</v>
      </c>
      <c r="H3666" s="537"/>
      <c r="I3666" s="537"/>
      <c r="J3666" s="537"/>
      <c r="K3666" s="184">
        <f>SUM(K3660:K3665)</f>
        <v>57885.545100000003</v>
      </c>
      <c r="L3666" s="537" t="s">
        <v>32</v>
      </c>
      <c r="M3666" s="537"/>
      <c r="N3666" s="537"/>
      <c r="O3666" s="537"/>
      <c r="P3666" s="184">
        <f>SUM(P3660:P3665)</f>
        <v>222</v>
      </c>
      <c r="Q3666" s="537" t="s">
        <v>38</v>
      </c>
      <c r="R3666" s="537"/>
      <c r="S3666" s="537"/>
      <c r="T3666" s="537"/>
      <c r="U3666" s="223">
        <f>SUM(U3660:U3665)</f>
        <v>0</v>
      </c>
    </row>
    <row r="3667" spans="1:21" x14ac:dyDescent="0.25">
      <c r="A3667" s="537" t="s">
        <v>33</v>
      </c>
      <c r="B3667" s="537"/>
      <c r="C3667" s="537"/>
      <c r="D3667" s="537"/>
      <c r="E3667" s="537"/>
      <c r="F3667" s="184">
        <f>SUM(F3666+K3666+P3666)</f>
        <v>73992.545100000003</v>
      </c>
      <c r="G3667" s="537" t="s">
        <v>39</v>
      </c>
      <c r="H3667" s="537"/>
      <c r="I3667" s="537"/>
      <c r="J3667" s="537"/>
      <c r="K3667" s="184">
        <f>SUM(F3666+K3666+P3666+U3666)</f>
        <v>73992.545100000003</v>
      </c>
      <c r="L3667" s="537" t="s">
        <v>40</v>
      </c>
      <c r="M3667" s="537"/>
      <c r="N3667" s="537"/>
      <c r="O3667" s="537"/>
      <c r="P3667" s="184">
        <f>SUM(K3667*0.15)</f>
        <v>11098.881765</v>
      </c>
      <c r="Q3667" s="537" t="s">
        <v>41</v>
      </c>
      <c r="R3667" s="537"/>
      <c r="S3667" s="537"/>
      <c r="T3667" s="537"/>
      <c r="U3667" s="223">
        <f>SUM(K3667+P3667)</f>
        <v>85091.426865000001</v>
      </c>
    </row>
    <row r="3668" spans="1:21" x14ac:dyDescent="0.25">
      <c r="Q3668" s="537" t="s">
        <v>42</v>
      </c>
      <c r="R3668" s="537"/>
      <c r="S3668" s="537"/>
      <c r="T3668" s="537"/>
      <c r="U3668" s="224">
        <f>ROUND((U3667/5),2)</f>
        <v>17018.29</v>
      </c>
    </row>
    <row r="3669" spans="1:21" x14ac:dyDescent="0.25">
      <c r="A3669" s="544"/>
      <c r="B3669" s="544"/>
      <c r="C3669" s="544"/>
      <c r="D3669" s="544"/>
      <c r="E3669" s="544"/>
      <c r="F3669" s="544"/>
      <c r="G3669" s="544"/>
      <c r="H3669" s="544"/>
      <c r="I3669" s="544"/>
      <c r="J3669" s="544"/>
      <c r="K3669" s="544"/>
      <c r="L3669" s="544"/>
      <c r="M3669" s="544"/>
      <c r="N3669" s="544"/>
      <c r="O3669" s="544"/>
      <c r="P3669" s="544"/>
      <c r="Q3669" s="544"/>
      <c r="R3669" s="544"/>
      <c r="S3669" s="544"/>
      <c r="T3669" s="544"/>
      <c r="U3669" s="544"/>
    </row>
    <row r="3670" spans="1:21" x14ac:dyDescent="0.25">
      <c r="A3670" s="538" t="s">
        <v>12</v>
      </c>
      <c r="B3670" s="538"/>
      <c r="C3670" s="540" t="s">
        <v>1043</v>
      </c>
      <c r="D3670" s="540"/>
      <c r="E3670" s="540"/>
      <c r="F3670" s="540"/>
      <c r="G3670" s="540"/>
      <c r="H3670" s="540"/>
      <c r="I3670" s="540"/>
      <c r="J3670" s="540"/>
      <c r="K3670" s="540"/>
      <c r="L3670" s="540"/>
      <c r="M3670" s="540"/>
      <c r="N3670" s="540"/>
      <c r="O3670" s="540"/>
      <c r="P3670" s="540"/>
      <c r="Q3670" s="540"/>
      <c r="R3670" s="540"/>
      <c r="S3670" s="540"/>
      <c r="T3670" s="540"/>
      <c r="U3670" s="541" t="s">
        <v>1018</v>
      </c>
    </row>
    <row r="3671" spans="1:21" x14ac:dyDescent="0.25">
      <c r="A3671" s="538"/>
      <c r="B3671" s="538"/>
      <c r="C3671" s="540"/>
      <c r="D3671" s="540"/>
      <c r="E3671" s="540"/>
      <c r="F3671" s="540"/>
      <c r="G3671" s="540"/>
      <c r="H3671" s="540"/>
      <c r="I3671" s="540"/>
      <c r="J3671" s="540"/>
      <c r="K3671" s="540"/>
      <c r="L3671" s="540"/>
      <c r="M3671" s="540"/>
      <c r="N3671" s="540"/>
      <c r="O3671" s="540"/>
      <c r="P3671" s="540"/>
      <c r="Q3671" s="540"/>
      <c r="R3671" s="540"/>
      <c r="S3671" s="540"/>
      <c r="T3671" s="540"/>
      <c r="U3671" s="541"/>
    </row>
    <row r="3672" spans="1:21" x14ac:dyDescent="0.25">
      <c r="A3672" s="539" t="s">
        <v>1016</v>
      </c>
      <c r="B3672" s="539"/>
      <c r="C3672" s="540"/>
      <c r="D3672" s="540"/>
      <c r="E3672" s="540"/>
      <c r="F3672" s="540"/>
      <c r="G3672" s="540"/>
      <c r="H3672" s="540"/>
      <c r="I3672" s="540"/>
      <c r="J3672" s="540"/>
      <c r="K3672" s="540"/>
      <c r="L3672" s="540"/>
      <c r="M3672" s="540"/>
      <c r="N3672" s="540"/>
      <c r="O3672" s="540"/>
      <c r="P3672" s="540"/>
      <c r="Q3672" s="540"/>
      <c r="R3672" s="540"/>
      <c r="S3672" s="540"/>
      <c r="T3672" s="540"/>
      <c r="U3672" s="541"/>
    </row>
    <row r="3673" spans="1:21" x14ac:dyDescent="0.25">
      <c r="A3673" s="542" t="s">
        <v>16</v>
      </c>
      <c r="B3673" s="543" t="s">
        <v>18</v>
      </c>
      <c r="C3673" s="543"/>
      <c r="D3673" s="543"/>
      <c r="E3673" s="543"/>
      <c r="F3673" s="543"/>
      <c r="G3673" s="543" t="s">
        <v>24</v>
      </c>
      <c r="H3673" s="543"/>
      <c r="I3673" s="543"/>
      <c r="J3673" s="543"/>
      <c r="K3673" s="543"/>
      <c r="L3673" s="543" t="s">
        <v>25</v>
      </c>
      <c r="M3673" s="543"/>
      <c r="N3673" s="543"/>
      <c r="O3673" s="543"/>
      <c r="P3673" s="543"/>
      <c r="Q3673" s="543" t="s">
        <v>26</v>
      </c>
      <c r="R3673" s="543"/>
      <c r="S3673" s="543"/>
      <c r="T3673" s="543"/>
      <c r="U3673" s="543"/>
    </row>
    <row r="3674" spans="1:21" x14ac:dyDescent="0.25">
      <c r="A3674" s="542"/>
      <c r="B3674" s="182" t="s">
        <v>19</v>
      </c>
      <c r="C3674" s="182" t="s">
        <v>20</v>
      </c>
      <c r="D3674" s="182" t="s">
        <v>21</v>
      </c>
      <c r="E3674" s="182" t="s">
        <v>22</v>
      </c>
      <c r="F3674" s="182" t="s">
        <v>23</v>
      </c>
      <c r="G3674" s="182" t="s">
        <v>19</v>
      </c>
      <c r="H3674" s="216" t="s">
        <v>20</v>
      </c>
      <c r="I3674" s="182" t="s">
        <v>21</v>
      </c>
      <c r="J3674" s="182" t="s">
        <v>22</v>
      </c>
      <c r="K3674" s="182" t="s">
        <v>23</v>
      </c>
      <c r="L3674" s="182" t="s">
        <v>19</v>
      </c>
      <c r="M3674" s="182" t="s">
        <v>20</v>
      </c>
      <c r="N3674" s="182" t="s">
        <v>21</v>
      </c>
      <c r="O3674" s="182" t="s">
        <v>22</v>
      </c>
      <c r="P3674" s="182" t="s">
        <v>23</v>
      </c>
      <c r="Q3674" s="182" t="s">
        <v>19</v>
      </c>
      <c r="R3674" s="182" t="s">
        <v>20</v>
      </c>
      <c r="S3674" s="182" t="s">
        <v>21</v>
      </c>
      <c r="T3674" s="182" t="s">
        <v>22</v>
      </c>
      <c r="U3674" s="211" t="s">
        <v>23</v>
      </c>
    </row>
    <row r="3675" spans="1:21" x14ac:dyDescent="0.25">
      <c r="A3675" s="183" t="s">
        <v>1044</v>
      </c>
      <c r="B3675" s="182" t="s">
        <v>47</v>
      </c>
      <c r="C3675" s="182" t="s">
        <v>28</v>
      </c>
      <c r="D3675" s="182">
        <v>7</v>
      </c>
      <c r="E3675" s="182">
        <f>skilled</f>
        <v>1245</v>
      </c>
      <c r="F3675" s="184">
        <f>(D3675*E3675)</f>
        <v>8715</v>
      </c>
      <c r="G3675" s="182" t="s">
        <v>1020</v>
      </c>
      <c r="H3675" s="216" t="s">
        <v>49</v>
      </c>
      <c r="I3675" s="182">
        <v>2800</v>
      </c>
      <c r="J3675" s="182">
        <f>adopted_rate_bricks_1st_class</f>
        <v>15.14</v>
      </c>
      <c r="K3675" s="182">
        <f>(I3675*J3675)</f>
        <v>42392</v>
      </c>
    </row>
    <row r="3676" spans="1:21" x14ac:dyDescent="0.25">
      <c r="B3676" s="182" t="s">
        <v>29</v>
      </c>
      <c r="C3676" s="182" t="s">
        <v>28</v>
      </c>
      <c r="D3676" s="182">
        <v>14</v>
      </c>
      <c r="E3676" s="182">
        <f>unskilled</f>
        <v>935</v>
      </c>
      <c r="F3676" s="184">
        <f>(D3676*E3676)</f>
        <v>13090</v>
      </c>
      <c r="G3676" s="182" t="s">
        <v>85</v>
      </c>
      <c r="H3676" s="216" t="s">
        <v>35</v>
      </c>
      <c r="I3676" s="182">
        <v>0.61</v>
      </c>
      <c r="J3676" s="182">
        <f>adopted_rate_cement</f>
        <v>13031</v>
      </c>
      <c r="K3676" s="182">
        <f>(I3676*J3676)</f>
        <v>7948.91</v>
      </c>
    </row>
    <row r="3677" spans="1:21" x14ac:dyDescent="0.25">
      <c r="G3677" s="182" t="s">
        <v>83</v>
      </c>
      <c r="H3677" s="216" t="s">
        <v>84</v>
      </c>
      <c r="I3677" s="182">
        <v>1.26</v>
      </c>
      <c r="J3677" s="182">
        <f>adopted_rate_sand</f>
        <v>3175.2000000000003</v>
      </c>
      <c r="K3677" s="182">
        <f>(I3677*J3677)</f>
        <v>4000.7520000000004</v>
      </c>
    </row>
    <row r="3678" spans="1:21" x14ac:dyDescent="0.25">
      <c r="G3678" s="182" t="s">
        <v>171</v>
      </c>
      <c r="H3678" s="216" t="s">
        <v>1021</v>
      </c>
      <c r="I3678" s="182">
        <v>0.1</v>
      </c>
      <c r="J3678" s="182">
        <f>adopted_rate_water</f>
        <v>310</v>
      </c>
      <c r="K3678" s="182">
        <f>(I3678*J3678)</f>
        <v>31</v>
      </c>
    </row>
    <row r="3679" spans="1:21" ht="31.5" x14ac:dyDescent="0.25">
      <c r="G3679" s="182" t="s">
        <v>1040</v>
      </c>
      <c r="H3679" s="216"/>
      <c r="K3679" s="184">
        <f>((F3680+(SUM(K3675:K3678)))*5/100)</f>
        <v>3808.8831000000005</v>
      </c>
    </row>
    <row r="3680" spans="1:21" x14ac:dyDescent="0.25">
      <c r="A3680" s="537" t="s">
        <v>30</v>
      </c>
      <c r="B3680" s="537"/>
      <c r="C3680" s="537"/>
      <c r="D3680" s="537"/>
      <c r="E3680" s="537"/>
      <c r="F3680" s="184">
        <f>SUM(F3674:F3679)</f>
        <v>21805</v>
      </c>
      <c r="G3680" s="537" t="s">
        <v>31</v>
      </c>
      <c r="H3680" s="537"/>
      <c r="I3680" s="537"/>
      <c r="J3680" s="537"/>
      <c r="K3680" s="184">
        <f>SUM(K3674:K3679)</f>
        <v>58181.545100000003</v>
      </c>
      <c r="L3680" s="537" t="s">
        <v>32</v>
      </c>
      <c r="M3680" s="537"/>
      <c r="N3680" s="537"/>
      <c r="O3680" s="537"/>
      <c r="P3680" s="184">
        <f>SUM(P3674:P3679)</f>
        <v>0</v>
      </c>
      <c r="Q3680" s="537" t="s">
        <v>38</v>
      </c>
      <c r="R3680" s="537"/>
      <c r="S3680" s="537"/>
      <c r="T3680" s="537"/>
      <c r="U3680" s="223">
        <f>SUM(U3674:U3679)</f>
        <v>0</v>
      </c>
    </row>
    <row r="3681" spans="1:21" x14ac:dyDescent="0.25">
      <c r="A3681" s="537" t="s">
        <v>33</v>
      </c>
      <c r="B3681" s="537"/>
      <c r="C3681" s="537"/>
      <c r="D3681" s="537"/>
      <c r="E3681" s="537"/>
      <c r="F3681" s="184">
        <f>SUM(F3680+K3680+P3680)</f>
        <v>79986.545100000003</v>
      </c>
      <c r="G3681" s="537" t="s">
        <v>39</v>
      </c>
      <c r="H3681" s="537"/>
      <c r="I3681" s="537"/>
      <c r="J3681" s="537"/>
      <c r="K3681" s="184">
        <f>SUM(F3680+K3680+P3680+U3680)</f>
        <v>79986.545100000003</v>
      </c>
      <c r="L3681" s="537" t="s">
        <v>40</v>
      </c>
      <c r="M3681" s="537"/>
      <c r="N3681" s="537"/>
      <c r="O3681" s="537"/>
      <c r="P3681" s="184">
        <f>SUM(K3681*0.15)</f>
        <v>11997.981765</v>
      </c>
      <c r="Q3681" s="537" t="s">
        <v>41</v>
      </c>
      <c r="R3681" s="537"/>
      <c r="S3681" s="537"/>
      <c r="T3681" s="537"/>
      <c r="U3681" s="223">
        <f>SUM(K3681+P3681)</f>
        <v>91984.526865000007</v>
      </c>
    </row>
    <row r="3682" spans="1:21" x14ac:dyDescent="0.25">
      <c r="Q3682" s="537" t="s">
        <v>42</v>
      </c>
      <c r="R3682" s="537"/>
      <c r="S3682" s="537"/>
      <c r="T3682" s="537"/>
      <c r="U3682" s="224">
        <f>ROUND((U3681/5),2)</f>
        <v>18396.91</v>
      </c>
    </row>
    <row r="3683" spans="1:21" x14ac:dyDescent="0.25">
      <c r="A3683" s="544"/>
      <c r="B3683" s="544"/>
      <c r="C3683" s="544"/>
      <c r="D3683" s="544"/>
      <c r="E3683" s="544"/>
      <c r="F3683" s="544"/>
      <c r="G3683" s="544"/>
      <c r="H3683" s="544"/>
      <c r="I3683" s="544"/>
      <c r="J3683" s="544"/>
      <c r="K3683" s="544"/>
      <c r="L3683" s="544"/>
      <c r="M3683" s="544"/>
      <c r="N3683" s="544"/>
      <c r="O3683" s="544"/>
      <c r="P3683" s="544"/>
      <c r="Q3683" s="544"/>
      <c r="R3683" s="544"/>
      <c r="S3683" s="544"/>
      <c r="T3683" s="544"/>
      <c r="U3683" s="544"/>
    </row>
    <row r="3684" spans="1:21" x14ac:dyDescent="0.25">
      <c r="A3684" s="538" t="s">
        <v>12</v>
      </c>
      <c r="B3684" s="538"/>
      <c r="C3684" s="540" t="s">
        <v>1045</v>
      </c>
      <c r="D3684" s="540"/>
      <c r="E3684" s="540"/>
      <c r="F3684" s="540"/>
      <c r="G3684" s="540"/>
      <c r="H3684" s="540"/>
      <c r="I3684" s="540"/>
      <c r="J3684" s="540"/>
      <c r="K3684" s="540"/>
      <c r="L3684" s="540"/>
      <c r="M3684" s="540"/>
      <c r="N3684" s="540"/>
      <c r="O3684" s="540"/>
      <c r="P3684" s="540"/>
      <c r="Q3684" s="540"/>
      <c r="R3684" s="540"/>
      <c r="S3684" s="540"/>
      <c r="T3684" s="540"/>
      <c r="U3684" s="541" t="s">
        <v>1018</v>
      </c>
    </row>
    <row r="3685" spans="1:21" x14ac:dyDescent="0.25">
      <c r="A3685" s="538"/>
      <c r="B3685" s="538"/>
      <c r="C3685" s="540"/>
      <c r="D3685" s="540"/>
      <c r="E3685" s="540"/>
      <c r="F3685" s="540"/>
      <c r="G3685" s="540"/>
      <c r="H3685" s="540"/>
      <c r="I3685" s="540"/>
      <c r="J3685" s="540"/>
      <c r="K3685" s="540"/>
      <c r="L3685" s="540"/>
      <c r="M3685" s="540"/>
      <c r="N3685" s="540"/>
      <c r="O3685" s="540"/>
      <c r="P3685" s="540"/>
      <c r="Q3685" s="540"/>
      <c r="R3685" s="540"/>
      <c r="S3685" s="540"/>
      <c r="T3685" s="540"/>
      <c r="U3685" s="541"/>
    </row>
    <row r="3686" spans="1:21" x14ac:dyDescent="0.25">
      <c r="A3686" s="539" t="s">
        <v>1016</v>
      </c>
      <c r="B3686" s="539"/>
      <c r="C3686" s="540"/>
      <c r="D3686" s="540"/>
      <c r="E3686" s="540"/>
      <c r="F3686" s="540"/>
      <c r="G3686" s="540"/>
      <c r="H3686" s="540"/>
      <c r="I3686" s="540"/>
      <c r="J3686" s="540"/>
      <c r="K3686" s="540"/>
      <c r="L3686" s="540"/>
      <c r="M3686" s="540"/>
      <c r="N3686" s="540"/>
      <c r="O3686" s="540"/>
      <c r="P3686" s="540"/>
      <c r="Q3686" s="540"/>
      <c r="R3686" s="540"/>
      <c r="S3686" s="540"/>
      <c r="T3686" s="540"/>
      <c r="U3686" s="541"/>
    </row>
    <row r="3687" spans="1:21" x14ac:dyDescent="0.25">
      <c r="A3687" s="542" t="s">
        <v>16</v>
      </c>
      <c r="B3687" s="543" t="s">
        <v>18</v>
      </c>
      <c r="C3687" s="543"/>
      <c r="D3687" s="543"/>
      <c r="E3687" s="543"/>
      <c r="F3687" s="543"/>
      <c r="G3687" s="543" t="s">
        <v>24</v>
      </c>
      <c r="H3687" s="543"/>
      <c r="I3687" s="543"/>
      <c r="J3687" s="543"/>
      <c r="K3687" s="543"/>
      <c r="L3687" s="543" t="s">
        <v>25</v>
      </c>
      <c r="M3687" s="543"/>
      <c r="N3687" s="543"/>
      <c r="O3687" s="543"/>
      <c r="P3687" s="543"/>
      <c r="Q3687" s="543" t="s">
        <v>26</v>
      </c>
      <c r="R3687" s="543"/>
      <c r="S3687" s="543"/>
      <c r="T3687" s="543"/>
      <c r="U3687" s="543"/>
    </row>
    <row r="3688" spans="1:21" x14ac:dyDescent="0.25">
      <c r="A3688" s="542"/>
      <c r="B3688" s="182" t="s">
        <v>19</v>
      </c>
      <c r="C3688" s="182" t="s">
        <v>20</v>
      </c>
      <c r="D3688" s="182" t="s">
        <v>21</v>
      </c>
      <c r="E3688" s="182" t="s">
        <v>22</v>
      </c>
      <c r="F3688" s="182" t="s">
        <v>23</v>
      </c>
      <c r="G3688" s="182" t="s">
        <v>19</v>
      </c>
      <c r="H3688" s="216" t="s">
        <v>20</v>
      </c>
      <c r="I3688" s="182" t="s">
        <v>21</v>
      </c>
      <c r="J3688" s="182" t="s">
        <v>22</v>
      </c>
      <c r="K3688" s="182" t="s">
        <v>23</v>
      </c>
      <c r="L3688" s="182" t="s">
        <v>19</v>
      </c>
      <c r="M3688" s="182" t="s">
        <v>20</v>
      </c>
      <c r="N3688" s="182" t="s">
        <v>21</v>
      </c>
      <c r="O3688" s="182" t="s">
        <v>22</v>
      </c>
      <c r="P3688" s="182" t="s">
        <v>23</v>
      </c>
      <c r="Q3688" s="182" t="s">
        <v>19</v>
      </c>
      <c r="R3688" s="182" t="s">
        <v>20</v>
      </c>
      <c r="S3688" s="182" t="s">
        <v>21</v>
      </c>
      <c r="T3688" s="182" t="s">
        <v>22</v>
      </c>
      <c r="U3688" s="211" t="s">
        <v>23</v>
      </c>
    </row>
    <row r="3689" spans="1:21" ht="31.5" x14ac:dyDescent="0.25">
      <c r="A3689" s="183" t="s">
        <v>1046</v>
      </c>
      <c r="B3689" s="182" t="s">
        <v>47</v>
      </c>
      <c r="C3689" s="182" t="s">
        <v>28</v>
      </c>
      <c r="D3689" s="182">
        <v>7</v>
      </c>
      <c r="E3689" s="182">
        <f>skilled</f>
        <v>1245</v>
      </c>
      <c r="F3689" s="184">
        <f>(D3689*E3689)</f>
        <v>8715</v>
      </c>
      <c r="G3689" s="182" t="s">
        <v>1020</v>
      </c>
      <c r="H3689" s="216" t="s">
        <v>49</v>
      </c>
      <c r="I3689" s="182">
        <v>2800</v>
      </c>
      <c r="J3689" s="182">
        <f>adopted_rate_bricks_1st_class</f>
        <v>15.14</v>
      </c>
      <c r="K3689" s="182">
        <f>(I3689*J3689)</f>
        <v>42392</v>
      </c>
      <c r="L3689" s="182" t="s">
        <v>276</v>
      </c>
      <c r="M3689" s="182" t="s">
        <v>1028</v>
      </c>
      <c r="N3689" s="182" t="s">
        <v>1029</v>
      </c>
      <c r="O3689" s="182">
        <f>concrete_mixer</f>
        <v>296</v>
      </c>
      <c r="P3689" s="184">
        <f>(N3689*O3689)</f>
        <v>222</v>
      </c>
    </row>
    <row r="3690" spans="1:21" x14ac:dyDescent="0.25">
      <c r="B3690" s="182" t="s">
        <v>29</v>
      </c>
      <c r="C3690" s="182" t="s">
        <v>28</v>
      </c>
      <c r="D3690" s="182">
        <v>11</v>
      </c>
      <c r="E3690" s="182">
        <f>unskilled</f>
        <v>935</v>
      </c>
      <c r="F3690" s="184">
        <f>(D3690*E3690)</f>
        <v>10285</v>
      </c>
      <c r="G3690" s="182" t="s">
        <v>85</v>
      </c>
      <c r="H3690" s="216" t="s">
        <v>35</v>
      </c>
      <c r="I3690" s="182">
        <v>0.61</v>
      </c>
      <c r="J3690" s="182">
        <f>adopted_rate_cement</f>
        <v>13031</v>
      </c>
      <c r="K3690" s="182">
        <f>(I3690*J3690)</f>
        <v>7948.91</v>
      </c>
    </row>
    <row r="3691" spans="1:21" x14ac:dyDescent="0.25">
      <c r="G3691" s="182" t="s">
        <v>83</v>
      </c>
      <c r="H3691" s="216" t="s">
        <v>84</v>
      </c>
      <c r="I3691" s="182">
        <v>1.26</v>
      </c>
      <c r="J3691" s="182">
        <f>adopted_rate_sand</f>
        <v>3175.2000000000003</v>
      </c>
      <c r="K3691" s="182">
        <f>(I3691*J3691)</f>
        <v>4000.7520000000004</v>
      </c>
    </row>
    <row r="3692" spans="1:21" x14ac:dyDescent="0.25">
      <c r="G3692" s="182" t="s">
        <v>171</v>
      </c>
      <c r="H3692" s="216" t="s">
        <v>1021</v>
      </c>
      <c r="I3692" s="182">
        <v>0.1</v>
      </c>
      <c r="J3692" s="182">
        <f>adopted_rate_water</f>
        <v>310</v>
      </c>
      <c r="K3692" s="182">
        <f>(I3692*J3692)</f>
        <v>31</v>
      </c>
    </row>
    <row r="3693" spans="1:21" ht="31.5" x14ac:dyDescent="0.25">
      <c r="G3693" s="182" t="s">
        <v>1040</v>
      </c>
      <c r="H3693" s="216"/>
      <c r="K3693" s="184">
        <f>((F3694+(SUM(K3689:K3692)))*5/100)</f>
        <v>3668.6331000000005</v>
      </c>
    </row>
    <row r="3694" spans="1:21" x14ac:dyDescent="0.25">
      <c r="A3694" s="537" t="s">
        <v>30</v>
      </c>
      <c r="B3694" s="537"/>
      <c r="C3694" s="537"/>
      <c r="D3694" s="537"/>
      <c r="E3694" s="537"/>
      <c r="F3694" s="184">
        <f>SUM(F3688:F3693)</f>
        <v>19000</v>
      </c>
      <c r="G3694" s="537" t="s">
        <v>31</v>
      </c>
      <c r="H3694" s="537"/>
      <c r="I3694" s="537"/>
      <c r="J3694" s="537"/>
      <c r="K3694" s="184">
        <f>SUM(K3688:K3693)</f>
        <v>58041.295100000003</v>
      </c>
      <c r="L3694" s="537" t="s">
        <v>32</v>
      </c>
      <c r="M3694" s="537"/>
      <c r="N3694" s="537"/>
      <c r="O3694" s="537"/>
      <c r="P3694" s="184">
        <f>SUM(P3688:P3693)</f>
        <v>222</v>
      </c>
      <c r="Q3694" s="537" t="s">
        <v>38</v>
      </c>
      <c r="R3694" s="537"/>
      <c r="S3694" s="537"/>
      <c r="T3694" s="537"/>
      <c r="U3694" s="223">
        <f>SUM(U3688:U3693)</f>
        <v>0</v>
      </c>
    </row>
    <row r="3695" spans="1:21" x14ac:dyDescent="0.25">
      <c r="A3695" s="537" t="s">
        <v>33</v>
      </c>
      <c r="B3695" s="537"/>
      <c r="C3695" s="537"/>
      <c r="D3695" s="537"/>
      <c r="E3695" s="537"/>
      <c r="F3695" s="184">
        <f>SUM(F3694+K3694+P3694)</f>
        <v>77263.295100000003</v>
      </c>
      <c r="G3695" s="537" t="s">
        <v>39</v>
      </c>
      <c r="H3695" s="537"/>
      <c r="I3695" s="537"/>
      <c r="J3695" s="537"/>
      <c r="K3695" s="184">
        <f>SUM(F3694+K3694+P3694+U3694)</f>
        <v>77263.295100000003</v>
      </c>
      <c r="L3695" s="537" t="s">
        <v>40</v>
      </c>
      <c r="M3695" s="537"/>
      <c r="N3695" s="537"/>
      <c r="O3695" s="537"/>
      <c r="P3695" s="184">
        <f>SUM(K3695*0.15)</f>
        <v>11589.494264999999</v>
      </c>
      <c r="Q3695" s="537" t="s">
        <v>41</v>
      </c>
      <c r="R3695" s="537"/>
      <c r="S3695" s="537"/>
      <c r="T3695" s="537"/>
      <c r="U3695" s="223">
        <f>SUM(K3695+P3695)</f>
        <v>88852.789365000004</v>
      </c>
    </row>
    <row r="3696" spans="1:21" x14ac:dyDescent="0.25">
      <c r="Q3696" s="537" t="s">
        <v>42</v>
      </c>
      <c r="R3696" s="537"/>
      <c r="S3696" s="537"/>
      <c r="T3696" s="537"/>
      <c r="U3696" s="224">
        <f>ROUND((U3695/5),2)</f>
        <v>17770.560000000001</v>
      </c>
    </row>
    <row r="3697" spans="1:21" x14ac:dyDescent="0.25">
      <c r="A3697" s="544"/>
      <c r="B3697" s="544"/>
      <c r="C3697" s="544"/>
      <c r="D3697" s="544"/>
      <c r="E3697" s="544"/>
      <c r="F3697" s="544"/>
      <c r="G3697" s="544"/>
      <c r="H3697" s="544"/>
      <c r="I3697" s="544"/>
      <c r="J3697" s="544"/>
      <c r="K3697" s="544"/>
      <c r="L3697" s="544"/>
      <c r="M3697" s="544"/>
      <c r="N3697" s="544"/>
      <c r="O3697" s="544"/>
      <c r="P3697" s="544"/>
      <c r="Q3697" s="544"/>
      <c r="R3697" s="544"/>
      <c r="S3697" s="544"/>
      <c r="T3697" s="544"/>
      <c r="U3697" s="544"/>
    </row>
    <row r="3698" spans="1:21" x14ac:dyDescent="0.25">
      <c r="A3698" s="538" t="s">
        <v>12</v>
      </c>
      <c r="B3698" s="538"/>
      <c r="C3698" s="540" t="s">
        <v>1047</v>
      </c>
      <c r="D3698" s="540"/>
      <c r="E3698" s="540"/>
      <c r="F3698" s="540"/>
      <c r="G3698" s="540"/>
      <c r="H3698" s="540"/>
      <c r="I3698" s="540"/>
      <c r="J3698" s="540"/>
      <c r="K3698" s="540"/>
      <c r="L3698" s="540"/>
      <c r="M3698" s="540"/>
      <c r="N3698" s="540"/>
      <c r="O3698" s="540"/>
      <c r="P3698" s="540"/>
      <c r="Q3698" s="540"/>
      <c r="R3698" s="540"/>
      <c r="S3698" s="540"/>
      <c r="T3698" s="540"/>
      <c r="U3698" s="541" t="s">
        <v>1018</v>
      </c>
    </row>
    <row r="3699" spans="1:21" x14ac:dyDescent="0.25">
      <c r="A3699" s="538"/>
      <c r="B3699" s="538"/>
      <c r="C3699" s="540"/>
      <c r="D3699" s="540"/>
      <c r="E3699" s="540"/>
      <c r="F3699" s="540"/>
      <c r="G3699" s="540"/>
      <c r="H3699" s="540"/>
      <c r="I3699" s="540"/>
      <c r="J3699" s="540"/>
      <c r="K3699" s="540"/>
      <c r="L3699" s="540"/>
      <c r="M3699" s="540"/>
      <c r="N3699" s="540"/>
      <c r="O3699" s="540"/>
      <c r="P3699" s="540"/>
      <c r="Q3699" s="540"/>
      <c r="R3699" s="540"/>
      <c r="S3699" s="540"/>
      <c r="T3699" s="540"/>
      <c r="U3699" s="541"/>
    </row>
    <row r="3700" spans="1:21" x14ac:dyDescent="0.25">
      <c r="A3700" s="539" t="s">
        <v>1016</v>
      </c>
      <c r="B3700" s="539"/>
      <c r="C3700" s="540"/>
      <c r="D3700" s="540"/>
      <c r="E3700" s="540"/>
      <c r="F3700" s="540"/>
      <c r="G3700" s="540"/>
      <c r="H3700" s="540"/>
      <c r="I3700" s="540"/>
      <c r="J3700" s="540"/>
      <c r="K3700" s="540"/>
      <c r="L3700" s="540"/>
      <c r="M3700" s="540"/>
      <c r="N3700" s="540"/>
      <c r="O3700" s="540"/>
      <c r="P3700" s="540"/>
      <c r="Q3700" s="540"/>
      <c r="R3700" s="540"/>
      <c r="S3700" s="540"/>
      <c r="T3700" s="540"/>
      <c r="U3700" s="541"/>
    </row>
    <row r="3701" spans="1:21" x14ac:dyDescent="0.25">
      <c r="A3701" s="542" t="s">
        <v>16</v>
      </c>
      <c r="B3701" s="543" t="s">
        <v>18</v>
      </c>
      <c r="C3701" s="543"/>
      <c r="D3701" s="543"/>
      <c r="E3701" s="543"/>
      <c r="F3701" s="543"/>
      <c r="G3701" s="543" t="s">
        <v>24</v>
      </c>
      <c r="H3701" s="543"/>
      <c r="I3701" s="543"/>
      <c r="J3701" s="543"/>
      <c r="K3701" s="543"/>
      <c r="L3701" s="543" t="s">
        <v>25</v>
      </c>
      <c r="M3701" s="543"/>
      <c r="N3701" s="543"/>
      <c r="O3701" s="543"/>
      <c r="P3701" s="543"/>
      <c r="Q3701" s="543" t="s">
        <v>26</v>
      </c>
      <c r="R3701" s="543"/>
      <c r="S3701" s="543"/>
      <c r="T3701" s="543"/>
      <c r="U3701" s="543"/>
    </row>
    <row r="3702" spans="1:21" x14ac:dyDescent="0.25">
      <c r="A3702" s="542"/>
      <c r="B3702" s="182" t="s">
        <v>19</v>
      </c>
      <c r="C3702" s="182" t="s">
        <v>20</v>
      </c>
      <c r="D3702" s="182" t="s">
        <v>21</v>
      </c>
      <c r="E3702" s="182" t="s">
        <v>22</v>
      </c>
      <c r="F3702" s="182" t="s">
        <v>23</v>
      </c>
      <c r="G3702" s="182" t="s">
        <v>19</v>
      </c>
      <c r="H3702" s="216" t="s">
        <v>20</v>
      </c>
      <c r="I3702" s="182" t="s">
        <v>21</v>
      </c>
      <c r="J3702" s="182" t="s">
        <v>22</v>
      </c>
      <c r="K3702" s="182" t="s">
        <v>23</v>
      </c>
      <c r="L3702" s="182" t="s">
        <v>19</v>
      </c>
      <c r="M3702" s="182" t="s">
        <v>20</v>
      </c>
      <c r="N3702" s="182" t="s">
        <v>21</v>
      </c>
      <c r="O3702" s="182" t="s">
        <v>22</v>
      </c>
      <c r="P3702" s="182" t="s">
        <v>23</v>
      </c>
      <c r="Q3702" s="182" t="s">
        <v>19</v>
      </c>
      <c r="R3702" s="182" t="s">
        <v>20</v>
      </c>
      <c r="S3702" s="182" t="s">
        <v>21</v>
      </c>
      <c r="T3702" s="182" t="s">
        <v>22</v>
      </c>
      <c r="U3702" s="211" t="s">
        <v>23</v>
      </c>
    </row>
    <row r="3703" spans="1:21" x14ac:dyDescent="0.25">
      <c r="A3703" s="183" t="s">
        <v>1048</v>
      </c>
      <c r="B3703" s="182" t="s">
        <v>47</v>
      </c>
      <c r="C3703" s="182" t="s">
        <v>28</v>
      </c>
      <c r="D3703" s="182">
        <v>7</v>
      </c>
      <c r="E3703" s="182">
        <f>skilled</f>
        <v>1245</v>
      </c>
      <c r="F3703" s="184">
        <f>(D3703*E3703)</f>
        <v>8715</v>
      </c>
      <c r="G3703" s="182" t="s">
        <v>1020</v>
      </c>
      <c r="H3703" s="216" t="s">
        <v>49</v>
      </c>
      <c r="I3703" s="182">
        <v>2800</v>
      </c>
      <c r="J3703" s="182">
        <f>adopted_rate_bricks_1st_class</f>
        <v>15.14</v>
      </c>
      <c r="K3703" s="182">
        <f>(I3703*J3703)</f>
        <v>42392</v>
      </c>
    </row>
    <row r="3704" spans="1:21" x14ac:dyDescent="0.25">
      <c r="B3704" s="182" t="s">
        <v>29</v>
      </c>
      <c r="C3704" s="182" t="s">
        <v>28</v>
      </c>
      <c r="D3704" s="182">
        <v>14</v>
      </c>
      <c r="E3704" s="182">
        <f>unskilled</f>
        <v>935</v>
      </c>
      <c r="F3704" s="184">
        <f>(D3704*E3704)</f>
        <v>13090</v>
      </c>
      <c r="G3704" s="182" t="s">
        <v>85</v>
      </c>
      <c r="H3704" s="216" t="s">
        <v>35</v>
      </c>
      <c r="I3704" s="182">
        <v>0.48</v>
      </c>
      <c r="J3704" s="182">
        <f>adopted_rate_cement</f>
        <v>13031</v>
      </c>
      <c r="K3704" s="182">
        <f>(I3704*J3704)</f>
        <v>6254.88</v>
      </c>
    </row>
    <row r="3705" spans="1:21" x14ac:dyDescent="0.25">
      <c r="G3705" s="182" t="s">
        <v>83</v>
      </c>
      <c r="H3705" s="216" t="s">
        <v>84</v>
      </c>
      <c r="I3705" s="182">
        <v>1.35</v>
      </c>
      <c r="J3705" s="182">
        <f>adopted_rate_sand</f>
        <v>3175.2000000000003</v>
      </c>
      <c r="K3705" s="182">
        <f>(I3705*J3705)</f>
        <v>4286.5200000000004</v>
      </c>
    </row>
    <row r="3706" spans="1:21" x14ac:dyDescent="0.25">
      <c r="G3706" s="182" t="s">
        <v>171</v>
      </c>
      <c r="H3706" s="216" t="s">
        <v>1021</v>
      </c>
      <c r="I3706" s="182">
        <v>0.1</v>
      </c>
      <c r="J3706" s="182">
        <f>adopted_rate_water</f>
        <v>310</v>
      </c>
      <c r="K3706" s="182">
        <f>(I3706*J3706)</f>
        <v>31</v>
      </c>
    </row>
    <row r="3707" spans="1:21" ht="31.5" x14ac:dyDescent="0.25">
      <c r="G3707" s="182" t="s">
        <v>1040</v>
      </c>
      <c r="H3707" s="216"/>
      <c r="K3707" s="184">
        <f>((F3708+(SUM(K3703:K3706)))*5/100)</f>
        <v>3738.47</v>
      </c>
    </row>
    <row r="3708" spans="1:21" x14ac:dyDescent="0.25">
      <c r="A3708" s="537" t="s">
        <v>30</v>
      </c>
      <c r="B3708" s="537"/>
      <c r="C3708" s="537"/>
      <c r="D3708" s="537"/>
      <c r="E3708" s="537"/>
      <c r="F3708" s="184">
        <f>SUM(F3702:F3707)</f>
        <v>21805</v>
      </c>
      <c r="G3708" s="537" t="s">
        <v>31</v>
      </c>
      <c r="H3708" s="537"/>
      <c r="I3708" s="537"/>
      <c r="J3708" s="537"/>
      <c r="K3708" s="184">
        <f>SUM(K3702:K3707)</f>
        <v>56702.869999999995</v>
      </c>
      <c r="L3708" s="537" t="s">
        <v>32</v>
      </c>
      <c r="M3708" s="537"/>
      <c r="N3708" s="537"/>
      <c r="O3708" s="537"/>
      <c r="P3708" s="184">
        <f>SUM(P3702:P3707)</f>
        <v>0</v>
      </c>
      <c r="Q3708" s="537" t="s">
        <v>38</v>
      </c>
      <c r="R3708" s="537"/>
      <c r="S3708" s="537"/>
      <c r="T3708" s="537"/>
      <c r="U3708" s="223">
        <f>SUM(U3702:U3707)</f>
        <v>0</v>
      </c>
    </row>
    <row r="3709" spans="1:21" x14ac:dyDescent="0.25">
      <c r="A3709" s="537" t="s">
        <v>33</v>
      </c>
      <c r="B3709" s="537"/>
      <c r="C3709" s="537"/>
      <c r="D3709" s="537"/>
      <c r="E3709" s="537"/>
      <c r="F3709" s="184">
        <f>SUM(F3708+K3708+P3708)</f>
        <v>78507.87</v>
      </c>
      <c r="G3709" s="537" t="s">
        <v>39</v>
      </c>
      <c r="H3709" s="537"/>
      <c r="I3709" s="537"/>
      <c r="J3709" s="537"/>
      <c r="K3709" s="184">
        <f>SUM(F3708+K3708+P3708+U3708)</f>
        <v>78507.87</v>
      </c>
      <c r="L3709" s="537" t="s">
        <v>40</v>
      </c>
      <c r="M3709" s="537"/>
      <c r="N3709" s="537"/>
      <c r="O3709" s="537"/>
      <c r="P3709" s="184">
        <f>SUM(K3709*0.15)</f>
        <v>11776.180499999999</v>
      </c>
      <c r="Q3709" s="537" t="s">
        <v>41</v>
      </c>
      <c r="R3709" s="537"/>
      <c r="S3709" s="537"/>
      <c r="T3709" s="537"/>
      <c r="U3709" s="223">
        <f>SUM(K3709+P3709)</f>
        <v>90284.050499999998</v>
      </c>
    </row>
    <row r="3710" spans="1:21" x14ac:dyDescent="0.25">
      <c r="Q3710" s="537" t="s">
        <v>42</v>
      </c>
      <c r="R3710" s="537"/>
      <c r="S3710" s="537"/>
      <c r="T3710" s="537"/>
      <c r="U3710" s="224">
        <f>ROUND((U3709/5),2)</f>
        <v>18056.810000000001</v>
      </c>
    </row>
    <row r="3711" spans="1:21" x14ac:dyDescent="0.25">
      <c r="A3711" s="544"/>
      <c r="B3711" s="544"/>
      <c r="C3711" s="544"/>
      <c r="D3711" s="544"/>
      <c r="E3711" s="544"/>
      <c r="F3711" s="544"/>
      <c r="G3711" s="544"/>
      <c r="H3711" s="544"/>
      <c r="I3711" s="544"/>
      <c r="J3711" s="544"/>
      <c r="K3711" s="544"/>
      <c r="L3711" s="544"/>
      <c r="M3711" s="544"/>
      <c r="N3711" s="544"/>
      <c r="O3711" s="544"/>
      <c r="P3711" s="544"/>
      <c r="Q3711" s="544"/>
      <c r="R3711" s="544"/>
      <c r="S3711" s="544"/>
      <c r="T3711" s="544"/>
      <c r="U3711" s="544"/>
    </row>
    <row r="3712" spans="1:21" x14ac:dyDescent="0.25">
      <c r="A3712" s="538" t="s">
        <v>12</v>
      </c>
      <c r="B3712" s="538"/>
      <c r="C3712" s="540" t="s">
        <v>1049</v>
      </c>
      <c r="D3712" s="540"/>
      <c r="E3712" s="540"/>
      <c r="F3712" s="540"/>
      <c r="G3712" s="540"/>
      <c r="H3712" s="540"/>
      <c r="I3712" s="540"/>
      <c r="J3712" s="540"/>
      <c r="K3712" s="540"/>
      <c r="L3712" s="540"/>
      <c r="M3712" s="540"/>
      <c r="N3712" s="540"/>
      <c r="O3712" s="540"/>
      <c r="P3712" s="540"/>
      <c r="Q3712" s="540"/>
      <c r="R3712" s="540"/>
      <c r="S3712" s="540"/>
      <c r="T3712" s="540"/>
      <c r="U3712" s="541" t="s">
        <v>1018</v>
      </c>
    </row>
    <row r="3713" spans="1:21" x14ac:dyDescent="0.25">
      <c r="A3713" s="538"/>
      <c r="B3713" s="538"/>
      <c r="C3713" s="540"/>
      <c r="D3713" s="540"/>
      <c r="E3713" s="540"/>
      <c r="F3713" s="540"/>
      <c r="G3713" s="540"/>
      <c r="H3713" s="540"/>
      <c r="I3713" s="540"/>
      <c r="J3713" s="540"/>
      <c r="K3713" s="540"/>
      <c r="L3713" s="540"/>
      <c r="M3713" s="540"/>
      <c r="N3713" s="540"/>
      <c r="O3713" s="540"/>
      <c r="P3713" s="540"/>
      <c r="Q3713" s="540"/>
      <c r="R3713" s="540"/>
      <c r="S3713" s="540"/>
      <c r="T3713" s="540"/>
      <c r="U3713" s="541"/>
    </row>
    <row r="3714" spans="1:21" x14ac:dyDescent="0.25">
      <c r="A3714" s="539" t="s">
        <v>1016</v>
      </c>
      <c r="B3714" s="539"/>
      <c r="C3714" s="540"/>
      <c r="D3714" s="540"/>
      <c r="E3714" s="540"/>
      <c r="F3714" s="540"/>
      <c r="G3714" s="540"/>
      <c r="H3714" s="540"/>
      <c r="I3714" s="540"/>
      <c r="J3714" s="540"/>
      <c r="K3714" s="540"/>
      <c r="L3714" s="540"/>
      <c r="M3714" s="540"/>
      <c r="N3714" s="540"/>
      <c r="O3714" s="540"/>
      <c r="P3714" s="540"/>
      <c r="Q3714" s="540"/>
      <c r="R3714" s="540"/>
      <c r="S3714" s="540"/>
      <c r="T3714" s="540"/>
      <c r="U3714" s="541"/>
    </row>
    <row r="3715" spans="1:21" x14ac:dyDescent="0.25">
      <c r="A3715" s="542" t="s">
        <v>16</v>
      </c>
      <c r="B3715" s="543" t="s">
        <v>18</v>
      </c>
      <c r="C3715" s="543"/>
      <c r="D3715" s="543"/>
      <c r="E3715" s="543"/>
      <c r="F3715" s="543"/>
      <c r="G3715" s="543" t="s">
        <v>24</v>
      </c>
      <c r="H3715" s="543"/>
      <c r="I3715" s="543"/>
      <c r="J3715" s="543"/>
      <c r="K3715" s="543"/>
      <c r="L3715" s="543" t="s">
        <v>25</v>
      </c>
      <c r="M3715" s="543"/>
      <c r="N3715" s="543"/>
      <c r="O3715" s="543"/>
      <c r="P3715" s="543"/>
      <c r="Q3715" s="543" t="s">
        <v>26</v>
      </c>
      <c r="R3715" s="543"/>
      <c r="S3715" s="543"/>
      <c r="T3715" s="543"/>
      <c r="U3715" s="543"/>
    </row>
    <row r="3716" spans="1:21" x14ac:dyDescent="0.25">
      <c r="A3716" s="542"/>
      <c r="B3716" s="182" t="s">
        <v>19</v>
      </c>
      <c r="C3716" s="182" t="s">
        <v>20</v>
      </c>
      <c r="D3716" s="182" t="s">
        <v>21</v>
      </c>
      <c r="E3716" s="182" t="s">
        <v>22</v>
      </c>
      <c r="F3716" s="182" t="s">
        <v>23</v>
      </c>
      <c r="G3716" s="182" t="s">
        <v>19</v>
      </c>
      <c r="H3716" s="216" t="s">
        <v>20</v>
      </c>
      <c r="I3716" s="182" t="s">
        <v>21</v>
      </c>
      <c r="J3716" s="182" t="s">
        <v>22</v>
      </c>
      <c r="K3716" s="182" t="s">
        <v>23</v>
      </c>
      <c r="L3716" s="182" t="s">
        <v>19</v>
      </c>
      <c r="M3716" s="182" t="s">
        <v>20</v>
      </c>
      <c r="N3716" s="182" t="s">
        <v>21</v>
      </c>
      <c r="O3716" s="182" t="s">
        <v>22</v>
      </c>
      <c r="P3716" s="182" t="s">
        <v>23</v>
      </c>
      <c r="Q3716" s="182" t="s">
        <v>19</v>
      </c>
      <c r="R3716" s="182" t="s">
        <v>20</v>
      </c>
      <c r="S3716" s="182" t="s">
        <v>21</v>
      </c>
      <c r="T3716" s="182" t="s">
        <v>22</v>
      </c>
      <c r="U3716" s="211" t="s">
        <v>23</v>
      </c>
    </row>
    <row r="3717" spans="1:21" ht="31.5" x14ac:dyDescent="0.25">
      <c r="A3717" s="183" t="s">
        <v>1050</v>
      </c>
      <c r="B3717" s="182" t="s">
        <v>47</v>
      </c>
      <c r="C3717" s="182" t="s">
        <v>28</v>
      </c>
      <c r="D3717" s="182">
        <v>7</v>
      </c>
      <c r="E3717" s="182">
        <f>skilled</f>
        <v>1245</v>
      </c>
      <c r="F3717" s="184">
        <f>(D3717*E3717)</f>
        <v>8715</v>
      </c>
      <c r="G3717" s="182" t="s">
        <v>1020</v>
      </c>
      <c r="H3717" s="216" t="s">
        <v>49</v>
      </c>
      <c r="I3717" s="182">
        <v>2800</v>
      </c>
      <c r="J3717" s="182">
        <f>adopted_rate_bricks_1st_class</f>
        <v>15.14</v>
      </c>
      <c r="K3717" s="182">
        <f>(I3717*J3717)</f>
        <v>42392</v>
      </c>
      <c r="L3717" s="182" t="s">
        <v>276</v>
      </c>
      <c r="M3717" s="182" t="s">
        <v>1028</v>
      </c>
      <c r="N3717" s="182" t="s">
        <v>1029</v>
      </c>
      <c r="O3717" s="182">
        <f>concrete_mixer</f>
        <v>296</v>
      </c>
      <c r="P3717" s="184">
        <f>(N3717*O3717)</f>
        <v>222</v>
      </c>
    </row>
    <row r="3718" spans="1:21" x14ac:dyDescent="0.25">
      <c r="B3718" s="182" t="s">
        <v>29</v>
      </c>
      <c r="C3718" s="182" t="s">
        <v>28</v>
      </c>
      <c r="D3718" s="182">
        <v>11</v>
      </c>
      <c r="E3718" s="182">
        <f>unskilled</f>
        <v>935</v>
      </c>
      <c r="F3718" s="184">
        <f>(D3718*E3718)</f>
        <v>10285</v>
      </c>
      <c r="G3718" s="182" t="s">
        <v>85</v>
      </c>
      <c r="H3718" s="216" t="s">
        <v>35</v>
      </c>
      <c r="I3718" s="182">
        <v>0.48</v>
      </c>
      <c r="J3718" s="182">
        <f>adopted_rate_cement</f>
        <v>13031</v>
      </c>
      <c r="K3718" s="182">
        <f>(I3718*J3718)</f>
        <v>6254.88</v>
      </c>
    </row>
    <row r="3719" spans="1:21" x14ac:dyDescent="0.25">
      <c r="G3719" s="182" t="s">
        <v>83</v>
      </c>
      <c r="H3719" s="216" t="s">
        <v>84</v>
      </c>
      <c r="I3719" s="182">
        <v>1.35</v>
      </c>
      <c r="J3719" s="182">
        <f>adopted_rate_sand</f>
        <v>3175.2000000000003</v>
      </c>
      <c r="K3719" s="182">
        <f>(I3719*J3719)</f>
        <v>4286.5200000000004</v>
      </c>
    </row>
    <row r="3720" spans="1:21" x14ac:dyDescent="0.25">
      <c r="G3720" s="182" t="s">
        <v>171</v>
      </c>
      <c r="H3720" s="216" t="s">
        <v>1021</v>
      </c>
      <c r="I3720" s="182">
        <v>0.1</v>
      </c>
      <c r="J3720" s="182">
        <f>adopted_rate_water</f>
        <v>310</v>
      </c>
      <c r="K3720" s="182">
        <f>(I3720*J3720)</f>
        <v>31</v>
      </c>
    </row>
    <row r="3721" spans="1:21" ht="31.5" x14ac:dyDescent="0.25">
      <c r="G3721" s="182" t="s">
        <v>1040</v>
      </c>
      <c r="H3721" s="216"/>
      <c r="K3721" s="184">
        <f>((F3722+(SUM(K3717:K3720)))*5/100)</f>
        <v>3598.22</v>
      </c>
    </row>
    <row r="3722" spans="1:21" x14ac:dyDescent="0.25">
      <c r="A3722" s="537" t="s">
        <v>30</v>
      </c>
      <c r="B3722" s="537"/>
      <c r="C3722" s="537"/>
      <c r="D3722" s="537"/>
      <c r="E3722" s="537"/>
      <c r="F3722" s="184">
        <f>SUM(F3716:F3721)</f>
        <v>19000</v>
      </c>
      <c r="G3722" s="537" t="s">
        <v>31</v>
      </c>
      <c r="H3722" s="537"/>
      <c r="I3722" s="537"/>
      <c r="J3722" s="537"/>
      <c r="K3722" s="184">
        <f>SUM(K3716:K3721)</f>
        <v>56562.619999999995</v>
      </c>
      <c r="L3722" s="537" t="s">
        <v>32</v>
      </c>
      <c r="M3722" s="537"/>
      <c r="N3722" s="537"/>
      <c r="O3722" s="537"/>
      <c r="P3722" s="184">
        <f>SUM(P3716:P3721)</f>
        <v>222</v>
      </c>
      <c r="Q3722" s="537" t="s">
        <v>38</v>
      </c>
      <c r="R3722" s="537"/>
      <c r="S3722" s="537"/>
      <c r="T3722" s="537"/>
      <c r="U3722" s="223">
        <f>SUM(U3716:U3721)</f>
        <v>0</v>
      </c>
    </row>
    <row r="3723" spans="1:21" x14ac:dyDescent="0.25">
      <c r="A3723" s="537" t="s">
        <v>33</v>
      </c>
      <c r="B3723" s="537"/>
      <c r="C3723" s="537"/>
      <c r="D3723" s="537"/>
      <c r="E3723" s="537"/>
      <c r="F3723" s="184">
        <f>SUM(F3722+K3722+P3722)</f>
        <v>75784.62</v>
      </c>
      <c r="G3723" s="537" t="s">
        <v>39</v>
      </c>
      <c r="H3723" s="537"/>
      <c r="I3723" s="537"/>
      <c r="J3723" s="537"/>
      <c r="K3723" s="184">
        <f>SUM(F3722+K3722+P3722+U3722)</f>
        <v>75784.62</v>
      </c>
      <c r="L3723" s="537" t="s">
        <v>40</v>
      </c>
      <c r="M3723" s="537"/>
      <c r="N3723" s="537"/>
      <c r="O3723" s="537"/>
      <c r="P3723" s="184">
        <f>SUM(K3723*0.15)</f>
        <v>11367.692999999999</v>
      </c>
      <c r="Q3723" s="537" t="s">
        <v>41</v>
      </c>
      <c r="R3723" s="537"/>
      <c r="S3723" s="537"/>
      <c r="T3723" s="537"/>
      <c r="U3723" s="223">
        <f>SUM(K3723+P3723)</f>
        <v>87152.312999999995</v>
      </c>
    </row>
    <row r="3724" spans="1:21" x14ac:dyDescent="0.25">
      <c r="Q3724" s="537" t="s">
        <v>42</v>
      </c>
      <c r="R3724" s="537"/>
      <c r="S3724" s="537"/>
      <c r="T3724" s="537"/>
      <c r="U3724" s="224">
        <f>ROUND((U3723/5),2)</f>
        <v>17430.46</v>
      </c>
    </row>
    <row r="3725" spans="1:21" x14ac:dyDescent="0.25">
      <c r="A3725" s="544"/>
      <c r="B3725" s="544"/>
      <c r="C3725" s="544"/>
      <c r="D3725" s="544"/>
      <c r="E3725" s="544"/>
      <c r="F3725" s="544"/>
      <c r="G3725" s="544"/>
      <c r="H3725" s="544"/>
      <c r="I3725" s="544"/>
      <c r="J3725" s="544"/>
      <c r="K3725" s="544"/>
      <c r="L3725" s="544"/>
      <c r="M3725" s="544"/>
      <c r="N3725" s="544"/>
      <c r="O3725" s="544"/>
      <c r="P3725" s="544"/>
      <c r="Q3725" s="544"/>
      <c r="R3725" s="544"/>
      <c r="S3725" s="544"/>
      <c r="T3725" s="544"/>
      <c r="U3725" s="544"/>
    </row>
    <row r="3726" spans="1:21" x14ac:dyDescent="0.25">
      <c r="A3726" s="538" t="s">
        <v>12</v>
      </c>
      <c r="B3726" s="538"/>
      <c r="C3726" s="540" t="s">
        <v>1051</v>
      </c>
      <c r="D3726" s="540"/>
      <c r="E3726" s="540"/>
      <c r="F3726" s="540"/>
      <c r="G3726" s="540"/>
      <c r="H3726" s="540"/>
      <c r="I3726" s="540"/>
      <c r="J3726" s="540"/>
      <c r="K3726" s="540"/>
      <c r="L3726" s="540"/>
      <c r="M3726" s="540"/>
      <c r="N3726" s="540"/>
      <c r="O3726" s="540"/>
      <c r="P3726" s="540"/>
      <c r="Q3726" s="540"/>
      <c r="R3726" s="540"/>
      <c r="S3726" s="540"/>
      <c r="T3726" s="540"/>
      <c r="U3726" s="541" t="s">
        <v>1018</v>
      </c>
    </row>
    <row r="3727" spans="1:21" x14ac:dyDescent="0.25">
      <c r="A3727" s="538"/>
      <c r="B3727" s="538"/>
      <c r="C3727" s="540"/>
      <c r="D3727" s="540"/>
      <c r="E3727" s="540"/>
      <c r="F3727" s="540"/>
      <c r="G3727" s="540"/>
      <c r="H3727" s="540"/>
      <c r="I3727" s="540"/>
      <c r="J3727" s="540"/>
      <c r="K3727" s="540"/>
      <c r="L3727" s="540"/>
      <c r="M3727" s="540"/>
      <c r="N3727" s="540"/>
      <c r="O3727" s="540"/>
      <c r="P3727" s="540"/>
      <c r="Q3727" s="540"/>
      <c r="R3727" s="540"/>
      <c r="S3727" s="540"/>
      <c r="T3727" s="540"/>
      <c r="U3727" s="541"/>
    </row>
    <row r="3728" spans="1:21" x14ac:dyDescent="0.25">
      <c r="A3728" s="539" t="s">
        <v>1016</v>
      </c>
      <c r="B3728" s="539"/>
      <c r="C3728" s="540"/>
      <c r="D3728" s="540"/>
      <c r="E3728" s="540"/>
      <c r="F3728" s="540"/>
      <c r="G3728" s="540"/>
      <c r="H3728" s="540"/>
      <c r="I3728" s="540"/>
      <c r="J3728" s="540"/>
      <c r="K3728" s="540"/>
      <c r="L3728" s="540"/>
      <c r="M3728" s="540"/>
      <c r="N3728" s="540"/>
      <c r="O3728" s="540"/>
      <c r="P3728" s="540"/>
      <c r="Q3728" s="540"/>
      <c r="R3728" s="540"/>
      <c r="S3728" s="540"/>
      <c r="T3728" s="540"/>
      <c r="U3728" s="541"/>
    </row>
    <row r="3729" spans="1:21" x14ac:dyDescent="0.25">
      <c r="A3729" s="542" t="s">
        <v>16</v>
      </c>
      <c r="B3729" s="543" t="s">
        <v>18</v>
      </c>
      <c r="C3729" s="543"/>
      <c r="D3729" s="543"/>
      <c r="E3729" s="543"/>
      <c r="F3729" s="543"/>
      <c r="G3729" s="543" t="s">
        <v>24</v>
      </c>
      <c r="H3729" s="543"/>
      <c r="I3729" s="543"/>
      <c r="J3729" s="543"/>
      <c r="K3729" s="543"/>
      <c r="L3729" s="543" t="s">
        <v>25</v>
      </c>
      <c r="M3729" s="543"/>
      <c r="N3729" s="543"/>
      <c r="O3729" s="543"/>
      <c r="P3729" s="543"/>
      <c r="Q3729" s="543" t="s">
        <v>26</v>
      </c>
      <c r="R3729" s="543"/>
      <c r="S3729" s="543"/>
      <c r="T3729" s="543"/>
      <c r="U3729" s="543"/>
    </row>
    <row r="3730" spans="1:21" x14ac:dyDescent="0.25">
      <c r="A3730" s="542"/>
      <c r="B3730" s="182" t="s">
        <v>19</v>
      </c>
      <c r="C3730" s="182" t="s">
        <v>20</v>
      </c>
      <c r="D3730" s="182" t="s">
        <v>21</v>
      </c>
      <c r="E3730" s="182" t="s">
        <v>22</v>
      </c>
      <c r="F3730" s="182" t="s">
        <v>23</v>
      </c>
      <c r="G3730" s="182" t="s">
        <v>19</v>
      </c>
      <c r="H3730" s="216" t="s">
        <v>20</v>
      </c>
      <c r="I3730" s="182" t="s">
        <v>21</v>
      </c>
      <c r="J3730" s="182" t="s">
        <v>22</v>
      </c>
      <c r="K3730" s="182" t="s">
        <v>23</v>
      </c>
      <c r="L3730" s="182" t="s">
        <v>19</v>
      </c>
      <c r="M3730" s="182" t="s">
        <v>20</v>
      </c>
      <c r="N3730" s="182" t="s">
        <v>21</v>
      </c>
      <c r="O3730" s="182" t="s">
        <v>22</v>
      </c>
      <c r="P3730" s="182" t="s">
        <v>23</v>
      </c>
      <c r="Q3730" s="182" t="s">
        <v>19</v>
      </c>
      <c r="R3730" s="182" t="s">
        <v>20</v>
      </c>
      <c r="S3730" s="182" t="s">
        <v>21</v>
      </c>
      <c r="T3730" s="182" t="s">
        <v>22</v>
      </c>
      <c r="U3730" s="211" t="s">
        <v>23</v>
      </c>
    </row>
    <row r="3731" spans="1:21" x14ac:dyDescent="0.25">
      <c r="A3731" s="183" t="s">
        <v>1052</v>
      </c>
      <c r="B3731" s="182" t="s">
        <v>47</v>
      </c>
      <c r="C3731" s="182" t="s">
        <v>28</v>
      </c>
      <c r="D3731" s="182">
        <v>7</v>
      </c>
      <c r="E3731" s="182">
        <f>skilled</f>
        <v>1245</v>
      </c>
      <c r="F3731" s="184">
        <f>(D3731*E3731)</f>
        <v>8715</v>
      </c>
      <c r="G3731" s="182" t="s">
        <v>1020</v>
      </c>
      <c r="H3731" s="216" t="s">
        <v>49</v>
      </c>
      <c r="I3731" s="182">
        <v>2800</v>
      </c>
      <c r="J3731" s="182">
        <f>adopted_rate_bricks_1st_class</f>
        <v>15.14</v>
      </c>
      <c r="K3731" s="182">
        <f>(I3731*J3731)</f>
        <v>42392</v>
      </c>
    </row>
    <row r="3732" spans="1:21" x14ac:dyDescent="0.25">
      <c r="B3732" s="182" t="s">
        <v>29</v>
      </c>
      <c r="C3732" s="182" t="s">
        <v>28</v>
      </c>
      <c r="D3732" s="182">
        <v>14</v>
      </c>
      <c r="E3732" s="182">
        <f>unskilled</f>
        <v>935</v>
      </c>
      <c r="F3732" s="184">
        <f>(D3732*E3732)</f>
        <v>13090</v>
      </c>
      <c r="G3732" s="182" t="s">
        <v>85</v>
      </c>
      <c r="H3732" s="216" t="s">
        <v>35</v>
      </c>
      <c r="I3732" s="182">
        <v>0.35</v>
      </c>
      <c r="J3732" s="182">
        <f>adopted_rate_cement</f>
        <v>13031</v>
      </c>
      <c r="K3732" s="182">
        <f>(I3732*J3732)</f>
        <v>4560.8499999999995</v>
      </c>
    </row>
    <row r="3733" spans="1:21" x14ac:dyDescent="0.25">
      <c r="G3733" s="182" t="s">
        <v>83</v>
      </c>
      <c r="H3733" s="216" t="s">
        <v>84</v>
      </c>
      <c r="I3733" s="182">
        <v>1.45</v>
      </c>
      <c r="J3733" s="182">
        <f>adopted_rate_sand</f>
        <v>3175.2000000000003</v>
      </c>
      <c r="K3733" s="182">
        <f>(I3733*J3733)</f>
        <v>4604.04</v>
      </c>
    </row>
    <row r="3734" spans="1:21" x14ac:dyDescent="0.25">
      <c r="G3734" s="182" t="s">
        <v>171</v>
      </c>
      <c r="H3734" s="216" t="s">
        <v>1021</v>
      </c>
      <c r="I3734" s="182">
        <v>0.1</v>
      </c>
      <c r="J3734" s="182">
        <f>adopted_rate_water</f>
        <v>310</v>
      </c>
      <c r="K3734" s="182">
        <f>(I3734*J3734)</f>
        <v>31</v>
      </c>
    </row>
    <row r="3735" spans="1:21" ht="31.5" x14ac:dyDescent="0.25">
      <c r="G3735" s="182" t="s">
        <v>1040</v>
      </c>
      <c r="H3735" s="216"/>
      <c r="K3735" s="184">
        <f>((F3736+(SUM(K3731:K3734)))*5/100)</f>
        <v>3669.6445000000003</v>
      </c>
    </row>
    <row r="3736" spans="1:21" x14ac:dyDescent="0.25">
      <c r="A3736" s="537" t="s">
        <v>30</v>
      </c>
      <c r="B3736" s="537"/>
      <c r="C3736" s="537"/>
      <c r="D3736" s="537"/>
      <c r="E3736" s="537"/>
      <c r="F3736" s="184">
        <f>SUM(F3730:F3735)</f>
        <v>21805</v>
      </c>
      <c r="G3736" s="537" t="s">
        <v>31</v>
      </c>
      <c r="H3736" s="537"/>
      <c r="I3736" s="537"/>
      <c r="J3736" s="537"/>
      <c r="K3736" s="184">
        <f>SUM(K3730:K3735)</f>
        <v>55257.534500000002</v>
      </c>
      <c r="L3736" s="537" t="s">
        <v>32</v>
      </c>
      <c r="M3736" s="537"/>
      <c r="N3736" s="537"/>
      <c r="O3736" s="537"/>
      <c r="P3736" s="184">
        <f>SUM(P3730:P3735)</f>
        <v>0</v>
      </c>
      <c r="Q3736" s="537" t="s">
        <v>38</v>
      </c>
      <c r="R3736" s="537"/>
      <c r="S3736" s="537"/>
      <c r="T3736" s="537"/>
      <c r="U3736" s="223">
        <f>SUM(U3730:U3735)</f>
        <v>0</v>
      </c>
    </row>
    <row r="3737" spans="1:21" x14ac:dyDescent="0.25">
      <c r="A3737" s="537" t="s">
        <v>33</v>
      </c>
      <c r="B3737" s="537"/>
      <c r="C3737" s="537"/>
      <c r="D3737" s="537"/>
      <c r="E3737" s="537"/>
      <c r="F3737" s="184">
        <f>SUM(F3736+K3736+P3736)</f>
        <v>77062.534500000009</v>
      </c>
      <c r="G3737" s="537" t="s">
        <v>39</v>
      </c>
      <c r="H3737" s="537"/>
      <c r="I3737" s="537"/>
      <c r="J3737" s="537"/>
      <c r="K3737" s="184">
        <f>SUM(F3736+K3736+P3736+U3736)</f>
        <v>77062.534500000009</v>
      </c>
      <c r="L3737" s="537" t="s">
        <v>40</v>
      </c>
      <c r="M3737" s="537"/>
      <c r="N3737" s="537"/>
      <c r="O3737" s="537"/>
      <c r="P3737" s="184">
        <f>SUM(K3737*0.15)</f>
        <v>11559.380175</v>
      </c>
      <c r="Q3737" s="537" t="s">
        <v>41</v>
      </c>
      <c r="R3737" s="537"/>
      <c r="S3737" s="537"/>
      <c r="T3737" s="537"/>
      <c r="U3737" s="223">
        <f>SUM(K3737+P3737)</f>
        <v>88621.914675000007</v>
      </c>
    </row>
    <row r="3738" spans="1:21" x14ac:dyDescent="0.25">
      <c r="Q3738" s="537" t="s">
        <v>42</v>
      </c>
      <c r="R3738" s="537"/>
      <c r="S3738" s="537"/>
      <c r="T3738" s="537"/>
      <c r="U3738" s="224">
        <f>ROUND((U3737/5),2)</f>
        <v>17724.38</v>
      </c>
    </row>
    <row r="3739" spans="1:21" x14ac:dyDescent="0.25">
      <c r="A3739" s="544"/>
      <c r="B3739" s="544"/>
      <c r="C3739" s="544"/>
      <c r="D3739" s="544"/>
      <c r="E3739" s="544"/>
      <c r="F3739" s="544"/>
      <c r="G3739" s="544"/>
      <c r="H3739" s="544"/>
      <c r="I3739" s="544"/>
      <c r="J3739" s="544"/>
      <c r="K3739" s="544"/>
      <c r="L3739" s="544"/>
      <c r="M3739" s="544"/>
      <c r="N3739" s="544"/>
      <c r="O3739" s="544"/>
      <c r="P3739" s="544"/>
      <c r="Q3739" s="544"/>
      <c r="R3739" s="544"/>
      <c r="S3739" s="544"/>
      <c r="T3739" s="544"/>
      <c r="U3739" s="544"/>
    </row>
    <row r="3740" spans="1:21" x14ac:dyDescent="0.25">
      <c r="A3740" s="538" t="s">
        <v>12</v>
      </c>
      <c r="B3740" s="538"/>
      <c r="C3740" s="540" t="s">
        <v>1053</v>
      </c>
      <c r="D3740" s="540"/>
      <c r="E3740" s="540"/>
      <c r="F3740" s="540"/>
      <c r="G3740" s="540"/>
      <c r="H3740" s="540"/>
      <c r="I3740" s="540"/>
      <c r="J3740" s="540"/>
      <c r="K3740" s="540"/>
      <c r="L3740" s="540"/>
      <c r="M3740" s="540"/>
      <c r="N3740" s="540"/>
      <c r="O3740" s="540"/>
      <c r="P3740" s="540"/>
      <c r="Q3740" s="540"/>
      <c r="R3740" s="540"/>
      <c r="S3740" s="540"/>
      <c r="T3740" s="540"/>
      <c r="U3740" s="541" t="s">
        <v>1018</v>
      </c>
    </row>
    <row r="3741" spans="1:21" x14ac:dyDescent="0.25">
      <c r="A3741" s="538"/>
      <c r="B3741" s="538"/>
      <c r="C3741" s="540"/>
      <c r="D3741" s="540"/>
      <c r="E3741" s="540"/>
      <c r="F3741" s="540"/>
      <c r="G3741" s="540"/>
      <c r="H3741" s="540"/>
      <c r="I3741" s="540"/>
      <c r="J3741" s="540"/>
      <c r="K3741" s="540"/>
      <c r="L3741" s="540"/>
      <c r="M3741" s="540"/>
      <c r="N3741" s="540"/>
      <c r="O3741" s="540"/>
      <c r="P3741" s="540"/>
      <c r="Q3741" s="540"/>
      <c r="R3741" s="540"/>
      <c r="S3741" s="540"/>
      <c r="T3741" s="540"/>
      <c r="U3741" s="541"/>
    </row>
    <row r="3742" spans="1:21" x14ac:dyDescent="0.25">
      <c r="A3742" s="539" t="s">
        <v>1016</v>
      </c>
      <c r="B3742" s="539"/>
      <c r="C3742" s="540"/>
      <c r="D3742" s="540"/>
      <c r="E3742" s="540"/>
      <c r="F3742" s="540"/>
      <c r="G3742" s="540"/>
      <c r="H3742" s="540"/>
      <c r="I3742" s="540"/>
      <c r="J3742" s="540"/>
      <c r="K3742" s="540"/>
      <c r="L3742" s="540"/>
      <c r="M3742" s="540"/>
      <c r="N3742" s="540"/>
      <c r="O3742" s="540"/>
      <c r="P3742" s="540"/>
      <c r="Q3742" s="540"/>
      <c r="R3742" s="540"/>
      <c r="S3742" s="540"/>
      <c r="T3742" s="540"/>
      <c r="U3742" s="541"/>
    </row>
    <row r="3743" spans="1:21" x14ac:dyDescent="0.25">
      <c r="A3743" s="542" t="s">
        <v>16</v>
      </c>
      <c r="B3743" s="543" t="s">
        <v>18</v>
      </c>
      <c r="C3743" s="543"/>
      <c r="D3743" s="543"/>
      <c r="E3743" s="543"/>
      <c r="F3743" s="543"/>
      <c r="G3743" s="543" t="s">
        <v>24</v>
      </c>
      <c r="H3743" s="543"/>
      <c r="I3743" s="543"/>
      <c r="J3743" s="543"/>
      <c r="K3743" s="543"/>
      <c r="L3743" s="543" t="s">
        <v>25</v>
      </c>
      <c r="M3743" s="543"/>
      <c r="N3743" s="543"/>
      <c r="O3743" s="543"/>
      <c r="P3743" s="543"/>
      <c r="Q3743" s="543" t="s">
        <v>26</v>
      </c>
      <c r="R3743" s="543"/>
      <c r="S3743" s="543"/>
      <c r="T3743" s="543"/>
      <c r="U3743" s="543"/>
    </row>
    <row r="3744" spans="1:21" x14ac:dyDescent="0.25">
      <c r="A3744" s="542"/>
      <c r="B3744" s="182" t="s">
        <v>19</v>
      </c>
      <c r="C3744" s="182" t="s">
        <v>20</v>
      </c>
      <c r="D3744" s="182" t="s">
        <v>21</v>
      </c>
      <c r="E3744" s="182" t="s">
        <v>22</v>
      </c>
      <c r="F3744" s="182" t="s">
        <v>23</v>
      </c>
      <c r="G3744" s="182" t="s">
        <v>19</v>
      </c>
      <c r="H3744" s="216" t="s">
        <v>20</v>
      </c>
      <c r="I3744" s="182" t="s">
        <v>21</v>
      </c>
      <c r="J3744" s="182" t="s">
        <v>22</v>
      </c>
      <c r="K3744" s="182" t="s">
        <v>23</v>
      </c>
      <c r="L3744" s="182" t="s">
        <v>19</v>
      </c>
      <c r="M3744" s="182" t="s">
        <v>20</v>
      </c>
      <c r="N3744" s="182" t="s">
        <v>21</v>
      </c>
      <c r="O3744" s="182" t="s">
        <v>22</v>
      </c>
      <c r="P3744" s="182" t="s">
        <v>23</v>
      </c>
      <c r="Q3744" s="182" t="s">
        <v>19</v>
      </c>
      <c r="R3744" s="182" t="s">
        <v>20</v>
      </c>
      <c r="S3744" s="182" t="s">
        <v>21</v>
      </c>
      <c r="T3744" s="182" t="s">
        <v>22</v>
      </c>
      <c r="U3744" s="211" t="s">
        <v>23</v>
      </c>
    </row>
    <row r="3745" spans="1:21" ht="31.5" x14ac:dyDescent="0.25">
      <c r="A3745" s="183" t="s">
        <v>1054</v>
      </c>
      <c r="B3745" s="182" t="s">
        <v>47</v>
      </c>
      <c r="C3745" s="182" t="s">
        <v>28</v>
      </c>
      <c r="D3745" s="182">
        <v>7</v>
      </c>
      <c r="E3745" s="182">
        <f>skilled</f>
        <v>1245</v>
      </c>
      <c r="F3745" s="184">
        <f>(D3745*E3745)</f>
        <v>8715</v>
      </c>
      <c r="G3745" s="182" t="s">
        <v>1020</v>
      </c>
      <c r="H3745" s="216" t="s">
        <v>49</v>
      </c>
      <c r="I3745" s="182">
        <v>2800</v>
      </c>
      <c r="J3745" s="182">
        <f>adopted_rate_bricks_1st_class</f>
        <v>15.14</v>
      </c>
      <c r="K3745" s="182">
        <f>(I3745*J3745)</f>
        <v>42392</v>
      </c>
      <c r="L3745" s="182" t="s">
        <v>276</v>
      </c>
      <c r="M3745" s="182" t="s">
        <v>1028</v>
      </c>
      <c r="N3745" s="182" t="s">
        <v>1029</v>
      </c>
      <c r="O3745" s="182">
        <f>concrete_mixer</f>
        <v>296</v>
      </c>
      <c r="P3745" s="184">
        <f>(N3745*O3745)</f>
        <v>222</v>
      </c>
    </row>
    <row r="3746" spans="1:21" x14ac:dyDescent="0.25">
      <c r="B3746" s="182" t="s">
        <v>29</v>
      </c>
      <c r="C3746" s="182" t="s">
        <v>28</v>
      </c>
      <c r="D3746" s="182">
        <v>11</v>
      </c>
      <c r="E3746" s="182">
        <f>unskilled</f>
        <v>935</v>
      </c>
      <c r="F3746" s="184">
        <f>(D3746*E3746)</f>
        <v>10285</v>
      </c>
      <c r="G3746" s="182" t="s">
        <v>85</v>
      </c>
      <c r="H3746" s="216" t="s">
        <v>35</v>
      </c>
      <c r="I3746" s="182">
        <v>0.35</v>
      </c>
      <c r="J3746" s="182">
        <f>adopted_rate_cement</f>
        <v>13031</v>
      </c>
      <c r="K3746" s="182">
        <f>(I3746*J3746)</f>
        <v>4560.8499999999995</v>
      </c>
    </row>
    <row r="3747" spans="1:21" x14ac:dyDescent="0.25">
      <c r="G3747" s="182" t="s">
        <v>83</v>
      </c>
      <c r="H3747" s="216" t="s">
        <v>84</v>
      </c>
      <c r="I3747" s="182">
        <v>1.45</v>
      </c>
      <c r="J3747" s="182">
        <f>adopted_rate_sand</f>
        <v>3175.2000000000003</v>
      </c>
      <c r="K3747" s="182">
        <f>(I3747*J3747)</f>
        <v>4604.04</v>
      </c>
    </row>
    <row r="3748" spans="1:21" x14ac:dyDescent="0.25">
      <c r="G3748" s="182" t="s">
        <v>171</v>
      </c>
      <c r="H3748" s="216" t="s">
        <v>1021</v>
      </c>
      <c r="I3748" s="182">
        <v>0.1</v>
      </c>
      <c r="J3748" s="182">
        <f>adopted_rate_water</f>
        <v>310</v>
      </c>
      <c r="K3748" s="182">
        <f>(I3748*J3748)</f>
        <v>31</v>
      </c>
    </row>
    <row r="3749" spans="1:21" ht="31.5" x14ac:dyDescent="0.25">
      <c r="G3749" s="182" t="s">
        <v>1040</v>
      </c>
      <c r="H3749" s="216"/>
      <c r="K3749" s="184">
        <f>((F3750+(SUM(K3745:K3748)))*5/100)</f>
        <v>3529.3945000000003</v>
      </c>
    </row>
    <row r="3750" spans="1:21" x14ac:dyDescent="0.25">
      <c r="A3750" s="537" t="s">
        <v>30</v>
      </c>
      <c r="B3750" s="537"/>
      <c r="C3750" s="537"/>
      <c r="D3750" s="537"/>
      <c r="E3750" s="537"/>
      <c r="F3750" s="184">
        <f>SUM(F3744:F3749)</f>
        <v>19000</v>
      </c>
      <c r="G3750" s="537" t="s">
        <v>31</v>
      </c>
      <c r="H3750" s="537"/>
      <c r="I3750" s="537"/>
      <c r="J3750" s="537"/>
      <c r="K3750" s="184">
        <f>SUM(K3744:K3749)</f>
        <v>55117.284500000002</v>
      </c>
      <c r="L3750" s="537" t="s">
        <v>32</v>
      </c>
      <c r="M3750" s="537"/>
      <c r="N3750" s="537"/>
      <c r="O3750" s="537"/>
      <c r="P3750" s="184">
        <f>SUM(P3744:P3749)</f>
        <v>222</v>
      </c>
      <c r="Q3750" s="537" t="s">
        <v>38</v>
      </c>
      <c r="R3750" s="537"/>
      <c r="S3750" s="537"/>
      <c r="T3750" s="537"/>
      <c r="U3750" s="223">
        <f>SUM(U3744:U3749)</f>
        <v>0</v>
      </c>
    </row>
    <row r="3751" spans="1:21" x14ac:dyDescent="0.25">
      <c r="A3751" s="537" t="s">
        <v>33</v>
      </c>
      <c r="B3751" s="537"/>
      <c r="C3751" s="537"/>
      <c r="D3751" s="537"/>
      <c r="E3751" s="537"/>
      <c r="F3751" s="184">
        <f>SUM(F3750+K3750+P3750)</f>
        <v>74339.284500000009</v>
      </c>
      <c r="G3751" s="537" t="s">
        <v>39</v>
      </c>
      <c r="H3751" s="537"/>
      <c r="I3751" s="537"/>
      <c r="J3751" s="537"/>
      <c r="K3751" s="184">
        <f>SUM(F3750+K3750+P3750+U3750)</f>
        <v>74339.284500000009</v>
      </c>
      <c r="L3751" s="537" t="s">
        <v>40</v>
      </c>
      <c r="M3751" s="537"/>
      <c r="N3751" s="537"/>
      <c r="O3751" s="537"/>
      <c r="P3751" s="184">
        <f>SUM(K3751*0.15)</f>
        <v>11150.892675000001</v>
      </c>
      <c r="Q3751" s="537" t="s">
        <v>41</v>
      </c>
      <c r="R3751" s="537"/>
      <c r="S3751" s="537"/>
      <c r="T3751" s="537"/>
      <c r="U3751" s="223">
        <f>SUM(K3751+P3751)</f>
        <v>85490.177175000004</v>
      </c>
    </row>
    <row r="3752" spans="1:21" x14ac:dyDescent="0.25">
      <c r="Q3752" s="537" t="s">
        <v>42</v>
      </c>
      <c r="R3752" s="537"/>
      <c r="S3752" s="537"/>
      <c r="T3752" s="537"/>
      <c r="U3752" s="224">
        <f>ROUND((U3751/5),2)</f>
        <v>17098.04</v>
      </c>
    </row>
    <row r="3753" spans="1:21" x14ac:dyDescent="0.25">
      <c r="A3753" s="544"/>
      <c r="B3753" s="544"/>
      <c r="C3753" s="544"/>
      <c r="D3753" s="544"/>
      <c r="E3753" s="544"/>
      <c r="F3753" s="544"/>
      <c r="G3753" s="544"/>
      <c r="H3753" s="544"/>
      <c r="I3753" s="544"/>
      <c r="J3753" s="544"/>
      <c r="K3753" s="544"/>
      <c r="L3753" s="544"/>
      <c r="M3753" s="544"/>
      <c r="N3753" s="544"/>
      <c r="O3753" s="544"/>
      <c r="P3753" s="544"/>
      <c r="Q3753" s="544"/>
      <c r="R3753" s="544"/>
      <c r="S3753" s="544"/>
      <c r="T3753" s="544"/>
      <c r="U3753" s="544"/>
    </row>
    <row r="3754" spans="1:21" x14ac:dyDescent="0.25">
      <c r="A3754" s="538" t="s">
        <v>12</v>
      </c>
      <c r="B3754" s="538"/>
      <c r="C3754" s="540" t="s">
        <v>1055</v>
      </c>
      <c r="D3754" s="540"/>
      <c r="E3754" s="540"/>
      <c r="F3754" s="540"/>
      <c r="G3754" s="540"/>
      <c r="H3754" s="540"/>
      <c r="I3754" s="540"/>
      <c r="J3754" s="540"/>
      <c r="K3754" s="540"/>
      <c r="L3754" s="540"/>
      <c r="M3754" s="540"/>
      <c r="N3754" s="540"/>
      <c r="O3754" s="540"/>
      <c r="P3754" s="540"/>
      <c r="Q3754" s="540"/>
      <c r="R3754" s="540"/>
      <c r="S3754" s="540"/>
      <c r="T3754" s="540"/>
      <c r="U3754" s="541" t="s">
        <v>588</v>
      </c>
    </row>
    <row r="3755" spans="1:21" x14ac:dyDescent="0.25">
      <c r="A3755" s="538"/>
      <c r="B3755" s="538"/>
      <c r="C3755" s="540"/>
      <c r="D3755" s="540"/>
      <c r="E3755" s="540"/>
      <c r="F3755" s="540"/>
      <c r="G3755" s="540"/>
      <c r="H3755" s="540"/>
      <c r="I3755" s="540"/>
      <c r="J3755" s="540"/>
      <c r="K3755" s="540"/>
      <c r="L3755" s="540"/>
      <c r="M3755" s="540"/>
      <c r="N3755" s="540"/>
      <c r="O3755" s="540"/>
      <c r="P3755" s="540"/>
      <c r="Q3755" s="540"/>
      <c r="R3755" s="540"/>
      <c r="S3755" s="540"/>
      <c r="T3755" s="540"/>
      <c r="U3755" s="541"/>
    </row>
    <row r="3756" spans="1:21" x14ac:dyDescent="0.25">
      <c r="A3756" s="539" t="s">
        <v>1016</v>
      </c>
      <c r="B3756" s="539"/>
      <c r="C3756" s="540"/>
      <c r="D3756" s="540"/>
      <c r="E3756" s="540"/>
      <c r="F3756" s="540"/>
      <c r="G3756" s="540"/>
      <c r="H3756" s="540"/>
      <c r="I3756" s="540"/>
      <c r="J3756" s="540"/>
      <c r="K3756" s="540"/>
      <c r="L3756" s="540"/>
      <c r="M3756" s="540"/>
      <c r="N3756" s="540"/>
      <c r="O3756" s="540"/>
      <c r="P3756" s="540"/>
      <c r="Q3756" s="540"/>
      <c r="R3756" s="540"/>
      <c r="S3756" s="540"/>
      <c r="T3756" s="540"/>
      <c r="U3756" s="541"/>
    </row>
    <row r="3757" spans="1:21" x14ac:dyDescent="0.25">
      <c r="A3757" s="542" t="s">
        <v>16</v>
      </c>
      <c r="B3757" s="543" t="s">
        <v>18</v>
      </c>
      <c r="C3757" s="543"/>
      <c r="D3757" s="543"/>
      <c r="E3757" s="543"/>
      <c r="F3757" s="543"/>
      <c r="G3757" s="543" t="s">
        <v>24</v>
      </c>
      <c r="H3757" s="543"/>
      <c r="I3757" s="543"/>
      <c r="J3757" s="543"/>
      <c r="K3757" s="543"/>
      <c r="L3757" s="543" t="s">
        <v>25</v>
      </c>
      <c r="M3757" s="543"/>
      <c r="N3757" s="543"/>
      <c r="O3757" s="543"/>
      <c r="P3757" s="543"/>
      <c r="Q3757" s="543" t="s">
        <v>26</v>
      </c>
      <c r="R3757" s="543"/>
      <c r="S3757" s="543"/>
      <c r="T3757" s="543"/>
      <c r="U3757" s="543"/>
    </row>
    <row r="3758" spans="1:21" x14ac:dyDescent="0.25">
      <c r="A3758" s="542"/>
      <c r="B3758" s="182" t="s">
        <v>19</v>
      </c>
      <c r="C3758" s="182" t="s">
        <v>20</v>
      </c>
      <c r="D3758" s="182" t="s">
        <v>21</v>
      </c>
      <c r="E3758" s="182" t="s">
        <v>22</v>
      </c>
      <c r="F3758" s="182" t="s">
        <v>23</v>
      </c>
      <c r="G3758" s="182" t="s">
        <v>19</v>
      </c>
      <c r="H3758" s="216" t="s">
        <v>20</v>
      </c>
      <c r="I3758" s="182" t="s">
        <v>21</v>
      </c>
      <c r="J3758" s="182" t="s">
        <v>22</v>
      </c>
      <c r="K3758" s="182" t="s">
        <v>23</v>
      </c>
      <c r="L3758" s="182" t="s">
        <v>19</v>
      </c>
      <c r="M3758" s="182" t="s">
        <v>20</v>
      </c>
      <c r="N3758" s="182" t="s">
        <v>21</v>
      </c>
      <c r="O3758" s="182" t="s">
        <v>22</v>
      </c>
      <c r="P3758" s="182" t="s">
        <v>23</v>
      </c>
      <c r="Q3758" s="182" t="s">
        <v>19</v>
      </c>
      <c r="R3758" s="182" t="s">
        <v>20</v>
      </c>
      <c r="S3758" s="182" t="s">
        <v>21</v>
      </c>
      <c r="T3758" s="182" t="s">
        <v>22</v>
      </c>
      <c r="U3758" s="211" t="s">
        <v>23</v>
      </c>
    </row>
    <row r="3759" spans="1:21" x14ac:dyDescent="0.25">
      <c r="A3759" s="183" t="s">
        <v>1056</v>
      </c>
      <c r="B3759" s="182" t="s">
        <v>47</v>
      </c>
      <c r="C3759" s="182" t="s">
        <v>28</v>
      </c>
      <c r="D3759" s="182">
        <v>10</v>
      </c>
      <c r="E3759" s="182">
        <f>skilled</f>
        <v>1245</v>
      </c>
      <c r="F3759" s="184">
        <f>(D3759*E3759)</f>
        <v>12450</v>
      </c>
      <c r="G3759" s="182" t="s">
        <v>85</v>
      </c>
      <c r="H3759" s="216" t="s">
        <v>35</v>
      </c>
      <c r="I3759" s="182">
        <v>0.15</v>
      </c>
      <c r="J3759" s="182">
        <f>adopted_rate_cement</f>
        <v>13031</v>
      </c>
      <c r="K3759" s="182">
        <f>(I3759*J3759)</f>
        <v>1954.6499999999999</v>
      </c>
    </row>
    <row r="3760" spans="1:21" x14ac:dyDescent="0.25">
      <c r="B3760" s="182" t="s">
        <v>29</v>
      </c>
      <c r="C3760" s="182" t="s">
        <v>28</v>
      </c>
      <c r="D3760" s="182">
        <v>12</v>
      </c>
      <c r="E3760" s="182">
        <f>unskilled</f>
        <v>935</v>
      </c>
      <c r="F3760" s="184">
        <f>(D3760*E3760)</f>
        <v>11220</v>
      </c>
      <c r="G3760" s="182" t="s">
        <v>83</v>
      </c>
      <c r="H3760" s="216" t="s">
        <v>84</v>
      </c>
      <c r="I3760" s="182">
        <v>0.32</v>
      </c>
      <c r="J3760" s="182">
        <f>adopted_rate_sand</f>
        <v>3175.2000000000003</v>
      </c>
      <c r="K3760" s="182">
        <f>(I3760*J3760)</f>
        <v>1016.0640000000001</v>
      </c>
    </row>
    <row r="3761" spans="1:21" x14ac:dyDescent="0.25">
      <c r="G3761" s="182" t="s">
        <v>171</v>
      </c>
      <c r="H3761" s="216" t="s">
        <v>1021</v>
      </c>
      <c r="I3761" s="182">
        <v>1</v>
      </c>
      <c r="J3761" s="182">
        <f>adopted_rate_water</f>
        <v>310</v>
      </c>
      <c r="K3761" s="182">
        <f>(I3761*J3761)</f>
        <v>310</v>
      </c>
    </row>
    <row r="3762" spans="1:21" x14ac:dyDescent="0.25">
      <c r="A3762" s="537" t="s">
        <v>30</v>
      </c>
      <c r="B3762" s="537"/>
      <c r="C3762" s="537"/>
      <c r="D3762" s="537"/>
      <c r="E3762" s="537"/>
      <c r="F3762" s="184">
        <f>SUM(F3758:F3761)</f>
        <v>23670</v>
      </c>
      <c r="G3762" s="537" t="s">
        <v>31</v>
      </c>
      <c r="H3762" s="537"/>
      <c r="I3762" s="537"/>
      <c r="J3762" s="537"/>
      <c r="K3762" s="184">
        <f>SUM(K3758:K3761)</f>
        <v>3280.7139999999999</v>
      </c>
      <c r="L3762" s="537" t="s">
        <v>32</v>
      </c>
      <c r="M3762" s="537"/>
      <c r="N3762" s="537"/>
      <c r="O3762" s="537"/>
      <c r="P3762" s="184">
        <f>SUM(P3758:P3761)</f>
        <v>0</v>
      </c>
      <c r="Q3762" s="537" t="s">
        <v>38</v>
      </c>
      <c r="R3762" s="537"/>
      <c r="S3762" s="537"/>
      <c r="T3762" s="537"/>
      <c r="U3762" s="223">
        <f>SUM(U3758:U3761)</f>
        <v>0</v>
      </c>
    </row>
    <row r="3763" spans="1:21" x14ac:dyDescent="0.25">
      <c r="A3763" s="537" t="s">
        <v>33</v>
      </c>
      <c r="B3763" s="537"/>
      <c r="C3763" s="537"/>
      <c r="D3763" s="537"/>
      <c r="E3763" s="537"/>
      <c r="F3763" s="184">
        <f>SUM(F3762+K3762+P3762)</f>
        <v>26950.714</v>
      </c>
      <c r="G3763" s="537" t="s">
        <v>39</v>
      </c>
      <c r="H3763" s="537"/>
      <c r="I3763" s="537"/>
      <c r="J3763" s="537"/>
      <c r="K3763" s="184">
        <f>SUM(F3762+K3762+P3762+U3762)</f>
        <v>26950.714</v>
      </c>
      <c r="L3763" s="537" t="s">
        <v>40</v>
      </c>
      <c r="M3763" s="537"/>
      <c r="N3763" s="537"/>
      <c r="O3763" s="537"/>
      <c r="P3763" s="184">
        <f>SUM(K3763*0.15)</f>
        <v>4042.6070999999997</v>
      </c>
      <c r="Q3763" s="537" t="s">
        <v>41</v>
      </c>
      <c r="R3763" s="537"/>
      <c r="S3763" s="537"/>
      <c r="T3763" s="537"/>
      <c r="U3763" s="223">
        <f>SUM(K3763+P3763)</f>
        <v>30993.321100000001</v>
      </c>
    </row>
    <row r="3764" spans="1:21" x14ac:dyDescent="0.25">
      <c r="Q3764" s="537" t="s">
        <v>42</v>
      </c>
      <c r="R3764" s="537"/>
      <c r="S3764" s="537"/>
      <c r="T3764" s="537"/>
      <c r="U3764" s="224">
        <f>ROUND((U3763/100),2)</f>
        <v>309.93</v>
      </c>
    </row>
    <row r="3765" spans="1:21" x14ac:dyDescent="0.25">
      <c r="A3765" s="544"/>
      <c r="B3765" s="544"/>
      <c r="C3765" s="544"/>
      <c r="D3765" s="544"/>
      <c r="E3765" s="544"/>
      <c r="F3765" s="544"/>
      <c r="G3765" s="544"/>
      <c r="H3765" s="544"/>
      <c r="I3765" s="544"/>
      <c r="J3765" s="544"/>
      <c r="K3765" s="544"/>
      <c r="L3765" s="544"/>
      <c r="M3765" s="544"/>
      <c r="N3765" s="544"/>
      <c r="O3765" s="544"/>
      <c r="P3765" s="544"/>
      <c r="Q3765" s="544"/>
      <c r="R3765" s="544"/>
      <c r="S3765" s="544"/>
      <c r="T3765" s="544"/>
      <c r="U3765" s="544"/>
    </row>
    <row r="3766" spans="1:21" x14ac:dyDescent="0.25">
      <c r="A3766" s="538" t="s">
        <v>12</v>
      </c>
      <c r="B3766" s="538"/>
      <c r="C3766" s="540" t="s">
        <v>1057</v>
      </c>
      <c r="D3766" s="540"/>
      <c r="E3766" s="540"/>
      <c r="F3766" s="540"/>
      <c r="G3766" s="540"/>
      <c r="H3766" s="540"/>
      <c r="I3766" s="540"/>
      <c r="J3766" s="540"/>
      <c r="K3766" s="540"/>
      <c r="L3766" s="540"/>
      <c r="M3766" s="540"/>
      <c r="N3766" s="540"/>
      <c r="O3766" s="540"/>
      <c r="P3766" s="540"/>
      <c r="Q3766" s="540"/>
      <c r="R3766" s="540"/>
      <c r="S3766" s="540"/>
      <c r="T3766" s="540"/>
      <c r="U3766" s="541" t="s">
        <v>435</v>
      </c>
    </row>
    <row r="3767" spans="1:21" x14ac:dyDescent="0.25">
      <c r="A3767" s="538"/>
      <c r="B3767" s="538"/>
      <c r="C3767" s="540"/>
      <c r="D3767" s="540"/>
      <c r="E3767" s="540"/>
      <c r="F3767" s="540"/>
      <c r="G3767" s="540"/>
      <c r="H3767" s="540"/>
      <c r="I3767" s="540"/>
      <c r="J3767" s="540"/>
      <c r="K3767" s="540"/>
      <c r="L3767" s="540"/>
      <c r="M3767" s="540"/>
      <c r="N3767" s="540"/>
      <c r="O3767" s="540"/>
      <c r="P3767" s="540"/>
      <c r="Q3767" s="540"/>
      <c r="R3767" s="540"/>
      <c r="S3767" s="540"/>
      <c r="T3767" s="540"/>
      <c r="U3767" s="541"/>
    </row>
    <row r="3768" spans="1:21" x14ac:dyDescent="0.25">
      <c r="A3768" s="539" t="s">
        <v>1016</v>
      </c>
      <c r="B3768" s="539"/>
      <c r="C3768" s="540"/>
      <c r="D3768" s="540"/>
      <c r="E3768" s="540"/>
      <c r="F3768" s="540"/>
      <c r="G3768" s="540"/>
      <c r="H3768" s="540"/>
      <c r="I3768" s="540"/>
      <c r="J3768" s="540"/>
      <c r="K3768" s="540"/>
      <c r="L3768" s="540"/>
      <c r="M3768" s="540"/>
      <c r="N3768" s="540"/>
      <c r="O3768" s="540"/>
      <c r="P3768" s="540"/>
      <c r="Q3768" s="540"/>
      <c r="R3768" s="540"/>
      <c r="S3768" s="540"/>
      <c r="T3768" s="540"/>
      <c r="U3768" s="541"/>
    </row>
    <row r="3769" spans="1:21" x14ac:dyDescent="0.25">
      <c r="A3769" s="542" t="s">
        <v>16</v>
      </c>
      <c r="B3769" s="543" t="s">
        <v>18</v>
      </c>
      <c r="C3769" s="543"/>
      <c r="D3769" s="543"/>
      <c r="E3769" s="543"/>
      <c r="F3769" s="543"/>
      <c r="G3769" s="543" t="s">
        <v>24</v>
      </c>
      <c r="H3769" s="543"/>
      <c r="I3769" s="543"/>
      <c r="J3769" s="543"/>
      <c r="K3769" s="543"/>
      <c r="L3769" s="543" t="s">
        <v>25</v>
      </c>
      <c r="M3769" s="543"/>
      <c r="N3769" s="543"/>
      <c r="O3769" s="543"/>
      <c r="P3769" s="543"/>
      <c r="Q3769" s="543" t="s">
        <v>26</v>
      </c>
      <c r="R3769" s="543"/>
      <c r="S3769" s="543"/>
      <c r="T3769" s="543"/>
      <c r="U3769" s="543"/>
    </row>
    <row r="3770" spans="1:21" x14ac:dyDescent="0.25">
      <c r="A3770" s="542"/>
      <c r="B3770" s="182" t="s">
        <v>19</v>
      </c>
      <c r="C3770" s="182" t="s">
        <v>20</v>
      </c>
      <c r="D3770" s="182" t="s">
        <v>21</v>
      </c>
      <c r="E3770" s="182" t="s">
        <v>22</v>
      </c>
      <c r="F3770" s="182" t="s">
        <v>23</v>
      </c>
      <c r="G3770" s="182" t="s">
        <v>19</v>
      </c>
      <c r="H3770" s="216" t="s">
        <v>20</v>
      </c>
      <c r="I3770" s="182" t="s">
        <v>21</v>
      </c>
      <c r="J3770" s="182" t="s">
        <v>22</v>
      </c>
      <c r="K3770" s="182" t="s">
        <v>23</v>
      </c>
      <c r="L3770" s="182" t="s">
        <v>19</v>
      </c>
      <c r="M3770" s="182" t="s">
        <v>20</v>
      </c>
      <c r="N3770" s="182" t="s">
        <v>21</v>
      </c>
      <c r="O3770" s="182" t="s">
        <v>22</v>
      </c>
      <c r="P3770" s="182" t="s">
        <v>23</v>
      </c>
      <c r="Q3770" s="182" t="s">
        <v>19</v>
      </c>
      <c r="R3770" s="182" t="s">
        <v>20</v>
      </c>
      <c r="S3770" s="182" t="s">
        <v>21</v>
      </c>
      <c r="T3770" s="182" t="s">
        <v>22</v>
      </c>
      <c r="U3770" s="211" t="s">
        <v>23</v>
      </c>
    </row>
    <row r="3771" spans="1:21" x14ac:dyDescent="0.25">
      <c r="A3771" s="183" t="s">
        <v>1058</v>
      </c>
      <c r="B3771" s="182" t="s">
        <v>47</v>
      </c>
      <c r="C3771" s="182" t="s">
        <v>28</v>
      </c>
      <c r="D3771" s="182">
        <v>10</v>
      </c>
      <c r="E3771" s="182">
        <f>skilled</f>
        <v>1245</v>
      </c>
      <c r="F3771" s="184">
        <f>(D3771*E3771)</f>
        <v>12450</v>
      </c>
      <c r="G3771" s="182" t="s">
        <v>85</v>
      </c>
      <c r="H3771" s="216" t="s">
        <v>35</v>
      </c>
      <c r="I3771" s="182">
        <v>0.96</v>
      </c>
      <c r="J3771" s="182">
        <f>adopted_rate_cement</f>
        <v>13031</v>
      </c>
      <c r="K3771" s="182">
        <f>(I3771*J3771)</f>
        <v>12509.76</v>
      </c>
    </row>
    <row r="3772" spans="1:21" x14ac:dyDescent="0.25">
      <c r="B3772" s="182" t="s">
        <v>29</v>
      </c>
      <c r="C3772" s="182" t="s">
        <v>28</v>
      </c>
      <c r="D3772" s="182">
        <v>12</v>
      </c>
      <c r="E3772" s="182">
        <f>unskilled</f>
        <v>935</v>
      </c>
      <c r="F3772" s="184">
        <f>(D3772*E3772)</f>
        <v>11220</v>
      </c>
      <c r="G3772" s="182" t="s">
        <v>83</v>
      </c>
      <c r="H3772" s="216" t="s">
        <v>84</v>
      </c>
      <c r="I3772" s="182">
        <v>1.38</v>
      </c>
      <c r="J3772" s="182">
        <f>adopted_rate_sand</f>
        <v>3175.2000000000003</v>
      </c>
      <c r="K3772" s="182">
        <f>(I3772*J3772)</f>
        <v>4381.7759999999998</v>
      </c>
    </row>
    <row r="3773" spans="1:21" x14ac:dyDescent="0.25">
      <c r="G3773" s="182" t="s">
        <v>171</v>
      </c>
      <c r="H3773" s="216" t="s">
        <v>1021</v>
      </c>
      <c r="I3773" s="182">
        <v>0.3</v>
      </c>
      <c r="J3773" s="182">
        <f>adopted_rate_water</f>
        <v>310</v>
      </c>
      <c r="K3773" s="182">
        <f>(I3773*J3773)</f>
        <v>93</v>
      </c>
    </row>
    <row r="3774" spans="1:21" x14ac:dyDescent="0.25">
      <c r="A3774" s="537" t="s">
        <v>30</v>
      </c>
      <c r="B3774" s="537"/>
      <c r="C3774" s="537"/>
      <c r="D3774" s="537"/>
      <c r="E3774" s="537"/>
      <c r="F3774" s="184">
        <f>SUM(F3770:F3773)</f>
        <v>23670</v>
      </c>
      <c r="G3774" s="537" t="s">
        <v>31</v>
      </c>
      <c r="H3774" s="537"/>
      <c r="I3774" s="537"/>
      <c r="J3774" s="537"/>
      <c r="K3774" s="184">
        <f>SUM(K3770:K3773)</f>
        <v>16984.536</v>
      </c>
      <c r="L3774" s="537" t="s">
        <v>32</v>
      </c>
      <c r="M3774" s="537"/>
      <c r="N3774" s="537"/>
      <c r="O3774" s="537"/>
      <c r="P3774" s="184">
        <f>SUM(P3770:P3773)</f>
        <v>0</v>
      </c>
      <c r="Q3774" s="537" t="s">
        <v>38</v>
      </c>
      <c r="R3774" s="537"/>
      <c r="S3774" s="537"/>
      <c r="T3774" s="537"/>
      <c r="U3774" s="223">
        <f>SUM(U3770:U3773)</f>
        <v>0</v>
      </c>
    </row>
    <row r="3775" spans="1:21" x14ac:dyDescent="0.25">
      <c r="A3775" s="537" t="s">
        <v>33</v>
      </c>
      <c r="B3775" s="537"/>
      <c r="C3775" s="537"/>
      <c r="D3775" s="537"/>
      <c r="E3775" s="537"/>
      <c r="F3775" s="184">
        <f>SUM(F3774+K3774+P3774)</f>
        <v>40654.536</v>
      </c>
      <c r="G3775" s="537" t="s">
        <v>39</v>
      </c>
      <c r="H3775" s="537"/>
      <c r="I3775" s="537"/>
      <c r="J3775" s="537"/>
      <c r="K3775" s="184">
        <f>SUM(F3774+K3774+P3774+U3774)</f>
        <v>40654.536</v>
      </c>
      <c r="L3775" s="537" t="s">
        <v>40</v>
      </c>
      <c r="M3775" s="537"/>
      <c r="N3775" s="537"/>
      <c r="O3775" s="537"/>
      <c r="P3775" s="184">
        <f>SUM(K3775*0.15)</f>
        <v>6098.1804000000002</v>
      </c>
      <c r="Q3775" s="537" t="s">
        <v>41</v>
      </c>
      <c r="R3775" s="537"/>
      <c r="S3775" s="537"/>
      <c r="T3775" s="537"/>
      <c r="U3775" s="223">
        <f>SUM(K3775+P3775)</f>
        <v>46752.716399999998</v>
      </c>
    </row>
    <row r="3776" spans="1:21" x14ac:dyDescent="0.25">
      <c r="Q3776" s="537" t="s">
        <v>42</v>
      </c>
      <c r="R3776" s="537"/>
      <c r="S3776" s="537"/>
      <c r="T3776" s="537"/>
      <c r="U3776" s="224">
        <f>ROUND((U3775/10),2)</f>
        <v>4675.2700000000004</v>
      </c>
    </row>
    <row r="3777" spans="1:21" x14ac:dyDescent="0.25">
      <c r="A3777" s="544"/>
      <c r="B3777" s="544"/>
      <c r="C3777" s="544"/>
      <c r="D3777" s="544"/>
      <c r="E3777" s="544"/>
      <c r="F3777" s="544"/>
      <c r="G3777" s="544"/>
      <c r="H3777" s="544"/>
      <c r="I3777" s="544"/>
      <c r="J3777" s="544"/>
      <c r="K3777" s="544"/>
      <c r="L3777" s="544"/>
      <c r="M3777" s="544"/>
      <c r="N3777" s="544"/>
      <c r="O3777" s="544"/>
      <c r="P3777" s="544"/>
      <c r="Q3777" s="544"/>
      <c r="R3777" s="544"/>
      <c r="S3777" s="544"/>
      <c r="T3777" s="544"/>
      <c r="U3777" s="544"/>
    </row>
    <row r="3778" spans="1:21" x14ac:dyDescent="0.25">
      <c r="A3778" s="538" t="s">
        <v>12</v>
      </c>
      <c r="B3778" s="538"/>
      <c r="C3778" s="540" t="s">
        <v>1059</v>
      </c>
      <c r="D3778" s="540"/>
      <c r="E3778" s="540"/>
      <c r="F3778" s="540"/>
      <c r="G3778" s="540"/>
      <c r="H3778" s="540"/>
      <c r="I3778" s="540"/>
      <c r="J3778" s="540"/>
      <c r="K3778" s="540"/>
      <c r="L3778" s="540"/>
      <c r="M3778" s="540"/>
      <c r="N3778" s="540"/>
      <c r="O3778" s="540"/>
      <c r="P3778" s="540"/>
      <c r="Q3778" s="540"/>
      <c r="R3778" s="540"/>
      <c r="S3778" s="540"/>
      <c r="T3778" s="540"/>
      <c r="U3778" s="541" t="s">
        <v>435</v>
      </c>
    </row>
    <row r="3779" spans="1:21" x14ac:dyDescent="0.25">
      <c r="A3779" s="538"/>
      <c r="B3779" s="538"/>
      <c r="C3779" s="540"/>
      <c r="D3779" s="540"/>
      <c r="E3779" s="540"/>
      <c r="F3779" s="540"/>
      <c r="G3779" s="540"/>
      <c r="H3779" s="540"/>
      <c r="I3779" s="540"/>
      <c r="J3779" s="540"/>
      <c r="K3779" s="540"/>
      <c r="L3779" s="540"/>
      <c r="M3779" s="540"/>
      <c r="N3779" s="540"/>
      <c r="O3779" s="540"/>
      <c r="P3779" s="540"/>
      <c r="Q3779" s="540"/>
      <c r="R3779" s="540"/>
      <c r="S3779" s="540"/>
      <c r="T3779" s="540"/>
      <c r="U3779" s="541"/>
    </row>
    <row r="3780" spans="1:21" x14ac:dyDescent="0.25">
      <c r="A3780" s="539" t="s">
        <v>1016</v>
      </c>
      <c r="B3780" s="539"/>
      <c r="C3780" s="540"/>
      <c r="D3780" s="540"/>
      <c r="E3780" s="540"/>
      <c r="F3780" s="540"/>
      <c r="G3780" s="540"/>
      <c r="H3780" s="540"/>
      <c r="I3780" s="540"/>
      <c r="J3780" s="540"/>
      <c r="K3780" s="540"/>
      <c r="L3780" s="540"/>
      <c r="M3780" s="540"/>
      <c r="N3780" s="540"/>
      <c r="O3780" s="540"/>
      <c r="P3780" s="540"/>
      <c r="Q3780" s="540"/>
      <c r="R3780" s="540"/>
      <c r="S3780" s="540"/>
      <c r="T3780" s="540"/>
      <c r="U3780" s="541"/>
    </row>
    <row r="3781" spans="1:21" x14ac:dyDescent="0.25">
      <c r="A3781" s="542" t="s">
        <v>16</v>
      </c>
      <c r="B3781" s="543" t="s">
        <v>18</v>
      </c>
      <c r="C3781" s="543"/>
      <c r="D3781" s="543"/>
      <c r="E3781" s="543"/>
      <c r="F3781" s="543"/>
      <c r="G3781" s="543" t="s">
        <v>24</v>
      </c>
      <c r="H3781" s="543"/>
      <c r="I3781" s="543"/>
      <c r="J3781" s="543"/>
      <c r="K3781" s="543"/>
      <c r="L3781" s="543" t="s">
        <v>25</v>
      </c>
      <c r="M3781" s="543"/>
      <c r="N3781" s="543"/>
      <c r="O3781" s="543"/>
      <c r="P3781" s="543"/>
      <c r="Q3781" s="543" t="s">
        <v>26</v>
      </c>
      <c r="R3781" s="543"/>
      <c r="S3781" s="543"/>
      <c r="T3781" s="543"/>
      <c r="U3781" s="543"/>
    </row>
    <row r="3782" spans="1:21" x14ac:dyDescent="0.25">
      <c r="A3782" s="542"/>
      <c r="B3782" s="182" t="s">
        <v>19</v>
      </c>
      <c r="C3782" s="182" t="s">
        <v>20</v>
      </c>
      <c r="D3782" s="182" t="s">
        <v>21</v>
      </c>
      <c r="E3782" s="182" t="s">
        <v>22</v>
      </c>
      <c r="F3782" s="182" t="s">
        <v>23</v>
      </c>
      <c r="G3782" s="182" t="s">
        <v>19</v>
      </c>
      <c r="H3782" s="216" t="s">
        <v>20</v>
      </c>
      <c r="I3782" s="182" t="s">
        <v>21</v>
      </c>
      <c r="J3782" s="182" t="s">
        <v>22</v>
      </c>
      <c r="K3782" s="182" t="s">
        <v>23</v>
      </c>
      <c r="L3782" s="182" t="s">
        <v>19</v>
      </c>
      <c r="M3782" s="182" t="s">
        <v>20</v>
      </c>
      <c r="N3782" s="182" t="s">
        <v>21</v>
      </c>
      <c r="O3782" s="182" t="s">
        <v>22</v>
      </c>
      <c r="P3782" s="182" t="s">
        <v>23</v>
      </c>
      <c r="Q3782" s="182" t="s">
        <v>19</v>
      </c>
      <c r="R3782" s="182" t="s">
        <v>20</v>
      </c>
      <c r="S3782" s="182" t="s">
        <v>21</v>
      </c>
      <c r="T3782" s="182" t="s">
        <v>22</v>
      </c>
      <c r="U3782" s="211" t="s">
        <v>23</v>
      </c>
    </row>
    <row r="3783" spans="1:21" ht="31.5" x14ac:dyDescent="0.25">
      <c r="A3783" s="183" t="s">
        <v>1060</v>
      </c>
      <c r="B3783" s="182" t="s">
        <v>47</v>
      </c>
      <c r="C3783" s="182" t="s">
        <v>28</v>
      </c>
      <c r="D3783" s="182">
        <v>10</v>
      </c>
      <c r="E3783" s="182">
        <f>skilled</f>
        <v>1245</v>
      </c>
      <c r="F3783" s="184">
        <f>(D3783*E3783)</f>
        <v>12450</v>
      </c>
      <c r="G3783" s="182" t="s">
        <v>85</v>
      </c>
      <c r="H3783" s="216" t="s">
        <v>35</v>
      </c>
      <c r="I3783" s="182">
        <v>0.96</v>
      </c>
      <c r="J3783" s="182">
        <f>adopted_rate_cement</f>
        <v>13031</v>
      </c>
      <c r="K3783" s="182">
        <f>(I3783*J3783)</f>
        <v>12509.76</v>
      </c>
      <c r="L3783" s="182" t="s">
        <v>276</v>
      </c>
      <c r="M3783" s="182" t="s">
        <v>1028</v>
      </c>
      <c r="N3783" s="182" t="s">
        <v>1029</v>
      </c>
      <c r="O3783" s="182">
        <f>concrete_mixer</f>
        <v>296</v>
      </c>
      <c r="P3783" s="184">
        <f>(N3783*O3783)</f>
        <v>222</v>
      </c>
    </row>
    <row r="3784" spans="1:21" x14ac:dyDescent="0.25">
      <c r="B3784" s="182" t="s">
        <v>29</v>
      </c>
      <c r="C3784" s="182" t="s">
        <v>28</v>
      </c>
      <c r="D3784" s="182">
        <v>10</v>
      </c>
      <c r="E3784" s="182">
        <f>unskilled</f>
        <v>935</v>
      </c>
      <c r="F3784" s="184">
        <f>(D3784*E3784)</f>
        <v>9350</v>
      </c>
      <c r="G3784" s="182" t="s">
        <v>83</v>
      </c>
      <c r="H3784" s="216" t="s">
        <v>84</v>
      </c>
      <c r="I3784" s="182">
        <v>1.38</v>
      </c>
      <c r="J3784" s="182">
        <f>adopted_rate_sand</f>
        <v>3175.2000000000003</v>
      </c>
      <c r="K3784" s="182">
        <f>(I3784*J3784)</f>
        <v>4381.7759999999998</v>
      </c>
    </row>
    <row r="3785" spans="1:21" x14ac:dyDescent="0.25">
      <c r="G3785" s="182" t="s">
        <v>171</v>
      </c>
      <c r="H3785" s="216" t="s">
        <v>1021</v>
      </c>
      <c r="I3785" s="182">
        <v>0.3</v>
      </c>
      <c r="J3785" s="182">
        <f>adopted_rate_water</f>
        <v>310</v>
      </c>
      <c r="K3785" s="182">
        <f>(I3785*J3785)</f>
        <v>93</v>
      </c>
    </row>
    <row r="3786" spans="1:21" x14ac:dyDescent="0.25">
      <c r="A3786" s="537" t="s">
        <v>30</v>
      </c>
      <c r="B3786" s="537"/>
      <c r="C3786" s="537"/>
      <c r="D3786" s="537"/>
      <c r="E3786" s="537"/>
      <c r="F3786" s="184">
        <f>SUM(F3782:F3785)</f>
        <v>21800</v>
      </c>
      <c r="G3786" s="537" t="s">
        <v>31</v>
      </c>
      <c r="H3786" s="537"/>
      <c r="I3786" s="537"/>
      <c r="J3786" s="537"/>
      <c r="K3786" s="184">
        <f>SUM(K3782:K3785)</f>
        <v>16984.536</v>
      </c>
      <c r="L3786" s="537" t="s">
        <v>32</v>
      </c>
      <c r="M3786" s="537"/>
      <c r="N3786" s="537"/>
      <c r="O3786" s="537"/>
      <c r="P3786" s="184">
        <f>SUM(P3782:P3785)</f>
        <v>222</v>
      </c>
      <c r="Q3786" s="537" t="s">
        <v>38</v>
      </c>
      <c r="R3786" s="537"/>
      <c r="S3786" s="537"/>
      <c r="T3786" s="537"/>
      <c r="U3786" s="223">
        <f>SUM(U3782:U3785)</f>
        <v>0</v>
      </c>
    </row>
    <row r="3787" spans="1:21" x14ac:dyDescent="0.25">
      <c r="A3787" s="537" t="s">
        <v>33</v>
      </c>
      <c r="B3787" s="537"/>
      <c r="C3787" s="537"/>
      <c r="D3787" s="537"/>
      <c r="E3787" s="537"/>
      <c r="F3787" s="184">
        <f>SUM(F3786+K3786+P3786)</f>
        <v>39006.536</v>
      </c>
      <c r="G3787" s="537" t="s">
        <v>39</v>
      </c>
      <c r="H3787" s="537"/>
      <c r="I3787" s="537"/>
      <c r="J3787" s="537"/>
      <c r="K3787" s="184">
        <f>SUM(F3786+K3786+P3786+U3786)</f>
        <v>39006.536</v>
      </c>
      <c r="L3787" s="537" t="s">
        <v>40</v>
      </c>
      <c r="M3787" s="537"/>
      <c r="N3787" s="537"/>
      <c r="O3787" s="537"/>
      <c r="P3787" s="184">
        <f>SUM(K3787*0.15)</f>
        <v>5850.9803999999995</v>
      </c>
      <c r="Q3787" s="537" t="s">
        <v>41</v>
      </c>
      <c r="R3787" s="537"/>
      <c r="S3787" s="537"/>
      <c r="T3787" s="537"/>
      <c r="U3787" s="223">
        <f>SUM(K3787+P3787)</f>
        <v>44857.5164</v>
      </c>
    </row>
    <row r="3788" spans="1:21" x14ac:dyDescent="0.25">
      <c r="Q3788" s="537" t="s">
        <v>42</v>
      </c>
      <c r="R3788" s="537"/>
      <c r="S3788" s="537"/>
      <c r="T3788" s="537"/>
      <c r="U3788" s="224">
        <f>ROUND((U3787/10),2)</f>
        <v>4485.75</v>
      </c>
    </row>
    <row r="3789" spans="1:21" x14ac:dyDescent="0.25">
      <c r="A3789" s="544"/>
      <c r="B3789" s="544"/>
      <c r="C3789" s="544"/>
      <c r="D3789" s="544"/>
      <c r="E3789" s="544"/>
      <c r="F3789" s="544"/>
      <c r="G3789" s="544"/>
      <c r="H3789" s="544"/>
      <c r="I3789" s="544"/>
      <c r="J3789" s="544"/>
      <c r="K3789" s="544"/>
      <c r="L3789" s="544"/>
      <c r="M3789" s="544"/>
      <c r="N3789" s="544"/>
      <c r="O3789" s="544"/>
      <c r="P3789" s="544"/>
      <c r="Q3789" s="544"/>
      <c r="R3789" s="544"/>
      <c r="S3789" s="544"/>
      <c r="T3789" s="544"/>
      <c r="U3789" s="544"/>
    </row>
    <row r="3790" spans="1:21" x14ac:dyDescent="0.25">
      <c r="A3790" s="538" t="s">
        <v>12</v>
      </c>
      <c r="B3790" s="538"/>
      <c r="C3790" s="540" t="s">
        <v>1063</v>
      </c>
      <c r="D3790" s="540"/>
      <c r="E3790" s="540"/>
      <c r="F3790" s="540"/>
      <c r="G3790" s="540"/>
      <c r="H3790" s="540"/>
      <c r="I3790" s="540"/>
      <c r="J3790" s="540"/>
      <c r="K3790" s="540"/>
      <c r="L3790" s="540"/>
      <c r="M3790" s="540"/>
      <c r="N3790" s="540"/>
      <c r="O3790" s="540"/>
      <c r="P3790" s="540"/>
      <c r="Q3790" s="540"/>
      <c r="R3790" s="540"/>
      <c r="S3790" s="540"/>
      <c r="T3790" s="540"/>
      <c r="U3790" s="541" t="s">
        <v>435</v>
      </c>
    </row>
    <row r="3791" spans="1:21" x14ac:dyDescent="0.25">
      <c r="A3791" s="538"/>
      <c r="B3791" s="538"/>
      <c r="C3791" s="540"/>
      <c r="D3791" s="540"/>
      <c r="E3791" s="540"/>
      <c r="F3791" s="540"/>
      <c r="G3791" s="540"/>
      <c r="H3791" s="540"/>
      <c r="I3791" s="540"/>
      <c r="J3791" s="540"/>
      <c r="K3791" s="540"/>
      <c r="L3791" s="540"/>
      <c r="M3791" s="540"/>
      <c r="N3791" s="540"/>
      <c r="O3791" s="540"/>
      <c r="P3791" s="540"/>
      <c r="Q3791" s="540"/>
      <c r="R3791" s="540"/>
      <c r="S3791" s="540"/>
      <c r="T3791" s="540"/>
      <c r="U3791" s="541"/>
    </row>
    <row r="3792" spans="1:21" x14ac:dyDescent="0.25">
      <c r="A3792" s="539" t="s">
        <v>1016</v>
      </c>
      <c r="B3792" s="539"/>
      <c r="C3792" s="540"/>
      <c r="D3792" s="540"/>
      <c r="E3792" s="540"/>
      <c r="F3792" s="540"/>
      <c r="G3792" s="540"/>
      <c r="H3792" s="540"/>
      <c r="I3792" s="540"/>
      <c r="J3792" s="540"/>
      <c r="K3792" s="540"/>
      <c r="L3792" s="540"/>
      <c r="M3792" s="540"/>
      <c r="N3792" s="540"/>
      <c r="O3792" s="540"/>
      <c r="P3792" s="540"/>
      <c r="Q3792" s="540"/>
      <c r="R3792" s="540"/>
      <c r="S3792" s="540"/>
      <c r="T3792" s="540"/>
      <c r="U3792" s="541"/>
    </row>
    <row r="3793" spans="1:21" x14ac:dyDescent="0.25">
      <c r="A3793" s="542" t="s">
        <v>16</v>
      </c>
      <c r="B3793" s="543" t="s">
        <v>18</v>
      </c>
      <c r="C3793" s="543"/>
      <c r="D3793" s="543"/>
      <c r="E3793" s="543"/>
      <c r="F3793" s="543"/>
      <c r="G3793" s="543" t="s">
        <v>24</v>
      </c>
      <c r="H3793" s="543"/>
      <c r="I3793" s="543"/>
      <c r="J3793" s="543"/>
      <c r="K3793" s="543"/>
      <c r="L3793" s="543" t="s">
        <v>25</v>
      </c>
      <c r="M3793" s="543"/>
      <c r="N3793" s="543"/>
      <c r="O3793" s="543"/>
      <c r="P3793" s="543"/>
      <c r="Q3793" s="543" t="s">
        <v>26</v>
      </c>
      <c r="R3793" s="543"/>
      <c r="S3793" s="543"/>
      <c r="T3793" s="543"/>
      <c r="U3793" s="543"/>
    </row>
    <row r="3794" spans="1:21" x14ac:dyDescent="0.25">
      <c r="A3794" s="542"/>
      <c r="B3794" s="182" t="s">
        <v>19</v>
      </c>
      <c r="C3794" s="182" t="s">
        <v>20</v>
      </c>
      <c r="D3794" s="182" t="s">
        <v>21</v>
      </c>
      <c r="E3794" s="182" t="s">
        <v>22</v>
      </c>
      <c r="F3794" s="182" t="s">
        <v>23</v>
      </c>
      <c r="G3794" s="182" t="s">
        <v>19</v>
      </c>
      <c r="H3794" s="216" t="s">
        <v>20</v>
      </c>
      <c r="I3794" s="182" t="s">
        <v>21</v>
      </c>
      <c r="J3794" s="182" t="s">
        <v>22</v>
      </c>
      <c r="K3794" s="182" t="s">
        <v>23</v>
      </c>
      <c r="L3794" s="182" t="s">
        <v>19</v>
      </c>
      <c r="M3794" s="182" t="s">
        <v>20</v>
      </c>
      <c r="N3794" s="182" t="s">
        <v>21</v>
      </c>
      <c r="O3794" s="182" t="s">
        <v>22</v>
      </c>
      <c r="P3794" s="182" t="s">
        <v>23</v>
      </c>
      <c r="Q3794" s="182" t="s">
        <v>19</v>
      </c>
      <c r="R3794" s="182" t="s">
        <v>20</v>
      </c>
      <c r="S3794" s="182" t="s">
        <v>21</v>
      </c>
      <c r="T3794" s="182" t="s">
        <v>22</v>
      </c>
      <c r="U3794" s="211" t="s">
        <v>23</v>
      </c>
    </row>
    <row r="3795" spans="1:21" ht="31.5" x14ac:dyDescent="0.25">
      <c r="A3795" s="183" t="s">
        <v>1064</v>
      </c>
      <c r="B3795" s="182" t="s">
        <v>47</v>
      </c>
      <c r="C3795" s="182" t="s">
        <v>28</v>
      </c>
      <c r="D3795" s="182">
        <v>10</v>
      </c>
      <c r="E3795" s="182">
        <f>skilled</f>
        <v>1245</v>
      </c>
      <c r="F3795" s="184">
        <f>(D3795*E3795)</f>
        <v>12450</v>
      </c>
      <c r="G3795" s="182" t="s">
        <v>85</v>
      </c>
      <c r="H3795" s="216" t="s">
        <v>35</v>
      </c>
      <c r="I3795" s="182">
        <v>0.57999999999999996</v>
      </c>
      <c r="J3795" s="182">
        <f>adopted_rate_cement</f>
        <v>13031</v>
      </c>
      <c r="K3795" s="182">
        <f>(I3795*J3795)</f>
        <v>7557.98</v>
      </c>
      <c r="L3795" s="182" t="s">
        <v>276</v>
      </c>
      <c r="M3795" s="182" t="s">
        <v>1028</v>
      </c>
      <c r="N3795" s="182" t="s">
        <v>1029</v>
      </c>
      <c r="O3795" s="182">
        <f>concrete_mixer</f>
        <v>296</v>
      </c>
      <c r="P3795" s="184">
        <f>(N3795*O3795)</f>
        <v>222</v>
      </c>
    </row>
    <row r="3796" spans="1:21" x14ac:dyDescent="0.25">
      <c r="B3796" s="182" t="s">
        <v>29</v>
      </c>
      <c r="C3796" s="182" t="s">
        <v>28</v>
      </c>
      <c r="D3796" s="182">
        <v>10</v>
      </c>
      <c r="E3796" s="182">
        <f>unskilled</f>
        <v>935</v>
      </c>
      <c r="F3796" s="184">
        <f>(D3796*E3796)</f>
        <v>9350</v>
      </c>
      <c r="G3796" s="182" t="s">
        <v>83</v>
      </c>
      <c r="H3796" s="216" t="s">
        <v>84</v>
      </c>
      <c r="I3796" s="182">
        <v>1.6</v>
      </c>
      <c r="J3796" s="182">
        <f>adopted_rate_sand</f>
        <v>3175.2000000000003</v>
      </c>
      <c r="K3796" s="182">
        <f>(I3796*J3796)</f>
        <v>5080.3200000000006</v>
      </c>
    </row>
    <row r="3797" spans="1:21" x14ac:dyDescent="0.25">
      <c r="G3797" s="182" t="s">
        <v>171</v>
      </c>
      <c r="H3797" s="216" t="s">
        <v>1021</v>
      </c>
      <c r="I3797" s="182">
        <v>0.17</v>
      </c>
      <c r="J3797" s="182">
        <f>adopted_rate_water</f>
        <v>310</v>
      </c>
      <c r="K3797" s="182">
        <f>(I3797*J3797)</f>
        <v>52.7</v>
      </c>
    </row>
    <row r="3798" spans="1:21" x14ac:dyDescent="0.25">
      <c r="A3798" s="537" t="s">
        <v>30</v>
      </c>
      <c r="B3798" s="537"/>
      <c r="C3798" s="537"/>
      <c r="D3798" s="537"/>
      <c r="E3798" s="537"/>
      <c r="F3798" s="184">
        <f>SUM(F3794:F3797)</f>
        <v>21800</v>
      </c>
      <c r="G3798" s="537" t="s">
        <v>31</v>
      </c>
      <c r="H3798" s="537"/>
      <c r="I3798" s="537"/>
      <c r="J3798" s="537"/>
      <c r="K3798" s="184">
        <f>SUM(K3794:K3797)</f>
        <v>12691</v>
      </c>
      <c r="L3798" s="537" t="s">
        <v>32</v>
      </c>
      <c r="M3798" s="537"/>
      <c r="N3798" s="537"/>
      <c r="O3798" s="537"/>
      <c r="P3798" s="184">
        <f>SUM(P3794:P3797)</f>
        <v>222</v>
      </c>
      <c r="Q3798" s="537" t="s">
        <v>38</v>
      </c>
      <c r="R3798" s="537"/>
      <c r="S3798" s="537"/>
      <c r="T3798" s="537"/>
      <c r="U3798" s="223">
        <f>SUM(U3794:U3797)</f>
        <v>0</v>
      </c>
    </row>
    <row r="3799" spans="1:21" x14ac:dyDescent="0.25">
      <c r="A3799" s="537" t="s">
        <v>33</v>
      </c>
      <c r="B3799" s="537"/>
      <c r="C3799" s="537"/>
      <c r="D3799" s="537"/>
      <c r="E3799" s="537"/>
      <c r="F3799" s="184">
        <f>SUM(F3798+K3798+P3798)</f>
        <v>34713</v>
      </c>
      <c r="G3799" s="537" t="s">
        <v>39</v>
      </c>
      <c r="H3799" s="537"/>
      <c r="I3799" s="537"/>
      <c r="J3799" s="537"/>
      <c r="K3799" s="184">
        <f>SUM(F3798+K3798+P3798+U3798)</f>
        <v>34713</v>
      </c>
      <c r="L3799" s="537" t="s">
        <v>40</v>
      </c>
      <c r="M3799" s="537"/>
      <c r="N3799" s="537"/>
      <c r="O3799" s="537"/>
      <c r="P3799" s="184">
        <f>SUM(K3799*0.15)</f>
        <v>5206.95</v>
      </c>
      <c r="Q3799" s="537" t="s">
        <v>41</v>
      </c>
      <c r="R3799" s="537"/>
      <c r="S3799" s="537"/>
      <c r="T3799" s="537"/>
      <c r="U3799" s="223">
        <f>SUM(K3799+P3799)</f>
        <v>39919.949999999997</v>
      </c>
    </row>
    <row r="3800" spans="1:21" x14ac:dyDescent="0.25">
      <c r="Q3800" s="537" t="s">
        <v>42</v>
      </c>
      <c r="R3800" s="537"/>
      <c r="S3800" s="537"/>
      <c r="T3800" s="537"/>
      <c r="U3800" s="224">
        <f>ROUND((U3799/10),2)</f>
        <v>3992</v>
      </c>
    </row>
    <row r="3801" spans="1:21" x14ac:dyDescent="0.25">
      <c r="A3801" s="544"/>
      <c r="B3801" s="544"/>
      <c r="C3801" s="544"/>
      <c r="D3801" s="544"/>
      <c r="E3801" s="544"/>
      <c r="F3801" s="544"/>
      <c r="G3801" s="544"/>
      <c r="H3801" s="544"/>
      <c r="I3801" s="544"/>
      <c r="J3801" s="544"/>
      <c r="K3801" s="544"/>
      <c r="L3801" s="544"/>
      <c r="M3801" s="544"/>
      <c r="N3801" s="544"/>
      <c r="O3801" s="544"/>
      <c r="P3801" s="544"/>
      <c r="Q3801" s="544"/>
      <c r="R3801" s="544"/>
      <c r="S3801" s="544"/>
      <c r="T3801" s="544"/>
      <c r="U3801" s="544"/>
    </row>
    <row r="3802" spans="1:21" x14ac:dyDescent="0.25">
      <c r="A3802" s="538" t="s">
        <v>12</v>
      </c>
      <c r="B3802" s="538"/>
      <c r="C3802" s="540" t="s">
        <v>1065</v>
      </c>
      <c r="D3802" s="540"/>
      <c r="E3802" s="540"/>
      <c r="F3802" s="540"/>
      <c r="G3802" s="540"/>
      <c r="H3802" s="540"/>
      <c r="I3802" s="540"/>
      <c r="J3802" s="540"/>
      <c r="K3802" s="540"/>
      <c r="L3802" s="540"/>
      <c r="M3802" s="540"/>
      <c r="N3802" s="540"/>
      <c r="O3802" s="540"/>
      <c r="P3802" s="540"/>
      <c r="Q3802" s="540"/>
      <c r="R3802" s="540"/>
      <c r="S3802" s="540"/>
      <c r="T3802" s="540"/>
      <c r="U3802" s="541" t="s">
        <v>435</v>
      </c>
    </row>
    <row r="3803" spans="1:21" x14ac:dyDescent="0.25">
      <c r="A3803" s="538"/>
      <c r="B3803" s="538"/>
      <c r="C3803" s="540"/>
      <c r="D3803" s="540"/>
      <c r="E3803" s="540"/>
      <c r="F3803" s="540"/>
      <c r="G3803" s="540"/>
      <c r="H3803" s="540"/>
      <c r="I3803" s="540"/>
      <c r="J3803" s="540"/>
      <c r="K3803" s="540"/>
      <c r="L3803" s="540"/>
      <c r="M3803" s="540"/>
      <c r="N3803" s="540"/>
      <c r="O3803" s="540"/>
      <c r="P3803" s="540"/>
      <c r="Q3803" s="540"/>
      <c r="R3803" s="540"/>
      <c r="S3803" s="540"/>
      <c r="T3803" s="540"/>
      <c r="U3803" s="541"/>
    </row>
    <row r="3804" spans="1:21" x14ac:dyDescent="0.25">
      <c r="A3804" s="539" t="s">
        <v>1016</v>
      </c>
      <c r="B3804" s="539"/>
      <c r="C3804" s="540"/>
      <c r="D3804" s="540"/>
      <c r="E3804" s="540"/>
      <c r="F3804" s="540"/>
      <c r="G3804" s="540"/>
      <c r="H3804" s="540"/>
      <c r="I3804" s="540"/>
      <c r="J3804" s="540"/>
      <c r="K3804" s="540"/>
      <c r="L3804" s="540"/>
      <c r="M3804" s="540"/>
      <c r="N3804" s="540"/>
      <c r="O3804" s="540"/>
      <c r="P3804" s="540"/>
      <c r="Q3804" s="540"/>
      <c r="R3804" s="540"/>
      <c r="S3804" s="540"/>
      <c r="T3804" s="540"/>
      <c r="U3804" s="541"/>
    </row>
    <row r="3805" spans="1:21" x14ac:dyDescent="0.25">
      <c r="A3805" s="542" t="s">
        <v>16</v>
      </c>
      <c r="B3805" s="543" t="s">
        <v>18</v>
      </c>
      <c r="C3805" s="543"/>
      <c r="D3805" s="543"/>
      <c r="E3805" s="543"/>
      <c r="F3805" s="543"/>
      <c r="G3805" s="543" t="s">
        <v>24</v>
      </c>
      <c r="H3805" s="543"/>
      <c r="I3805" s="543"/>
      <c r="J3805" s="543"/>
      <c r="K3805" s="543"/>
      <c r="L3805" s="543" t="s">
        <v>25</v>
      </c>
      <c r="M3805" s="543"/>
      <c r="N3805" s="543"/>
      <c r="O3805" s="543"/>
      <c r="P3805" s="543"/>
      <c r="Q3805" s="543" t="s">
        <v>26</v>
      </c>
      <c r="R3805" s="543"/>
      <c r="S3805" s="543"/>
      <c r="T3805" s="543"/>
      <c r="U3805" s="543"/>
    </row>
    <row r="3806" spans="1:21" x14ac:dyDescent="0.25">
      <c r="A3806" s="542"/>
      <c r="B3806" s="182" t="s">
        <v>19</v>
      </c>
      <c r="C3806" s="182" t="s">
        <v>20</v>
      </c>
      <c r="D3806" s="182" t="s">
        <v>21</v>
      </c>
      <c r="E3806" s="182" t="s">
        <v>22</v>
      </c>
      <c r="F3806" s="182" t="s">
        <v>23</v>
      </c>
      <c r="G3806" s="182" t="s">
        <v>19</v>
      </c>
      <c r="H3806" s="216" t="s">
        <v>20</v>
      </c>
      <c r="I3806" s="182" t="s">
        <v>21</v>
      </c>
      <c r="J3806" s="182" t="s">
        <v>22</v>
      </c>
      <c r="K3806" s="182" t="s">
        <v>23</v>
      </c>
      <c r="L3806" s="182" t="s">
        <v>19</v>
      </c>
      <c r="M3806" s="182" t="s">
        <v>20</v>
      </c>
      <c r="N3806" s="182" t="s">
        <v>21</v>
      </c>
      <c r="O3806" s="182" t="s">
        <v>22</v>
      </c>
      <c r="P3806" s="182" t="s">
        <v>23</v>
      </c>
      <c r="Q3806" s="182" t="s">
        <v>19</v>
      </c>
      <c r="R3806" s="182" t="s">
        <v>20</v>
      </c>
      <c r="S3806" s="182" t="s">
        <v>21</v>
      </c>
      <c r="T3806" s="182" t="s">
        <v>22</v>
      </c>
      <c r="U3806" s="211" t="s">
        <v>23</v>
      </c>
    </row>
    <row r="3807" spans="1:21" x14ac:dyDescent="0.25">
      <c r="A3807" s="183" t="s">
        <v>1066</v>
      </c>
      <c r="B3807" s="182" t="s">
        <v>47</v>
      </c>
      <c r="C3807" s="182" t="s">
        <v>28</v>
      </c>
      <c r="D3807" s="182">
        <v>10</v>
      </c>
      <c r="E3807" s="182">
        <f>skilled</f>
        <v>1245</v>
      </c>
      <c r="F3807" s="184">
        <f>(D3807*E3807)</f>
        <v>12450</v>
      </c>
      <c r="G3807" s="182" t="s">
        <v>85</v>
      </c>
      <c r="H3807" s="216" t="s">
        <v>35</v>
      </c>
      <c r="I3807" s="182">
        <v>0.57999999999999996</v>
      </c>
      <c r="J3807" s="182">
        <f>adopted_rate_cement</f>
        <v>13031</v>
      </c>
      <c r="K3807" s="182">
        <f>(I3807*J3807)</f>
        <v>7557.98</v>
      </c>
    </row>
    <row r="3808" spans="1:21" x14ac:dyDescent="0.25">
      <c r="B3808" s="182" t="s">
        <v>29</v>
      </c>
      <c r="C3808" s="182" t="s">
        <v>28</v>
      </c>
      <c r="D3808" s="182">
        <v>12</v>
      </c>
      <c r="E3808" s="182">
        <f>unskilled</f>
        <v>935</v>
      </c>
      <c r="F3808" s="184">
        <f>(D3808*E3808)</f>
        <v>11220</v>
      </c>
      <c r="G3808" s="182" t="s">
        <v>83</v>
      </c>
      <c r="H3808" s="216" t="s">
        <v>84</v>
      </c>
      <c r="I3808" s="182">
        <v>1.6</v>
      </c>
      <c r="J3808" s="182">
        <f>adopted_rate_sand</f>
        <v>3175.2000000000003</v>
      </c>
      <c r="K3808" s="182">
        <f>(I3808*J3808)</f>
        <v>5080.3200000000006</v>
      </c>
    </row>
    <row r="3809" spans="1:21" x14ac:dyDescent="0.25">
      <c r="G3809" s="182" t="s">
        <v>171</v>
      </c>
      <c r="H3809" s="216" t="s">
        <v>1021</v>
      </c>
      <c r="I3809" s="182">
        <v>0.17</v>
      </c>
      <c r="J3809" s="182">
        <f>adopted_rate_water</f>
        <v>310</v>
      </c>
      <c r="K3809" s="182">
        <f>(I3809*J3809)</f>
        <v>52.7</v>
      </c>
    </row>
    <row r="3810" spans="1:21" x14ac:dyDescent="0.25">
      <c r="A3810" s="537" t="s">
        <v>30</v>
      </c>
      <c r="B3810" s="537"/>
      <c r="C3810" s="537"/>
      <c r="D3810" s="537"/>
      <c r="E3810" s="537"/>
      <c r="F3810" s="184">
        <f>SUM(F3806:F3809)</f>
        <v>23670</v>
      </c>
      <c r="G3810" s="537" t="s">
        <v>31</v>
      </c>
      <c r="H3810" s="537"/>
      <c r="I3810" s="537"/>
      <c r="J3810" s="537"/>
      <c r="K3810" s="184">
        <f>SUM(K3806:K3809)</f>
        <v>12691</v>
      </c>
      <c r="L3810" s="537" t="s">
        <v>32</v>
      </c>
      <c r="M3810" s="537"/>
      <c r="N3810" s="537"/>
      <c r="O3810" s="537"/>
      <c r="P3810" s="184">
        <f>SUM(P3806:P3809)</f>
        <v>0</v>
      </c>
      <c r="Q3810" s="537" t="s">
        <v>38</v>
      </c>
      <c r="R3810" s="537"/>
      <c r="S3810" s="537"/>
      <c r="T3810" s="537"/>
      <c r="U3810" s="223">
        <f>SUM(U3806:U3809)</f>
        <v>0</v>
      </c>
    </row>
    <row r="3811" spans="1:21" x14ac:dyDescent="0.25">
      <c r="A3811" s="537" t="s">
        <v>33</v>
      </c>
      <c r="B3811" s="537"/>
      <c r="C3811" s="537"/>
      <c r="D3811" s="537"/>
      <c r="E3811" s="537"/>
      <c r="F3811" s="184">
        <f>SUM(F3810+K3810+P3810)</f>
        <v>36361</v>
      </c>
      <c r="G3811" s="537" t="s">
        <v>39</v>
      </c>
      <c r="H3811" s="537"/>
      <c r="I3811" s="537"/>
      <c r="J3811" s="537"/>
      <c r="K3811" s="184">
        <f>SUM(F3810+K3810+P3810+U3810)</f>
        <v>36361</v>
      </c>
      <c r="L3811" s="537" t="s">
        <v>40</v>
      </c>
      <c r="M3811" s="537"/>
      <c r="N3811" s="537"/>
      <c r="O3811" s="537"/>
      <c r="P3811" s="184">
        <f>SUM(K3811*0.15)</f>
        <v>5454.15</v>
      </c>
      <c r="Q3811" s="537" t="s">
        <v>41</v>
      </c>
      <c r="R3811" s="537"/>
      <c r="S3811" s="537"/>
      <c r="T3811" s="537"/>
      <c r="U3811" s="223">
        <f>SUM(K3811+P3811)</f>
        <v>41815.15</v>
      </c>
    </row>
    <row r="3812" spans="1:21" x14ac:dyDescent="0.25">
      <c r="Q3812" s="537" t="s">
        <v>42</v>
      </c>
      <c r="R3812" s="537"/>
      <c r="S3812" s="537"/>
      <c r="T3812" s="537"/>
      <c r="U3812" s="224">
        <f>ROUND((U3811/10),2)</f>
        <v>4181.5200000000004</v>
      </c>
    </row>
    <row r="3813" spans="1:21" x14ac:dyDescent="0.25">
      <c r="A3813" s="544"/>
      <c r="B3813" s="544"/>
      <c r="C3813" s="544"/>
      <c r="D3813" s="544"/>
      <c r="E3813" s="544"/>
      <c r="F3813" s="544"/>
      <c r="G3813" s="544"/>
      <c r="H3813" s="544"/>
      <c r="I3813" s="544"/>
      <c r="J3813" s="544"/>
      <c r="K3813" s="544"/>
      <c r="L3813" s="544"/>
      <c r="M3813" s="544"/>
      <c r="N3813" s="544"/>
      <c r="O3813" s="544"/>
      <c r="P3813" s="544"/>
      <c r="Q3813" s="544"/>
      <c r="R3813" s="544"/>
      <c r="S3813" s="544"/>
      <c r="T3813" s="544"/>
      <c r="U3813" s="544"/>
    </row>
    <row r="3814" spans="1:21" s="199" customFormat="1" x14ac:dyDescent="0.25">
      <c r="A3814" s="538" t="s">
        <v>12</v>
      </c>
      <c r="B3814" s="538"/>
      <c r="C3814" s="540" t="s">
        <v>1067</v>
      </c>
      <c r="D3814" s="540"/>
      <c r="E3814" s="540"/>
      <c r="F3814" s="540"/>
      <c r="G3814" s="540"/>
      <c r="H3814" s="540"/>
      <c r="I3814" s="540"/>
      <c r="J3814" s="540"/>
      <c r="K3814" s="540"/>
      <c r="L3814" s="540"/>
      <c r="M3814" s="540"/>
      <c r="N3814" s="540"/>
      <c r="O3814" s="540"/>
      <c r="P3814" s="540"/>
      <c r="Q3814" s="540"/>
      <c r="R3814" s="540"/>
      <c r="S3814" s="540"/>
      <c r="T3814" s="540"/>
      <c r="U3814" s="541" t="s">
        <v>435</v>
      </c>
    </row>
    <row r="3815" spans="1:21" s="199" customFormat="1" x14ac:dyDescent="0.25">
      <c r="A3815" s="538"/>
      <c r="B3815" s="538"/>
      <c r="C3815" s="540"/>
      <c r="D3815" s="540"/>
      <c r="E3815" s="540"/>
      <c r="F3815" s="540"/>
      <c r="G3815" s="540"/>
      <c r="H3815" s="540"/>
      <c r="I3815" s="540"/>
      <c r="J3815" s="540"/>
      <c r="K3815" s="540"/>
      <c r="L3815" s="540"/>
      <c r="M3815" s="540"/>
      <c r="N3815" s="540"/>
      <c r="O3815" s="540"/>
      <c r="P3815" s="540"/>
      <c r="Q3815" s="540"/>
      <c r="R3815" s="540"/>
      <c r="S3815" s="540"/>
      <c r="T3815" s="540"/>
      <c r="U3815" s="541"/>
    </row>
    <row r="3816" spans="1:21" s="199" customFormat="1" x14ac:dyDescent="0.25">
      <c r="A3816" s="539" t="s">
        <v>1016</v>
      </c>
      <c r="B3816" s="539"/>
      <c r="C3816" s="540"/>
      <c r="D3816" s="540"/>
      <c r="E3816" s="540"/>
      <c r="F3816" s="540"/>
      <c r="G3816" s="540"/>
      <c r="H3816" s="540"/>
      <c r="I3816" s="540"/>
      <c r="J3816" s="540"/>
      <c r="K3816" s="540"/>
      <c r="L3816" s="540"/>
      <c r="M3816" s="540"/>
      <c r="N3816" s="540"/>
      <c r="O3816" s="540"/>
      <c r="P3816" s="540"/>
      <c r="Q3816" s="540"/>
      <c r="R3816" s="540"/>
      <c r="S3816" s="540"/>
      <c r="T3816" s="540"/>
      <c r="U3816" s="541"/>
    </row>
    <row r="3817" spans="1:21" s="199" customFormat="1" x14ac:dyDescent="0.25">
      <c r="A3817" s="542" t="s">
        <v>16</v>
      </c>
      <c r="B3817" s="543" t="s">
        <v>18</v>
      </c>
      <c r="C3817" s="543"/>
      <c r="D3817" s="543"/>
      <c r="E3817" s="543"/>
      <c r="F3817" s="543"/>
      <c r="G3817" s="543" t="s">
        <v>24</v>
      </c>
      <c r="H3817" s="543"/>
      <c r="I3817" s="543"/>
      <c r="J3817" s="543"/>
      <c r="K3817" s="543"/>
      <c r="L3817" s="543" t="s">
        <v>25</v>
      </c>
      <c r="M3817" s="543"/>
      <c r="N3817" s="543"/>
      <c r="O3817" s="543"/>
      <c r="P3817" s="543"/>
      <c r="Q3817" s="543" t="s">
        <v>26</v>
      </c>
      <c r="R3817" s="543"/>
      <c r="S3817" s="543"/>
      <c r="T3817" s="543"/>
      <c r="U3817" s="543"/>
    </row>
    <row r="3818" spans="1:21" s="199" customFormat="1" x14ac:dyDescent="0.25">
      <c r="A3818" s="542"/>
      <c r="B3818" s="182" t="s">
        <v>19</v>
      </c>
      <c r="C3818" s="182" t="s">
        <v>20</v>
      </c>
      <c r="D3818" s="182" t="s">
        <v>21</v>
      </c>
      <c r="E3818" s="182" t="s">
        <v>22</v>
      </c>
      <c r="F3818" s="182" t="s">
        <v>23</v>
      </c>
      <c r="G3818" s="182" t="s">
        <v>19</v>
      </c>
      <c r="H3818" s="216" t="s">
        <v>20</v>
      </c>
      <c r="I3818" s="182" t="s">
        <v>21</v>
      </c>
      <c r="J3818" s="182" t="s">
        <v>22</v>
      </c>
      <c r="K3818" s="182" t="s">
        <v>23</v>
      </c>
      <c r="L3818" s="182" t="s">
        <v>19</v>
      </c>
      <c r="M3818" s="182" t="s">
        <v>20</v>
      </c>
      <c r="N3818" s="182" t="s">
        <v>21</v>
      </c>
      <c r="O3818" s="182" t="s">
        <v>22</v>
      </c>
      <c r="P3818" s="182" t="s">
        <v>23</v>
      </c>
      <c r="Q3818" s="182" t="s">
        <v>19</v>
      </c>
      <c r="R3818" s="182" t="s">
        <v>20</v>
      </c>
      <c r="S3818" s="182" t="s">
        <v>21</v>
      </c>
      <c r="T3818" s="182" t="s">
        <v>22</v>
      </c>
      <c r="U3818" s="211" t="s">
        <v>23</v>
      </c>
    </row>
    <row r="3819" spans="1:21" s="199" customFormat="1" ht="31.5" x14ac:dyDescent="0.25">
      <c r="A3819" s="183" t="s">
        <v>1068</v>
      </c>
      <c r="B3819" s="182" t="s">
        <v>47</v>
      </c>
      <c r="C3819" s="182" t="s">
        <v>28</v>
      </c>
      <c r="D3819" s="182">
        <v>10</v>
      </c>
      <c r="E3819" s="182">
        <f>skilled</f>
        <v>1245</v>
      </c>
      <c r="F3819" s="184">
        <f>(D3819*E3819)</f>
        <v>12450</v>
      </c>
      <c r="G3819" s="182" t="s">
        <v>85</v>
      </c>
      <c r="H3819" s="216" t="s">
        <v>35</v>
      </c>
      <c r="I3819" s="182">
        <v>0.72</v>
      </c>
      <c r="J3819" s="182">
        <f>adopted_rate_cement</f>
        <v>13031</v>
      </c>
      <c r="K3819" s="182">
        <f>(I3819*J3819)</f>
        <v>9382.32</v>
      </c>
      <c r="L3819" s="182" t="s">
        <v>276</v>
      </c>
      <c r="M3819" s="182" t="s">
        <v>1028</v>
      </c>
      <c r="N3819" s="182" t="s">
        <v>1029</v>
      </c>
      <c r="O3819" s="182">
        <f>concrete_mixer</f>
        <v>296</v>
      </c>
      <c r="P3819" s="184">
        <f>(N3819*O3819)</f>
        <v>222</v>
      </c>
      <c r="Q3819" s="195"/>
      <c r="R3819" s="195"/>
      <c r="S3819" s="195"/>
      <c r="T3819" s="195"/>
      <c r="U3819" s="212"/>
    </row>
    <row r="3820" spans="1:21" s="199" customFormat="1" x14ac:dyDescent="0.25">
      <c r="A3820" s="195"/>
      <c r="B3820" s="182" t="s">
        <v>29</v>
      </c>
      <c r="C3820" s="182" t="s">
        <v>28</v>
      </c>
      <c r="D3820" s="182">
        <v>10</v>
      </c>
      <c r="E3820" s="182">
        <f>unskilled</f>
        <v>935</v>
      </c>
      <c r="F3820" s="184">
        <f>(D3820*E3820)</f>
        <v>9350</v>
      </c>
      <c r="G3820" s="182" t="s">
        <v>83</v>
      </c>
      <c r="H3820" s="216" t="s">
        <v>84</v>
      </c>
      <c r="I3820" s="182">
        <v>1.5</v>
      </c>
      <c r="J3820" s="182">
        <f>adopted_rate_sand</f>
        <v>3175.2000000000003</v>
      </c>
      <c r="K3820" s="182">
        <f>(I3820*J3820)</f>
        <v>4762.8</v>
      </c>
      <c r="L3820" s="195"/>
      <c r="M3820" s="195"/>
      <c r="N3820" s="195"/>
      <c r="O3820" s="195"/>
      <c r="P3820" s="195"/>
      <c r="Q3820" s="195"/>
      <c r="R3820" s="195"/>
      <c r="S3820" s="195"/>
      <c r="T3820" s="195"/>
      <c r="U3820" s="212"/>
    </row>
    <row r="3821" spans="1:21" s="199" customFormat="1" x14ac:dyDescent="0.25">
      <c r="A3821" s="195"/>
      <c r="B3821" s="195"/>
      <c r="C3821" s="195"/>
      <c r="D3821" s="195"/>
      <c r="E3821" s="195"/>
      <c r="F3821" s="195"/>
      <c r="G3821" s="182" t="s">
        <v>171</v>
      </c>
      <c r="H3821" s="216" t="s">
        <v>1021</v>
      </c>
      <c r="I3821" s="182">
        <v>0.2</v>
      </c>
      <c r="J3821" s="182">
        <f>adopted_rate_water</f>
        <v>310</v>
      </c>
      <c r="K3821" s="182">
        <f>(I3821*J3821)</f>
        <v>62</v>
      </c>
      <c r="L3821" s="195"/>
      <c r="M3821" s="195"/>
      <c r="N3821" s="195"/>
      <c r="O3821" s="195"/>
      <c r="P3821" s="195"/>
      <c r="Q3821" s="195"/>
      <c r="R3821" s="195"/>
      <c r="S3821" s="195"/>
      <c r="T3821" s="195"/>
      <c r="U3821" s="212"/>
    </row>
    <row r="3822" spans="1:21" s="199" customFormat="1" x14ac:dyDescent="0.25">
      <c r="A3822" s="537" t="s">
        <v>30</v>
      </c>
      <c r="B3822" s="537"/>
      <c r="C3822" s="537"/>
      <c r="D3822" s="537"/>
      <c r="E3822" s="537"/>
      <c r="F3822" s="184">
        <f>SUM(F3818:F3821)</f>
        <v>21800</v>
      </c>
      <c r="G3822" s="537" t="s">
        <v>31</v>
      </c>
      <c r="H3822" s="537"/>
      <c r="I3822" s="537"/>
      <c r="J3822" s="537"/>
      <c r="K3822" s="184">
        <f>SUM(K3818:K3821)</f>
        <v>14207.119999999999</v>
      </c>
      <c r="L3822" s="537" t="s">
        <v>32</v>
      </c>
      <c r="M3822" s="537"/>
      <c r="N3822" s="537"/>
      <c r="O3822" s="537"/>
      <c r="P3822" s="184">
        <f>SUM(P3818:P3821)</f>
        <v>222</v>
      </c>
      <c r="Q3822" s="537" t="s">
        <v>38</v>
      </c>
      <c r="R3822" s="537"/>
      <c r="S3822" s="537"/>
      <c r="T3822" s="537"/>
      <c r="U3822" s="223">
        <f>SUM(U3818:U3821)</f>
        <v>0</v>
      </c>
    </row>
    <row r="3823" spans="1:21" s="199" customFormat="1" x14ac:dyDescent="0.25">
      <c r="A3823" s="537" t="s">
        <v>33</v>
      </c>
      <c r="B3823" s="537"/>
      <c r="C3823" s="537"/>
      <c r="D3823" s="537"/>
      <c r="E3823" s="537"/>
      <c r="F3823" s="184">
        <f>SUM(F3822+K3822+P3822)</f>
        <v>36229.119999999995</v>
      </c>
      <c r="G3823" s="537" t="s">
        <v>39</v>
      </c>
      <c r="H3823" s="537"/>
      <c r="I3823" s="537"/>
      <c r="J3823" s="537"/>
      <c r="K3823" s="184">
        <f>SUM(F3822+K3822+P3822+U3822)</f>
        <v>36229.119999999995</v>
      </c>
      <c r="L3823" s="537" t="s">
        <v>40</v>
      </c>
      <c r="M3823" s="537"/>
      <c r="N3823" s="537"/>
      <c r="O3823" s="537"/>
      <c r="P3823" s="184">
        <f>SUM(K3823*0.15)</f>
        <v>5434.3679999999995</v>
      </c>
      <c r="Q3823" s="537" t="s">
        <v>41</v>
      </c>
      <c r="R3823" s="537"/>
      <c r="S3823" s="537"/>
      <c r="T3823" s="537"/>
      <c r="U3823" s="223">
        <f>SUM(K3823+P3823)</f>
        <v>41663.487999999998</v>
      </c>
    </row>
    <row r="3824" spans="1:21" s="199" customFormat="1" x14ac:dyDescent="0.25">
      <c r="A3824" s="195"/>
      <c r="B3824" s="195"/>
      <c r="C3824" s="195"/>
      <c r="D3824" s="195"/>
      <c r="E3824" s="195"/>
      <c r="F3824" s="195"/>
      <c r="G3824" s="195"/>
      <c r="H3824" s="217"/>
      <c r="I3824" s="195"/>
      <c r="J3824" s="195"/>
      <c r="K3824" s="195"/>
      <c r="L3824" s="195"/>
      <c r="M3824" s="195"/>
      <c r="N3824" s="195"/>
      <c r="O3824" s="195"/>
      <c r="P3824" s="195"/>
      <c r="Q3824" s="537" t="s">
        <v>42</v>
      </c>
      <c r="R3824" s="537"/>
      <c r="S3824" s="537"/>
      <c r="T3824" s="537"/>
      <c r="U3824" s="224">
        <f>ROUND((U3823/10),2)</f>
        <v>4166.3500000000004</v>
      </c>
    </row>
    <row r="3825" spans="1:21" s="199" customFormat="1" x14ac:dyDescent="0.25">
      <c r="A3825" s="544"/>
      <c r="B3825" s="544"/>
      <c r="C3825" s="544"/>
      <c r="D3825" s="544"/>
      <c r="E3825" s="544"/>
      <c r="F3825" s="544"/>
      <c r="G3825" s="544"/>
      <c r="H3825" s="544"/>
      <c r="I3825" s="544"/>
      <c r="J3825" s="544"/>
      <c r="K3825" s="544"/>
      <c r="L3825" s="544"/>
      <c r="M3825" s="544"/>
      <c r="N3825" s="544"/>
      <c r="O3825" s="544"/>
      <c r="P3825" s="544"/>
      <c r="Q3825" s="544"/>
      <c r="R3825" s="544"/>
      <c r="S3825" s="544"/>
      <c r="T3825" s="544"/>
      <c r="U3825" s="544"/>
    </row>
    <row r="3826" spans="1:21" x14ac:dyDescent="0.25">
      <c r="A3826" s="538" t="s">
        <v>12</v>
      </c>
      <c r="B3826" s="538"/>
      <c r="C3826" s="540" t="s">
        <v>1069</v>
      </c>
      <c r="D3826" s="540"/>
      <c r="E3826" s="540"/>
      <c r="F3826" s="540"/>
      <c r="G3826" s="540"/>
      <c r="H3826" s="540"/>
      <c r="I3826" s="540"/>
      <c r="J3826" s="540"/>
      <c r="K3826" s="540"/>
      <c r="L3826" s="540"/>
      <c r="M3826" s="540"/>
      <c r="N3826" s="540"/>
      <c r="O3826" s="540"/>
      <c r="P3826" s="540"/>
      <c r="Q3826" s="540"/>
      <c r="R3826" s="540"/>
      <c r="S3826" s="540"/>
      <c r="T3826" s="540"/>
      <c r="U3826" s="541" t="s">
        <v>435</v>
      </c>
    </row>
    <row r="3827" spans="1:21" x14ac:dyDescent="0.25">
      <c r="A3827" s="538"/>
      <c r="B3827" s="538"/>
      <c r="C3827" s="540"/>
      <c r="D3827" s="540"/>
      <c r="E3827" s="540"/>
      <c r="F3827" s="540"/>
      <c r="G3827" s="540"/>
      <c r="H3827" s="540"/>
      <c r="I3827" s="540"/>
      <c r="J3827" s="540"/>
      <c r="K3827" s="540"/>
      <c r="L3827" s="540"/>
      <c r="M3827" s="540"/>
      <c r="N3827" s="540"/>
      <c r="O3827" s="540"/>
      <c r="P3827" s="540"/>
      <c r="Q3827" s="540"/>
      <c r="R3827" s="540"/>
      <c r="S3827" s="540"/>
      <c r="T3827" s="540"/>
      <c r="U3827" s="541"/>
    </row>
    <row r="3828" spans="1:21" x14ac:dyDescent="0.25">
      <c r="A3828" s="539" t="s">
        <v>1016</v>
      </c>
      <c r="B3828" s="539"/>
      <c r="C3828" s="540"/>
      <c r="D3828" s="540"/>
      <c r="E3828" s="540"/>
      <c r="F3828" s="540"/>
      <c r="G3828" s="540"/>
      <c r="H3828" s="540"/>
      <c r="I3828" s="540"/>
      <c r="J3828" s="540"/>
      <c r="K3828" s="540"/>
      <c r="L3828" s="540"/>
      <c r="M3828" s="540"/>
      <c r="N3828" s="540"/>
      <c r="O3828" s="540"/>
      <c r="P3828" s="540"/>
      <c r="Q3828" s="540"/>
      <c r="R3828" s="540"/>
      <c r="S3828" s="540"/>
      <c r="T3828" s="540"/>
      <c r="U3828" s="541"/>
    </row>
    <row r="3829" spans="1:21" x14ac:dyDescent="0.25">
      <c r="A3829" s="542" t="s">
        <v>16</v>
      </c>
      <c r="B3829" s="543" t="s">
        <v>18</v>
      </c>
      <c r="C3829" s="543"/>
      <c r="D3829" s="543"/>
      <c r="E3829" s="543"/>
      <c r="F3829" s="543"/>
      <c r="G3829" s="543" t="s">
        <v>24</v>
      </c>
      <c r="H3829" s="543"/>
      <c r="I3829" s="543"/>
      <c r="J3829" s="543"/>
      <c r="K3829" s="543"/>
      <c r="L3829" s="543" t="s">
        <v>25</v>
      </c>
      <c r="M3829" s="543"/>
      <c r="N3829" s="543"/>
      <c r="O3829" s="543"/>
      <c r="P3829" s="543"/>
      <c r="Q3829" s="543" t="s">
        <v>26</v>
      </c>
      <c r="R3829" s="543"/>
      <c r="S3829" s="543"/>
      <c r="T3829" s="543"/>
      <c r="U3829" s="543"/>
    </row>
    <row r="3830" spans="1:21" x14ac:dyDescent="0.25">
      <c r="A3830" s="542"/>
      <c r="B3830" s="182" t="s">
        <v>19</v>
      </c>
      <c r="C3830" s="182" t="s">
        <v>20</v>
      </c>
      <c r="D3830" s="182" t="s">
        <v>21</v>
      </c>
      <c r="E3830" s="182" t="s">
        <v>22</v>
      </c>
      <c r="F3830" s="182" t="s">
        <v>23</v>
      </c>
      <c r="G3830" s="182" t="s">
        <v>19</v>
      </c>
      <c r="H3830" s="216" t="s">
        <v>20</v>
      </c>
      <c r="I3830" s="182" t="s">
        <v>21</v>
      </c>
      <c r="J3830" s="182" t="s">
        <v>22</v>
      </c>
      <c r="K3830" s="182" t="s">
        <v>23</v>
      </c>
      <c r="L3830" s="182" t="s">
        <v>19</v>
      </c>
      <c r="M3830" s="182" t="s">
        <v>20</v>
      </c>
      <c r="N3830" s="182" t="s">
        <v>21</v>
      </c>
      <c r="O3830" s="182" t="s">
        <v>22</v>
      </c>
      <c r="P3830" s="182" t="s">
        <v>23</v>
      </c>
      <c r="Q3830" s="182" t="s">
        <v>19</v>
      </c>
      <c r="R3830" s="182" t="s">
        <v>20</v>
      </c>
      <c r="S3830" s="182" t="s">
        <v>21</v>
      </c>
      <c r="T3830" s="182" t="s">
        <v>22</v>
      </c>
      <c r="U3830" s="211" t="s">
        <v>23</v>
      </c>
    </row>
    <row r="3831" spans="1:21" x14ac:dyDescent="0.25">
      <c r="A3831" s="183" t="s">
        <v>1070</v>
      </c>
      <c r="B3831" s="182" t="s">
        <v>47</v>
      </c>
      <c r="C3831" s="182" t="s">
        <v>28</v>
      </c>
      <c r="D3831" s="182">
        <v>10</v>
      </c>
      <c r="E3831" s="182">
        <f>skilled</f>
        <v>1245</v>
      </c>
      <c r="F3831" s="184">
        <f>(D3831*E3831)</f>
        <v>12450</v>
      </c>
      <c r="G3831" s="182" t="s">
        <v>85</v>
      </c>
      <c r="H3831" s="216" t="s">
        <v>35</v>
      </c>
      <c r="I3831" s="182">
        <v>0.72</v>
      </c>
      <c r="J3831" s="182">
        <f>adopted_rate_cement</f>
        <v>13031</v>
      </c>
      <c r="K3831" s="182">
        <f>(I3831*J3831)</f>
        <v>9382.32</v>
      </c>
    </row>
    <row r="3832" spans="1:21" x14ac:dyDescent="0.25">
      <c r="B3832" s="182" t="s">
        <v>29</v>
      </c>
      <c r="C3832" s="182" t="s">
        <v>28</v>
      </c>
      <c r="D3832" s="182">
        <v>12</v>
      </c>
      <c r="E3832" s="182">
        <f>unskilled</f>
        <v>935</v>
      </c>
      <c r="F3832" s="184">
        <f>(D3832*E3832)</f>
        <v>11220</v>
      </c>
      <c r="G3832" s="182" t="s">
        <v>83</v>
      </c>
      <c r="H3832" s="216" t="s">
        <v>84</v>
      </c>
      <c r="I3832" s="182">
        <v>1.5</v>
      </c>
      <c r="J3832" s="182">
        <f>adopted_rate_sand</f>
        <v>3175.2000000000003</v>
      </c>
      <c r="K3832" s="182">
        <f>(I3832*J3832)</f>
        <v>4762.8</v>
      </c>
    </row>
    <row r="3833" spans="1:21" x14ac:dyDescent="0.25">
      <c r="G3833" s="182" t="s">
        <v>171</v>
      </c>
      <c r="H3833" s="216" t="s">
        <v>1021</v>
      </c>
      <c r="I3833" s="182">
        <v>0.2</v>
      </c>
      <c r="J3833" s="182">
        <f>adopted_rate_water</f>
        <v>310</v>
      </c>
      <c r="K3833" s="182">
        <f>(I3833*J3833)</f>
        <v>62</v>
      </c>
    </row>
    <row r="3834" spans="1:21" x14ac:dyDescent="0.25">
      <c r="A3834" s="537" t="s">
        <v>30</v>
      </c>
      <c r="B3834" s="537"/>
      <c r="C3834" s="537"/>
      <c r="D3834" s="537"/>
      <c r="E3834" s="537"/>
      <c r="F3834" s="184">
        <f>SUM(F3830:F3833)</f>
        <v>23670</v>
      </c>
      <c r="G3834" s="537" t="s">
        <v>31</v>
      </c>
      <c r="H3834" s="537"/>
      <c r="I3834" s="537"/>
      <c r="J3834" s="537"/>
      <c r="K3834" s="184">
        <f>SUM(K3830:K3833)</f>
        <v>14207.119999999999</v>
      </c>
      <c r="L3834" s="537" t="s">
        <v>32</v>
      </c>
      <c r="M3834" s="537"/>
      <c r="N3834" s="537"/>
      <c r="O3834" s="537"/>
      <c r="P3834" s="184">
        <f>SUM(P3830:P3833)</f>
        <v>0</v>
      </c>
      <c r="Q3834" s="537" t="s">
        <v>38</v>
      </c>
      <c r="R3834" s="537"/>
      <c r="S3834" s="537"/>
      <c r="T3834" s="537"/>
      <c r="U3834" s="223">
        <f>SUM(U3830:U3833)</f>
        <v>0</v>
      </c>
    </row>
    <row r="3835" spans="1:21" x14ac:dyDescent="0.25">
      <c r="A3835" s="537" t="s">
        <v>33</v>
      </c>
      <c r="B3835" s="537"/>
      <c r="C3835" s="537"/>
      <c r="D3835" s="537"/>
      <c r="E3835" s="537"/>
      <c r="F3835" s="184">
        <f>SUM(F3834+K3834+P3834)</f>
        <v>37877.119999999995</v>
      </c>
      <c r="G3835" s="537" t="s">
        <v>39</v>
      </c>
      <c r="H3835" s="537"/>
      <c r="I3835" s="537"/>
      <c r="J3835" s="537"/>
      <c r="K3835" s="184">
        <f>SUM(F3834+K3834+P3834+U3834)</f>
        <v>37877.119999999995</v>
      </c>
      <c r="L3835" s="537" t="s">
        <v>40</v>
      </c>
      <c r="M3835" s="537"/>
      <c r="N3835" s="537"/>
      <c r="O3835" s="537"/>
      <c r="P3835" s="184">
        <f>SUM(K3835*0.15)</f>
        <v>5681.5679999999993</v>
      </c>
      <c r="Q3835" s="537" t="s">
        <v>41</v>
      </c>
      <c r="R3835" s="537"/>
      <c r="S3835" s="537"/>
      <c r="T3835" s="537"/>
      <c r="U3835" s="223">
        <f>SUM(K3835+P3835)</f>
        <v>43558.687999999995</v>
      </c>
    </row>
    <row r="3836" spans="1:21" x14ac:dyDescent="0.25">
      <c r="Q3836" s="537" t="s">
        <v>42</v>
      </c>
      <c r="R3836" s="537"/>
      <c r="S3836" s="537"/>
      <c r="T3836" s="537"/>
      <c r="U3836" s="224">
        <f>ROUND((U3835/10),2)</f>
        <v>4355.87</v>
      </c>
    </row>
    <row r="3837" spans="1:21" x14ac:dyDescent="0.25">
      <c r="A3837" s="544"/>
      <c r="B3837" s="544"/>
      <c r="C3837" s="544"/>
      <c r="D3837" s="544"/>
      <c r="E3837" s="544"/>
      <c r="F3837" s="544"/>
      <c r="G3837" s="544"/>
      <c r="H3837" s="544"/>
      <c r="I3837" s="544"/>
      <c r="J3837" s="544"/>
      <c r="K3837" s="544"/>
      <c r="L3837" s="544"/>
      <c r="M3837" s="544"/>
      <c r="N3837" s="544"/>
      <c r="O3837" s="544"/>
      <c r="P3837" s="544"/>
      <c r="Q3837" s="544"/>
      <c r="R3837" s="544"/>
      <c r="S3837" s="544"/>
      <c r="T3837" s="544"/>
      <c r="U3837" s="544"/>
    </row>
    <row r="3838" spans="1:21" x14ac:dyDescent="0.25">
      <c r="A3838" s="538" t="s">
        <v>12</v>
      </c>
      <c r="B3838" s="538"/>
      <c r="C3838" s="540" t="s">
        <v>1072</v>
      </c>
      <c r="D3838" s="540"/>
      <c r="E3838" s="540"/>
      <c r="F3838" s="540"/>
      <c r="G3838" s="540"/>
      <c r="H3838" s="540"/>
      <c r="I3838" s="540"/>
      <c r="J3838" s="540"/>
      <c r="K3838" s="540"/>
      <c r="L3838" s="540"/>
      <c r="M3838" s="540"/>
      <c r="N3838" s="540"/>
      <c r="O3838" s="540"/>
      <c r="P3838" s="540"/>
      <c r="Q3838" s="540"/>
      <c r="R3838" s="540"/>
      <c r="S3838" s="540"/>
      <c r="T3838" s="540"/>
      <c r="U3838" s="541" t="s">
        <v>1018</v>
      </c>
    </row>
    <row r="3839" spans="1:21" x14ac:dyDescent="0.25">
      <c r="A3839" s="538"/>
      <c r="B3839" s="538"/>
      <c r="C3839" s="540"/>
      <c r="D3839" s="540"/>
      <c r="E3839" s="540"/>
      <c r="F3839" s="540"/>
      <c r="G3839" s="540"/>
      <c r="H3839" s="540"/>
      <c r="I3839" s="540"/>
      <c r="J3839" s="540"/>
      <c r="K3839" s="540"/>
      <c r="L3839" s="540"/>
      <c r="M3839" s="540"/>
      <c r="N3839" s="540"/>
      <c r="O3839" s="540"/>
      <c r="P3839" s="540"/>
      <c r="Q3839" s="540"/>
      <c r="R3839" s="540"/>
      <c r="S3839" s="540"/>
      <c r="T3839" s="540"/>
      <c r="U3839" s="541"/>
    </row>
    <row r="3840" spans="1:21" x14ac:dyDescent="0.25">
      <c r="A3840" s="539" t="s">
        <v>1071</v>
      </c>
      <c r="B3840" s="539"/>
      <c r="C3840" s="540"/>
      <c r="D3840" s="540"/>
      <c r="E3840" s="540"/>
      <c r="F3840" s="540"/>
      <c r="G3840" s="540"/>
      <c r="H3840" s="540"/>
      <c r="I3840" s="540"/>
      <c r="J3840" s="540"/>
      <c r="K3840" s="540"/>
      <c r="L3840" s="540"/>
      <c r="M3840" s="540"/>
      <c r="N3840" s="540"/>
      <c r="O3840" s="540"/>
      <c r="P3840" s="540"/>
      <c r="Q3840" s="540"/>
      <c r="R3840" s="540"/>
      <c r="S3840" s="540"/>
      <c r="T3840" s="540"/>
      <c r="U3840" s="541"/>
    </row>
    <row r="3841" spans="1:21" x14ac:dyDescent="0.25">
      <c r="A3841" s="542" t="s">
        <v>16</v>
      </c>
      <c r="B3841" s="543" t="s">
        <v>18</v>
      </c>
      <c r="C3841" s="543"/>
      <c r="D3841" s="543"/>
      <c r="E3841" s="543"/>
      <c r="F3841" s="543"/>
      <c r="G3841" s="543" t="s">
        <v>24</v>
      </c>
      <c r="H3841" s="543"/>
      <c r="I3841" s="543"/>
      <c r="J3841" s="543"/>
      <c r="K3841" s="543"/>
      <c r="L3841" s="543" t="s">
        <v>25</v>
      </c>
      <c r="M3841" s="543"/>
      <c r="N3841" s="543"/>
      <c r="O3841" s="543"/>
      <c r="P3841" s="543"/>
      <c r="Q3841" s="543" t="s">
        <v>26</v>
      </c>
      <c r="R3841" s="543"/>
      <c r="S3841" s="543"/>
      <c r="T3841" s="543"/>
      <c r="U3841" s="543"/>
    </row>
    <row r="3842" spans="1:21" x14ac:dyDescent="0.25">
      <c r="A3842" s="542"/>
      <c r="B3842" s="182" t="s">
        <v>19</v>
      </c>
      <c r="C3842" s="182" t="s">
        <v>20</v>
      </c>
      <c r="D3842" s="182" t="s">
        <v>21</v>
      </c>
      <c r="E3842" s="182" t="s">
        <v>22</v>
      </c>
      <c r="F3842" s="182" t="s">
        <v>23</v>
      </c>
      <c r="G3842" s="182" t="s">
        <v>19</v>
      </c>
      <c r="H3842" s="216" t="s">
        <v>20</v>
      </c>
      <c r="I3842" s="182" t="s">
        <v>21</v>
      </c>
      <c r="J3842" s="182" t="s">
        <v>22</v>
      </c>
      <c r="K3842" s="182" t="s">
        <v>23</v>
      </c>
      <c r="L3842" s="182" t="s">
        <v>19</v>
      </c>
      <c r="M3842" s="182" t="s">
        <v>20</v>
      </c>
      <c r="N3842" s="182" t="s">
        <v>21</v>
      </c>
      <c r="O3842" s="182" t="s">
        <v>22</v>
      </c>
      <c r="P3842" s="182" t="s">
        <v>23</v>
      </c>
      <c r="Q3842" s="182" t="s">
        <v>19</v>
      </c>
      <c r="R3842" s="182" t="s">
        <v>20</v>
      </c>
      <c r="S3842" s="182" t="s">
        <v>21</v>
      </c>
      <c r="T3842" s="182" t="s">
        <v>22</v>
      </c>
      <c r="U3842" s="211" t="s">
        <v>23</v>
      </c>
    </row>
    <row r="3843" spans="1:21" ht="31.5" x14ac:dyDescent="0.25">
      <c r="A3843" s="183" t="s">
        <v>1073</v>
      </c>
      <c r="B3843" s="182" t="s">
        <v>47</v>
      </c>
      <c r="C3843" s="182" t="s">
        <v>28</v>
      </c>
      <c r="D3843" s="182">
        <v>7</v>
      </c>
      <c r="E3843" s="182">
        <f>skilled</f>
        <v>1245</v>
      </c>
      <c r="F3843" s="184">
        <f>(D3843*E3843)</f>
        <v>8715</v>
      </c>
      <c r="G3843" s="182" t="s">
        <v>232</v>
      </c>
      <c r="H3843" s="216" t="s">
        <v>84</v>
      </c>
      <c r="I3843" s="182">
        <v>5.75</v>
      </c>
      <c r="J3843" s="182">
        <f>adopted_rate_rubble</f>
        <v>2575.44</v>
      </c>
      <c r="K3843" s="182">
        <f>(I3843*J3843)</f>
        <v>14808.78</v>
      </c>
      <c r="L3843" s="182" t="s">
        <v>1074</v>
      </c>
      <c r="M3843" s="182"/>
      <c r="P3843" s="184">
        <f>F3847*5/100</f>
        <v>1090.25</v>
      </c>
    </row>
    <row r="3844" spans="1:21" x14ac:dyDescent="0.25">
      <c r="B3844" s="182" t="s">
        <v>29</v>
      </c>
      <c r="C3844" s="182" t="s">
        <v>28</v>
      </c>
      <c r="D3844" s="182">
        <v>14</v>
      </c>
      <c r="E3844" s="182">
        <f>unskilled</f>
        <v>935</v>
      </c>
      <c r="F3844" s="184">
        <f>(D3844*E3844)</f>
        <v>13090</v>
      </c>
      <c r="G3844" s="182" t="s">
        <v>85</v>
      </c>
      <c r="H3844" s="216" t="s">
        <v>35</v>
      </c>
      <c r="I3844" s="182">
        <v>0.79</v>
      </c>
      <c r="J3844" s="182">
        <f>adopted_rate_cement</f>
        <v>13031</v>
      </c>
      <c r="K3844" s="182">
        <f>(I3844*J3844)</f>
        <v>10294.49</v>
      </c>
    </row>
    <row r="3845" spans="1:21" x14ac:dyDescent="0.25">
      <c r="G3845" s="182" t="s">
        <v>83</v>
      </c>
      <c r="H3845" s="216" t="s">
        <v>84</v>
      </c>
      <c r="I3845" s="182">
        <v>1.63</v>
      </c>
      <c r="J3845" s="182">
        <f>adopted_rate_sand</f>
        <v>3175.2000000000003</v>
      </c>
      <c r="K3845" s="182">
        <f>(I3845*J3845)</f>
        <v>5175.576</v>
      </c>
    </row>
    <row r="3846" spans="1:21" x14ac:dyDescent="0.25">
      <c r="G3846" s="182" t="s">
        <v>171</v>
      </c>
      <c r="H3846" s="216" t="s">
        <v>172</v>
      </c>
      <c r="I3846" s="182">
        <v>1</v>
      </c>
      <c r="J3846" s="182">
        <f>adopted_rate_water</f>
        <v>310</v>
      </c>
      <c r="K3846" s="182">
        <f>(I3846*J3846)</f>
        <v>310</v>
      </c>
    </row>
    <row r="3847" spans="1:21" x14ac:dyDescent="0.25">
      <c r="A3847" s="537" t="s">
        <v>30</v>
      </c>
      <c r="B3847" s="537"/>
      <c r="C3847" s="537"/>
      <c r="D3847" s="537"/>
      <c r="E3847" s="537"/>
      <c r="F3847" s="184">
        <f>SUM(F3842:F3846)</f>
        <v>21805</v>
      </c>
      <c r="G3847" s="537" t="s">
        <v>31</v>
      </c>
      <c r="H3847" s="537"/>
      <c r="I3847" s="537"/>
      <c r="J3847" s="537"/>
      <c r="K3847" s="184">
        <f>SUM(K3842:K3846)</f>
        <v>30588.846000000001</v>
      </c>
      <c r="L3847" s="537" t="s">
        <v>32</v>
      </c>
      <c r="M3847" s="537"/>
      <c r="N3847" s="537"/>
      <c r="O3847" s="537"/>
      <c r="P3847" s="184">
        <f>SUM(P3842:P3846)</f>
        <v>1090.25</v>
      </c>
      <c r="Q3847" s="537" t="s">
        <v>38</v>
      </c>
      <c r="R3847" s="537"/>
      <c r="S3847" s="537"/>
      <c r="T3847" s="537"/>
      <c r="U3847" s="223">
        <f>SUM(U3842:U3846)</f>
        <v>0</v>
      </c>
    </row>
    <row r="3848" spans="1:21" x14ac:dyDescent="0.25">
      <c r="A3848" s="537" t="s">
        <v>33</v>
      </c>
      <c r="B3848" s="537"/>
      <c r="C3848" s="537"/>
      <c r="D3848" s="537"/>
      <c r="E3848" s="537"/>
      <c r="F3848" s="184">
        <f>SUM(F3847+K3847+P3847)</f>
        <v>53484.096000000005</v>
      </c>
      <c r="G3848" s="537" t="s">
        <v>39</v>
      </c>
      <c r="H3848" s="537"/>
      <c r="I3848" s="537"/>
      <c r="J3848" s="537"/>
      <c r="K3848" s="184">
        <f>SUM(F3847+K3847+P3847+U3847)</f>
        <v>53484.096000000005</v>
      </c>
      <c r="L3848" s="537" t="s">
        <v>40</v>
      </c>
      <c r="M3848" s="537"/>
      <c r="N3848" s="537"/>
      <c r="O3848" s="537"/>
      <c r="P3848" s="184">
        <f>SUM(K3848*0.15)</f>
        <v>8022.6144000000004</v>
      </c>
      <c r="Q3848" s="537" t="s">
        <v>41</v>
      </c>
      <c r="R3848" s="537"/>
      <c r="S3848" s="537"/>
      <c r="T3848" s="537"/>
      <c r="U3848" s="223">
        <f>SUM(K3848+P3848)</f>
        <v>61506.710400000004</v>
      </c>
    </row>
    <row r="3849" spans="1:21" x14ac:dyDescent="0.25">
      <c r="Q3849" s="537" t="s">
        <v>42</v>
      </c>
      <c r="R3849" s="537"/>
      <c r="S3849" s="537"/>
      <c r="T3849" s="537"/>
      <c r="U3849" s="224">
        <f>ROUND((U3848/5),2)</f>
        <v>12301.34</v>
      </c>
    </row>
    <row r="3850" spans="1:21" x14ac:dyDescent="0.25">
      <c r="A3850" s="544"/>
      <c r="B3850" s="544"/>
      <c r="C3850" s="544"/>
      <c r="D3850" s="544"/>
      <c r="E3850" s="544"/>
      <c r="F3850" s="544"/>
      <c r="G3850" s="544"/>
      <c r="H3850" s="544"/>
      <c r="I3850" s="544"/>
      <c r="J3850" s="544"/>
      <c r="K3850" s="544"/>
      <c r="L3850" s="544"/>
      <c r="M3850" s="544"/>
      <c r="N3850" s="544"/>
      <c r="O3850" s="544"/>
      <c r="P3850" s="544"/>
      <c r="Q3850" s="544"/>
      <c r="R3850" s="544"/>
      <c r="S3850" s="544"/>
      <c r="T3850" s="544"/>
      <c r="U3850" s="544"/>
    </row>
    <row r="3851" spans="1:21" x14ac:dyDescent="0.25">
      <c r="A3851" s="538" t="s">
        <v>12</v>
      </c>
      <c r="B3851" s="538"/>
      <c r="C3851" s="540" t="s">
        <v>1075</v>
      </c>
      <c r="D3851" s="540"/>
      <c r="E3851" s="540"/>
      <c r="F3851" s="540"/>
      <c r="G3851" s="540"/>
      <c r="H3851" s="540"/>
      <c r="I3851" s="540"/>
      <c r="J3851" s="540"/>
      <c r="K3851" s="540"/>
      <c r="L3851" s="540"/>
      <c r="M3851" s="540"/>
      <c r="N3851" s="540"/>
      <c r="O3851" s="540"/>
      <c r="P3851" s="540"/>
      <c r="Q3851" s="540"/>
      <c r="R3851" s="540"/>
      <c r="S3851" s="540"/>
      <c r="T3851" s="540"/>
      <c r="U3851" s="541" t="s">
        <v>1018</v>
      </c>
    </row>
    <row r="3852" spans="1:21" x14ac:dyDescent="0.25">
      <c r="A3852" s="538"/>
      <c r="B3852" s="538"/>
      <c r="C3852" s="540"/>
      <c r="D3852" s="540"/>
      <c r="E3852" s="540"/>
      <c r="F3852" s="540"/>
      <c r="G3852" s="540"/>
      <c r="H3852" s="540"/>
      <c r="I3852" s="540"/>
      <c r="J3852" s="540"/>
      <c r="K3852" s="540"/>
      <c r="L3852" s="540"/>
      <c r="M3852" s="540"/>
      <c r="N3852" s="540"/>
      <c r="O3852" s="540"/>
      <c r="P3852" s="540"/>
      <c r="Q3852" s="540"/>
      <c r="R3852" s="540"/>
      <c r="S3852" s="540"/>
      <c r="T3852" s="540"/>
      <c r="U3852" s="541"/>
    </row>
    <row r="3853" spans="1:21" x14ac:dyDescent="0.25">
      <c r="A3853" s="539" t="s">
        <v>1071</v>
      </c>
      <c r="B3853" s="539"/>
      <c r="C3853" s="540"/>
      <c r="D3853" s="540"/>
      <c r="E3853" s="540"/>
      <c r="F3853" s="540"/>
      <c r="G3853" s="540"/>
      <c r="H3853" s="540"/>
      <c r="I3853" s="540"/>
      <c r="J3853" s="540"/>
      <c r="K3853" s="540"/>
      <c r="L3853" s="540"/>
      <c r="M3853" s="540"/>
      <c r="N3853" s="540"/>
      <c r="O3853" s="540"/>
      <c r="P3853" s="540"/>
      <c r="Q3853" s="540"/>
      <c r="R3853" s="540"/>
      <c r="S3853" s="540"/>
      <c r="T3853" s="540"/>
      <c r="U3853" s="541"/>
    </row>
    <row r="3854" spans="1:21" x14ac:dyDescent="0.25">
      <c r="A3854" s="542" t="s">
        <v>16</v>
      </c>
      <c r="B3854" s="543" t="s">
        <v>18</v>
      </c>
      <c r="C3854" s="543"/>
      <c r="D3854" s="543"/>
      <c r="E3854" s="543"/>
      <c r="F3854" s="543"/>
      <c r="G3854" s="543" t="s">
        <v>24</v>
      </c>
      <c r="H3854" s="543"/>
      <c r="I3854" s="543"/>
      <c r="J3854" s="543"/>
      <c r="K3854" s="543"/>
      <c r="L3854" s="543" t="s">
        <v>25</v>
      </c>
      <c r="M3854" s="543"/>
      <c r="N3854" s="543"/>
      <c r="O3854" s="543"/>
      <c r="P3854" s="543"/>
      <c r="Q3854" s="543" t="s">
        <v>26</v>
      </c>
      <c r="R3854" s="543"/>
      <c r="S3854" s="543"/>
      <c r="T3854" s="543"/>
      <c r="U3854" s="543"/>
    </row>
    <row r="3855" spans="1:21" x14ac:dyDescent="0.25">
      <c r="A3855" s="542"/>
      <c r="B3855" s="182" t="s">
        <v>19</v>
      </c>
      <c r="C3855" s="182" t="s">
        <v>20</v>
      </c>
      <c r="D3855" s="182" t="s">
        <v>21</v>
      </c>
      <c r="E3855" s="182" t="s">
        <v>22</v>
      </c>
      <c r="F3855" s="182" t="s">
        <v>23</v>
      </c>
      <c r="G3855" s="182" t="s">
        <v>19</v>
      </c>
      <c r="H3855" s="216" t="s">
        <v>20</v>
      </c>
      <c r="I3855" s="182" t="s">
        <v>21</v>
      </c>
      <c r="J3855" s="182" t="s">
        <v>22</v>
      </c>
      <c r="K3855" s="182" t="s">
        <v>23</v>
      </c>
      <c r="L3855" s="182" t="s">
        <v>19</v>
      </c>
      <c r="M3855" s="182" t="s">
        <v>20</v>
      </c>
      <c r="N3855" s="182" t="s">
        <v>21</v>
      </c>
      <c r="O3855" s="182" t="s">
        <v>22</v>
      </c>
      <c r="P3855" s="182" t="s">
        <v>23</v>
      </c>
      <c r="Q3855" s="182" t="s">
        <v>19</v>
      </c>
      <c r="R3855" s="182" t="s">
        <v>20</v>
      </c>
      <c r="S3855" s="182" t="s">
        <v>21</v>
      </c>
      <c r="T3855" s="182" t="s">
        <v>22</v>
      </c>
      <c r="U3855" s="211" t="s">
        <v>23</v>
      </c>
    </row>
    <row r="3856" spans="1:21" ht="31.5" x14ac:dyDescent="0.25">
      <c r="A3856" s="183" t="s">
        <v>1076</v>
      </c>
      <c r="B3856" s="182" t="s">
        <v>47</v>
      </c>
      <c r="C3856" s="182" t="s">
        <v>28</v>
      </c>
      <c r="D3856" s="182">
        <v>7</v>
      </c>
      <c r="E3856" s="182">
        <f>skilled</f>
        <v>1245</v>
      </c>
      <c r="F3856" s="184">
        <f>(D3856*E3856)</f>
        <v>8715</v>
      </c>
      <c r="G3856" s="182" t="s">
        <v>232</v>
      </c>
      <c r="H3856" s="216" t="s">
        <v>84</v>
      </c>
      <c r="I3856" s="182">
        <v>5.75</v>
      </c>
      <c r="J3856" s="182">
        <f>adopted_rate_rubble</f>
        <v>2575.44</v>
      </c>
      <c r="K3856" s="182">
        <f>(I3856*J3856)</f>
        <v>14808.78</v>
      </c>
      <c r="L3856" s="182" t="s">
        <v>276</v>
      </c>
      <c r="M3856" s="182" t="s">
        <v>1028</v>
      </c>
      <c r="N3856" s="182" t="s">
        <v>1029</v>
      </c>
      <c r="O3856" s="182">
        <f>concrete_mixer</f>
        <v>296</v>
      </c>
      <c r="P3856" s="184">
        <f>(N3856*O3856)</f>
        <v>222</v>
      </c>
    </row>
    <row r="3857" spans="1:21" x14ac:dyDescent="0.25">
      <c r="B3857" s="182" t="s">
        <v>29</v>
      </c>
      <c r="C3857" s="182" t="s">
        <v>28</v>
      </c>
      <c r="D3857" s="182">
        <v>9</v>
      </c>
      <c r="E3857" s="182">
        <f>unskilled</f>
        <v>935</v>
      </c>
      <c r="F3857" s="184">
        <f>(D3857*E3857)</f>
        <v>8415</v>
      </c>
      <c r="G3857" s="182" t="s">
        <v>85</v>
      </c>
      <c r="H3857" s="216" t="s">
        <v>35</v>
      </c>
      <c r="I3857" s="182">
        <v>0.79</v>
      </c>
      <c r="J3857" s="182">
        <f>adopted_rate_cement</f>
        <v>13031</v>
      </c>
      <c r="K3857" s="182">
        <f>(I3857*J3857)</f>
        <v>10294.49</v>
      </c>
    </row>
    <row r="3858" spans="1:21" x14ac:dyDescent="0.25">
      <c r="G3858" s="182" t="s">
        <v>83</v>
      </c>
      <c r="H3858" s="216" t="s">
        <v>84</v>
      </c>
      <c r="I3858" s="182">
        <v>1.63</v>
      </c>
      <c r="J3858" s="182">
        <f>adopted_rate_sand</f>
        <v>3175.2000000000003</v>
      </c>
      <c r="K3858" s="182">
        <f>(I3858*J3858)</f>
        <v>5175.576</v>
      </c>
    </row>
    <row r="3859" spans="1:21" x14ac:dyDescent="0.25">
      <c r="G3859" s="182" t="s">
        <v>171</v>
      </c>
      <c r="H3859" s="216" t="s">
        <v>172</v>
      </c>
      <c r="I3859" s="182">
        <v>1</v>
      </c>
      <c r="J3859" s="182">
        <f>adopted_rate_water</f>
        <v>310</v>
      </c>
      <c r="K3859" s="182">
        <f>(I3859*J3859)</f>
        <v>310</v>
      </c>
    </row>
    <row r="3860" spans="1:21" x14ac:dyDescent="0.25">
      <c r="A3860" s="537" t="s">
        <v>30</v>
      </c>
      <c r="B3860" s="537"/>
      <c r="C3860" s="537"/>
      <c r="D3860" s="537"/>
      <c r="E3860" s="537"/>
      <c r="F3860" s="184">
        <f>SUM(F3855:F3859)</f>
        <v>17130</v>
      </c>
      <c r="G3860" s="537" t="s">
        <v>31</v>
      </c>
      <c r="H3860" s="537"/>
      <c r="I3860" s="537"/>
      <c r="J3860" s="537"/>
      <c r="K3860" s="184">
        <f>SUM(K3855:K3859)</f>
        <v>30588.846000000001</v>
      </c>
      <c r="L3860" s="537" t="s">
        <v>32</v>
      </c>
      <c r="M3860" s="537"/>
      <c r="N3860" s="537"/>
      <c r="O3860" s="537"/>
      <c r="P3860" s="184">
        <f>SUM(P3855:P3859)</f>
        <v>222</v>
      </c>
      <c r="Q3860" s="537" t="s">
        <v>38</v>
      </c>
      <c r="R3860" s="537"/>
      <c r="S3860" s="537"/>
      <c r="T3860" s="537"/>
      <c r="U3860" s="223">
        <f>SUM(U3855:U3859)</f>
        <v>0</v>
      </c>
    </row>
    <row r="3861" spans="1:21" x14ac:dyDescent="0.25">
      <c r="A3861" s="537" t="s">
        <v>33</v>
      </c>
      <c r="B3861" s="537"/>
      <c r="C3861" s="537"/>
      <c r="D3861" s="537"/>
      <c r="E3861" s="537"/>
      <c r="F3861" s="184">
        <f>SUM(F3860+K3860+P3860)</f>
        <v>47940.846000000005</v>
      </c>
      <c r="G3861" s="537" t="s">
        <v>39</v>
      </c>
      <c r="H3861" s="537"/>
      <c r="I3861" s="537"/>
      <c r="J3861" s="537"/>
      <c r="K3861" s="184">
        <f>SUM(F3860+K3860+P3860+U3860)</f>
        <v>47940.846000000005</v>
      </c>
      <c r="L3861" s="537" t="s">
        <v>40</v>
      </c>
      <c r="M3861" s="537"/>
      <c r="N3861" s="537"/>
      <c r="O3861" s="537"/>
      <c r="P3861" s="184">
        <f>SUM(K3861*0.15)</f>
        <v>7191.1269000000002</v>
      </c>
      <c r="Q3861" s="537" t="s">
        <v>41</v>
      </c>
      <c r="R3861" s="537"/>
      <c r="S3861" s="537"/>
      <c r="T3861" s="537"/>
      <c r="U3861" s="223">
        <f>SUM(K3861+P3861)</f>
        <v>55131.972900000008</v>
      </c>
    </row>
    <row r="3862" spans="1:21" x14ac:dyDescent="0.25">
      <c r="Q3862" s="537" t="s">
        <v>42</v>
      </c>
      <c r="R3862" s="537"/>
      <c r="S3862" s="537"/>
      <c r="T3862" s="537"/>
      <c r="U3862" s="224">
        <f>ROUND((U3861/5),2)</f>
        <v>11026.39</v>
      </c>
    </row>
    <row r="3863" spans="1:21" x14ac:dyDescent="0.25">
      <c r="A3863" s="544"/>
      <c r="B3863" s="544"/>
      <c r="C3863" s="544"/>
      <c r="D3863" s="544"/>
      <c r="E3863" s="544"/>
      <c r="F3863" s="544"/>
      <c r="G3863" s="544"/>
      <c r="H3863" s="544"/>
      <c r="I3863" s="544"/>
      <c r="J3863" s="544"/>
      <c r="K3863" s="544"/>
      <c r="L3863" s="544"/>
      <c r="M3863" s="544"/>
      <c r="N3863" s="544"/>
      <c r="O3863" s="544"/>
      <c r="P3863" s="544"/>
      <c r="Q3863" s="544"/>
      <c r="R3863" s="544"/>
      <c r="S3863" s="544"/>
      <c r="T3863" s="544"/>
      <c r="U3863" s="544"/>
    </row>
    <row r="3864" spans="1:21" x14ac:dyDescent="0.25">
      <c r="A3864" s="538" t="s">
        <v>12</v>
      </c>
      <c r="B3864" s="538"/>
      <c r="C3864" s="540" t="s">
        <v>1077</v>
      </c>
      <c r="D3864" s="540"/>
      <c r="E3864" s="540"/>
      <c r="F3864" s="540"/>
      <c r="G3864" s="540"/>
      <c r="H3864" s="540"/>
      <c r="I3864" s="540"/>
      <c r="J3864" s="540"/>
      <c r="K3864" s="540"/>
      <c r="L3864" s="540"/>
      <c r="M3864" s="540"/>
      <c r="N3864" s="540"/>
      <c r="O3864" s="540"/>
      <c r="P3864" s="540"/>
      <c r="Q3864" s="540"/>
      <c r="R3864" s="540"/>
      <c r="S3864" s="540"/>
      <c r="T3864" s="540"/>
      <c r="U3864" s="541" t="s">
        <v>1018</v>
      </c>
    </row>
    <row r="3865" spans="1:21" x14ac:dyDescent="0.25">
      <c r="A3865" s="538"/>
      <c r="B3865" s="538"/>
      <c r="C3865" s="540"/>
      <c r="D3865" s="540"/>
      <c r="E3865" s="540"/>
      <c r="F3865" s="540"/>
      <c r="G3865" s="540"/>
      <c r="H3865" s="540"/>
      <c r="I3865" s="540"/>
      <c r="J3865" s="540"/>
      <c r="K3865" s="540"/>
      <c r="L3865" s="540"/>
      <c r="M3865" s="540"/>
      <c r="N3865" s="540"/>
      <c r="O3865" s="540"/>
      <c r="P3865" s="540"/>
      <c r="Q3865" s="540"/>
      <c r="R3865" s="540"/>
      <c r="S3865" s="540"/>
      <c r="T3865" s="540"/>
      <c r="U3865" s="541"/>
    </row>
    <row r="3866" spans="1:21" x14ac:dyDescent="0.25">
      <c r="A3866" s="539" t="s">
        <v>1071</v>
      </c>
      <c r="B3866" s="539"/>
      <c r="C3866" s="540"/>
      <c r="D3866" s="540"/>
      <c r="E3866" s="540"/>
      <c r="F3866" s="540"/>
      <c r="G3866" s="540"/>
      <c r="H3866" s="540"/>
      <c r="I3866" s="540"/>
      <c r="J3866" s="540"/>
      <c r="K3866" s="540"/>
      <c r="L3866" s="540"/>
      <c r="M3866" s="540"/>
      <c r="N3866" s="540"/>
      <c r="O3866" s="540"/>
      <c r="P3866" s="540"/>
      <c r="Q3866" s="540"/>
      <c r="R3866" s="540"/>
      <c r="S3866" s="540"/>
      <c r="T3866" s="540"/>
      <c r="U3866" s="541"/>
    </row>
    <row r="3867" spans="1:21" x14ac:dyDescent="0.25">
      <c r="A3867" s="542" t="s">
        <v>16</v>
      </c>
      <c r="B3867" s="543" t="s">
        <v>18</v>
      </c>
      <c r="C3867" s="543"/>
      <c r="D3867" s="543"/>
      <c r="E3867" s="543"/>
      <c r="F3867" s="543"/>
      <c r="G3867" s="543" t="s">
        <v>24</v>
      </c>
      <c r="H3867" s="543"/>
      <c r="I3867" s="543"/>
      <c r="J3867" s="543"/>
      <c r="K3867" s="543"/>
      <c r="L3867" s="543" t="s">
        <v>25</v>
      </c>
      <c r="M3867" s="543"/>
      <c r="N3867" s="543"/>
      <c r="O3867" s="543"/>
      <c r="P3867" s="543"/>
      <c r="Q3867" s="543" t="s">
        <v>26</v>
      </c>
      <c r="R3867" s="543"/>
      <c r="S3867" s="543"/>
      <c r="T3867" s="543"/>
      <c r="U3867" s="543"/>
    </row>
    <row r="3868" spans="1:21" x14ac:dyDescent="0.25">
      <c r="A3868" s="542"/>
      <c r="B3868" s="182" t="s">
        <v>19</v>
      </c>
      <c r="C3868" s="182" t="s">
        <v>20</v>
      </c>
      <c r="D3868" s="182" t="s">
        <v>21</v>
      </c>
      <c r="E3868" s="182" t="s">
        <v>22</v>
      </c>
      <c r="F3868" s="182" t="s">
        <v>23</v>
      </c>
      <c r="G3868" s="182" t="s">
        <v>19</v>
      </c>
      <c r="H3868" s="216" t="s">
        <v>20</v>
      </c>
      <c r="I3868" s="182" t="s">
        <v>21</v>
      </c>
      <c r="J3868" s="182" t="s">
        <v>22</v>
      </c>
      <c r="K3868" s="182" t="s">
        <v>23</v>
      </c>
      <c r="L3868" s="182" t="s">
        <v>19</v>
      </c>
      <c r="M3868" s="182" t="s">
        <v>20</v>
      </c>
      <c r="N3868" s="182" t="s">
        <v>21</v>
      </c>
      <c r="O3868" s="182" t="s">
        <v>22</v>
      </c>
      <c r="P3868" s="182" t="s">
        <v>23</v>
      </c>
      <c r="Q3868" s="182" t="s">
        <v>19</v>
      </c>
      <c r="R3868" s="182" t="s">
        <v>20</v>
      </c>
      <c r="S3868" s="182" t="s">
        <v>21</v>
      </c>
      <c r="T3868" s="182" t="s">
        <v>22</v>
      </c>
      <c r="U3868" s="211" t="s">
        <v>23</v>
      </c>
    </row>
    <row r="3869" spans="1:21" ht="31.5" x14ac:dyDescent="0.25">
      <c r="A3869" s="183" t="s">
        <v>1078</v>
      </c>
      <c r="B3869" s="182" t="s">
        <v>47</v>
      </c>
      <c r="C3869" s="182" t="s">
        <v>28</v>
      </c>
      <c r="D3869" s="182">
        <v>7</v>
      </c>
      <c r="E3869" s="182">
        <f>skilled</f>
        <v>1245</v>
      </c>
      <c r="F3869" s="184">
        <f>(D3869*E3869)</f>
        <v>8715</v>
      </c>
      <c r="G3869" s="182" t="s">
        <v>232</v>
      </c>
      <c r="H3869" s="216" t="s">
        <v>84</v>
      </c>
      <c r="I3869" s="182">
        <v>5.75</v>
      </c>
      <c r="J3869" s="182">
        <f>adopted_rate_rubble</f>
        <v>2575.44</v>
      </c>
      <c r="K3869" s="182">
        <f>(I3869*J3869)</f>
        <v>14808.78</v>
      </c>
      <c r="L3869" s="182" t="s">
        <v>276</v>
      </c>
      <c r="M3869" s="182" t="s">
        <v>1028</v>
      </c>
      <c r="N3869" s="182" t="s">
        <v>1029</v>
      </c>
      <c r="O3869" s="182">
        <f>concrete_mixer</f>
        <v>296</v>
      </c>
      <c r="P3869" s="184">
        <f>(N3869*O3869)</f>
        <v>222</v>
      </c>
    </row>
    <row r="3870" spans="1:21" x14ac:dyDescent="0.25">
      <c r="B3870" s="182" t="s">
        <v>29</v>
      </c>
      <c r="C3870" s="182" t="s">
        <v>28</v>
      </c>
      <c r="D3870" s="182">
        <v>9</v>
      </c>
      <c r="E3870" s="182">
        <f>unskilled</f>
        <v>935</v>
      </c>
      <c r="F3870" s="184">
        <f>(D3870*E3870)</f>
        <v>8415</v>
      </c>
      <c r="G3870" s="182" t="s">
        <v>85</v>
      </c>
      <c r="H3870" s="216" t="s">
        <v>35</v>
      </c>
      <c r="I3870" s="182">
        <v>0.62</v>
      </c>
      <c r="J3870" s="182">
        <f>adopted_rate_cement</f>
        <v>13031</v>
      </c>
      <c r="K3870" s="182">
        <f>(I3870*J3870)</f>
        <v>8079.22</v>
      </c>
    </row>
    <row r="3871" spans="1:21" x14ac:dyDescent="0.25">
      <c r="G3871" s="182" t="s">
        <v>83</v>
      </c>
      <c r="H3871" s="216" t="s">
        <v>84</v>
      </c>
      <c r="I3871" s="182">
        <v>1.74</v>
      </c>
      <c r="J3871" s="182">
        <f>adopted_rate_sand</f>
        <v>3175.2000000000003</v>
      </c>
      <c r="K3871" s="182">
        <f>(I3871*J3871)</f>
        <v>5524.8480000000009</v>
      </c>
    </row>
    <row r="3872" spans="1:21" x14ac:dyDescent="0.25">
      <c r="G3872" s="182" t="s">
        <v>171</v>
      </c>
      <c r="H3872" s="216" t="s">
        <v>172</v>
      </c>
      <c r="I3872" s="182">
        <v>1</v>
      </c>
      <c r="J3872" s="182">
        <f>adopted_rate_water</f>
        <v>310</v>
      </c>
      <c r="K3872" s="182">
        <f>(I3872*J3872)</f>
        <v>310</v>
      </c>
    </row>
    <row r="3873" spans="1:21" x14ac:dyDescent="0.25">
      <c r="A3873" s="537" t="s">
        <v>30</v>
      </c>
      <c r="B3873" s="537"/>
      <c r="C3873" s="537"/>
      <c r="D3873" s="537"/>
      <c r="E3873" s="537"/>
      <c r="F3873" s="184">
        <f>SUM(F3868:F3872)</f>
        <v>17130</v>
      </c>
      <c r="G3873" s="537" t="s">
        <v>31</v>
      </c>
      <c r="H3873" s="537"/>
      <c r="I3873" s="537"/>
      <c r="J3873" s="537"/>
      <c r="K3873" s="184">
        <f>SUM(K3868:K3872)</f>
        <v>28722.848000000002</v>
      </c>
      <c r="L3873" s="537" t="s">
        <v>32</v>
      </c>
      <c r="M3873" s="537"/>
      <c r="N3873" s="537"/>
      <c r="O3873" s="537"/>
      <c r="P3873" s="184">
        <f>SUM(P3868:P3872)</f>
        <v>222</v>
      </c>
      <c r="Q3873" s="537" t="s">
        <v>38</v>
      </c>
      <c r="R3873" s="537"/>
      <c r="S3873" s="537"/>
      <c r="T3873" s="537"/>
      <c r="U3873" s="223">
        <f>SUM(U3868:U3872)</f>
        <v>0</v>
      </c>
    </row>
    <row r="3874" spans="1:21" x14ac:dyDescent="0.25">
      <c r="A3874" s="537" t="s">
        <v>33</v>
      </c>
      <c r="B3874" s="537"/>
      <c r="C3874" s="537"/>
      <c r="D3874" s="537"/>
      <c r="E3874" s="537"/>
      <c r="F3874" s="184">
        <f>SUM(F3873+K3873+P3873)</f>
        <v>46074.847999999998</v>
      </c>
      <c r="G3874" s="537" t="s">
        <v>39</v>
      </c>
      <c r="H3874" s="537"/>
      <c r="I3874" s="537"/>
      <c r="J3874" s="537"/>
      <c r="K3874" s="184">
        <f>SUM(F3873+K3873+P3873+U3873)</f>
        <v>46074.847999999998</v>
      </c>
      <c r="L3874" s="537" t="s">
        <v>40</v>
      </c>
      <c r="M3874" s="537"/>
      <c r="N3874" s="537"/>
      <c r="O3874" s="537"/>
      <c r="P3874" s="184">
        <f>SUM(K3874*0.15)</f>
        <v>6911.2271999999994</v>
      </c>
      <c r="Q3874" s="537" t="s">
        <v>41</v>
      </c>
      <c r="R3874" s="537"/>
      <c r="S3874" s="537"/>
      <c r="T3874" s="537"/>
      <c r="U3874" s="223">
        <f>SUM(K3874+P3874)</f>
        <v>52986.075199999999</v>
      </c>
    </row>
    <row r="3875" spans="1:21" x14ac:dyDescent="0.25">
      <c r="Q3875" s="537" t="s">
        <v>42</v>
      </c>
      <c r="R3875" s="537"/>
      <c r="S3875" s="537"/>
      <c r="T3875" s="537"/>
      <c r="U3875" s="224">
        <f>ROUND((U3874/5),2)</f>
        <v>10597.22</v>
      </c>
    </row>
    <row r="3876" spans="1:21" x14ac:dyDescent="0.25">
      <c r="A3876" s="544"/>
      <c r="B3876" s="544"/>
      <c r="C3876" s="544"/>
      <c r="D3876" s="544"/>
      <c r="E3876" s="544"/>
      <c r="F3876" s="544"/>
      <c r="G3876" s="544"/>
      <c r="H3876" s="544"/>
      <c r="I3876" s="544"/>
      <c r="J3876" s="544"/>
      <c r="K3876" s="544"/>
      <c r="L3876" s="544"/>
      <c r="M3876" s="544"/>
      <c r="N3876" s="544"/>
      <c r="O3876" s="544"/>
      <c r="P3876" s="544"/>
      <c r="Q3876" s="544"/>
      <c r="R3876" s="544"/>
      <c r="S3876" s="544"/>
      <c r="T3876" s="544"/>
      <c r="U3876" s="544"/>
    </row>
    <row r="3877" spans="1:21" x14ac:dyDescent="0.25">
      <c r="A3877" s="525" t="s">
        <v>12</v>
      </c>
      <c r="B3877" s="525"/>
      <c r="C3877" s="526" t="s">
        <v>1079</v>
      </c>
      <c r="D3877" s="526"/>
      <c r="E3877" s="526"/>
      <c r="F3877" s="526"/>
      <c r="G3877" s="526"/>
      <c r="H3877" s="526"/>
      <c r="I3877" s="526"/>
      <c r="J3877" s="526"/>
      <c r="K3877" s="526"/>
      <c r="L3877" s="526"/>
      <c r="M3877" s="526"/>
      <c r="N3877" s="526"/>
      <c r="O3877" s="526"/>
      <c r="P3877" s="526"/>
      <c r="Q3877" s="526"/>
      <c r="R3877" s="526"/>
      <c r="S3877" s="526"/>
      <c r="T3877" s="526"/>
      <c r="U3877" s="524" t="s">
        <v>1018</v>
      </c>
    </row>
    <row r="3878" spans="1:21" x14ac:dyDescent="0.25">
      <c r="A3878" s="525"/>
      <c r="B3878" s="525"/>
      <c r="C3878" s="526"/>
      <c r="D3878" s="526"/>
      <c r="E3878" s="526"/>
      <c r="F3878" s="526"/>
      <c r="G3878" s="526"/>
      <c r="H3878" s="526"/>
      <c r="I3878" s="526"/>
      <c r="J3878" s="526"/>
      <c r="K3878" s="526"/>
      <c r="L3878" s="526"/>
      <c r="M3878" s="526"/>
      <c r="N3878" s="526"/>
      <c r="O3878" s="526"/>
      <c r="P3878" s="526"/>
      <c r="Q3878" s="526"/>
      <c r="R3878" s="526"/>
      <c r="S3878" s="526"/>
      <c r="T3878" s="526"/>
      <c r="U3878" s="524"/>
    </row>
    <row r="3879" spans="1:21" x14ac:dyDescent="0.25">
      <c r="A3879" s="527" t="s">
        <v>1071</v>
      </c>
      <c r="B3879" s="527"/>
      <c r="C3879" s="526"/>
      <c r="D3879" s="526"/>
      <c r="E3879" s="526"/>
      <c r="F3879" s="526"/>
      <c r="G3879" s="526"/>
      <c r="H3879" s="526"/>
      <c r="I3879" s="526"/>
      <c r="J3879" s="526"/>
      <c r="K3879" s="526"/>
      <c r="L3879" s="526"/>
      <c r="M3879" s="526"/>
      <c r="N3879" s="526"/>
      <c r="O3879" s="526"/>
      <c r="P3879" s="526"/>
      <c r="Q3879" s="526"/>
      <c r="R3879" s="526"/>
      <c r="S3879" s="526"/>
      <c r="T3879" s="526"/>
      <c r="U3879" s="524"/>
    </row>
    <row r="3880" spans="1:21" x14ac:dyDescent="0.25">
      <c r="A3880" s="528" t="s">
        <v>16</v>
      </c>
      <c r="B3880" s="529" t="s">
        <v>18</v>
      </c>
      <c r="C3880" s="529"/>
      <c r="D3880" s="529"/>
      <c r="E3880" s="529"/>
      <c r="F3880" s="529"/>
      <c r="G3880" s="529" t="s">
        <v>24</v>
      </c>
      <c r="H3880" s="529"/>
      <c r="I3880" s="529"/>
      <c r="J3880" s="529"/>
      <c r="K3880" s="529"/>
      <c r="L3880" s="529" t="s">
        <v>25</v>
      </c>
      <c r="M3880" s="529"/>
      <c r="N3880" s="529"/>
      <c r="O3880" s="529"/>
      <c r="P3880" s="529"/>
      <c r="Q3880" s="529" t="s">
        <v>26</v>
      </c>
      <c r="R3880" s="529"/>
      <c r="S3880" s="529"/>
      <c r="T3880" s="529"/>
      <c r="U3880" s="529"/>
    </row>
    <row r="3881" spans="1:21" x14ac:dyDescent="0.25">
      <c r="A3881" s="528"/>
      <c r="B3881" s="197" t="s">
        <v>19</v>
      </c>
      <c r="C3881" s="197" t="s">
        <v>20</v>
      </c>
      <c r="D3881" s="197" t="s">
        <v>21</v>
      </c>
      <c r="E3881" s="197" t="s">
        <v>22</v>
      </c>
      <c r="F3881" s="197" t="s">
        <v>23</v>
      </c>
      <c r="G3881" s="197" t="s">
        <v>19</v>
      </c>
      <c r="H3881" s="219" t="s">
        <v>20</v>
      </c>
      <c r="I3881" s="197" t="s">
        <v>21</v>
      </c>
      <c r="J3881" s="197" t="s">
        <v>22</v>
      </c>
      <c r="K3881" s="197" t="s">
        <v>23</v>
      </c>
      <c r="L3881" s="197" t="s">
        <v>19</v>
      </c>
      <c r="M3881" s="197" t="s">
        <v>20</v>
      </c>
      <c r="N3881" s="197" t="s">
        <v>21</v>
      </c>
      <c r="O3881" s="197" t="s">
        <v>22</v>
      </c>
      <c r="P3881" s="197" t="s">
        <v>23</v>
      </c>
      <c r="Q3881" s="197" t="s">
        <v>19</v>
      </c>
      <c r="R3881" s="197" t="s">
        <v>20</v>
      </c>
      <c r="S3881" s="197" t="s">
        <v>21</v>
      </c>
      <c r="T3881" s="197" t="s">
        <v>22</v>
      </c>
      <c r="U3881" s="214" t="s">
        <v>23</v>
      </c>
    </row>
    <row r="3882" spans="1:21" ht="31.5" x14ac:dyDescent="0.25">
      <c r="A3882" s="200" t="s">
        <v>1080</v>
      </c>
      <c r="B3882" s="197" t="s">
        <v>47</v>
      </c>
      <c r="C3882" s="197" t="s">
        <v>28</v>
      </c>
      <c r="D3882" s="197">
        <v>7</v>
      </c>
      <c r="E3882" s="197">
        <f>skilled</f>
        <v>1245</v>
      </c>
      <c r="F3882" s="201">
        <f>(D3882*E3882)</f>
        <v>8715</v>
      </c>
      <c r="G3882" s="197" t="s">
        <v>232</v>
      </c>
      <c r="H3882" s="219" t="s">
        <v>84</v>
      </c>
      <c r="I3882" s="197">
        <v>5.75</v>
      </c>
      <c r="J3882" s="197">
        <f>adopted_rate_rubble</f>
        <v>2575.44</v>
      </c>
      <c r="K3882" s="197">
        <f>(I3882*J3882)</f>
        <v>14808.78</v>
      </c>
      <c r="L3882" s="197" t="s">
        <v>1074</v>
      </c>
      <c r="M3882" s="197"/>
      <c r="N3882" s="199"/>
      <c r="O3882" s="199"/>
      <c r="P3882" s="201">
        <f>F3886*5/100</f>
        <v>1090.25</v>
      </c>
      <c r="Q3882" s="199"/>
      <c r="R3882" s="199"/>
      <c r="S3882" s="199"/>
      <c r="T3882" s="199"/>
      <c r="U3882" s="215"/>
    </row>
    <row r="3883" spans="1:21" x14ac:dyDescent="0.25">
      <c r="A3883" s="199"/>
      <c r="B3883" s="197" t="s">
        <v>29</v>
      </c>
      <c r="C3883" s="197" t="s">
        <v>28</v>
      </c>
      <c r="D3883" s="197">
        <v>14</v>
      </c>
      <c r="E3883" s="197">
        <f>unskilled</f>
        <v>935</v>
      </c>
      <c r="F3883" s="201">
        <f>(D3883*E3883)</f>
        <v>13090</v>
      </c>
      <c r="G3883" s="197" t="s">
        <v>85</v>
      </c>
      <c r="H3883" s="219" t="s">
        <v>35</v>
      </c>
      <c r="I3883" s="197">
        <v>0.62</v>
      </c>
      <c r="J3883" s="197">
        <f>adopted_rate_cement</f>
        <v>13031</v>
      </c>
      <c r="K3883" s="197">
        <f>(I3883*J3883)</f>
        <v>8079.22</v>
      </c>
      <c r="L3883" s="199"/>
      <c r="M3883" s="199"/>
      <c r="N3883" s="199"/>
      <c r="O3883" s="199"/>
      <c r="P3883" s="199"/>
      <c r="Q3883" s="199"/>
      <c r="R3883" s="199"/>
      <c r="S3883" s="199"/>
      <c r="T3883" s="199"/>
      <c r="U3883" s="215"/>
    </row>
    <row r="3884" spans="1:21" x14ac:dyDescent="0.25">
      <c r="A3884" s="199"/>
      <c r="B3884" s="199"/>
      <c r="C3884" s="199"/>
      <c r="D3884" s="199"/>
      <c r="E3884" s="199"/>
      <c r="F3884" s="199"/>
      <c r="G3884" s="197" t="s">
        <v>83</v>
      </c>
      <c r="H3884" s="219" t="s">
        <v>84</v>
      </c>
      <c r="I3884" s="197">
        <v>1.74</v>
      </c>
      <c r="J3884" s="197">
        <f>adopted_rate_sand</f>
        <v>3175.2000000000003</v>
      </c>
      <c r="K3884" s="197">
        <f>(I3884*J3884)</f>
        <v>5524.8480000000009</v>
      </c>
      <c r="L3884" s="199"/>
      <c r="M3884" s="199"/>
      <c r="N3884" s="199"/>
      <c r="O3884" s="199"/>
      <c r="P3884" s="199"/>
      <c r="Q3884" s="199"/>
      <c r="R3884" s="199"/>
      <c r="S3884" s="199"/>
      <c r="T3884" s="199"/>
      <c r="U3884" s="215"/>
    </row>
    <row r="3885" spans="1:21" x14ac:dyDescent="0.25">
      <c r="A3885" s="199"/>
      <c r="B3885" s="199"/>
      <c r="C3885" s="199"/>
      <c r="D3885" s="199"/>
      <c r="E3885" s="199"/>
      <c r="F3885" s="199"/>
      <c r="G3885" s="197" t="s">
        <v>171</v>
      </c>
      <c r="H3885" s="219" t="s">
        <v>172</v>
      </c>
      <c r="I3885" s="197">
        <v>1</v>
      </c>
      <c r="J3885" s="197">
        <f>adopted_rate_water</f>
        <v>310</v>
      </c>
      <c r="K3885" s="197">
        <f>(I3885*J3885)</f>
        <v>310</v>
      </c>
      <c r="L3885" s="199"/>
      <c r="M3885" s="199"/>
      <c r="N3885" s="199"/>
      <c r="O3885" s="199"/>
      <c r="P3885" s="199"/>
      <c r="Q3885" s="199"/>
      <c r="R3885" s="199"/>
      <c r="S3885" s="199"/>
      <c r="T3885" s="199"/>
      <c r="U3885" s="215"/>
    </row>
    <row r="3886" spans="1:21" x14ac:dyDescent="0.25">
      <c r="A3886" s="524" t="s">
        <v>30</v>
      </c>
      <c r="B3886" s="524"/>
      <c r="C3886" s="524"/>
      <c r="D3886" s="524"/>
      <c r="E3886" s="524"/>
      <c r="F3886" s="201">
        <f>SUM(F3881:F3885)</f>
        <v>21805</v>
      </c>
      <c r="G3886" s="524" t="s">
        <v>31</v>
      </c>
      <c r="H3886" s="524"/>
      <c r="I3886" s="524"/>
      <c r="J3886" s="524"/>
      <c r="K3886" s="201">
        <f>SUM(K3881:K3885)</f>
        <v>28722.848000000002</v>
      </c>
      <c r="L3886" s="524" t="s">
        <v>32</v>
      </c>
      <c r="M3886" s="524"/>
      <c r="N3886" s="524"/>
      <c r="O3886" s="524"/>
      <c r="P3886" s="201">
        <f>SUM(P3881:P3885)</f>
        <v>1090.25</v>
      </c>
      <c r="Q3886" s="524" t="s">
        <v>38</v>
      </c>
      <c r="R3886" s="524"/>
      <c r="S3886" s="524"/>
      <c r="T3886" s="524"/>
      <c r="U3886" s="225">
        <f>SUM(U3881:U3885)</f>
        <v>0</v>
      </c>
    </row>
    <row r="3887" spans="1:21" x14ac:dyDescent="0.25">
      <c r="A3887" s="524" t="s">
        <v>33</v>
      </c>
      <c r="B3887" s="524"/>
      <c r="C3887" s="524"/>
      <c r="D3887" s="524"/>
      <c r="E3887" s="524"/>
      <c r="F3887" s="201">
        <f>SUM(F3886+K3886+P3886)</f>
        <v>51618.097999999998</v>
      </c>
      <c r="G3887" s="524" t="s">
        <v>39</v>
      </c>
      <c r="H3887" s="524"/>
      <c r="I3887" s="524"/>
      <c r="J3887" s="524"/>
      <c r="K3887" s="201">
        <f>SUM(F3886+K3886+P3886+U3886)</f>
        <v>51618.097999999998</v>
      </c>
      <c r="L3887" s="524" t="s">
        <v>40</v>
      </c>
      <c r="M3887" s="524"/>
      <c r="N3887" s="524"/>
      <c r="O3887" s="524"/>
      <c r="P3887" s="201">
        <f>SUM(K3887*0.15)</f>
        <v>7742.7146999999995</v>
      </c>
      <c r="Q3887" s="524" t="s">
        <v>41</v>
      </c>
      <c r="R3887" s="524"/>
      <c r="S3887" s="524"/>
      <c r="T3887" s="524"/>
      <c r="U3887" s="225">
        <f>SUM(K3887+P3887)</f>
        <v>59360.812699999995</v>
      </c>
    </row>
    <row r="3888" spans="1:21" x14ac:dyDescent="0.25">
      <c r="A3888" s="199"/>
      <c r="B3888" s="199"/>
      <c r="C3888" s="199"/>
      <c r="D3888" s="199"/>
      <c r="E3888" s="199"/>
      <c r="F3888" s="199"/>
      <c r="G3888" s="199"/>
      <c r="H3888" s="220"/>
      <c r="I3888" s="199"/>
      <c r="J3888" s="199"/>
      <c r="K3888" s="199"/>
      <c r="L3888" s="199"/>
      <c r="M3888" s="199"/>
      <c r="N3888" s="199"/>
      <c r="O3888" s="199"/>
      <c r="P3888" s="199"/>
      <c r="Q3888" s="524" t="s">
        <v>42</v>
      </c>
      <c r="R3888" s="524"/>
      <c r="S3888" s="524"/>
      <c r="T3888" s="524"/>
      <c r="U3888" s="206">
        <f>ROUND((U3887/5),2)</f>
        <v>11872.16</v>
      </c>
    </row>
    <row r="3889" spans="1:21" s="263" customFormat="1" x14ac:dyDescent="0.25">
      <c r="A3889" s="199"/>
      <c r="B3889" s="199"/>
      <c r="C3889" s="199"/>
      <c r="D3889" s="199"/>
      <c r="E3889" s="199"/>
      <c r="F3889" s="199"/>
      <c r="G3889" s="199"/>
      <c r="H3889" s="220"/>
      <c r="I3889" s="199"/>
      <c r="J3889" s="199"/>
      <c r="K3889" s="199"/>
      <c r="L3889" s="199"/>
      <c r="M3889" s="199"/>
      <c r="N3889" s="199"/>
      <c r="O3889" s="199"/>
      <c r="P3889" s="199"/>
      <c r="Q3889" s="346"/>
      <c r="R3889" s="346"/>
      <c r="S3889" s="346"/>
      <c r="T3889" s="346"/>
      <c r="U3889" s="346"/>
    </row>
    <row r="3890" spans="1:21" ht="15.75" customHeight="1" x14ac:dyDescent="0.25">
      <c r="A3890" s="525" t="s">
        <v>12</v>
      </c>
      <c r="B3890" s="525"/>
      <c r="C3890" s="526" t="s">
        <v>2368</v>
      </c>
      <c r="D3890" s="526"/>
      <c r="E3890" s="526"/>
      <c r="F3890" s="526"/>
      <c r="G3890" s="526"/>
      <c r="H3890" s="526"/>
      <c r="I3890" s="526"/>
      <c r="J3890" s="526"/>
      <c r="K3890" s="526"/>
      <c r="L3890" s="526"/>
      <c r="M3890" s="526"/>
      <c r="N3890" s="526"/>
      <c r="O3890" s="526"/>
      <c r="P3890" s="526"/>
      <c r="Q3890" s="526"/>
      <c r="R3890" s="526"/>
      <c r="S3890" s="526"/>
      <c r="T3890" s="526"/>
      <c r="U3890" s="524" t="s">
        <v>1018</v>
      </c>
    </row>
    <row r="3891" spans="1:21" ht="15.75" customHeight="1" x14ac:dyDescent="0.25">
      <c r="A3891" s="525"/>
      <c r="B3891" s="525"/>
      <c r="C3891" s="526"/>
      <c r="D3891" s="526"/>
      <c r="E3891" s="526"/>
      <c r="F3891" s="526"/>
      <c r="G3891" s="526"/>
      <c r="H3891" s="526"/>
      <c r="I3891" s="526"/>
      <c r="J3891" s="526"/>
      <c r="K3891" s="526"/>
      <c r="L3891" s="526"/>
      <c r="M3891" s="526"/>
      <c r="N3891" s="526"/>
      <c r="O3891" s="526"/>
      <c r="P3891" s="526"/>
      <c r="Q3891" s="526"/>
      <c r="R3891" s="526"/>
      <c r="S3891" s="526"/>
      <c r="T3891" s="526"/>
      <c r="U3891" s="524"/>
    </row>
    <row r="3892" spans="1:21" ht="15.75" customHeight="1" x14ac:dyDescent="0.25">
      <c r="A3892" s="527" t="s">
        <v>1071</v>
      </c>
      <c r="B3892" s="527"/>
      <c r="C3892" s="526"/>
      <c r="D3892" s="526"/>
      <c r="E3892" s="526"/>
      <c r="F3892" s="526"/>
      <c r="G3892" s="526"/>
      <c r="H3892" s="526"/>
      <c r="I3892" s="526"/>
      <c r="J3892" s="526"/>
      <c r="K3892" s="526"/>
      <c r="L3892" s="526"/>
      <c r="M3892" s="526"/>
      <c r="N3892" s="526"/>
      <c r="O3892" s="526"/>
      <c r="P3892" s="526"/>
      <c r="Q3892" s="526"/>
      <c r="R3892" s="526"/>
      <c r="S3892" s="526"/>
      <c r="T3892" s="526"/>
      <c r="U3892" s="524"/>
    </row>
    <row r="3893" spans="1:21" ht="15.75" customHeight="1" x14ac:dyDescent="0.25">
      <c r="A3893" s="528" t="s">
        <v>16</v>
      </c>
      <c r="B3893" s="529" t="s">
        <v>18</v>
      </c>
      <c r="C3893" s="529"/>
      <c r="D3893" s="529"/>
      <c r="E3893" s="529"/>
      <c r="F3893" s="529"/>
      <c r="G3893" s="529" t="s">
        <v>24</v>
      </c>
      <c r="H3893" s="529"/>
      <c r="I3893" s="529"/>
      <c r="J3893" s="529"/>
      <c r="K3893" s="529"/>
      <c r="L3893" s="529" t="s">
        <v>25</v>
      </c>
      <c r="M3893" s="529"/>
      <c r="N3893" s="529"/>
      <c r="O3893" s="529"/>
      <c r="P3893" s="529"/>
      <c r="Q3893" s="529" t="s">
        <v>26</v>
      </c>
      <c r="R3893" s="529"/>
      <c r="S3893" s="529"/>
      <c r="T3893" s="529"/>
      <c r="U3893" s="529"/>
    </row>
    <row r="3894" spans="1:21" ht="15.75" customHeight="1" x14ac:dyDescent="0.25">
      <c r="A3894" s="528"/>
      <c r="B3894" s="197" t="s">
        <v>19</v>
      </c>
      <c r="C3894" s="197" t="s">
        <v>20</v>
      </c>
      <c r="D3894" s="197" t="s">
        <v>21</v>
      </c>
      <c r="E3894" s="197" t="s">
        <v>22</v>
      </c>
      <c r="F3894" s="197" t="s">
        <v>23</v>
      </c>
      <c r="G3894" s="197" t="s">
        <v>19</v>
      </c>
      <c r="H3894" s="219" t="s">
        <v>20</v>
      </c>
      <c r="I3894" s="197" t="s">
        <v>21</v>
      </c>
      <c r="J3894" s="197" t="s">
        <v>22</v>
      </c>
      <c r="K3894" s="197" t="s">
        <v>23</v>
      </c>
      <c r="L3894" s="197" t="s">
        <v>19</v>
      </c>
      <c r="M3894" s="197" t="s">
        <v>20</v>
      </c>
      <c r="N3894" s="197" t="s">
        <v>21</v>
      </c>
      <c r="O3894" s="197" t="s">
        <v>22</v>
      </c>
      <c r="P3894" s="197" t="s">
        <v>23</v>
      </c>
      <c r="Q3894" s="197" t="s">
        <v>19</v>
      </c>
      <c r="R3894" s="197" t="s">
        <v>20</v>
      </c>
      <c r="S3894" s="197" t="s">
        <v>21</v>
      </c>
      <c r="T3894" s="197" t="s">
        <v>22</v>
      </c>
      <c r="U3894" s="214" t="s">
        <v>23</v>
      </c>
    </row>
    <row r="3895" spans="1:21" ht="31.5" x14ac:dyDescent="0.25">
      <c r="A3895" s="341" t="s">
        <v>1080</v>
      </c>
      <c r="B3895" s="197" t="s">
        <v>47</v>
      </c>
      <c r="C3895" s="197" t="s">
        <v>28</v>
      </c>
      <c r="D3895" s="197">
        <v>7</v>
      </c>
      <c r="E3895" s="197">
        <f>skilled</f>
        <v>1245</v>
      </c>
      <c r="F3895" s="201">
        <f>(D3895*E3895)</f>
        <v>8715</v>
      </c>
      <c r="G3895" s="197" t="s">
        <v>232</v>
      </c>
      <c r="H3895" s="219" t="s">
        <v>84</v>
      </c>
      <c r="I3895" s="197">
        <v>5.75</v>
      </c>
      <c r="J3895" s="197">
        <f>District_Rate!D109</f>
        <v>2469.6</v>
      </c>
      <c r="K3895" s="197">
        <f>(I3895*J3895)</f>
        <v>14200.199999999999</v>
      </c>
      <c r="L3895" s="197" t="s">
        <v>1074</v>
      </c>
      <c r="M3895" s="197"/>
      <c r="N3895" s="199"/>
      <c r="O3895" s="199"/>
      <c r="P3895" s="201">
        <f>F3899*5/100</f>
        <v>1090.25</v>
      </c>
      <c r="Q3895" s="199"/>
      <c r="R3895" s="199"/>
      <c r="S3895" s="199"/>
      <c r="T3895" s="199"/>
      <c r="U3895" s="215"/>
    </row>
    <row r="3896" spans="1:21" x14ac:dyDescent="0.25">
      <c r="A3896" s="199"/>
      <c r="B3896" s="197" t="s">
        <v>29</v>
      </c>
      <c r="C3896" s="197" t="s">
        <v>28</v>
      </c>
      <c r="D3896" s="197">
        <v>14</v>
      </c>
      <c r="E3896" s="197">
        <f>unskilled</f>
        <v>935</v>
      </c>
      <c r="F3896" s="201">
        <f>(D3896*E3896)</f>
        <v>13090</v>
      </c>
      <c r="G3896" s="197" t="s">
        <v>85</v>
      </c>
      <c r="H3896" s="219" t="s">
        <v>35</v>
      </c>
      <c r="I3896" s="197">
        <v>0.62</v>
      </c>
      <c r="J3896" s="197">
        <f>adopted_rate_cement</f>
        <v>13031</v>
      </c>
      <c r="K3896" s="197">
        <f>(I3896*J3896)</f>
        <v>8079.22</v>
      </c>
      <c r="L3896" s="199"/>
      <c r="M3896" s="199"/>
      <c r="N3896" s="199"/>
      <c r="O3896" s="199"/>
      <c r="P3896" s="199"/>
      <c r="Q3896" s="199"/>
      <c r="R3896" s="199"/>
      <c r="S3896" s="199"/>
      <c r="T3896" s="199"/>
      <c r="U3896" s="215"/>
    </row>
    <row r="3897" spans="1:21" x14ac:dyDescent="0.25">
      <c r="A3897" s="199"/>
      <c r="B3897" s="199"/>
      <c r="C3897" s="199"/>
      <c r="D3897" s="199"/>
      <c r="E3897" s="199"/>
      <c r="F3897" s="199"/>
      <c r="G3897" s="197" t="s">
        <v>83</v>
      </c>
      <c r="H3897" s="219" t="s">
        <v>84</v>
      </c>
      <c r="I3897" s="197">
        <v>1.74</v>
      </c>
      <c r="J3897" s="197">
        <f>adopted_rate_sand</f>
        <v>3175.2000000000003</v>
      </c>
      <c r="K3897" s="197">
        <f>(I3897*J3897)</f>
        <v>5524.8480000000009</v>
      </c>
      <c r="L3897" s="199"/>
      <c r="M3897" s="199"/>
      <c r="N3897" s="199"/>
      <c r="O3897" s="199"/>
      <c r="P3897" s="199"/>
      <c r="Q3897" s="199"/>
      <c r="R3897" s="199"/>
      <c r="S3897" s="199"/>
      <c r="T3897" s="199"/>
      <c r="U3897" s="215"/>
    </row>
    <row r="3898" spans="1:21" x14ac:dyDescent="0.25">
      <c r="A3898" s="199"/>
      <c r="B3898" s="199"/>
      <c r="C3898" s="199"/>
      <c r="D3898" s="199"/>
      <c r="E3898" s="199"/>
      <c r="F3898" s="199"/>
      <c r="G3898" s="197" t="s">
        <v>171</v>
      </c>
      <c r="H3898" s="219" t="s">
        <v>172</v>
      </c>
      <c r="I3898" s="197">
        <v>1</v>
      </c>
      <c r="J3898" s="197">
        <f>adopted_rate_water</f>
        <v>310</v>
      </c>
      <c r="K3898" s="197">
        <f>(I3898*J3898)</f>
        <v>310</v>
      </c>
      <c r="L3898" s="199"/>
      <c r="M3898" s="199"/>
      <c r="N3898" s="199"/>
      <c r="O3898" s="199"/>
      <c r="P3898" s="199"/>
      <c r="Q3898" s="199"/>
      <c r="R3898" s="199"/>
      <c r="S3898" s="199"/>
      <c r="T3898" s="199"/>
      <c r="U3898" s="215"/>
    </row>
    <row r="3899" spans="1:21" ht="15.75" customHeight="1" x14ac:dyDescent="0.25">
      <c r="A3899" s="524" t="s">
        <v>30</v>
      </c>
      <c r="B3899" s="524"/>
      <c r="C3899" s="524"/>
      <c r="D3899" s="524"/>
      <c r="E3899" s="524"/>
      <c r="F3899" s="201">
        <f>SUM(F3894:F3898)</f>
        <v>21805</v>
      </c>
      <c r="G3899" s="524" t="s">
        <v>31</v>
      </c>
      <c r="H3899" s="524"/>
      <c r="I3899" s="524"/>
      <c r="J3899" s="524"/>
      <c r="K3899" s="201">
        <f>SUM(K3894:K3898)</f>
        <v>28114.268</v>
      </c>
      <c r="L3899" s="524" t="s">
        <v>32</v>
      </c>
      <c r="M3899" s="524"/>
      <c r="N3899" s="524"/>
      <c r="O3899" s="524"/>
      <c r="P3899" s="201">
        <f>SUM(P3894:P3898)</f>
        <v>1090.25</v>
      </c>
      <c r="Q3899" s="524" t="s">
        <v>38</v>
      </c>
      <c r="R3899" s="524"/>
      <c r="S3899" s="524"/>
      <c r="T3899" s="524"/>
      <c r="U3899" s="225">
        <f>SUM(U3894:U3898)</f>
        <v>0</v>
      </c>
    </row>
    <row r="3900" spans="1:21" ht="15.75" customHeight="1" x14ac:dyDescent="0.25">
      <c r="A3900" s="524" t="s">
        <v>33</v>
      </c>
      <c r="B3900" s="524"/>
      <c r="C3900" s="524"/>
      <c r="D3900" s="524"/>
      <c r="E3900" s="524"/>
      <c r="F3900" s="201">
        <f>SUM(F3899+K3899+P3899)</f>
        <v>51009.517999999996</v>
      </c>
      <c r="G3900" s="524" t="s">
        <v>39</v>
      </c>
      <c r="H3900" s="524"/>
      <c r="I3900" s="524"/>
      <c r="J3900" s="524"/>
      <c r="K3900" s="201">
        <f>SUM(F3899+K3899+P3899+U3899)</f>
        <v>51009.517999999996</v>
      </c>
      <c r="L3900" s="524" t="s">
        <v>40</v>
      </c>
      <c r="M3900" s="524"/>
      <c r="N3900" s="524"/>
      <c r="O3900" s="524"/>
      <c r="P3900" s="201">
        <f>SUM(K3900*0.15)</f>
        <v>7651.4276999999993</v>
      </c>
      <c r="Q3900" s="524" t="s">
        <v>41</v>
      </c>
      <c r="R3900" s="524"/>
      <c r="S3900" s="524"/>
      <c r="T3900" s="524"/>
      <c r="U3900" s="225">
        <f>SUM(K3900+P3900)</f>
        <v>58660.945699999997</v>
      </c>
    </row>
    <row r="3901" spans="1:21" ht="15.75" customHeight="1" x14ac:dyDescent="0.25">
      <c r="A3901" s="199"/>
      <c r="B3901" s="199"/>
      <c r="C3901" s="199"/>
      <c r="D3901" s="199"/>
      <c r="E3901" s="199"/>
      <c r="F3901" s="199"/>
      <c r="G3901" s="199"/>
      <c r="H3901" s="220"/>
      <c r="I3901" s="199"/>
      <c r="J3901" s="199"/>
      <c r="K3901" s="199"/>
      <c r="L3901" s="199"/>
      <c r="M3901" s="199"/>
      <c r="N3901" s="199"/>
      <c r="O3901" s="199"/>
      <c r="P3901" s="199"/>
      <c r="Q3901" s="524" t="s">
        <v>42</v>
      </c>
      <c r="R3901" s="524"/>
      <c r="S3901" s="524"/>
      <c r="T3901" s="524"/>
      <c r="U3901" s="340">
        <f>ROUND((U3900/5),2)</f>
        <v>11732.19</v>
      </c>
    </row>
    <row r="3902" spans="1:21" x14ac:dyDescent="0.25">
      <c r="A3902" s="599"/>
      <c r="B3902" s="599"/>
      <c r="C3902" s="599"/>
      <c r="D3902" s="599"/>
      <c r="E3902" s="599"/>
      <c r="F3902" s="599"/>
      <c r="G3902" s="599"/>
      <c r="H3902" s="599"/>
      <c r="I3902" s="599"/>
      <c r="J3902" s="599"/>
      <c r="K3902" s="599"/>
      <c r="L3902" s="599"/>
      <c r="M3902" s="599"/>
      <c r="N3902" s="599"/>
      <c r="O3902" s="599"/>
      <c r="P3902" s="599"/>
      <c r="Q3902" s="599"/>
      <c r="R3902" s="599"/>
      <c r="S3902" s="599"/>
      <c r="T3902" s="599"/>
      <c r="U3902" s="599"/>
    </row>
    <row r="3903" spans="1:21" x14ac:dyDescent="0.25">
      <c r="A3903" s="572" t="s">
        <v>12</v>
      </c>
      <c r="B3903" s="573"/>
      <c r="C3903" s="578" t="s">
        <v>1081</v>
      </c>
      <c r="D3903" s="579"/>
      <c r="E3903" s="579"/>
      <c r="F3903" s="579"/>
      <c r="G3903" s="579"/>
      <c r="H3903" s="579"/>
      <c r="I3903" s="579"/>
      <c r="J3903" s="579"/>
      <c r="K3903" s="579"/>
      <c r="L3903" s="579"/>
      <c r="M3903" s="579"/>
      <c r="N3903" s="579"/>
      <c r="O3903" s="579"/>
      <c r="P3903" s="579"/>
      <c r="Q3903" s="579"/>
      <c r="R3903" s="579"/>
      <c r="S3903" s="579"/>
      <c r="T3903" s="580"/>
      <c r="U3903" s="587" t="s">
        <v>1018</v>
      </c>
    </row>
    <row r="3904" spans="1:21" x14ac:dyDescent="0.25">
      <c r="A3904" s="574"/>
      <c r="B3904" s="575"/>
      <c r="C3904" s="581"/>
      <c r="D3904" s="582"/>
      <c r="E3904" s="582"/>
      <c r="F3904" s="582"/>
      <c r="G3904" s="582"/>
      <c r="H3904" s="582"/>
      <c r="I3904" s="582"/>
      <c r="J3904" s="582"/>
      <c r="K3904" s="582"/>
      <c r="L3904" s="582"/>
      <c r="M3904" s="582"/>
      <c r="N3904" s="582"/>
      <c r="O3904" s="582"/>
      <c r="P3904" s="582"/>
      <c r="Q3904" s="582"/>
      <c r="R3904" s="582"/>
      <c r="S3904" s="582"/>
      <c r="T3904" s="583"/>
      <c r="U3904" s="588"/>
    </row>
    <row r="3905" spans="1:21" x14ac:dyDescent="0.25">
      <c r="A3905" s="576" t="s">
        <v>1071</v>
      </c>
      <c r="B3905" s="577"/>
      <c r="C3905" s="584"/>
      <c r="D3905" s="585"/>
      <c r="E3905" s="585"/>
      <c r="F3905" s="585"/>
      <c r="G3905" s="585"/>
      <c r="H3905" s="585"/>
      <c r="I3905" s="585"/>
      <c r="J3905" s="585"/>
      <c r="K3905" s="585"/>
      <c r="L3905" s="585"/>
      <c r="M3905" s="585"/>
      <c r="N3905" s="585"/>
      <c r="O3905" s="585"/>
      <c r="P3905" s="585"/>
      <c r="Q3905" s="585"/>
      <c r="R3905" s="585"/>
      <c r="S3905" s="585"/>
      <c r="T3905" s="586"/>
      <c r="U3905" s="589"/>
    </row>
    <row r="3906" spans="1:21" x14ac:dyDescent="0.25">
      <c r="A3906" s="590" t="s">
        <v>16</v>
      </c>
      <c r="B3906" s="592" t="s">
        <v>18</v>
      </c>
      <c r="C3906" s="593"/>
      <c r="D3906" s="593"/>
      <c r="E3906" s="593"/>
      <c r="F3906" s="594"/>
      <c r="G3906" s="592" t="s">
        <v>24</v>
      </c>
      <c r="H3906" s="593"/>
      <c r="I3906" s="593"/>
      <c r="J3906" s="593"/>
      <c r="K3906" s="594"/>
      <c r="L3906" s="592" t="s">
        <v>25</v>
      </c>
      <c r="M3906" s="593"/>
      <c r="N3906" s="593"/>
      <c r="O3906" s="593"/>
      <c r="P3906" s="594"/>
      <c r="Q3906" s="592" t="s">
        <v>26</v>
      </c>
      <c r="R3906" s="593"/>
      <c r="S3906" s="593"/>
      <c r="T3906" s="593"/>
      <c r="U3906" s="594"/>
    </row>
    <row r="3907" spans="1:21" x14ac:dyDescent="0.25">
      <c r="A3907" s="591"/>
      <c r="B3907" s="182" t="s">
        <v>19</v>
      </c>
      <c r="C3907" s="182" t="s">
        <v>20</v>
      </c>
      <c r="D3907" s="182" t="s">
        <v>21</v>
      </c>
      <c r="E3907" s="182" t="s">
        <v>22</v>
      </c>
      <c r="F3907" s="182" t="s">
        <v>23</v>
      </c>
      <c r="G3907" s="182" t="s">
        <v>19</v>
      </c>
      <c r="H3907" s="216" t="s">
        <v>20</v>
      </c>
      <c r="I3907" s="182" t="s">
        <v>21</v>
      </c>
      <c r="J3907" s="182" t="s">
        <v>22</v>
      </c>
      <c r="K3907" s="182" t="s">
        <v>23</v>
      </c>
      <c r="L3907" s="182" t="s">
        <v>19</v>
      </c>
      <c r="M3907" s="182" t="s">
        <v>20</v>
      </c>
      <c r="N3907" s="182" t="s">
        <v>21</v>
      </c>
      <c r="O3907" s="182" t="s">
        <v>22</v>
      </c>
      <c r="P3907" s="182" t="s">
        <v>23</v>
      </c>
      <c r="Q3907" s="182" t="s">
        <v>19</v>
      </c>
      <c r="R3907" s="182" t="s">
        <v>20</v>
      </c>
      <c r="S3907" s="182" t="s">
        <v>21</v>
      </c>
      <c r="T3907" s="182" t="s">
        <v>22</v>
      </c>
      <c r="U3907" s="211" t="s">
        <v>23</v>
      </c>
    </row>
    <row r="3908" spans="1:21" ht="31.5" x14ac:dyDescent="0.25">
      <c r="A3908" s="339" t="s">
        <v>1082</v>
      </c>
      <c r="B3908" s="182" t="s">
        <v>47</v>
      </c>
      <c r="C3908" s="182" t="s">
        <v>28</v>
      </c>
      <c r="D3908" s="182">
        <v>7</v>
      </c>
      <c r="E3908" s="182">
        <f>skilled</f>
        <v>1245</v>
      </c>
      <c r="F3908" s="184">
        <f>(D3908*E3908)</f>
        <v>8715</v>
      </c>
      <c r="G3908" s="182" t="s">
        <v>232</v>
      </c>
      <c r="H3908" s="216" t="s">
        <v>84</v>
      </c>
      <c r="I3908" s="182">
        <v>5.75</v>
      </c>
      <c r="J3908" s="182">
        <f>adopted_rate_rubble</f>
        <v>2575.44</v>
      </c>
      <c r="K3908" s="182">
        <f>(I3908*J3908)</f>
        <v>14808.78</v>
      </c>
      <c r="L3908" s="182" t="s">
        <v>276</v>
      </c>
      <c r="M3908" s="182" t="s">
        <v>1028</v>
      </c>
      <c r="N3908" s="182" t="s">
        <v>1029</v>
      </c>
      <c r="O3908" s="182">
        <f>concrete_mixer</f>
        <v>296</v>
      </c>
      <c r="P3908" s="184">
        <f>(N3908*O3908)</f>
        <v>222</v>
      </c>
      <c r="Q3908" s="263"/>
      <c r="R3908" s="263"/>
      <c r="S3908" s="263"/>
      <c r="T3908" s="263"/>
    </row>
    <row r="3909" spans="1:21" x14ac:dyDescent="0.25">
      <c r="A3909" s="263"/>
      <c r="B3909" s="182" t="s">
        <v>29</v>
      </c>
      <c r="C3909" s="182" t="s">
        <v>28</v>
      </c>
      <c r="D3909" s="182">
        <v>9</v>
      </c>
      <c r="E3909" s="182">
        <f>unskilled</f>
        <v>935</v>
      </c>
      <c r="F3909" s="184">
        <f>(D3909*E3909)</f>
        <v>8415</v>
      </c>
      <c r="G3909" s="182" t="s">
        <v>85</v>
      </c>
      <c r="H3909" s="216" t="s">
        <v>35</v>
      </c>
      <c r="I3909" s="182">
        <v>0.45</v>
      </c>
      <c r="J3909" s="182">
        <f>adopted_rate_cement</f>
        <v>13031</v>
      </c>
      <c r="K3909" s="182">
        <f>(I3909*J3909)</f>
        <v>5863.95</v>
      </c>
      <c r="L3909" s="263"/>
      <c r="M3909" s="263"/>
      <c r="N3909" s="263"/>
      <c r="O3909" s="263"/>
      <c r="P3909" s="263"/>
      <c r="Q3909" s="263"/>
      <c r="R3909" s="263"/>
      <c r="S3909" s="263"/>
      <c r="T3909" s="263"/>
    </row>
    <row r="3910" spans="1:21" x14ac:dyDescent="0.25">
      <c r="A3910" s="263"/>
      <c r="B3910" s="263"/>
      <c r="C3910" s="263"/>
      <c r="D3910" s="263"/>
      <c r="E3910" s="263"/>
      <c r="F3910" s="263"/>
      <c r="G3910" s="182" t="s">
        <v>83</v>
      </c>
      <c r="H3910" s="216" t="s">
        <v>84</v>
      </c>
      <c r="I3910" s="182">
        <v>2.08</v>
      </c>
      <c r="J3910" s="182">
        <f>adopted_rate_sand</f>
        <v>3175.2000000000003</v>
      </c>
      <c r="K3910" s="182">
        <f>(I3910*J3910)</f>
        <v>6604.4160000000011</v>
      </c>
      <c r="L3910" s="263"/>
      <c r="M3910" s="263"/>
      <c r="N3910" s="263"/>
      <c r="O3910" s="263"/>
      <c r="P3910" s="263"/>
      <c r="Q3910" s="263"/>
      <c r="R3910" s="263"/>
      <c r="S3910" s="263"/>
      <c r="T3910" s="263"/>
    </row>
    <row r="3911" spans="1:21" x14ac:dyDescent="0.25">
      <c r="A3911" s="263"/>
      <c r="B3911" s="263"/>
      <c r="C3911" s="263"/>
      <c r="D3911" s="263"/>
      <c r="E3911" s="263"/>
      <c r="F3911" s="263"/>
      <c r="G3911" s="182" t="s">
        <v>171</v>
      </c>
      <c r="H3911" s="216" t="s">
        <v>172</v>
      </c>
      <c r="I3911" s="182">
        <v>1</v>
      </c>
      <c r="J3911" s="182">
        <f>adopted_rate_water</f>
        <v>310</v>
      </c>
      <c r="K3911" s="182">
        <f>(I3911*J3911)</f>
        <v>310</v>
      </c>
      <c r="L3911" s="263"/>
      <c r="M3911" s="263"/>
      <c r="N3911" s="263"/>
      <c r="O3911" s="263"/>
      <c r="P3911" s="263"/>
      <c r="Q3911" s="263"/>
      <c r="R3911" s="263"/>
      <c r="S3911" s="263"/>
      <c r="T3911" s="263"/>
    </row>
    <row r="3912" spans="1:21" x14ac:dyDescent="0.25">
      <c r="A3912" s="595" t="s">
        <v>30</v>
      </c>
      <c r="B3912" s="596"/>
      <c r="C3912" s="596"/>
      <c r="D3912" s="596"/>
      <c r="E3912" s="597"/>
      <c r="F3912" s="184">
        <f>SUM(F3907:F3911)</f>
        <v>17130</v>
      </c>
      <c r="G3912" s="595" t="s">
        <v>31</v>
      </c>
      <c r="H3912" s="596"/>
      <c r="I3912" s="596"/>
      <c r="J3912" s="597"/>
      <c r="K3912" s="184">
        <f>SUM(K3907:K3911)</f>
        <v>27587.146000000001</v>
      </c>
      <c r="L3912" s="595" t="s">
        <v>32</v>
      </c>
      <c r="M3912" s="596"/>
      <c r="N3912" s="596"/>
      <c r="O3912" s="597"/>
      <c r="P3912" s="184">
        <f>SUM(P3907:P3911)</f>
        <v>222</v>
      </c>
      <c r="Q3912" s="595" t="s">
        <v>38</v>
      </c>
      <c r="R3912" s="596"/>
      <c r="S3912" s="596"/>
      <c r="T3912" s="597"/>
      <c r="U3912" s="223">
        <f>SUM(U3907:U3911)</f>
        <v>0</v>
      </c>
    </row>
    <row r="3913" spans="1:21" x14ac:dyDescent="0.25">
      <c r="A3913" s="595" t="s">
        <v>33</v>
      </c>
      <c r="B3913" s="596"/>
      <c r="C3913" s="596"/>
      <c r="D3913" s="596"/>
      <c r="E3913" s="597"/>
      <c r="F3913" s="184">
        <f>SUM(F3912+K3912+P3912)</f>
        <v>44939.146000000001</v>
      </c>
      <c r="G3913" s="595" t="s">
        <v>39</v>
      </c>
      <c r="H3913" s="596"/>
      <c r="I3913" s="596"/>
      <c r="J3913" s="597"/>
      <c r="K3913" s="184">
        <f>SUM(F3912+K3912+P3912+U3912)</f>
        <v>44939.146000000001</v>
      </c>
      <c r="L3913" s="595" t="s">
        <v>40</v>
      </c>
      <c r="M3913" s="596"/>
      <c r="N3913" s="596"/>
      <c r="O3913" s="597"/>
      <c r="P3913" s="184">
        <f>SUM(K3913*0.15)</f>
        <v>6740.8719000000001</v>
      </c>
      <c r="Q3913" s="595" t="s">
        <v>41</v>
      </c>
      <c r="R3913" s="596"/>
      <c r="S3913" s="596"/>
      <c r="T3913" s="597"/>
      <c r="U3913" s="223">
        <f>SUM(K3913+P3913)</f>
        <v>51680.017899999999</v>
      </c>
    </row>
    <row r="3914" spans="1:21" x14ac:dyDescent="0.25">
      <c r="Q3914" s="537" t="s">
        <v>42</v>
      </c>
      <c r="R3914" s="537"/>
      <c r="S3914" s="537"/>
      <c r="T3914" s="537"/>
      <c r="U3914" s="224">
        <f>ROUND((U3913/5),2)</f>
        <v>10336</v>
      </c>
    </row>
    <row r="3915" spans="1:21" x14ac:dyDescent="0.25">
      <c r="A3915" s="544"/>
      <c r="B3915" s="544"/>
      <c r="C3915" s="544"/>
      <c r="D3915" s="544"/>
      <c r="E3915" s="544"/>
      <c r="F3915" s="544"/>
      <c r="G3915" s="544"/>
      <c r="H3915" s="544"/>
      <c r="I3915" s="544"/>
      <c r="J3915" s="544"/>
      <c r="K3915" s="544"/>
      <c r="L3915" s="544"/>
      <c r="M3915" s="544"/>
      <c r="N3915" s="544"/>
      <c r="O3915" s="544"/>
      <c r="P3915" s="544"/>
      <c r="Q3915" s="544"/>
      <c r="R3915" s="544"/>
      <c r="S3915" s="544"/>
      <c r="T3915" s="544"/>
      <c r="U3915" s="544"/>
    </row>
    <row r="3916" spans="1:21" x14ac:dyDescent="0.25">
      <c r="A3916" s="538" t="s">
        <v>12</v>
      </c>
      <c r="B3916" s="538"/>
      <c r="C3916" s="540" t="s">
        <v>1083</v>
      </c>
      <c r="D3916" s="540"/>
      <c r="E3916" s="540"/>
      <c r="F3916" s="540"/>
      <c r="G3916" s="540"/>
      <c r="H3916" s="540"/>
      <c r="I3916" s="540"/>
      <c r="J3916" s="540"/>
      <c r="K3916" s="540"/>
      <c r="L3916" s="540"/>
      <c r="M3916" s="540"/>
      <c r="N3916" s="540"/>
      <c r="O3916" s="540"/>
      <c r="P3916" s="540"/>
      <c r="Q3916" s="540"/>
      <c r="R3916" s="540"/>
      <c r="S3916" s="540"/>
      <c r="T3916" s="540"/>
      <c r="U3916" s="541" t="s">
        <v>1018</v>
      </c>
    </row>
    <row r="3917" spans="1:21" x14ac:dyDescent="0.25">
      <c r="A3917" s="538"/>
      <c r="B3917" s="538"/>
      <c r="C3917" s="540"/>
      <c r="D3917" s="540"/>
      <c r="E3917" s="540"/>
      <c r="F3917" s="540"/>
      <c r="G3917" s="540"/>
      <c r="H3917" s="540"/>
      <c r="I3917" s="540"/>
      <c r="J3917" s="540"/>
      <c r="K3917" s="540"/>
      <c r="L3917" s="540"/>
      <c r="M3917" s="540"/>
      <c r="N3917" s="540"/>
      <c r="O3917" s="540"/>
      <c r="P3917" s="540"/>
      <c r="Q3917" s="540"/>
      <c r="R3917" s="540"/>
      <c r="S3917" s="540"/>
      <c r="T3917" s="540"/>
      <c r="U3917" s="541"/>
    </row>
    <row r="3918" spans="1:21" x14ac:dyDescent="0.25">
      <c r="A3918" s="539" t="s">
        <v>1071</v>
      </c>
      <c r="B3918" s="539"/>
      <c r="C3918" s="540"/>
      <c r="D3918" s="540"/>
      <c r="E3918" s="540"/>
      <c r="F3918" s="540"/>
      <c r="G3918" s="540"/>
      <c r="H3918" s="540"/>
      <c r="I3918" s="540"/>
      <c r="J3918" s="540"/>
      <c r="K3918" s="540"/>
      <c r="L3918" s="540"/>
      <c r="M3918" s="540"/>
      <c r="N3918" s="540"/>
      <c r="O3918" s="540"/>
      <c r="P3918" s="540"/>
      <c r="Q3918" s="540"/>
      <c r="R3918" s="540"/>
      <c r="S3918" s="540"/>
      <c r="T3918" s="540"/>
      <c r="U3918" s="541"/>
    </row>
    <row r="3919" spans="1:21" x14ac:dyDescent="0.25">
      <c r="A3919" s="542" t="s">
        <v>16</v>
      </c>
      <c r="B3919" s="543" t="s">
        <v>18</v>
      </c>
      <c r="C3919" s="543"/>
      <c r="D3919" s="543"/>
      <c r="E3919" s="543"/>
      <c r="F3919" s="543"/>
      <c r="G3919" s="543" t="s">
        <v>24</v>
      </c>
      <c r="H3919" s="543"/>
      <c r="I3919" s="543"/>
      <c r="J3919" s="543"/>
      <c r="K3919" s="543"/>
      <c r="L3919" s="543" t="s">
        <v>25</v>
      </c>
      <c r="M3919" s="543"/>
      <c r="N3919" s="543"/>
      <c r="O3919" s="543"/>
      <c r="P3919" s="543"/>
      <c r="Q3919" s="543" t="s">
        <v>26</v>
      </c>
      <c r="R3919" s="543"/>
      <c r="S3919" s="543"/>
      <c r="T3919" s="543"/>
      <c r="U3919" s="543"/>
    </row>
    <row r="3920" spans="1:21" x14ac:dyDescent="0.25">
      <c r="A3920" s="542"/>
      <c r="B3920" s="182" t="s">
        <v>19</v>
      </c>
      <c r="C3920" s="182" t="s">
        <v>20</v>
      </c>
      <c r="D3920" s="182" t="s">
        <v>21</v>
      </c>
      <c r="E3920" s="182" t="s">
        <v>22</v>
      </c>
      <c r="F3920" s="182" t="s">
        <v>23</v>
      </c>
      <c r="G3920" s="182" t="s">
        <v>19</v>
      </c>
      <c r="H3920" s="216" t="s">
        <v>20</v>
      </c>
      <c r="I3920" s="182" t="s">
        <v>21</v>
      </c>
      <c r="J3920" s="182" t="s">
        <v>22</v>
      </c>
      <c r="K3920" s="182" t="s">
        <v>23</v>
      </c>
      <c r="L3920" s="182" t="s">
        <v>19</v>
      </c>
      <c r="M3920" s="182" t="s">
        <v>20</v>
      </c>
      <c r="N3920" s="182" t="s">
        <v>21</v>
      </c>
      <c r="O3920" s="182" t="s">
        <v>22</v>
      </c>
      <c r="P3920" s="182" t="s">
        <v>23</v>
      </c>
      <c r="Q3920" s="182" t="s">
        <v>19</v>
      </c>
      <c r="R3920" s="182" t="s">
        <v>20</v>
      </c>
      <c r="S3920" s="182" t="s">
        <v>21</v>
      </c>
      <c r="T3920" s="182" t="s">
        <v>22</v>
      </c>
      <c r="U3920" s="211" t="s">
        <v>23</v>
      </c>
    </row>
    <row r="3921" spans="1:21" x14ac:dyDescent="0.25">
      <c r="A3921" s="183" t="s">
        <v>1084</v>
      </c>
      <c r="B3921" s="182" t="s">
        <v>47</v>
      </c>
      <c r="C3921" s="182" t="s">
        <v>28</v>
      </c>
      <c r="D3921" s="182">
        <v>7</v>
      </c>
      <c r="E3921" s="182">
        <f>skilled</f>
        <v>1245</v>
      </c>
      <c r="F3921" s="184">
        <f>(D3921*E3921)</f>
        <v>8715</v>
      </c>
      <c r="G3921" s="182" t="s">
        <v>232</v>
      </c>
      <c r="H3921" s="216" t="s">
        <v>84</v>
      </c>
      <c r="I3921" s="182">
        <v>5.75</v>
      </c>
      <c r="J3921" s="182">
        <f>adopted_rate_rubble</f>
        <v>2575.44</v>
      </c>
      <c r="K3921" s="182">
        <f>(I3921*J3921)</f>
        <v>14808.78</v>
      </c>
    </row>
    <row r="3922" spans="1:21" x14ac:dyDescent="0.25">
      <c r="B3922" s="182" t="s">
        <v>29</v>
      </c>
      <c r="C3922" s="182" t="s">
        <v>28</v>
      </c>
      <c r="D3922" s="182">
        <v>14</v>
      </c>
      <c r="E3922" s="182">
        <f>unskilled</f>
        <v>935</v>
      </c>
      <c r="F3922" s="184">
        <f>(D3922*E3922)</f>
        <v>13090</v>
      </c>
      <c r="G3922" s="182" t="s">
        <v>85</v>
      </c>
      <c r="H3922" s="216" t="s">
        <v>35</v>
      </c>
      <c r="I3922" s="182">
        <v>0.45</v>
      </c>
      <c r="J3922" s="182">
        <f>adopted_rate_cement</f>
        <v>13031</v>
      </c>
      <c r="K3922" s="182">
        <f>(I3922*J3922)</f>
        <v>5863.95</v>
      </c>
    </row>
    <row r="3923" spans="1:21" x14ac:dyDescent="0.25">
      <c r="G3923" s="182" t="s">
        <v>83</v>
      </c>
      <c r="H3923" s="216" t="s">
        <v>84</v>
      </c>
      <c r="I3923" s="182">
        <v>2.08</v>
      </c>
      <c r="J3923" s="182">
        <f>adopted_rate_sand</f>
        <v>3175.2000000000003</v>
      </c>
      <c r="K3923" s="182">
        <f>(I3923*J3923)</f>
        <v>6604.4160000000011</v>
      </c>
    </row>
    <row r="3924" spans="1:21" x14ac:dyDescent="0.25">
      <c r="G3924" s="182" t="s">
        <v>171</v>
      </c>
      <c r="H3924" s="216" t="s">
        <v>172</v>
      </c>
      <c r="I3924" s="182">
        <v>1</v>
      </c>
      <c r="J3924" s="182">
        <f>adopted_rate_water</f>
        <v>310</v>
      </c>
      <c r="K3924" s="182">
        <f>(I3924*J3924)</f>
        <v>310</v>
      </c>
    </row>
    <row r="3925" spans="1:21" x14ac:dyDescent="0.25">
      <c r="A3925" s="537" t="s">
        <v>30</v>
      </c>
      <c r="B3925" s="537"/>
      <c r="C3925" s="537"/>
      <c r="D3925" s="537"/>
      <c r="E3925" s="537"/>
      <c r="F3925" s="184">
        <f>SUM(F3920:F3924)</f>
        <v>21805</v>
      </c>
      <c r="G3925" s="537" t="s">
        <v>31</v>
      </c>
      <c r="H3925" s="537"/>
      <c r="I3925" s="537"/>
      <c r="J3925" s="537"/>
      <c r="K3925" s="184">
        <f>SUM(K3920:K3924)</f>
        <v>27587.146000000001</v>
      </c>
      <c r="L3925" s="537" t="s">
        <v>32</v>
      </c>
      <c r="M3925" s="537"/>
      <c r="N3925" s="537"/>
      <c r="O3925" s="537"/>
      <c r="P3925" s="184">
        <f>SUM(P3920:P3924)</f>
        <v>0</v>
      </c>
      <c r="Q3925" s="537" t="s">
        <v>38</v>
      </c>
      <c r="R3925" s="537"/>
      <c r="S3925" s="537"/>
      <c r="T3925" s="537"/>
      <c r="U3925" s="223">
        <f>SUM(U3920:U3924)</f>
        <v>0</v>
      </c>
    </row>
    <row r="3926" spans="1:21" x14ac:dyDescent="0.25">
      <c r="A3926" s="537" t="s">
        <v>33</v>
      </c>
      <c r="B3926" s="537"/>
      <c r="C3926" s="537"/>
      <c r="D3926" s="537"/>
      <c r="E3926" s="537"/>
      <c r="F3926" s="184">
        <f>SUM(F3925+K3925+P3925)</f>
        <v>49392.146000000001</v>
      </c>
      <c r="G3926" s="537" t="s">
        <v>39</v>
      </c>
      <c r="H3926" s="537"/>
      <c r="I3926" s="537"/>
      <c r="J3926" s="537"/>
      <c r="K3926" s="184">
        <f>SUM(F3925+K3925+P3925+U3925)</f>
        <v>49392.146000000001</v>
      </c>
      <c r="L3926" s="537" t="s">
        <v>40</v>
      </c>
      <c r="M3926" s="537"/>
      <c r="N3926" s="537"/>
      <c r="O3926" s="537"/>
      <c r="P3926" s="184">
        <f>SUM(K3926*0.15)</f>
        <v>7408.8218999999999</v>
      </c>
      <c r="Q3926" s="537" t="s">
        <v>41</v>
      </c>
      <c r="R3926" s="537"/>
      <c r="S3926" s="537"/>
      <c r="T3926" s="537"/>
      <c r="U3926" s="223">
        <f>SUM(K3926+P3926)</f>
        <v>56800.967900000003</v>
      </c>
    </row>
    <row r="3927" spans="1:21" x14ac:dyDescent="0.25">
      <c r="Q3927" s="537" t="s">
        <v>42</v>
      </c>
      <c r="R3927" s="537"/>
      <c r="S3927" s="537"/>
      <c r="T3927" s="537"/>
      <c r="U3927" s="224">
        <f>ROUND((U3926/5),2)</f>
        <v>11360.19</v>
      </c>
    </row>
    <row r="3928" spans="1:21" x14ac:dyDescent="0.25">
      <c r="A3928" s="544"/>
      <c r="B3928" s="544"/>
      <c r="C3928" s="544"/>
      <c r="D3928" s="544"/>
      <c r="E3928" s="544"/>
      <c r="F3928" s="544"/>
      <c r="G3928" s="544"/>
      <c r="H3928" s="544"/>
      <c r="I3928" s="544"/>
      <c r="J3928" s="544"/>
      <c r="K3928" s="544"/>
      <c r="L3928" s="544"/>
      <c r="M3928" s="544"/>
      <c r="N3928" s="544"/>
      <c r="O3928" s="544"/>
      <c r="P3928" s="544"/>
      <c r="Q3928" s="544"/>
      <c r="R3928" s="544"/>
      <c r="S3928" s="544"/>
      <c r="T3928" s="544"/>
      <c r="U3928" s="544"/>
    </row>
    <row r="3929" spans="1:21" x14ac:dyDescent="0.25">
      <c r="A3929" s="186"/>
      <c r="B3929" s="186"/>
      <c r="C3929" s="186"/>
      <c r="D3929" s="186"/>
      <c r="E3929" s="186"/>
      <c r="F3929" s="186"/>
      <c r="G3929" s="186"/>
      <c r="H3929" s="218"/>
      <c r="I3929" s="186"/>
      <c r="J3929" s="186"/>
      <c r="K3929" s="186"/>
      <c r="L3929" s="186"/>
      <c r="M3929" s="186"/>
      <c r="N3929" s="186"/>
      <c r="O3929" s="186"/>
      <c r="P3929" s="186"/>
      <c r="Q3929" s="186"/>
      <c r="R3929" s="186"/>
      <c r="S3929" s="186"/>
      <c r="T3929" s="186"/>
      <c r="U3929" s="213"/>
    </row>
    <row r="3930" spans="1:21" x14ac:dyDescent="0.25">
      <c r="A3930" s="538" t="s">
        <v>12</v>
      </c>
      <c r="B3930" s="538"/>
      <c r="C3930" s="540" t="s">
        <v>2270</v>
      </c>
      <c r="D3930" s="540"/>
      <c r="E3930" s="540"/>
      <c r="F3930" s="540"/>
      <c r="G3930" s="540"/>
      <c r="H3930" s="540"/>
      <c r="I3930" s="540"/>
      <c r="J3930" s="540"/>
      <c r="K3930" s="540"/>
      <c r="L3930" s="540"/>
      <c r="M3930" s="540"/>
      <c r="N3930" s="540"/>
      <c r="O3930" s="540"/>
      <c r="P3930" s="540"/>
      <c r="Q3930" s="540"/>
      <c r="R3930" s="540"/>
      <c r="S3930" s="540"/>
      <c r="T3930" s="540"/>
      <c r="U3930" s="541" t="s">
        <v>588</v>
      </c>
    </row>
    <row r="3931" spans="1:21" x14ac:dyDescent="0.25">
      <c r="A3931" s="538"/>
      <c r="B3931" s="538"/>
      <c r="C3931" s="540"/>
      <c r="D3931" s="540"/>
      <c r="E3931" s="540"/>
      <c r="F3931" s="540"/>
      <c r="G3931" s="540"/>
      <c r="H3931" s="540"/>
      <c r="I3931" s="540"/>
      <c r="J3931" s="540"/>
      <c r="K3931" s="540"/>
      <c r="L3931" s="540"/>
      <c r="M3931" s="540"/>
      <c r="N3931" s="540"/>
      <c r="O3931" s="540"/>
      <c r="P3931" s="540"/>
      <c r="Q3931" s="540"/>
      <c r="R3931" s="540"/>
      <c r="S3931" s="540"/>
      <c r="T3931" s="540"/>
      <c r="U3931" s="541"/>
    </row>
    <row r="3932" spans="1:21" x14ac:dyDescent="0.25">
      <c r="A3932" s="539" t="s">
        <v>2271</v>
      </c>
      <c r="B3932" s="539"/>
      <c r="C3932" s="540"/>
      <c r="D3932" s="540"/>
      <c r="E3932" s="540"/>
      <c r="F3932" s="540"/>
      <c r="G3932" s="540"/>
      <c r="H3932" s="540"/>
      <c r="I3932" s="540"/>
      <c r="J3932" s="540"/>
      <c r="K3932" s="540"/>
      <c r="L3932" s="540"/>
      <c r="M3932" s="540"/>
      <c r="N3932" s="540"/>
      <c r="O3932" s="540"/>
      <c r="P3932" s="540"/>
      <c r="Q3932" s="540"/>
      <c r="R3932" s="540"/>
      <c r="S3932" s="540"/>
      <c r="T3932" s="540"/>
      <c r="U3932" s="541"/>
    </row>
    <row r="3933" spans="1:21" x14ac:dyDescent="0.25">
      <c r="A3933" s="542" t="s">
        <v>16</v>
      </c>
      <c r="B3933" s="543" t="s">
        <v>18</v>
      </c>
      <c r="C3933" s="543"/>
      <c r="D3933" s="543"/>
      <c r="E3933" s="543"/>
      <c r="F3933" s="543"/>
      <c r="G3933" s="543" t="s">
        <v>24</v>
      </c>
      <c r="H3933" s="543"/>
      <c r="I3933" s="543"/>
      <c r="J3933" s="543"/>
      <c r="K3933" s="543"/>
      <c r="L3933" s="543" t="s">
        <v>25</v>
      </c>
      <c r="M3933" s="543"/>
      <c r="N3933" s="543"/>
      <c r="O3933" s="543"/>
      <c r="P3933" s="543"/>
      <c r="Q3933" s="543" t="s">
        <v>26</v>
      </c>
      <c r="R3933" s="543"/>
      <c r="S3933" s="543"/>
      <c r="T3933" s="543"/>
      <c r="U3933" s="543"/>
    </row>
    <row r="3934" spans="1:21" x14ac:dyDescent="0.25">
      <c r="A3934" s="542"/>
      <c r="B3934" s="182" t="s">
        <v>19</v>
      </c>
      <c r="C3934" s="182" t="s">
        <v>20</v>
      </c>
      <c r="D3934" s="182" t="s">
        <v>21</v>
      </c>
      <c r="E3934" s="182" t="s">
        <v>22</v>
      </c>
      <c r="F3934" s="182" t="s">
        <v>23</v>
      </c>
      <c r="G3934" s="182" t="s">
        <v>19</v>
      </c>
      <c r="H3934" s="216" t="s">
        <v>20</v>
      </c>
      <c r="I3934" s="182" t="s">
        <v>21</v>
      </c>
      <c r="J3934" s="182" t="s">
        <v>22</v>
      </c>
      <c r="K3934" s="182" t="s">
        <v>23</v>
      </c>
      <c r="L3934" s="182" t="s">
        <v>19</v>
      </c>
      <c r="M3934" s="182" t="s">
        <v>20</v>
      </c>
      <c r="N3934" s="182" t="s">
        <v>21</v>
      </c>
      <c r="O3934" s="182" t="s">
        <v>22</v>
      </c>
      <c r="P3934" s="182" t="s">
        <v>23</v>
      </c>
      <c r="Q3934" s="182" t="s">
        <v>19</v>
      </c>
      <c r="R3934" s="182" t="s">
        <v>20</v>
      </c>
      <c r="S3934" s="182" t="s">
        <v>21</v>
      </c>
      <c r="T3934" s="182" t="s">
        <v>22</v>
      </c>
      <c r="U3934" s="211" t="s">
        <v>23</v>
      </c>
    </row>
    <row r="3935" spans="1:21" x14ac:dyDescent="0.25">
      <c r="A3935" s="183">
        <v>26.7</v>
      </c>
      <c r="B3935" s="182" t="s">
        <v>47</v>
      </c>
      <c r="C3935" s="182" t="s">
        <v>28</v>
      </c>
      <c r="D3935" s="182">
        <v>9</v>
      </c>
      <c r="E3935" s="182">
        <f>skilled</f>
        <v>1245</v>
      </c>
      <c r="F3935" s="184">
        <f>(D3935*E3935)</f>
        <v>11205</v>
      </c>
      <c r="G3935" s="182"/>
      <c r="H3935" s="216"/>
      <c r="I3935" s="182"/>
      <c r="J3935" s="182"/>
      <c r="K3935" s="182"/>
    </row>
    <row r="3936" spans="1:21" x14ac:dyDescent="0.25">
      <c r="B3936" s="182" t="s">
        <v>29</v>
      </c>
      <c r="C3936" s="182" t="s">
        <v>28</v>
      </c>
      <c r="D3936" s="182">
        <v>9</v>
      </c>
      <c r="E3936" s="182">
        <f>unskilled</f>
        <v>935</v>
      </c>
      <c r="F3936" s="184">
        <f>(D3936*E3936)</f>
        <v>8415</v>
      </c>
      <c r="G3936" s="182" t="s">
        <v>85</v>
      </c>
      <c r="H3936" s="216" t="s">
        <v>35</v>
      </c>
      <c r="I3936" s="182">
        <v>0.31</v>
      </c>
      <c r="J3936" s="182">
        <f>adopted_rate_cement</f>
        <v>13031</v>
      </c>
      <c r="K3936" s="182">
        <f>(I3936*J3936)</f>
        <v>4039.61</v>
      </c>
    </row>
    <row r="3937" spans="1:21" x14ac:dyDescent="0.25">
      <c r="G3937" s="182" t="s">
        <v>83</v>
      </c>
      <c r="H3937" s="216" t="s">
        <v>84</v>
      </c>
      <c r="I3937" s="182">
        <v>0.63</v>
      </c>
      <c r="J3937" s="182">
        <f>adopted_rate_sand</f>
        <v>3175.2000000000003</v>
      </c>
      <c r="K3937" s="190">
        <f>(I3937*J3937)</f>
        <v>2000.3760000000002</v>
      </c>
    </row>
    <row r="3938" spans="1:21" x14ac:dyDescent="0.25">
      <c r="G3938" s="191" t="s">
        <v>171</v>
      </c>
      <c r="H3938" s="221" t="s">
        <v>172</v>
      </c>
      <c r="I3938" s="191">
        <v>0.05</v>
      </c>
      <c r="J3938" s="191">
        <f>adopted_rate_water</f>
        <v>310</v>
      </c>
      <c r="K3938" s="191">
        <f>(I3938*J3938)</f>
        <v>15.5</v>
      </c>
    </row>
    <row r="3939" spans="1:21" x14ac:dyDescent="0.25">
      <c r="A3939" s="537" t="s">
        <v>30</v>
      </c>
      <c r="B3939" s="537"/>
      <c r="C3939" s="537"/>
      <c r="D3939" s="537"/>
      <c r="E3939" s="537"/>
      <c r="F3939" s="184">
        <f>SUM(F3935:F3938)</f>
        <v>19620</v>
      </c>
      <c r="G3939" s="537" t="s">
        <v>31</v>
      </c>
      <c r="H3939" s="537"/>
      <c r="I3939" s="537"/>
      <c r="J3939" s="537"/>
      <c r="K3939" s="184">
        <f>SUM(K3936:K3938)</f>
        <v>6055.4860000000008</v>
      </c>
      <c r="L3939" s="537" t="s">
        <v>32</v>
      </c>
      <c r="M3939" s="537"/>
      <c r="N3939" s="537"/>
      <c r="O3939" s="537"/>
      <c r="P3939" s="184">
        <f>SUM(P3934:P3938)</f>
        <v>0</v>
      </c>
      <c r="Q3939" s="537" t="s">
        <v>38</v>
      </c>
      <c r="R3939" s="537"/>
      <c r="S3939" s="537"/>
      <c r="T3939" s="537"/>
      <c r="U3939" s="223">
        <f>SUM(U3934:U3938)</f>
        <v>0</v>
      </c>
    </row>
    <row r="3940" spans="1:21" x14ac:dyDescent="0.25">
      <c r="A3940" s="537" t="s">
        <v>33</v>
      </c>
      <c r="B3940" s="537"/>
      <c r="C3940" s="537"/>
      <c r="D3940" s="537"/>
      <c r="E3940" s="537"/>
      <c r="F3940" s="184">
        <f>SUM(F3939+K3939+P3939)</f>
        <v>25675.486000000001</v>
      </c>
      <c r="G3940" s="537" t="s">
        <v>39</v>
      </c>
      <c r="H3940" s="537"/>
      <c r="I3940" s="537"/>
      <c r="J3940" s="537"/>
      <c r="K3940" s="184">
        <f>F3940+U3939</f>
        <v>25675.486000000001</v>
      </c>
      <c r="L3940" s="537" t="s">
        <v>40</v>
      </c>
      <c r="M3940" s="537"/>
      <c r="N3940" s="537"/>
      <c r="O3940" s="537"/>
      <c r="P3940" s="184">
        <f>SUM(K3940*0.15)</f>
        <v>3851.3229000000001</v>
      </c>
      <c r="Q3940" s="537" t="s">
        <v>41</v>
      </c>
      <c r="R3940" s="537"/>
      <c r="S3940" s="537"/>
      <c r="T3940" s="537"/>
      <c r="U3940" s="223">
        <f>SUM(K3940+P3940)</f>
        <v>29526.8089</v>
      </c>
    </row>
    <row r="3941" spans="1:21" x14ac:dyDescent="0.25">
      <c r="Q3941" s="537" t="s">
        <v>42</v>
      </c>
      <c r="R3941" s="537"/>
      <c r="S3941" s="537"/>
      <c r="T3941" s="537"/>
      <c r="U3941" s="227">
        <f>U3940/100</f>
        <v>295.26808899999997</v>
      </c>
    </row>
    <row r="3942" spans="1:21" x14ac:dyDescent="0.25">
      <c r="A3942" s="186"/>
      <c r="B3942" s="186"/>
      <c r="C3942" s="186"/>
      <c r="D3942" s="186"/>
      <c r="E3942" s="186"/>
      <c r="F3942" s="186"/>
      <c r="G3942" s="186"/>
      <c r="H3942" s="218"/>
      <c r="I3942" s="186"/>
      <c r="J3942" s="186"/>
      <c r="K3942" s="186"/>
      <c r="L3942" s="186"/>
      <c r="M3942" s="186"/>
      <c r="N3942" s="186"/>
      <c r="O3942" s="186"/>
      <c r="P3942" s="186"/>
      <c r="Q3942" s="186"/>
      <c r="R3942" s="186"/>
      <c r="S3942" s="186"/>
      <c r="T3942" s="186"/>
      <c r="U3942" s="213"/>
    </row>
    <row r="3943" spans="1:21" x14ac:dyDescent="0.25">
      <c r="A3943" s="538" t="s">
        <v>12</v>
      </c>
      <c r="B3943" s="538"/>
      <c r="C3943" s="540" t="s">
        <v>1086</v>
      </c>
      <c r="D3943" s="540"/>
      <c r="E3943" s="540"/>
      <c r="F3943" s="540"/>
      <c r="G3943" s="540"/>
      <c r="H3943" s="540"/>
      <c r="I3943" s="540"/>
      <c r="J3943" s="540"/>
      <c r="K3943" s="540"/>
      <c r="L3943" s="540"/>
      <c r="M3943" s="540"/>
      <c r="N3943" s="540"/>
      <c r="O3943" s="540"/>
      <c r="P3943" s="540"/>
      <c r="Q3943" s="540"/>
      <c r="R3943" s="540"/>
      <c r="S3943" s="540"/>
      <c r="T3943" s="540"/>
      <c r="U3943" s="541" t="s">
        <v>1087</v>
      </c>
    </row>
    <row r="3944" spans="1:21" x14ac:dyDescent="0.25">
      <c r="A3944" s="538"/>
      <c r="B3944" s="538"/>
      <c r="C3944" s="540"/>
      <c r="D3944" s="540"/>
      <c r="E3944" s="540"/>
      <c r="F3944" s="540"/>
      <c r="G3944" s="540"/>
      <c r="H3944" s="540"/>
      <c r="I3944" s="540"/>
      <c r="J3944" s="540"/>
      <c r="K3944" s="540"/>
      <c r="L3944" s="540"/>
      <c r="M3944" s="540"/>
      <c r="N3944" s="540"/>
      <c r="O3944" s="540"/>
      <c r="P3944" s="540"/>
      <c r="Q3944" s="540"/>
      <c r="R3944" s="540"/>
      <c r="S3944" s="540"/>
      <c r="T3944" s="540"/>
      <c r="U3944" s="541"/>
    </row>
    <row r="3945" spans="1:21" x14ac:dyDescent="0.25">
      <c r="A3945" s="539" t="s">
        <v>1085</v>
      </c>
      <c r="B3945" s="539"/>
      <c r="C3945" s="540"/>
      <c r="D3945" s="540"/>
      <c r="E3945" s="540"/>
      <c r="F3945" s="540"/>
      <c r="G3945" s="540"/>
      <c r="H3945" s="540"/>
      <c r="I3945" s="540"/>
      <c r="J3945" s="540"/>
      <c r="K3945" s="540"/>
      <c r="L3945" s="540"/>
      <c r="M3945" s="540"/>
      <c r="N3945" s="540"/>
      <c r="O3945" s="540"/>
      <c r="P3945" s="540"/>
      <c r="Q3945" s="540"/>
      <c r="R3945" s="540"/>
      <c r="S3945" s="540"/>
      <c r="T3945" s="540"/>
      <c r="U3945" s="541"/>
    </row>
    <row r="3946" spans="1:21" x14ac:dyDescent="0.25">
      <c r="A3946" s="542" t="s">
        <v>16</v>
      </c>
      <c r="B3946" s="543" t="s">
        <v>18</v>
      </c>
      <c r="C3946" s="543"/>
      <c r="D3946" s="543"/>
      <c r="E3946" s="543"/>
      <c r="F3946" s="543"/>
      <c r="G3946" s="543" t="s">
        <v>24</v>
      </c>
      <c r="H3946" s="543"/>
      <c r="I3946" s="543"/>
      <c r="J3946" s="543"/>
      <c r="K3946" s="543"/>
      <c r="L3946" s="543" t="s">
        <v>25</v>
      </c>
      <c r="M3946" s="543"/>
      <c r="N3946" s="543"/>
      <c r="O3946" s="543"/>
      <c r="P3946" s="543"/>
      <c r="Q3946" s="543" t="s">
        <v>26</v>
      </c>
      <c r="R3946" s="543"/>
      <c r="S3946" s="543"/>
      <c r="T3946" s="543"/>
      <c r="U3946" s="543"/>
    </row>
    <row r="3947" spans="1:21" x14ac:dyDescent="0.25">
      <c r="A3947" s="542"/>
      <c r="B3947" s="182" t="s">
        <v>19</v>
      </c>
      <c r="C3947" s="182" t="s">
        <v>20</v>
      </c>
      <c r="D3947" s="182" t="s">
        <v>21</v>
      </c>
      <c r="E3947" s="182" t="s">
        <v>22</v>
      </c>
      <c r="F3947" s="182" t="s">
        <v>23</v>
      </c>
      <c r="G3947" s="182" t="s">
        <v>19</v>
      </c>
      <c r="H3947" s="216" t="s">
        <v>20</v>
      </c>
      <c r="I3947" s="182" t="s">
        <v>21</v>
      </c>
      <c r="J3947" s="182" t="s">
        <v>22</v>
      </c>
      <c r="K3947" s="182" t="s">
        <v>23</v>
      </c>
      <c r="L3947" s="182" t="s">
        <v>19</v>
      </c>
      <c r="M3947" s="182" t="s">
        <v>20</v>
      </c>
      <c r="N3947" s="182" t="s">
        <v>21</v>
      </c>
      <c r="O3947" s="182" t="s">
        <v>22</v>
      </c>
      <c r="P3947" s="182" t="s">
        <v>23</v>
      </c>
      <c r="Q3947" s="182" t="s">
        <v>19</v>
      </c>
      <c r="R3947" s="182" t="s">
        <v>20</v>
      </c>
      <c r="S3947" s="182" t="s">
        <v>21</v>
      </c>
      <c r="T3947" s="182" t="s">
        <v>22</v>
      </c>
      <c r="U3947" s="211" t="s">
        <v>23</v>
      </c>
    </row>
    <row r="3948" spans="1:21" ht="31.5" x14ac:dyDescent="0.25">
      <c r="A3948" s="183" t="s">
        <v>1088</v>
      </c>
      <c r="B3948" s="182" t="s">
        <v>47</v>
      </c>
      <c r="C3948" s="182" t="s">
        <v>28</v>
      </c>
      <c r="D3948" s="182">
        <v>5</v>
      </c>
      <c r="E3948" s="182">
        <f>skilled</f>
        <v>1245</v>
      </c>
      <c r="F3948" s="184">
        <f>(D3948*E3948)</f>
        <v>6225</v>
      </c>
      <c r="G3948" s="182" t="s">
        <v>85</v>
      </c>
      <c r="H3948" s="216" t="s">
        <v>35</v>
      </c>
      <c r="I3948" s="182">
        <v>5.5E-2</v>
      </c>
      <c r="J3948" s="182">
        <f>adopted_rate_cement</f>
        <v>13031</v>
      </c>
      <c r="K3948" s="182">
        <f>(I3948*J3948)</f>
        <v>716.70500000000004</v>
      </c>
      <c r="L3948" s="182" t="s">
        <v>1090</v>
      </c>
      <c r="M3948" s="182" t="s">
        <v>58</v>
      </c>
      <c r="N3948" s="182">
        <v>6</v>
      </c>
      <c r="O3948" s="182">
        <f>grout_pump_with_agitator</f>
        <v>387</v>
      </c>
      <c r="P3948" s="184">
        <f>(N3948*O3948)</f>
        <v>2322</v>
      </c>
    </row>
    <row r="3949" spans="1:21" ht="31.5" x14ac:dyDescent="0.25">
      <c r="B3949" s="182" t="s">
        <v>29</v>
      </c>
      <c r="C3949" s="182" t="s">
        <v>28</v>
      </c>
      <c r="D3949" s="182">
        <v>5</v>
      </c>
      <c r="E3949" s="182">
        <f>unskilled</f>
        <v>935</v>
      </c>
      <c r="F3949" s="184">
        <f>(D3949*E3949)</f>
        <v>4675</v>
      </c>
      <c r="G3949" s="182" t="s">
        <v>1089</v>
      </c>
      <c r="H3949" s="216"/>
      <c r="K3949" s="184">
        <f>(K3948*20/100)</f>
        <v>143.34100000000001</v>
      </c>
      <c r="L3949" s="182" t="s">
        <v>76</v>
      </c>
      <c r="M3949" s="182" t="s">
        <v>58</v>
      </c>
      <c r="N3949" s="182">
        <v>6</v>
      </c>
      <c r="O3949" s="182">
        <f>generator</f>
        <v>855</v>
      </c>
      <c r="P3949" s="184">
        <f>(N3949*O3949)</f>
        <v>5130</v>
      </c>
    </row>
    <row r="3950" spans="1:21" x14ac:dyDescent="0.25">
      <c r="A3950" s="537" t="s">
        <v>30</v>
      </c>
      <c r="B3950" s="537"/>
      <c r="C3950" s="537"/>
      <c r="D3950" s="537"/>
      <c r="E3950" s="537"/>
      <c r="F3950" s="184">
        <f>SUM(F3947:F3949)</f>
        <v>10900</v>
      </c>
      <c r="G3950" s="537" t="s">
        <v>31</v>
      </c>
      <c r="H3950" s="537"/>
      <c r="I3950" s="537"/>
      <c r="J3950" s="537"/>
      <c r="K3950" s="184">
        <f>SUM(K3947:K3949)</f>
        <v>860.04600000000005</v>
      </c>
      <c r="L3950" s="537" t="s">
        <v>32</v>
      </c>
      <c r="M3950" s="537"/>
      <c r="N3950" s="537"/>
      <c r="O3950" s="537"/>
      <c r="P3950" s="184">
        <f>SUM(P3947:P3949)</f>
        <v>7452</v>
      </c>
      <c r="Q3950" s="537" t="s">
        <v>38</v>
      </c>
      <c r="R3950" s="537"/>
      <c r="S3950" s="537"/>
      <c r="T3950" s="537"/>
      <c r="U3950" s="223">
        <f>SUM(U3947:U3949)</f>
        <v>0</v>
      </c>
    </row>
    <row r="3951" spans="1:21" x14ac:dyDescent="0.25">
      <c r="A3951" s="537" t="s">
        <v>33</v>
      </c>
      <c r="B3951" s="537"/>
      <c r="C3951" s="537"/>
      <c r="D3951" s="537"/>
      <c r="E3951" s="537"/>
      <c r="F3951" s="184">
        <f>SUM(F3950+K3950+P3950)</f>
        <v>19212.046000000002</v>
      </c>
      <c r="G3951" s="537" t="s">
        <v>39</v>
      </c>
      <c r="H3951" s="537"/>
      <c r="I3951" s="537"/>
      <c r="J3951" s="537"/>
      <c r="K3951" s="184">
        <f>SUM(F3950+K3950+P3950+U3950)</f>
        <v>19212.046000000002</v>
      </c>
      <c r="L3951" s="537" t="s">
        <v>40</v>
      </c>
      <c r="M3951" s="537"/>
      <c r="N3951" s="537"/>
      <c r="O3951" s="537"/>
      <c r="P3951" s="184">
        <f>SUM(K3951*0.15)</f>
        <v>2881.8069</v>
      </c>
      <c r="Q3951" s="537" t="s">
        <v>41</v>
      </c>
      <c r="R3951" s="537"/>
      <c r="S3951" s="537"/>
      <c r="T3951" s="537"/>
      <c r="U3951" s="223">
        <f>SUM(K3951+P3951)</f>
        <v>22093.852900000002</v>
      </c>
    </row>
    <row r="3952" spans="1:21" x14ac:dyDescent="0.25">
      <c r="Q3952" s="537" t="s">
        <v>42</v>
      </c>
      <c r="R3952" s="537"/>
      <c r="S3952" s="537"/>
      <c r="T3952" s="537"/>
      <c r="U3952" s="224">
        <f>ROUND((U3951/50),2)</f>
        <v>441.88</v>
      </c>
    </row>
    <row r="3953" spans="1:21" x14ac:dyDescent="0.25">
      <c r="A3953" s="544"/>
      <c r="B3953" s="544"/>
      <c r="C3953" s="544"/>
      <c r="D3953" s="544"/>
      <c r="E3953" s="544"/>
      <c r="F3953" s="544"/>
      <c r="G3953" s="544"/>
      <c r="H3953" s="544"/>
      <c r="I3953" s="544"/>
      <c r="J3953" s="544"/>
      <c r="K3953" s="544"/>
      <c r="L3953" s="544"/>
      <c r="M3953" s="544"/>
      <c r="N3953" s="544"/>
      <c r="O3953" s="544"/>
      <c r="P3953" s="544"/>
      <c r="Q3953" s="544"/>
      <c r="R3953" s="544"/>
      <c r="S3953" s="544"/>
      <c r="T3953" s="544"/>
      <c r="U3953" s="544"/>
    </row>
    <row r="3954" spans="1:21" x14ac:dyDescent="0.25">
      <c r="A3954" s="538" t="s">
        <v>12</v>
      </c>
      <c r="B3954" s="538"/>
      <c r="C3954" s="540" t="s">
        <v>1091</v>
      </c>
      <c r="D3954" s="540"/>
      <c r="E3954" s="540"/>
      <c r="F3954" s="540"/>
      <c r="G3954" s="540"/>
      <c r="H3954" s="540"/>
      <c r="I3954" s="540"/>
      <c r="J3954" s="540"/>
      <c r="K3954" s="540"/>
      <c r="L3954" s="540"/>
      <c r="M3954" s="540"/>
      <c r="N3954" s="540"/>
      <c r="O3954" s="540"/>
      <c r="P3954" s="540"/>
      <c r="Q3954" s="540"/>
      <c r="R3954" s="540"/>
      <c r="S3954" s="540"/>
      <c r="T3954" s="540"/>
      <c r="U3954" s="541" t="s">
        <v>1087</v>
      </c>
    </row>
    <row r="3955" spans="1:21" x14ac:dyDescent="0.25">
      <c r="A3955" s="538"/>
      <c r="B3955" s="538"/>
      <c r="C3955" s="540"/>
      <c r="D3955" s="540"/>
      <c r="E3955" s="540"/>
      <c r="F3955" s="540"/>
      <c r="G3955" s="540"/>
      <c r="H3955" s="540"/>
      <c r="I3955" s="540"/>
      <c r="J3955" s="540"/>
      <c r="K3955" s="540"/>
      <c r="L3955" s="540"/>
      <c r="M3955" s="540"/>
      <c r="N3955" s="540"/>
      <c r="O3955" s="540"/>
      <c r="P3955" s="540"/>
      <c r="Q3955" s="540"/>
      <c r="R3955" s="540"/>
      <c r="S3955" s="540"/>
      <c r="T3955" s="540"/>
      <c r="U3955" s="541"/>
    </row>
    <row r="3956" spans="1:21" x14ac:dyDescent="0.25">
      <c r="A3956" s="539" t="s">
        <v>1085</v>
      </c>
      <c r="B3956" s="539"/>
      <c r="C3956" s="540"/>
      <c r="D3956" s="540"/>
      <c r="E3956" s="540"/>
      <c r="F3956" s="540"/>
      <c r="G3956" s="540"/>
      <c r="H3956" s="540"/>
      <c r="I3956" s="540"/>
      <c r="J3956" s="540"/>
      <c r="K3956" s="540"/>
      <c r="L3956" s="540"/>
      <c r="M3956" s="540"/>
      <c r="N3956" s="540"/>
      <c r="O3956" s="540"/>
      <c r="P3956" s="540"/>
      <c r="Q3956" s="540"/>
      <c r="R3956" s="540"/>
      <c r="S3956" s="540"/>
      <c r="T3956" s="540"/>
      <c r="U3956" s="541"/>
    </row>
    <row r="3957" spans="1:21" x14ac:dyDescent="0.25">
      <c r="A3957" s="542" t="s">
        <v>16</v>
      </c>
      <c r="B3957" s="543" t="s">
        <v>18</v>
      </c>
      <c r="C3957" s="543"/>
      <c r="D3957" s="543"/>
      <c r="E3957" s="543"/>
      <c r="F3957" s="543"/>
      <c r="G3957" s="543" t="s">
        <v>24</v>
      </c>
      <c r="H3957" s="543"/>
      <c r="I3957" s="543"/>
      <c r="J3957" s="543"/>
      <c r="K3957" s="543"/>
      <c r="L3957" s="543" t="s">
        <v>25</v>
      </c>
      <c r="M3957" s="543"/>
      <c r="N3957" s="543"/>
      <c r="O3957" s="543"/>
      <c r="P3957" s="543"/>
      <c r="Q3957" s="543" t="s">
        <v>26</v>
      </c>
      <c r="R3957" s="543"/>
      <c r="S3957" s="543"/>
      <c r="T3957" s="543"/>
      <c r="U3957" s="543"/>
    </row>
    <row r="3958" spans="1:21" x14ac:dyDescent="0.25">
      <c r="A3958" s="542"/>
      <c r="B3958" s="182" t="s">
        <v>19</v>
      </c>
      <c r="C3958" s="182" t="s">
        <v>20</v>
      </c>
      <c r="D3958" s="182" t="s">
        <v>21</v>
      </c>
      <c r="E3958" s="182" t="s">
        <v>22</v>
      </c>
      <c r="F3958" s="182" t="s">
        <v>23</v>
      </c>
      <c r="G3958" s="182" t="s">
        <v>19</v>
      </c>
      <c r="H3958" s="216" t="s">
        <v>20</v>
      </c>
      <c r="I3958" s="182" t="s">
        <v>21</v>
      </c>
      <c r="J3958" s="182" t="s">
        <v>22</v>
      </c>
      <c r="K3958" s="182" t="s">
        <v>23</v>
      </c>
      <c r="L3958" s="182" t="s">
        <v>19</v>
      </c>
      <c r="M3958" s="182" t="s">
        <v>20</v>
      </c>
      <c r="N3958" s="182" t="s">
        <v>21</v>
      </c>
      <c r="O3958" s="182" t="s">
        <v>22</v>
      </c>
      <c r="P3958" s="182" t="s">
        <v>23</v>
      </c>
      <c r="Q3958" s="182" t="s">
        <v>19</v>
      </c>
      <c r="R3958" s="182" t="s">
        <v>20</v>
      </c>
      <c r="S3958" s="182" t="s">
        <v>21</v>
      </c>
      <c r="T3958" s="182" t="s">
        <v>22</v>
      </c>
      <c r="U3958" s="211" t="s">
        <v>23</v>
      </c>
    </row>
    <row r="3959" spans="1:21" ht="31.5" x14ac:dyDescent="0.25">
      <c r="A3959" s="183" t="s">
        <v>1092</v>
      </c>
      <c r="B3959" s="182" t="s">
        <v>47</v>
      </c>
      <c r="C3959" s="182" t="s">
        <v>28</v>
      </c>
      <c r="D3959" s="182">
        <v>5</v>
      </c>
      <c r="E3959" s="182">
        <f>skilled</f>
        <v>1245</v>
      </c>
      <c r="F3959" s="184">
        <f>(D3959*E3959)</f>
        <v>6225</v>
      </c>
      <c r="G3959" s="182" t="s">
        <v>85</v>
      </c>
      <c r="H3959" s="216" t="s">
        <v>35</v>
      </c>
      <c r="I3959" s="182">
        <v>2.75E-2</v>
      </c>
      <c r="J3959" s="182">
        <f>adopted_rate_cement</f>
        <v>13031</v>
      </c>
      <c r="K3959" s="182">
        <f>(I3959*J3959)</f>
        <v>358.35250000000002</v>
      </c>
      <c r="L3959" s="182" t="s">
        <v>1090</v>
      </c>
      <c r="M3959" s="182" t="s">
        <v>58</v>
      </c>
      <c r="N3959" s="182">
        <v>6</v>
      </c>
      <c r="O3959" s="182">
        <f>grout_pump_with_agitator</f>
        <v>387</v>
      </c>
      <c r="P3959" s="184">
        <f>(N3959*O3959)</f>
        <v>2322</v>
      </c>
    </row>
    <row r="3960" spans="1:21" x14ac:dyDescent="0.25">
      <c r="B3960" s="182" t="s">
        <v>29</v>
      </c>
      <c r="C3960" s="182" t="s">
        <v>28</v>
      </c>
      <c r="D3960" s="182">
        <v>10</v>
      </c>
      <c r="E3960" s="182">
        <f>unskilled</f>
        <v>935</v>
      </c>
      <c r="F3960" s="184">
        <f>(D3960*E3960)</f>
        <v>9350</v>
      </c>
      <c r="G3960" s="182" t="s">
        <v>83</v>
      </c>
      <c r="H3960" s="216" t="s">
        <v>84</v>
      </c>
      <c r="I3960" s="182">
        <v>1.7187500000000001E-2</v>
      </c>
      <c r="J3960" s="182">
        <f>adopted_rate_sand</f>
        <v>3175.2000000000003</v>
      </c>
      <c r="K3960" s="182">
        <f>(I3960*J3960)</f>
        <v>54.573750000000011</v>
      </c>
      <c r="L3960" s="182" t="s">
        <v>76</v>
      </c>
      <c r="M3960" s="182" t="s">
        <v>58</v>
      </c>
      <c r="N3960" s="182">
        <v>6</v>
      </c>
      <c r="O3960" s="182">
        <f>generator</f>
        <v>855</v>
      </c>
      <c r="P3960" s="184">
        <f>(N3960*O3960)</f>
        <v>5130</v>
      </c>
    </row>
    <row r="3961" spans="1:21" ht="31.5" x14ac:dyDescent="0.25">
      <c r="G3961" s="182" t="s">
        <v>1093</v>
      </c>
      <c r="H3961" s="216"/>
      <c r="K3961" s="184">
        <f>(K3959*20/100)</f>
        <v>71.670500000000004</v>
      </c>
    </row>
    <row r="3962" spans="1:21" x14ac:dyDescent="0.25">
      <c r="A3962" s="537" t="s">
        <v>30</v>
      </c>
      <c r="B3962" s="537"/>
      <c r="C3962" s="537"/>
      <c r="D3962" s="537"/>
      <c r="E3962" s="537"/>
      <c r="F3962" s="184">
        <f>SUM(F3958:F3961)</f>
        <v>15575</v>
      </c>
      <c r="G3962" s="537" t="s">
        <v>31</v>
      </c>
      <c r="H3962" s="537"/>
      <c r="I3962" s="537"/>
      <c r="J3962" s="537"/>
      <c r="K3962" s="184">
        <f>SUM(K3958:K3961)</f>
        <v>484.59675000000004</v>
      </c>
      <c r="L3962" s="537" t="s">
        <v>32</v>
      </c>
      <c r="M3962" s="537"/>
      <c r="N3962" s="537"/>
      <c r="O3962" s="537"/>
      <c r="P3962" s="184">
        <f>SUM(P3958:P3961)</f>
        <v>7452</v>
      </c>
      <c r="Q3962" s="537" t="s">
        <v>38</v>
      </c>
      <c r="R3962" s="537"/>
      <c r="S3962" s="537"/>
      <c r="T3962" s="537"/>
      <c r="U3962" s="223">
        <f>SUM(U3958:U3961)</f>
        <v>0</v>
      </c>
    </row>
    <row r="3963" spans="1:21" x14ac:dyDescent="0.25">
      <c r="A3963" s="537" t="s">
        <v>33</v>
      </c>
      <c r="B3963" s="537"/>
      <c r="C3963" s="537"/>
      <c r="D3963" s="537"/>
      <c r="E3963" s="537"/>
      <c r="F3963" s="184">
        <f>SUM(F3962+K3962+P3962)</f>
        <v>23511.596750000001</v>
      </c>
      <c r="G3963" s="537" t="s">
        <v>39</v>
      </c>
      <c r="H3963" s="537"/>
      <c r="I3963" s="537"/>
      <c r="J3963" s="537"/>
      <c r="K3963" s="184">
        <f>SUM(F3962+K3962+P3962+U3962)</f>
        <v>23511.596750000001</v>
      </c>
      <c r="L3963" s="537" t="s">
        <v>40</v>
      </c>
      <c r="M3963" s="537"/>
      <c r="N3963" s="537"/>
      <c r="O3963" s="537"/>
      <c r="P3963" s="184">
        <f>SUM(K3963*0.15)</f>
        <v>3526.7395124999998</v>
      </c>
      <c r="Q3963" s="537" t="s">
        <v>41</v>
      </c>
      <c r="R3963" s="537"/>
      <c r="S3963" s="537"/>
      <c r="T3963" s="537"/>
      <c r="U3963" s="223">
        <f>SUM(K3963+P3963)</f>
        <v>27038.336262500001</v>
      </c>
    </row>
    <row r="3964" spans="1:21" x14ac:dyDescent="0.25">
      <c r="Q3964" s="537" t="s">
        <v>42</v>
      </c>
      <c r="R3964" s="537"/>
      <c r="S3964" s="537"/>
      <c r="T3964" s="537"/>
      <c r="U3964" s="224">
        <f>ROUND((U3963/50),2)</f>
        <v>540.77</v>
      </c>
    </row>
    <row r="3965" spans="1:21" x14ac:dyDescent="0.25">
      <c r="A3965" s="544"/>
      <c r="B3965" s="544"/>
      <c r="C3965" s="544"/>
      <c r="D3965" s="544"/>
      <c r="E3965" s="544"/>
      <c r="F3965" s="544"/>
      <c r="G3965" s="544"/>
      <c r="H3965" s="544"/>
      <c r="I3965" s="544"/>
      <c r="J3965" s="544"/>
      <c r="K3965" s="544"/>
      <c r="L3965" s="544"/>
      <c r="M3965" s="544"/>
      <c r="N3965" s="544"/>
      <c r="O3965" s="544"/>
      <c r="P3965" s="544"/>
      <c r="Q3965" s="544"/>
      <c r="R3965" s="544"/>
      <c r="S3965" s="544"/>
      <c r="T3965" s="544"/>
      <c r="U3965" s="544"/>
    </row>
    <row r="3966" spans="1:21" x14ac:dyDescent="0.25">
      <c r="A3966" s="538" t="s">
        <v>12</v>
      </c>
      <c r="B3966" s="538"/>
      <c r="C3966" s="540" t="s">
        <v>1099</v>
      </c>
      <c r="D3966" s="540"/>
      <c r="E3966" s="540"/>
      <c r="F3966" s="540"/>
      <c r="G3966" s="540"/>
      <c r="H3966" s="540"/>
      <c r="I3966" s="540"/>
      <c r="J3966" s="540"/>
      <c r="K3966" s="540"/>
      <c r="L3966" s="540"/>
      <c r="M3966" s="540"/>
      <c r="N3966" s="540"/>
      <c r="O3966" s="540"/>
      <c r="P3966" s="540"/>
      <c r="Q3966" s="540"/>
      <c r="R3966" s="540"/>
      <c r="S3966" s="540"/>
      <c r="T3966" s="540"/>
      <c r="U3966" s="541" t="s">
        <v>1100</v>
      </c>
    </row>
    <row r="3967" spans="1:21" x14ac:dyDescent="0.25">
      <c r="A3967" s="538"/>
      <c r="B3967" s="538"/>
      <c r="C3967" s="540"/>
      <c r="D3967" s="540"/>
      <c r="E3967" s="540"/>
      <c r="F3967" s="540"/>
      <c r="G3967" s="540"/>
      <c r="H3967" s="540"/>
      <c r="I3967" s="540"/>
      <c r="J3967" s="540"/>
      <c r="K3967" s="540"/>
      <c r="L3967" s="540"/>
      <c r="M3967" s="540"/>
      <c r="N3967" s="540"/>
      <c r="O3967" s="540"/>
      <c r="P3967" s="540"/>
      <c r="Q3967" s="540"/>
      <c r="R3967" s="540"/>
      <c r="S3967" s="540"/>
      <c r="T3967" s="540"/>
      <c r="U3967" s="541"/>
    </row>
    <row r="3968" spans="1:21" x14ac:dyDescent="0.25">
      <c r="A3968" s="539" t="s">
        <v>1098</v>
      </c>
      <c r="B3968" s="539"/>
      <c r="C3968" s="540"/>
      <c r="D3968" s="540"/>
      <c r="E3968" s="540"/>
      <c r="F3968" s="540"/>
      <c r="G3968" s="540"/>
      <c r="H3968" s="540"/>
      <c r="I3968" s="540"/>
      <c r="J3968" s="540"/>
      <c r="K3968" s="540"/>
      <c r="L3968" s="540"/>
      <c r="M3968" s="540"/>
      <c r="N3968" s="540"/>
      <c r="O3968" s="540"/>
      <c r="P3968" s="540"/>
      <c r="Q3968" s="540"/>
      <c r="R3968" s="540"/>
      <c r="S3968" s="540"/>
      <c r="T3968" s="540"/>
      <c r="U3968" s="541"/>
    </row>
    <row r="3969" spans="1:21" x14ac:dyDescent="0.25">
      <c r="A3969" s="542" t="s">
        <v>16</v>
      </c>
      <c r="B3969" s="543" t="s">
        <v>18</v>
      </c>
      <c r="C3969" s="543"/>
      <c r="D3969" s="543"/>
      <c r="E3969" s="543"/>
      <c r="F3969" s="543"/>
      <c r="G3969" s="543" t="s">
        <v>24</v>
      </c>
      <c r="H3969" s="543"/>
      <c r="I3969" s="543"/>
      <c r="J3969" s="543"/>
      <c r="K3969" s="543"/>
      <c r="L3969" s="543" t="s">
        <v>25</v>
      </c>
      <c r="M3969" s="543"/>
      <c r="N3969" s="543"/>
      <c r="O3969" s="543"/>
      <c r="P3969" s="543"/>
      <c r="Q3969" s="543" t="s">
        <v>26</v>
      </c>
      <c r="R3969" s="543"/>
      <c r="S3969" s="543"/>
      <c r="T3969" s="543"/>
      <c r="U3969" s="543"/>
    </row>
    <row r="3970" spans="1:21" x14ac:dyDescent="0.25">
      <c r="A3970" s="542"/>
      <c r="B3970" s="182" t="s">
        <v>19</v>
      </c>
      <c r="C3970" s="182" t="s">
        <v>20</v>
      </c>
      <c r="D3970" s="182" t="s">
        <v>21</v>
      </c>
      <c r="E3970" s="182" t="s">
        <v>22</v>
      </c>
      <c r="F3970" s="182" t="s">
        <v>23</v>
      </c>
      <c r="G3970" s="182" t="s">
        <v>19</v>
      </c>
      <c r="H3970" s="216" t="s">
        <v>20</v>
      </c>
      <c r="I3970" s="182" t="s">
        <v>21</v>
      </c>
      <c r="J3970" s="182" t="s">
        <v>22</v>
      </c>
      <c r="K3970" s="182" t="s">
        <v>23</v>
      </c>
      <c r="L3970" s="182" t="s">
        <v>19</v>
      </c>
      <c r="M3970" s="182" t="s">
        <v>20</v>
      </c>
      <c r="N3970" s="182" t="s">
        <v>21</v>
      </c>
      <c r="O3970" s="182" t="s">
        <v>22</v>
      </c>
      <c r="P3970" s="182" t="s">
        <v>23</v>
      </c>
      <c r="Q3970" s="182" t="s">
        <v>19</v>
      </c>
      <c r="R3970" s="182" t="s">
        <v>20</v>
      </c>
      <c r="S3970" s="182" t="s">
        <v>21</v>
      </c>
      <c r="T3970" s="182" t="s">
        <v>22</v>
      </c>
      <c r="U3970" s="211" t="s">
        <v>23</v>
      </c>
    </row>
    <row r="3971" spans="1:21" ht="47.25" x14ac:dyDescent="0.25">
      <c r="A3971" s="183" t="s">
        <v>1101</v>
      </c>
      <c r="B3971" s="182" t="s">
        <v>47</v>
      </c>
      <c r="C3971" s="182" t="s">
        <v>28</v>
      </c>
      <c r="D3971" s="182">
        <v>5</v>
      </c>
      <c r="E3971" s="182">
        <f>skilled</f>
        <v>1245</v>
      </c>
      <c r="F3971" s="184">
        <f>(D3971*E3971)</f>
        <v>6225</v>
      </c>
      <c r="G3971" s="182" t="s">
        <v>1102</v>
      </c>
      <c r="H3971" s="216" t="s">
        <v>1103</v>
      </c>
      <c r="I3971" s="182">
        <v>0</v>
      </c>
      <c r="J3971" s="182">
        <f>adopted_rate_part_of_bearing</f>
        <v>0</v>
      </c>
      <c r="K3971" s="182">
        <f>(I3971*J3971)</f>
        <v>0</v>
      </c>
      <c r="L3971" s="182" t="s">
        <v>1105</v>
      </c>
      <c r="M3971" s="182" t="s">
        <v>58</v>
      </c>
      <c r="N3971" s="182">
        <v>72</v>
      </c>
      <c r="O3971" s="182">
        <f>hydraulic_jack</f>
        <v>165</v>
      </c>
      <c r="P3971" s="184">
        <f>(N3971*O3971)</f>
        <v>11880</v>
      </c>
    </row>
    <row r="3972" spans="1:21" x14ac:dyDescent="0.25">
      <c r="B3972" s="182" t="s">
        <v>29</v>
      </c>
      <c r="C3972" s="182" t="s">
        <v>28</v>
      </c>
      <c r="D3972" s="182">
        <v>12</v>
      </c>
      <c r="E3972" s="182">
        <f>unskilled</f>
        <v>935</v>
      </c>
      <c r="F3972" s="184">
        <f>(D3972*E3972)</f>
        <v>11220</v>
      </c>
      <c r="G3972" s="182" t="s">
        <v>1104</v>
      </c>
      <c r="H3972" s="216" t="s">
        <v>84</v>
      </c>
      <c r="I3972" s="182">
        <v>0.15</v>
      </c>
      <c r="J3972" s="182">
        <f>adopted_rate_wooden_packing</f>
        <v>0</v>
      </c>
      <c r="K3972" s="182">
        <f>(I3972*J3972)</f>
        <v>0</v>
      </c>
    </row>
    <row r="3973" spans="1:21" x14ac:dyDescent="0.25">
      <c r="A3973" s="537" t="s">
        <v>30</v>
      </c>
      <c r="B3973" s="537"/>
      <c r="C3973" s="537"/>
      <c r="D3973" s="537"/>
      <c r="E3973" s="537"/>
      <c r="F3973" s="184">
        <f>SUM(F3970:F3972)</f>
        <v>17445</v>
      </c>
      <c r="G3973" s="537" t="s">
        <v>31</v>
      </c>
      <c r="H3973" s="537"/>
      <c r="I3973" s="537"/>
      <c r="J3973" s="537"/>
      <c r="K3973" s="184">
        <f>SUM(K3970:K3972)</f>
        <v>0</v>
      </c>
      <c r="L3973" s="537" t="s">
        <v>32</v>
      </c>
      <c r="M3973" s="537"/>
      <c r="N3973" s="537"/>
      <c r="O3973" s="537"/>
      <c r="P3973" s="184">
        <f>SUM(P3970:P3972)</f>
        <v>11880</v>
      </c>
      <c r="Q3973" s="537" t="s">
        <v>38</v>
      </c>
      <c r="R3973" s="537"/>
      <c r="S3973" s="537"/>
      <c r="T3973" s="537"/>
      <c r="U3973" s="223">
        <f>SUM(U3970:U3972)</f>
        <v>0</v>
      </c>
    </row>
    <row r="3974" spans="1:21" x14ac:dyDescent="0.25">
      <c r="A3974" s="537" t="s">
        <v>33</v>
      </c>
      <c r="B3974" s="537"/>
      <c r="C3974" s="537"/>
      <c r="D3974" s="537"/>
      <c r="E3974" s="537"/>
      <c r="F3974" s="184">
        <f>SUM(F3973+K3973+P3973)</f>
        <v>29325</v>
      </c>
      <c r="G3974" s="537" t="s">
        <v>39</v>
      </c>
      <c r="H3974" s="537"/>
      <c r="I3974" s="537"/>
      <c r="J3974" s="537"/>
      <c r="K3974" s="184">
        <f>SUM(F3973+K3973+P3973+U3973)</f>
        <v>29325</v>
      </c>
      <c r="L3974" s="537" t="s">
        <v>40</v>
      </c>
      <c r="M3974" s="537"/>
      <c r="N3974" s="537"/>
      <c r="O3974" s="537"/>
      <c r="P3974" s="184">
        <f>SUM(K3974*0.15)</f>
        <v>4398.75</v>
      </c>
      <c r="Q3974" s="537" t="s">
        <v>41</v>
      </c>
      <c r="R3974" s="537"/>
      <c r="S3974" s="537"/>
      <c r="T3974" s="537"/>
      <c r="U3974" s="223">
        <f>SUM(K3974+P3974)</f>
        <v>33723.75</v>
      </c>
    </row>
    <row r="3975" spans="1:21" x14ac:dyDescent="0.25">
      <c r="Q3975" s="537" t="s">
        <v>42</v>
      </c>
      <c r="R3975" s="537"/>
      <c r="S3975" s="537"/>
      <c r="T3975" s="537"/>
      <c r="U3975" s="224">
        <f>ROUND((U3974/3),2)</f>
        <v>11241.25</v>
      </c>
    </row>
    <row r="3976" spans="1:21" x14ac:dyDescent="0.25">
      <c r="A3976" s="544"/>
      <c r="B3976" s="544"/>
      <c r="C3976" s="544"/>
      <c r="D3976" s="544"/>
      <c r="E3976" s="544"/>
      <c r="F3976" s="544"/>
      <c r="G3976" s="544"/>
      <c r="H3976" s="544"/>
      <c r="I3976" s="544"/>
      <c r="J3976" s="544"/>
      <c r="K3976" s="544"/>
      <c r="L3976" s="544"/>
      <c r="M3976" s="544"/>
      <c r="N3976" s="544"/>
      <c r="O3976" s="544"/>
      <c r="P3976" s="544"/>
      <c r="Q3976" s="544"/>
      <c r="R3976" s="544"/>
      <c r="S3976" s="544"/>
      <c r="T3976" s="544"/>
      <c r="U3976" s="544"/>
    </row>
    <row r="3977" spans="1:21" x14ac:dyDescent="0.25">
      <c r="A3977" s="538" t="s">
        <v>12</v>
      </c>
      <c r="B3977" s="538"/>
      <c r="C3977" s="540" t="s">
        <v>1106</v>
      </c>
      <c r="D3977" s="540"/>
      <c r="E3977" s="540"/>
      <c r="F3977" s="540"/>
      <c r="G3977" s="540"/>
      <c r="H3977" s="540"/>
      <c r="I3977" s="540"/>
      <c r="J3977" s="540"/>
      <c r="K3977" s="540"/>
      <c r="L3977" s="540"/>
      <c r="M3977" s="540"/>
      <c r="N3977" s="540"/>
      <c r="O3977" s="540"/>
      <c r="P3977" s="540"/>
      <c r="Q3977" s="540"/>
      <c r="R3977" s="540"/>
      <c r="S3977" s="540"/>
      <c r="T3977" s="540"/>
      <c r="U3977" s="541" t="s">
        <v>811</v>
      </c>
    </row>
    <row r="3978" spans="1:21" x14ac:dyDescent="0.25">
      <c r="A3978" s="538"/>
      <c r="B3978" s="538"/>
      <c r="C3978" s="540"/>
      <c r="D3978" s="540"/>
      <c r="E3978" s="540"/>
      <c r="F3978" s="540"/>
      <c r="G3978" s="540"/>
      <c r="H3978" s="540"/>
      <c r="I3978" s="540"/>
      <c r="J3978" s="540"/>
      <c r="K3978" s="540"/>
      <c r="L3978" s="540"/>
      <c r="M3978" s="540"/>
      <c r="N3978" s="540"/>
      <c r="O3978" s="540"/>
      <c r="P3978" s="540"/>
      <c r="Q3978" s="540"/>
      <c r="R3978" s="540"/>
      <c r="S3978" s="540"/>
      <c r="T3978" s="540"/>
      <c r="U3978" s="541"/>
    </row>
    <row r="3979" spans="1:21" x14ac:dyDescent="0.25">
      <c r="A3979" s="539" t="s">
        <v>1094</v>
      </c>
      <c r="B3979" s="539"/>
      <c r="C3979" s="540"/>
      <c r="D3979" s="540"/>
      <c r="E3979" s="540"/>
      <c r="F3979" s="540"/>
      <c r="G3979" s="540"/>
      <c r="H3979" s="540"/>
      <c r="I3979" s="540"/>
      <c r="J3979" s="540"/>
      <c r="K3979" s="540"/>
      <c r="L3979" s="540"/>
      <c r="M3979" s="540"/>
      <c r="N3979" s="540"/>
      <c r="O3979" s="540"/>
      <c r="P3979" s="540"/>
      <c r="Q3979" s="540"/>
      <c r="R3979" s="540"/>
      <c r="S3979" s="540"/>
      <c r="T3979" s="540"/>
      <c r="U3979" s="541"/>
    </row>
    <row r="3980" spans="1:21" x14ac:dyDescent="0.25">
      <c r="A3980" s="542" t="s">
        <v>16</v>
      </c>
      <c r="B3980" s="543" t="s">
        <v>18</v>
      </c>
      <c r="C3980" s="543"/>
      <c r="D3980" s="543"/>
      <c r="E3980" s="543"/>
      <c r="F3980" s="543"/>
      <c r="G3980" s="543" t="s">
        <v>24</v>
      </c>
      <c r="H3980" s="543"/>
      <c r="I3980" s="543"/>
      <c r="J3980" s="543"/>
      <c r="K3980" s="543"/>
      <c r="L3980" s="543" t="s">
        <v>25</v>
      </c>
      <c r="M3980" s="543"/>
      <c r="N3980" s="543"/>
      <c r="O3980" s="543"/>
      <c r="P3980" s="543"/>
      <c r="Q3980" s="543" t="s">
        <v>26</v>
      </c>
      <c r="R3980" s="543"/>
      <c r="S3980" s="543"/>
      <c r="T3980" s="543"/>
      <c r="U3980" s="543"/>
    </row>
    <row r="3981" spans="1:21" x14ac:dyDescent="0.25">
      <c r="A3981" s="542"/>
      <c r="B3981" s="182" t="s">
        <v>19</v>
      </c>
      <c r="C3981" s="182" t="s">
        <v>20</v>
      </c>
      <c r="D3981" s="182" t="s">
        <v>21</v>
      </c>
      <c r="E3981" s="182" t="s">
        <v>22</v>
      </c>
      <c r="F3981" s="182" t="s">
        <v>23</v>
      </c>
      <c r="G3981" s="182" t="s">
        <v>19</v>
      </c>
      <c r="H3981" s="216" t="s">
        <v>20</v>
      </c>
      <c r="I3981" s="182" t="s">
        <v>21</v>
      </c>
      <c r="J3981" s="182" t="s">
        <v>22</v>
      </c>
      <c r="K3981" s="182" t="s">
        <v>23</v>
      </c>
      <c r="L3981" s="182" t="s">
        <v>19</v>
      </c>
      <c r="M3981" s="182" t="s">
        <v>20</v>
      </c>
      <c r="N3981" s="182" t="s">
        <v>21</v>
      </c>
      <c r="O3981" s="182" t="s">
        <v>22</v>
      </c>
      <c r="P3981" s="182" t="s">
        <v>23</v>
      </c>
      <c r="Q3981" s="182" t="s">
        <v>19</v>
      </c>
      <c r="R3981" s="182" t="s">
        <v>20</v>
      </c>
      <c r="S3981" s="182" t="s">
        <v>21</v>
      </c>
      <c r="T3981" s="182" t="s">
        <v>22</v>
      </c>
      <c r="U3981" s="211" t="s">
        <v>23</v>
      </c>
    </row>
    <row r="3982" spans="1:21" ht="94.5" x14ac:dyDescent="0.25">
      <c r="A3982" s="183" t="s">
        <v>1107</v>
      </c>
      <c r="B3982" s="182" t="s">
        <v>1108</v>
      </c>
      <c r="C3982" s="182"/>
      <c r="L3982" s="182" t="s">
        <v>65</v>
      </c>
      <c r="M3982" s="182" t="s">
        <v>58</v>
      </c>
      <c r="N3982" s="182">
        <v>6</v>
      </c>
      <c r="O3982" s="182">
        <f>tractor</f>
        <v>868</v>
      </c>
      <c r="P3982" s="184">
        <f>(N3982*O3982)</f>
        <v>5208</v>
      </c>
    </row>
    <row r="3983" spans="1:21" x14ac:dyDescent="0.25">
      <c r="B3983" s="182" t="s">
        <v>47</v>
      </c>
      <c r="C3983" s="182" t="s">
        <v>28</v>
      </c>
      <c r="D3983" s="182">
        <v>1</v>
      </c>
      <c r="E3983" s="182">
        <f>skilled</f>
        <v>1245</v>
      </c>
      <c r="F3983" s="184">
        <f>(D3983*E3983)</f>
        <v>1245</v>
      </c>
    </row>
    <row r="3984" spans="1:21" x14ac:dyDescent="0.25">
      <c r="B3984" s="182" t="s">
        <v>29</v>
      </c>
      <c r="C3984" s="182" t="s">
        <v>28</v>
      </c>
      <c r="D3984" s="182">
        <v>12</v>
      </c>
      <c r="E3984" s="182">
        <f>unskilled</f>
        <v>935</v>
      </c>
      <c r="F3984" s="184">
        <f>(D3984*E3984)</f>
        <v>11220</v>
      </c>
    </row>
    <row r="3985" spans="1:21" x14ac:dyDescent="0.25">
      <c r="A3985" s="537" t="s">
        <v>30</v>
      </c>
      <c r="B3985" s="537"/>
      <c r="C3985" s="537"/>
      <c r="D3985" s="537"/>
      <c r="E3985" s="537"/>
      <c r="F3985" s="184">
        <f>SUM(F3981:F3984)</f>
        <v>12465</v>
      </c>
      <c r="G3985" s="537" t="s">
        <v>31</v>
      </c>
      <c r="H3985" s="537"/>
      <c r="I3985" s="537"/>
      <c r="J3985" s="537"/>
      <c r="K3985" s="184">
        <f>SUM(K3981:K3984)</f>
        <v>0</v>
      </c>
      <c r="L3985" s="537" t="s">
        <v>32</v>
      </c>
      <c r="M3985" s="537"/>
      <c r="N3985" s="537"/>
      <c r="O3985" s="537"/>
      <c r="P3985" s="184">
        <f>SUM(P3981:P3984)</f>
        <v>5208</v>
      </c>
      <c r="Q3985" s="537" t="s">
        <v>38</v>
      </c>
      <c r="R3985" s="537"/>
      <c r="S3985" s="537"/>
      <c r="T3985" s="537"/>
      <c r="U3985" s="223">
        <f>SUM(U3981:U3984)</f>
        <v>0</v>
      </c>
    </row>
    <row r="3986" spans="1:21" x14ac:dyDescent="0.25">
      <c r="A3986" s="537" t="s">
        <v>33</v>
      </c>
      <c r="B3986" s="537"/>
      <c r="C3986" s="537"/>
      <c r="D3986" s="537"/>
      <c r="E3986" s="537"/>
      <c r="F3986" s="184">
        <f>SUM(F3985+K3985+P3985)</f>
        <v>17673</v>
      </c>
      <c r="G3986" s="537" t="s">
        <v>39</v>
      </c>
      <c r="H3986" s="537"/>
      <c r="I3986" s="537"/>
      <c r="J3986" s="537"/>
      <c r="K3986" s="184">
        <f>SUM(F3985+K3985+P3985+U3985)</f>
        <v>17673</v>
      </c>
      <c r="L3986" s="537" t="s">
        <v>40</v>
      </c>
      <c r="M3986" s="537"/>
      <c r="N3986" s="537"/>
      <c r="O3986" s="537"/>
      <c r="P3986" s="184">
        <f>SUM(K3986*0.15)</f>
        <v>2650.95</v>
      </c>
      <c r="Q3986" s="537" t="s">
        <v>41</v>
      </c>
      <c r="R3986" s="537"/>
      <c r="S3986" s="537"/>
      <c r="T3986" s="537"/>
      <c r="U3986" s="223">
        <f>SUM(K3986+P3986)</f>
        <v>20323.95</v>
      </c>
    </row>
    <row r="3987" spans="1:21" x14ac:dyDescent="0.25">
      <c r="Q3987" s="537" t="s">
        <v>42</v>
      </c>
      <c r="R3987" s="537"/>
      <c r="S3987" s="537"/>
      <c r="T3987" s="537"/>
      <c r="U3987" s="224">
        <f>ROUND((U3986/30),2)</f>
        <v>677.47</v>
      </c>
    </row>
    <row r="3988" spans="1:21" x14ac:dyDescent="0.25">
      <c r="A3988" s="544"/>
      <c r="B3988" s="544"/>
      <c r="C3988" s="544"/>
      <c r="D3988" s="544"/>
      <c r="E3988" s="544"/>
      <c r="F3988" s="544"/>
      <c r="G3988" s="544"/>
      <c r="H3988" s="544"/>
      <c r="I3988" s="544"/>
      <c r="J3988" s="544"/>
      <c r="K3988" s="544"/>
      <c r="L3988" s="544"/>
      <c r="M3988" s="544"/>
      <c r="N3988" s="544"/>
      <c r="O3988" s="544"/>
      <c r="P3988" s="544"/>
      <c r="Q3988" s="544"/>
      <c r="R3988" s="544"/>
      <c r="S3988" s="544"/>
      <c r="T3988" s="544"/>
      <c r="U3988" s="544"/>
    </row>
    <row r="3989" spans="1:21" x14ac:dyDescent="0.25">
      <c r="A3989" s="538" t="s">
        <v>12</v>
      </c>
      <c r="B3989" s="538"/>
      <c r="C3989" s="540" t="s">
        <v>1109</v>
      </c>
      <c r="D3989" s="540"/>
      <c r="E3989" s="540"/>
      <c r="F3989" s="540"/>
      <c r="G3989" s="540"/>
      <c r="H3989" s="540"/>
      <c r="I3989" s="540"/>
      <c r="J3989" s="540"/>
      <c r="K3989" s="540"/>
      <c r="L3989" s="540"/>
      <c r="M3989" s="540"/>
      <c r="N3989" s="540"/>
      <c r="O3989" s="540"/>
      <c r="P3989" s="540"/>
      <c r="Q3989" s="540"/>
      <c r="R3989" s="540"/>
      <c r="S3989" s="540"/>
      <c r="T3989" s="540"/>
      <c r="U3989" s="541" t="s">
        <v>811</v>
      </c>
    </row>
    <row r="3990" spans="1:21" x14ac:dyDescent="0.25">
      <c r="A3990" s="538"/>
      <c r="B3990" s="538"/>
      <c r="C3990" s="540"/>
      <c r="D3990" s="540"/>
      <c r="E3990" s="540"/>
      <c r="F3990" s="540"/>
      <c r="G3990" s="540"/>
      <c r="H3990" s="540"/>
      <c r="I3990" s="540"/>
      <c r="J3990" s="540"/>
      <c r="K3990" s="540"/>
      <c r="L3990" s="540"/>
      <c r="M3990" s="540"/>
      <c r="N3990" s="540"/>
      <c r="O3990" s="540"/>
      <c r="P3990" s="540"/>
      <c r="Q3990" s="540"/>
      <c r="R3990" s="540"/>
      <c r="S3990" s="540"/>
      <c r="T3990" s="540"/>
      <c r="U3990" s="541"/>
    </row>
    <row r="3991" spans="1:21" x14ac:dyDescent="0.25">
      <c r="A3991" s="539" t="s">
        <v>1094</v>
      </c>
      <c r="B3991" s="539"/>
      <c r="C3991" s="540"/>
      <c r="D3991" s="540"/>
      <c r="E3991" s="540"/>
      <c r="F3991" s="540"/>
      <c r="G3991" s="540"/>
      <c r="H3991" s="540"/>
      <c r="I3991" s="540"/>
      <c r="J3991" s="540"/>
      <c r="K3991" s="540"/>
      <c r="L3991" s="540"/>
      <c r="M3991" s="540"/>
      <c r="N3991" s="540"/>
      <c r="O3991" s="540"/>
      <c r="P3991" s="540"/>
      <c r="Q3991" s="540"/>
      <c r="R3991" s="540"/>
      <c r="S3991" s="540"/>
      <c r="T3991" s="540"/>
      <c r="U3991" s="541"/>
    </row>
    <row r="3992" spans="1:21" x14ac:dyDescent="0.25">
      <c r="A3992" s="542" t="s">
        <v>16</v>
      </c>
      <c r="B3992" s="543" t="s">
        <v>18</v>
      </c>
      <c r="C3992" s="543"/>
      <c r="D3992" s="543"/>
      <c r="E3992" s="543"/>
      <c r="F3992" s="543"/>
      <c r="G3992" s="543" t="s">
        <v>24</v>
      </c>
      <c r="H3992" s="543"/>
      <c r="I3992" s="543"/>
      <c r="J3992" s="543"/>
      <c r="K3992" s="543"/>
      <c r="L3992" s="543" t="s">
        <v>25</v>
      </c>
      <c r="M3992" s="543"/>
      <c r="N3992" s="543"/>
      <c r="O3992" s="543"/>
      <c r="P3992" s="543"/>
      <c r="Q3992" s="543" t="s">
        <v>26</v>
      </c>
      <c r="R3992" s="543"/>
      <c r="S3992" s="543"/>
      <c r="T3992" s="543"/>
      <c r="U3992" s="543"/>
    </row>
    <row r="3993" spans="1:21" x14ac:dyDescent="0.25">
      <c r="A3993" s="542"/>
      <c r="B3993" s="182" t="s">
        <v>19</v>
      </c>
      <c r="C3993" s="182" t="s">
        <v>20</v>
      </c>
      <c r="D3993" s="182" t="s">
        <v>21</v>
      </c>
      <c r="E3993" s="182" t="s">
        <v>22</v>
      </c>
      <c r="F3993" s="182" t="s">
        <v>23</v>
      </c>
      <c r="G3993" s="182" t="s">
        <v>19</v>
      </c>
      <c r="H3993" s="216" t="s">
        <v>20</v>
      </c>
      <c r="I3993" s="182" t="s">
        <v>21</v>
      </c>
      <c r="J3993" s="182" t="s">
        <v>22</v>
      </c>
      <c r="K3993" s="182" t="s">
        <v>23</v>
      </c>
      <c r="L3993" s="182" t="s">
        <v>19</v>
      </c>
      <c r="M3993" s="182" t="s">
        <v>20</v>
      </c>
      <c r="N3993" s="182" t="s">
        <v>21</v>
      </c>
      <c r="O3993" s="182" t="s">
        <v>22</v>
      </c>
      <c r="P3993" s="182" t="s">
        <v>23</v>
      </c>
      <c r="Q3993" s="182" t="s">
        <v>19</v>
      </c>
      <c r="R3993" s="182" t="s">
        <v>20</v>
      </c>
      <c r="S3993" s="182" t="s">
        <v>21</v>
      </c>
      <c r="T3993" s="182" t="s">
        <v>22</v>
      </c>
      <c r="U3993" s="211" t="s">
        <v>23</v>
      </c>
    </row>
    <row r="3994" spans="1:21" ht="94.5" x14ac:dyDescent="0.25">
      <c r="A3994" s="183" t="s">
        <v>1110</v>
      </c>
      <c r="B3994" s="182" t="s">
        <v>1108</v>
      </c>
      <c r="C3994" s="182"/>
      <c r="L3994" s="182" t="s">
        <v>65</v>
      </c>
      <c r="M3994" s="182" t="s">
        <v>58</v>
      </c>
      <c r="N3994" s="182">
        <v>6</v>
      </c>
      <c r="O3994" s="182">
        <f>tractor</f>
        <v>868</v>
      </c>
      <c r="P3994" s="184">
        <f>(N3994*O3994)</f>
        <v>5208</v>
      </c>
    </row>
    <row r="3995" spans="1:21" x14ac:dyDescent="0.25">
      <c r="B3995" s="182" t="s">
        <v>47</v>
      </c>
      <c r="C3995" s="182" t="s">
        <v>28</v>
      </c>
      <c r="D3995" s="182">
        <v>1</v>
      </c>
      <c r="E3995" s="182">
        <f>skilled</f>
        <v>1245</v>
      </c>
      <c r="F3995" s="184">
        <f>(D3995*E3995)</f>
        <v>1245</v>
      </c>
    </row>
    <row r="3996" spans="1:21" x14ac:dyDescent="0.25">
      <c r="B3996" s="182" t="s">
        <v>29</v>
      </c>
      <c r="C3996" s="182" t="s">
        <v>28</v>
      </c>
      <c r="D3996" s="182">
        <v>20</v>
      </c>
      <c r="E3996" s="182">
        <f>unskilled</f>
        <v>935</v>
      </c>
      <c r="F3996" s="184">
        <f>(D3996*E3996)</f>
        <v>18700</v>
      </c>
    </row>
    <row r="3997" spans="1:21" x14ac:dyDescent="0.25">
      <c r="A3997" s="537" t="s">
        <v>30</v>
      </c>
      <c r="B3997" s="537"/>
      <c r="C3997" s="537"/>
      <c r="D3997" s="537"/>
      <c r="E3997" s="537"/>
      <c r="F3997" s="184">
        <f>SUM(F3993:F3996)</f>
        <v>19945</v>
      </c>
      <c r="G3997" s="537" t="s">
        <v>31</v>
      </c>
      <c r="H3997" s="537"/>
      <c r="I3997" s="537"/>
      <c r="J3997" s="537"/>
      <c r="K3997" s="184">
        <f>SUM(K3993:K3996)</f>
        <v>0</v>
      </c>
      <c r="L3997" s="537" t="s">
        <v>32</v>
      </c>
      <c r="M3997" s="537"/>
      <c r="N3997" s="537"/>
      <c r="O3997" s="537"/>
      <c r="P3997" s="184">
        <f>SUM(P3993:P3996)</f>
        <v>5208</v>
      </c>
      <c r="Q3997" s="537" t="s">
        <v>38</v>
      </c>
      <c r="R3997" s="537"/>
      <c r="S3997" s="537"/>
      <c r="T3997" s="537"/>
      <c r="U3997" s="223">
        <f>SUM(U3993:U3996)</f>
        <v>0</v>
      </c>
    </row>
    <row r="3998" spans="1:21" x14ac:dyDescent="0.25">
      <c r="A3998" s="537" t="s">
        <v>33</v>
      </c>
      <c r="B3998" s="537"/>
      <c r="C3998" s="537"/>
      <c r="D3998" s="537"/>
      <c r="E3998" s="537"/>
      <c r="F3998" s="184">
        <f>SUM(F3997+K3997+P3997)</f>
        <v>25153</v>
      </c>
      <c r="G3998" s="537" t="s">
        <v>39</v>
      </c>
      <c r="H3998" s="537"/>
      <c r="I3998" s="537"/>
      <c r="J3998" s="537"/>
      <c r="K3998" s="184">
        <f>SUM(F3997+K3997+P3997+U3997)</f>
        <v>25153</v>
      </c>
      <c r="L3998" s="537" t="s">
        <v>40</v>
      </c>
      <c r="M3998" s="537"/>
      <c r="N3998" s="537"/>
      <c r="O3998" s="537"/>
      <c r="P3998" s="184">
        <f>SUM(K3998*0.15)</f>
        <v>3772.95</v>
      </c>
      <c r="Q3998" s="537" t="s">
        <v>41</v>
      </c>
      <c r="R3998" s="537"/>
      <c r="S3998" s="537"/>
      <c r="T3998" s="537"/>
      <c r="U3998" s="223">
        <f>SUM(K3998+P3998)</f>
        <v>28925.95</v>
      </c>
    </row>
    <row r="3999" spans="1:21" x14ac:dyDescent="0.25">
      <c r="Q3999" s="537" t="s">
        <v>42</v>
      </c>
      <c r="R3999" s="537"/>
      <c r="S3999" s="537"/>
      <c r="T3999" s="537"/>
      <c r="U3999" s="224">
        <f>ROUND((U3998/30),2)</f>
        <v>964.2</v>
      </c>
    </row>
    <row r="4000" spans="1:21" x14ac:dyDescent="0.25">
      <c r="A4000" s="544"/>
      <c r="B4000" s="544"/>
      <c r="C4000" s="544"/>
      <c r="D4000" s="544"/>
      <c r="E4000" s="544"/>
      <c r="F4000" s="544"/>
      <c r="G4000" s="544"/>
      <c r="H4000" s="544"/>
      <c r="I4000" s="544"/>
      <c r="J4000" s="544"/>
      <c r="K4000" s="544"/>
      <c r="L4000" s="544"/>
      <c r="M4000" s="544"/>
      <c r="N4000" s="544"/>
      <c r="O4000" s="544"/>
      <c r="P4000" s="544"/>
      <c r="Q4000" s="544"/>
      <c r="R4000" s="544"/>
      <c r="S4000" s="544"/>
      <c r="T4000" s="544"/>
      <c r="U4000" s="544"/>
    </row>
    <row r="4001" spans="1:21" x14ac:dyDescent="0.25">
      <c r="A4001" s="538" t="s">
        <v>12</v>
      </c>
      <c r="B4001" s="538"/>
      <c r="C4001" s="540" t="s">
        <v>1111</v>
      </c>
      <c r="D4001" s="540"/>
      <c r="E4001" s="540"/>
      <c r="F4001" s="540"/>
      <c r="G4001" s="540"/>
      <c r="H4001" s="540"/>
      <c r="I4001" s="540"/>
      <c r="J4001" s="540"/>
      <c r="K4001" s="540"/>
      <c r="L4001" s="540"/>
      <c r="M4001" s="540"/>
      <c r="N4001" s="540"/>
      <c r="O4001" s="540"/>
      <c r="P4001" s="540"/>
      <c r="Q4001" s="540"/>
      <c r="R4001" s="540"/>
      <c r="S4001" s="540"/>
      <c r="T4001" s="540"/>
      <c r="U4001" s="541" t="s">
        <v>811</v>
      </c>
    </row>
    <row r="4002" spans="1:21" x14ac:dyDescent="0.25">
      <c r="A4002" s="538"/>
      <c r="B4002" s="538"/>
      <c r="C4002" s="540"/>
      <c r="D4002" s="540"/>
      <c r="E4002" s="540"/>
      <c r="F4002" s="540"/>
      <c r="G4002" s="540"/>
      <c r="H4002" s="540"/>
      <c r="I4002" s="540"/>
      <c r="J4002" s="540"/>
      <c r="K4002" s="540"/>
      <c r="L4002" s="540"/>
      <c r="M4002" s="540"/>
      <c r="N4002" s="540"/>
      <c r="O4002" s="540"/>
      <c r="P4002" s="540"/>
      <c r="Q4002" s="540"/>
      <c r="R4002" s="540"/>
      <c r="S4002" s="540"/>
      <c r="T4002" s="540"/>
      <c r="U4002" s="541"/>
    </row>
    <row r="4003" spans="1:21" x14ac:dyDescent="0.25">
      <c r="A4003" s="539" t="s">
        <v>1094</v>
      </c>
      <c r="B4003" s="539"/>
      <c r="C4003" s="540"/>
      <c r="D4003" s="540"/>
      <c r="E4003" s="540"/>
      <c r="F4003" s="540"/>
      <c r="G4003" s="540"/>
      <c r="H4003" s="540"/>
      <c r="I4003" s="540"/>
      <c r="J4003" s="540"/>
      <c r="K4003" s="540"/>
      <c r="L4003" s="540"/>
      <c r="M4003" s="540"/>
      <c r="N4003" s="540"/>
      <c r="O4003" s="540"/>
      <c r="P4003" s="540"/>
      <c r="Q4003" s="540"/>
      <c r="R4003" s="540"/>
      <c r="S4003" s="540"/>
      <c r="T4003" s="540"/>
      <c r="U4003" s="541"/>
    </row>
    <row r="4004" spans="1:21" x14ac:dyDescent="0.25">
      <c r="A4004" s="542" t="s">
        <v>16</v>
      </c>
      <c r="B4004" s="543" t="s">
        <v>18</v>
      </c>
      <c r="C4004" s="543"/>
      <c r="D4004" s="543"/>
      <c r="E4004" s="543"/>
      <c r="F4004" s="543"/>
      <c r="G4004" s="543" t="s">
        <v>24</v>
      </c>
      <c r="H4004" s="543"/>
      <c r="I4004" s="543"/>
      <c r="J4004" s="543"/>
      <c r="K4004" s="543"/>
      <c r="L4004" s="543" t="s">
        <v>25</v>
      </c>
      <c r="M4004" s="543"/>
      <c r="N4004" s="543"/>
      <c r="O4004" s="543"/>
      <c r="P4004" s="543"/>
      <c r="Q4004" s="543" t="s">
        <v>26</v>
      </c>
      <c r="R4004" s="543"/>
      <c r="S4004" s="543"/>
      <c r="T4004" s="543"/>
      <c r="U4004" s="543"/>
    </row>
    <row r="4005" spans="1:21" x14ac:dyDescent="0.25">
      <c r="A4005" s="542"/>
      <c r="B4005" s="182" t="s">
        <v>19</v>
      </c>
      <c r="C4005" s="182" t="s">
        <v>20</v>
      </c>
      <c r="D4005" s="182" t="s">
        <v>21</v>
      </c>
      <c r="E4005" s="182" t="s">
        <v>22</v>
      </c>
      <c r="F4005" s="182" t="s">
        <v>23</v>
      </c>
      <c r="G4005" s="182" t="s">
        <v>19</v>
      </c>
      <c r="H4005" s="216" t="s">
        <v>20</v>
      </c>
      <c r="I4005" s="182" t="s">
        <v>21</v>
      </c>
      <c r="J4005" s="182" t="s">
        <v>22</v>
      </c>
      <c r="K4005" s="182" t="s">
        <v>23</v>
      </c>
      <c r="L4005" s="182" t="s">
        <v>19</v>
      </c>
      <c r="M4005" s="182" t="s">
        <v>20</v>
      </c>
      <c r="N4005" s="182" t="s">
        <v>21</v>
      </c>
      <c r="O4005" s="182" t="s">
        <v>22</v>
      </c>
      <c r="P4005" s="182" t="s">
        <v>23</v>
      </c>
      <c r="Q4005" s="182" t="s">
        <v>19</v>
      </c>
      <c r="R4005" s="182" t="s">
        <v>20</v>
      </c>
      <c r="S4005" s="182" t="s">
        <v>21</v>
      </c>
      <c r="T4005" s="182" t="s">
        <v>22</v>
      </c>
      <c r="U4005" s="211" t="s">
        <v>23</v>
      </c>
    </row>
    <row r="4006" spans="1:21" ht="94.5" x14ac:dyDescent="0.25">
      <c r="A4006" s="183" t="s">
        <v>1112</v>
      </c>
      <c r="B4006" s="182" t="s">
        <v>1108</v>
      </c>
      <c r="C4006" s="182"/>
      <c r="L4006" s="182" t="s">
        <v>65</v>
      </c>
      <c r="M4006" s="182" t="s">
        <v>58</v>
      </c>
      <c r="N4006" s="182">
        <v>5</v>
      </c>
      <c r="O4006" s="182">
        <f>tractor</f>
        <v>868</v>
      </c>
      <c r="P4006" s="184">
        <f>(N4006*O4006)</f>
        <v>4340</v>
      </c>
    </row>
    <row r="4007" spans="1:21" x14ac:dyDescent="0.25">
      <c r="B4007" s="182" t="s">
        <v>47</v>
      </c>
      <c r="C4007" s="182" t="s">
        <v>28</v>
      </c>
      <c r="D4007" s="182">
        <v>1</v>
      </c>
      <c r="E4007" s="182">
        <f>skilled</f>
        <v>1245</v>
      </c>
      <c r="F4007" s="184">
        <f>(D4007*E4007)</f>
        <v>1245</v>
      </c>
    </row>
    <row r="4008" spans="1:21" x14ac:dyDescent="0.25">
      <c r="B4008" s="182" t="s">
        <v>29</v>
      </c>
      <c r="C4008" s="182" t="s">
        <v>28</v>
      </c>
      <c r="D4008" s="182">
        <v>12</v>
      </c>
      <c r="E4008" s="182">
        <f>unskilled</f>
        <v>935</v>
      </c>
      <c r="F4008" s="184">
        <f>(D4008*E4008)</f>
        <v>11220</v>
      </c>
    </row>
    <row r="4009" spans="1:21" x14ac:dyDescent="0.25">
      <c r="A4009" s="537" t="s">
        <v>30</v>
      </c>
      <c r="B4009" s="537"/>
      <c r="C4009" s="537"/>
      <c r="D4009" s="537"/>
      <c r="E4009" s="537"/>
      <c r="F4009" s="184">
        <f>SUM(F4005:F4008)</f>
        <v>12465</v>
      </c>
      <c r="G4009" s="537" t="s">
        <v>31</v>
      </c>
      <c r="H4009" s="537"/>
      <c r="I4009" s="537"/>
      <c r="J4009" s="537"/>
      <c r="K4009" s="184">
        <f>SUM(K4005:K4008)</f>
        <v>0</v>
      </c>
      <c r="L4009" s="537" t="s">
        <v>32</v>
      </c>
      <c r="M4009" s="537"/>
      <c r="N4009" s="537"/>
      <c r="O4009" s="537"/>
      <c r="P4009" s="184">
        <f>SUM(P4005:P4008)</f>
        <v>4340</v>
      </c>
      <c r="Q4009" s="537" t="s">
        <v>38</v>
      </c>
      <c r="R4009" s="537"/>
      <c r="S4009" s="537"/>
      <c r="T4009" s="537"/>
      <c r="U4009" s="223">
        <f>SUM(U4005:U4008)</f>
        <v>0</v>
      </c>
    </row>
    <row r="4010" spans="1:21" x14ac:dyDescent="0.25">
      <c r="A4010" s="537" t="s">
        <v>33</v>
      </c>
      <c r="B4010" s="537"/>
      <c r="C4010" s="537"/>
      <c r="D4010" s="537"/>
      <c r="E4010" s="537"/>
      <c r="F4010" s="184">
        <f>SUM(F4009+K4009+P4009)</f>
        <v>16805</v>
      </c>
      <c r="G4010" s="537" t="s">
        <v>39</v>
      </c>
      <c r="H4010" s="537"/>
      <c r="I4010" s="537"/>
      <c r="J4010" s="537"/>
      <c r="K4010" s="184">
        <f>SUM(F4009+K4009+P4009+U4009)</f>
        <v>16805</v>
      </c>
      <c r="L4010" s="537" t="s">
        <v>40</v>
      </c>
      <c r="M4010" s="537"/>
      <c r="N4010" s="537"/>
      <c r="O4010" s="537"/>
      <c r="P4010" s="184">
        <f>SUM(K4010*0.15)</f>
        <v>2520.75</v>
      </c>
      <c r="Q4010" s="537" t="s">
        <v>41</v>
      </c>
      <c r="R4010" s="537"/>
      <c r="S4010" s="537"/>
      <c r="T4010" s="537"/>
      <c r="U4010" s="223">
        <f>SUM(K4010+P4010)</f>
        <v>19325.75</v>
      </c>
    </row>
    <row r="4011" spans="1:21" x14ac:dyDescent="0.25">
      <c r="Q4011" s="537" t="s">
        <v>42</v>
      </c>
      <c r="R4011" s="537"/>
      <c r="S4011" s="537"/>
      <c r="T4011" s="537"/>
      <c r="U4011" s="224">
        <f>ROUND((U4010/30),2)</f>
        <v>644.19000000000005</v>
      </c>
    </row>
    <row r="4012" spans="1:21" x14ac:dyDescent="0.25">
      <c r="A4012" s="544"/>
      <c r="B4012" s="544"/>
      <c r="C4012" s="544"/>
      <c r="D4012" s="544"/>
      <c r="E4012" s="544"/>
      <c r="F4012" s="544"/>
      <c r="G4012" s="544"/>
      <c r="H4012" s="544"/>
      <c r="I4012" s="544"/>
      <c r="J4012" s="544"/>
      <c r="K4012" s="544"/>
      <c r="L4012" s="544"/>
      <c r="M4012" s="544"/>
      <c r="N4012" s="544"/>
      <c r="O4012" s="544"/>
      <c r="P4012" s="544"/>
      <c r="Q4012" s="544"/>
      <c r="R4012" s="544"/>
      <c r="S4012" s="544"/>
      <c r="T4012" s="544"/>
      <c r="U4012" s="544"/>
    </row>
    <row r="4013" spans="1:21" x14ac:dyDescent="0.25">
      <c r="A4013" s="538" t="s">
        <v>12</v>
      </c>
      <c r="B4013" s="538"/>
      <c r="C4013" s="540" t="s">
        <v>1113</v>
      </c>
      <c r="D4013" s="540"/>
      <c r="E4013" s="540"/>
      <c r="F4013" s="540"/>
      <c r="G4013" s="540"/>
      <c r="H4013" s="540"/>
      <c r="I4013" s="540"/>
      <c r="J4013" s="540"/>
      <c r="K4013" s="540"/>
      <c r="L4013" s="540"/>
      <c r="M4013" s="540"/>
      <c r="N4013" s="540"/>
      <c r="O4013" s="540"/>
      <c r="P4013" s="540"/>
      <c r="Q4013" s="540"/>
      <c r="R4013" s="540"/>
      <c r="S4013" s="540"/>
      <c r="T4013" s="540"/>
      <c r="U4013" s="541" t="s">
        <v>811</v>
      </c>
    </row>
    <row r="4014" spans="1:21" x14ac:dyDescent="0.25">
      <c r="A4014" s="538"/>
      <c r="B4014" s="538"/>
      <c r="C4014" s="540"/>
      <c r="D4014" s="540"/>
      <c r="E4014" s="540"/>
      <c r="F4014" s="540"/>
      <c r="G4014" s="540"/>
      <c r="H4014" s="540"/>
      <c r="I4014" s="540"/>
      <c r="J4014" s="540"/>
      <c r="K4014" s="540"/>
      <c r="L4014" s="540"/>
      <c r="M4014" s="540"/>
      <c r="N4014" s="540"/>
      <c r="O4014" s="540"/>
      <c r="P4014" s="540"/>
      <c r="Q4014" s="540"/>
      <c r="R4014" s="540"/>
      <c r="S4014" s="540"/>
      <c r="T4014" s="540"/>
      <c r="U4014" s="541"/>
    </row>
    <row r="4015" spans="1:21" x14ac:dyDescent="0.25">
      <c r="A4015" s="539" t="s">
        <v>1094</v>
      </c>
      <c r="B4015" s="539"/>
      <c r="C4015" s="540"/>
      <c r="D4015" s="540"/>
      <c r="E4015" s="540"/>
      <c r="F4015" s="540"/>
      <c r="G4015" s="540"/>
      <c r="H4015" s="540"/>
      <c r="I4015" s="540"/>
      <c r="J4015" s="540"/>
      <c r="K4015" s="540"/>
      <c r="L4015" s="540"/>
      <c r="M4015" s="540"/>
      <c r="N4015" s="540"/>
      <c r="O4015" s="540"/>
      <c r="P4015" s="540"/>
      <c r="Q4015" s="540"/>
      <c r="R4015" s="540"/>
      <c r="S4015" s="540"/>
      <c r="T4015" s="540"/>
      <c r="U4015" s="541"/>
    </row>
    <row r="4016" spans="1:21" x14ac:dyDescent="0.25">
      <c r="A4016" s="542" t="s">
        <v>16</v>
      </c>
      <c r="B4016" s="543" t="s">
        <v>18</v>
      </c>
      <c r="C4016" s="543"/>
      <c r="D4016" s="543"/>
      <c r="E4016" s="543"/>
      <c r="F4016" s="543"/>
      <c r="G4016" s="543" t="s">
        <v>24</v>
      </c>
      <c r="H4016" s="543"/>
      <c r="I4016" s="543"/>
      <c r="J4016" s="543"/>
      <c r="K4016" s="543"/>
      <c r="L4016" s="543" t="s">
        <v>25</v>
      </c>
      <c r="M4016" s="543"/>
      <c r="N4016" s="543"/>
      <c r="O4016" s="543"/>
      <c r="P4016" s="543"/>
      <c r="Q4016" s="543" t="s">
        <v>26</v>
      </c>
      <c r="R4016" s="543"/>
      <c r="S4016" s="543"/>
      <c r="T4016" s="543"/>
      <c r="U4016" s="543"/>
    </row>
    <row r="4017" spans="1:21" x14ac:dyDescent="0.25">
      <c r="A4017" s="542"/>
      <c r="B4017" s="182" t="s">
        <v>19</v>
      </c>
      <c r="C4017" s="182" t="s">
        <v>20</v>
      </c>
      <c r="D4017" s="182" t="s">
        <v>21</v>
      </c>
      <c r="E4017" s="182" t="s">
        <v>22</v>
      </c>
      <c r="F4017" s="182" t="s">
        <v>23</v>
      </c>
      <c r="G4017" s="182" t="s">
        <v>19</v>
      </c>
      <c r="H4017" s="216" t="s">
        <v>20</v>
      </c>
      <c r="I4017" s="182" t="s">
        <v>21</v>
      </c>
      <c r="J4017" s="182" t="s">
        <v>22</v>
      </c>
      <c r="K4017" s="182" t="s">
        <v>23</v>
      </c>
      <c r="L4017" s="182" t="s">
        <v>19</v>
      </c>
      <c r="M4017" s="182" t="s">
        <v>20</v>
      </c>
      <c r="N4017" s="182" t="s">
        <v>21</v>
      </c>
      <c r="O4017" s="182" t="s">
        <v>22</v>
      </c>
      <c r="P4017" s="182" t="s">
        <v>23</v>
      </c>
      <c r="Q4017" s="182" t="s">
        <v>19</v>
      </c>
      <c r="R4017" s="182" t="s">
        <v>20</v>
      </c>
      <c r="S4017" s="182" t="s">
        <v>21</v>
      </c>
      <c r="T4017" s="182" t="s">
        <v>22</v>
      </c>
      <c r="U4017" s="211" t="s">
        <v>23</v>
      </c>
    </row>
    <row r="4018" spans="1:21" x14ac:dyDescent="0.25">
      <c r="A4018" s="183" t="s">
        <v>1114</v>
      </c>
      <c r="B4018" s="182" t="s">
        <v>47</v>
      </c>
      <c r="C4018" s="182" t="s">
        <v>28</v>
      </c>
      <c r="D4018" s="182">
        <v>1</v>
      </c>
      <c r="E4018" s="182">
        <f>skilled</f>
        <v>1245</v>
      </c>
      <c r="F4018" s="184">
        <f>(D4018*E4018)</f>
        <v>1245</v>
      </c>
      <c r="G4018" s="182" t="s">
        <v>1115</v>
      </c>
      <c r="H4018" s="216" t="s">
        <v>84</v>
      </c>
      <c r="I4018" s="182">
        <v>1</v>
      </c>
      <c r="J4018" s="183">
        <f>(K2093/15)</f>
        <v>13201.57266</v>
      </c>
      <c r="K4018" s="184">
        <f>(I4018*J4018)</f>
        <v>13201.57266</v>
      </c>
    </row>
    <row r="4019" spans="1:21" x14ac:dyDescent="0.25">
      <c r="B4019" s="182" t="s">
        <v>29</v>
      </c>
      <c r="C4019" s="182" t="s">
        <v>28</v>
      </c>
      <c r="D4019" s="182">
        <v>3</v>
      </c>
      <c r="E4019" s="182">
        <f>unskilled</f>
        <v>935</v>
      </c>
      <c r="F4019" s="184">
        <f>(D4019*E4019)</f>
        <v>2805</v>
      </c>
    </row>
    <row r="4020" spans="1:21" x14ac:dyDescent="0.25">
      <c r="A4020" s="537" t="s">
        <v>30</v>
      </c>
      <c r="B4020" s="537"/>
      <c r="C4020" s="537"/>
      <c r="D4020" s="537"/>
      <c r="E4020" s="537"/>
      <c r="F4020" s="184">
        <f>SUM(F4017:F4019)</f>
        <v>4050</v>
      </c>
      <c r="G4020" s="537" t="s">
        <v>31</v>
      </c>
      <c r="H4020" s="537"/>
      <c r="I4020" s="537"/>
      <c r="J4020" s="537"/>
      <c r="K4020" s="184">
        <f>SUM(K4017:K4019)</f>
        <v>13201.57266</v>
      </c>
      <c r="L4020" s="537" t="s">
        <v>32</v>
      </c>
      <c r="M4020" s="537"/>
      <c r="N4020" s="537"/>
      <c r="O4020" s="537"/>
      <c r="P4020" s="184">
        <f>SUM(P4017:P4019)</f>
        <v>0</v>
      </c>
      <c r="Q4020" s="537" t="s">
        <v>38</v>
      </c>
      <c r="R4020" s="537"/>
      <c r="S4020" s="537"/>
      <c r="T4020" s="537"/>
      <c r="U4020" s="223">
        <f>SUM(U4017:U4019)</f>
        <v>0</v>
      </c>
    </row>
    <row r="4021" spans="1:21" x14ac:dyDescent="0.25">
      <c r="A4021" s="537" t="s">
        <v>33</v>
      </c>
      <c r="B4021" s="537"/>
      <c r="C4021" s="537"/>
      <c r="D4021" s="537"/>
      <c r="E4021" s="537"/>
      <c r="F4021" s="184">
        <f>SUM(F4020+K4020+P4020)</f>
        <v>17251.572659999998</v>
      </c>
      <c r="G4021" s="537" t="s">
        <v>39</v>
      </c>
      <c r="H4021" s="537"/>
      <c r="I4021" s="537"/>
      <c r="J4021" s="537"/>
      <c r="K4021" s="184">
        <f>SUM(F4020+K4020+P4020+U4020)</f>
        <v>17251.572659999998</v>
      </c>
      <c r="L4021" s="537" t="s">
        <v>40</v>
      </c>
      <c r="M4021" s="537"/>
      <c r="N4021" s="537"/>
      <c r="O4021" s="537"/>
      <c r="P4021" s="184">
        <f>SUM(K4021*0.15)</f>
        <v>2587.7358989999998</v>
      </c>
      <c r="Q4021" s="537" t="s">
        <v>41</v>
      </c>
      <c r="R4021" s="537"/>
      <c r="S4021" s="537"/>
      <c r="T4021" s="537"/>
      <c r="U4021" s="223">
        <f>SUM(K4021+P4021)</f>
        <v>19839.308558999997</v>
      </c>
    </row>
    <row r="4022" spans="1:21" x14ac:dyDescent="0.25">
      <c r="Q4022" s="537" t="s">
        <v>42</v>
      </c>
      <c r="R4022" s="537"/>
      <c r="S4022" s="537"/>
      <c r="T4022" s="537"/>
      <c r="U4022" s="224">
        <f>ROUND((U4021/30),2)</f>
        <v>661.31</v>
      </c>
    </row>
    <row r="4023" spans="1:21" x14ac:dyDescent="0.25">
      <c r="A4023" s="544"/>
      <c r="B4023" s="544"/>
      <c r="C4023" s="544"/>
      <c r="D4023" s="544"/>
      <c r="E4023" s="544"/>
      <c r="F4023" s="544"/>
      <c r="G4023" s="544"/>
      <c r="H4023" s="544"/>
      <c r="I4023" s="544"/>
      <c r="J4023" s="544"/>
      <c r="K4023" s="544"/>
      <c r="L4023" s="544"/>
      <c r="M4023" s="544"/>
      <c r="N4023" s="544"/>
      <c r="O4023" s="544"/>
      <c r="P4023" s="544"/>
      <c r="Q4023" s="544"/>
      <c r="R4023" s="544"/>
      <c r="S4023" s="544"/>
      <c r="T4023" s="544"/>
      <c r="U4023" s="544"/>
    </row>
    <row r="4024" spans="1:21" x14ac:dyDescent="0.25">
      <c r="A4024" s="538" t="s">
        <v>12</v>
      </c>
      <c r="B4024" s="538"/>
      <c r="C4024" s="540" t="s">
        <v>1116</v>
      </c>
      <c r="D4024" s="540"/>
      <c r="E4024" s="540"/>
      <c r="F4024" s="540"/>
      <c r="G4024" s="540"/>
      <c r="H4024" s="540"/>
      <c r="I4024" s="540"/>
      <c r="J4024" s="540"/>
      <c r="K4024" s="540"/>
      <c r="L4024" s="540"/>
      <c r="M4024" s="540"/>
      <c r="N4024" s="540"/>
      <c r="O4024" s="540"/>
      <c r="P4024" s="540"/>
      <c r="Q4024" s="540"/>
      <c r="R4024" s="540"/>
      <c r="S4024" s="540"/>
      <c r="T4024" s="540"/>
      <c r="U4024" s="541" t="s">
        <v>811</v>
      </c>
    </row>
    <row r="4025" spans="1:21" x14ac:dyDescent="0.25">
      <c r="A4025" s="538"/>
      <c r="B4025" s="538"/>
      <c r="C4025" s="540"/>
      <c r="D4025" s="540"/>
      <c r="E4025" s="540"/>
      <c r="F4025" s="540"/>
      <c r="G4025" s="540"/>
      <c r="H4025" s="540"/>
      <c r="I4025" s="540"/>
      <c r="J4025" s="540"/>
      <c r="K4025" s="540"/>
      <c r="L4025" s="540"/>
      <c r="M4025" s="540"/>
      <c r="N4025" s="540"/>
      <c r="O4025" s="540"/>
      <c r="P4025" s="540"/>
      <c r="Q4025" s="540"/>
      <c r="R4025" s="540"/>
      <c r="S4025" s="540"/>
      <c r="T4025" s="540"/>
      <c r="U4025" s="541"/>
    </row>
    <row r="4026" spans="1:21" x14ac:dyDescent="0.25">
      <c r="A4026" s="539" t="s">
        <v>1094</v>
      </c>
      <c r="B4026" s="539"/>
      <c r="C4026" s="540"/>
      <c r="D4026" s="540"/>
      <c r="E4026" s="540"/>
      <c r="F4026" s="540"/>
      <c r="G4026" s="540"/>
      <c r="H4026" s="540"/>
      <c r="I4026" s="540"/>
      <c r="J4026" s="540"/>
      <c r="K4026" s="540"/>
      <c r="L4026" s="540"/>
      <c r="M4026" s="540"/>
      <c r="N4026" s="540"/>
      <c r="O4026" s="540"/>
      <c r="P4026" s="540"/>
      <c r="Q4026" s="540"/>
      <c r="R4026" s="540"/>
      <c r="S4026" s="540"/>
      <c r="T4026" s="540"/>
      <c r="U4026" s="541"/>
    </row>
    <row r="4027" spans="1:21" x14ac:dyDescent="0.25">
      <c r="A4027" s="542" t="s">
        <v>16</v>
      </c>
      <c r="B4027" s="543" t="s">
        <v>18</v>
      </c>
      <c r="C4027" s="543"/>
      <c r="D4027" s="543"/>
      <c r="E4027" s="543"/>
      <c r="F4027" s="543"/>
      <c r="G4027" s="543" t="s">
        <v>24</v>
      </c>
      <c r="H4027" s="543"/>
      <c r="I4027" s="543"/>
      <c r="J4027" s="543"/>
      <c r="K4027" s="543"/>
      <c r="L4027" s="543" t="s">
        <v>25</v>
      </c>
      <c r="M4027" s="543"/>
      <c r="N4027" s="543"/>
      <c r="O4027" s="543"/>
      <c r="P4027" s="543"/>
      <c r="Q4027" s="543" t="s">
        <v>26</v>
      </c>
      <c r="R4027" s="543"/>
      <c r="S4027" s="543"/>
      <c r="T4027" s="543"/>
      <c r="U4027" s="543"/>
    </row>
    <row r="4028" spans="1:21" x14ac:dyDescent="0.25">
      <c r="A4028" s="542"/>
      <c r="B4028" s="182" t="s">
        <v>19</v>
      </c>
      <c r="C4028" s="182" t="s">
        <v>20</v>
      </c>
      <c r="D4028" s="182" t="s">
        <v>21</v>
      </c>
      <c r="E4028" s="182" t="s">
        <v>22</v>
      </c>
      <c r="F4028" s="182" t="s">
        <v>23</v>
      </c>
      <c r="G4028" s="182" t="s">
        <v>19</v>
      </c>
      <c r="H4028" s="216" t="s">
        <v>20</v>
      </c>
      <c r="I4028" s="182" t="s">
        <v>21</v>
      </c>
      <c r="J4028" s="182" t="s">
        <v>22</v>
      </c>
      <c r="K4028" s="182" t="s">
        <v>23</v>
      </c>
      <c r="L4028" s="182" t="s">
        <v>19</v>
      </c>
      <c r="M4028" s="182" t="s">
        <v>20</v>
      </c>
      <c r="N4028" s="182" t="s">
        <v>21</v>
      </c>
      <c r="O4028" s="182" t="s">
        <v>22</v>
      </c>
      <c r="P4028" s="182" t="s">
        <v>23</v>
      </c>
      <c r="Q4028" s="182" t="s">
        <v>19</v>
      </c>
      <c r="R4028" s="182" t="s">
        <v>20</v>
      </c>
      <c r="S4028" s="182" t="s">
        <v>21</v>
      </c>
      <c r="T4028" s="182" t="s">
        <v>22</v>
      </c>
      <c r="U4028" s="211" t="s">
        <v>23</v>
      </c>
    </row>
    <row r="4029" spans="1:21" x14ac:dyDescent="0.25">
      <c r="A4029" s="183" t="s">
        <v>1117</v>
      </c>
      <c r="B4029" s="182" t="s">
        <v>47</v>
      </c>
      <c r="C4029" s="182" t="s">
        <v>28</v>
      </c>
      <c r="D4029" s="182">
        <v>1</v>
      </c>
      <c r="E4029" s="182">
        <f>skilled</f>
        <v>1245</v>
      </c>
      <c r="F4029" s="184">
        <f>(D4029*E4029)</f>
        <v>1245</v>
      </c>
      <c r="G4029" s="182" t="s">
        <v>1115</v>
      </c>
      <c r="H4029" s="216" t="s">
        <v>84</v>
      </c>
      <c r="I4029" s="182">
        <v>0.3</v>
      </c>
      <c r="J4029" s="183">
        <f>(K2093/15)</f>
        <v>13201.57266</v>
      </c>
      <c r="K4029" s="184">
        <f>(I4029*J4029)</f>
        <v>3960.4717979999996</v>
      </c>
    </row>
    <row r="4030" spans="1:21" x14ac:dyDescent="0.25">
      <c r="B4030" s="182" t="s">
        <v>29</v>
      </c>
      <c r="C4030" s="182" t="s">
        <v>28</v>
      </c>
      <c r="D4030" s="182">
        <v>2</v>
      </c>
      <c r="E4030" s="182">
        <f>unskilled</f>
        <v>935</v>
      </c>
      <c r="F4030" s="184">
        <f>(D4030*E4030)</f>
        <v>1870</v>
      </c>
      <c r="G4030" s="182" t="s">
        <v>1118</v>
      </c>
      <c r="H4030" s="216" t="s">
        <v>35</v>
      </c>
      <c r="I4030" s="182">
        <v>0.03</v>
      </c>
      <c r="J4030" s="183">
        <f>(K4448/1)</f>
        <v>127160.00000000001</v>
      </c>
      <c r="K4030" s="184">
        <f>(I4030*J4030)</f>
        <v>3814.8</v>
      </c>
    </row>
    <row r="4031" spans="1:21" x14ac:dyDescent="0.25">
      <c r="A4031" s="537" t="s">
        <v>30</v>
      </c>
      <c r="B4031" s="537"/>
      <c r="C4031" s="537"/>
      <c r="D4031" s="537"/>
      <c r="E4031" s="537"/>
      <c r="F4031" s="184">
        <f>SUM(F4028:F4030)</f>
        <v>3115</v>
      </c>
      <c r="G4031" s="537" t="s">
        <v>31</v>
      </c>
      <c r="H4031" s="537"/>
      <c r="I4031" s="537"/>
      <c r="J4031" s="537"/>
      <c r="K4031" s="184">
        <f>SUM(K4028:K4030)</f>
        <v>7775.2717979999998</v>
      </c>
      <c r="L4031" s="537" t="s">
        <v>32</v>
      </c>
      <c r="M4031" s="537"/>
      <c r="N4031" s="537"/>
      <c r="O4031" s="537"/>
      <c r="P4031" s="184">
        <f>SUM(P4028:P4030)</f>
        <v>0</v>
      </c>
      <c r="Q4031" s="537" t="s">
        <v>38</v>
      </c>
      <c r="R4031" s="537"/>
      <c r="S4031" s="537"/>
      <c r="T4031" s="537"/>
      <c r="U4031" s="223">
        <f>SUM(U4028:U4030)</f>
        <v>0</v>
      </c>
    </row>
    <row r="4032" spans="1:21" x14ac:dyDescent="0.25">
      <c r="A4032" s="537" t="s">
        <v>33</v>
      </c>
      <c r="B4032" s="537"/>
      <c r="C4032" s="537"/>
      <c r="D4032" s="537"/>
      <c r="E4032" s="537"/>
      <c r="F4032" s="184">
        <f>SUM(F4031+K4031+P4031)</f>
        <v>10890.271798</v>
      </c>
      <c r="G4032" s="537" t="s">
        <v>39</v>
      </c>
      <c r="H4032" s="537"/>
      <c r="I4032" s="537"/>
      <c r="J4032" s="537"/>
      <c r="K4032" s="184">
        <f>SUM(F4031+K4031+P4031+U4031)</f>
        <v>10890.271798</v>
      </c>
      <c r="L4032" s="537" t="s">
        <v>40</v>
      </c>
      <c r="M4032" s="537"/>
      <c r="N4032" s="537"/>
      <c r="O4032" s="537"/>
      <c r="P4032" s="184">
        <f>SUM(K4032*0.15)</f>
        <v>1633.5407696999998</v>
      </c>
      <c r="Q4032" s="537" t="s">
        <v>41</v>
      </c>
      <c r="R4032" s="537"/>
      <c r="S4032" s="537"/>
      <c r="T4032" s="537"/>
      <c r="U4032" s="223">
        <f>SUM(K4032+P4032)</f>
        <v>12523.812567699999</v>
      </c>
    </row>
    <row r="4033" spans="1:21" x14ac:dyDescent="0.25">
      <c r="Q4033" s="537" t="s">
        <v>42</v>
      </c>
      <c r="R4033" s="537"/>
      <c r="S4033" s="537"/>
      <c r="T4033" s="537"/>
      <c r="U4033" s="224">
        <f>ROUND((U4032/30),2)</f>
        <v>417.46</v>
      </c>
    </row>
    <row r="4034" spans="1:21" x14ac:dyDescent="0.25">
      <c r="A4034" s="544"/>
      <c r="B4034" s="544"/>
      <c r="C4034" s="544"/>
      <c r="D4034" s="544"/>
      <c r="E4034" s="544"/>
      <c r="F4034" s="544"/>
      <c r="G4034" s="544"/>
      <c r="H4034" s="544"/>
      <c r="I4034" s="544"/>
      <c r="J4034" s="544"/>
      <c r="K4034" s="544"/>
      <c r="L4034" s="544"/>
      <c r="M4034" s="544"/>
      <c r="N4034" s="544"/>
      <c r="O4034" s="544"/>
      <c r="P4034" s="544"/>
      <c r="Q4034" s="544"/>
      <c r="R4034" s="544"/>
      <c r="S4034" s="544"/>
      <c r="T4034" s="544"/>
      <c r="U4034" s="544"/>
    </row>
    <row r="4035" spans="1:21" x14ac:dyDescent="0.25">
      <c r="A4035" s="538" t="s">
        <v>12</v>
      </c>
      <c r="B4035" s="538"/>
      <c r="C4035" s="540" t="s">
        <v>1119</v>
      </c>
      <c r="D4035" s="540"/>
      <c r="E4035" s="540"/>
      <c r="F4035" s="540"/>
      <c r="G4035" s="540"/>
      <c r="H4035" s="540"/>
      <c r="I4035" s="540"/>
      <c r="J4035" s="540"/>
      <c r="K4035" s="540"/>
      <c r="L4035" s="540"/>
      <c r="M4035" s="540"/>
      <c r="N4035" s="540"/>
      <c r="O4035" s="540"/>
      <c r="P4035" s="540"/>
      <c r="Q4035" s="540"/>
      <c r="R4035" s="540"/>
      <c r="S4035" s="540"/>
      <c r="T4035" s="540"/>
      <c r="U4035" s="541" t="s">
        <v>811</v>
      </c>
    </row>
    <row r="4036" spans="1:21" x14ac:dyDescent="0.25">
      <c r="A4036" s="538"/>
      <c r="B4036" s="538"/>
      <c r="C4036" s="540"/>
      <c r="D4036" s="540"/>
      <c r="E4036" s="540"/>
      <c r="F4036" s="540"/>
      <c r="G4036" s="540"/>
      <c r="H4036" s="540"/>
      <c r="I4036" s="540"/>
      <c r="J4036" s="540"/>
      <c r="K4036" s="540"/>
      <c r="L4036" s="540"/>
      <c r="M4036" s="540"/>
      <c r="N4036" s="540"/>
      <c r="O4036" s="540"/>
      <c r="P4036" s="540"/>
      <c r="Q4036" s="540"/>
      <c r="R4036" s="540"/>
      <c r="S4036" s="540"/>
      <c r="T4036" s="540"/>
      <c r="U4036" s="541"/>
    </row>
    <row r="4037" spans="1:21" x14ac:dyDescent="0.25">
      <c r="A4037" s="539" t="s">
        <v>1094</v>
      </c>
      <c r="B4037" s="539"/>
      <c r="C4037" s="540"/>
      <c r="D4037" s="540"/>
      <c r="E4037" s="540"/>
      <c r="F4037" s="540"/>
      <c r="G4037" s="540"/>
      <c r="H4037" s="540"/>
      <c r="I4037" s="540"/>
      <c r="J4037" s="540"/>
      <c r="K4037" s="540"/>
      <c r="L4037" s="540"/>
      <c r="M4037" s="540"/>
      <c r="N4037" s="540"/>
      <c r="O4037" s="540"/>
      <c r="P4037" s="540"/>
      <c r="Q4037" s="540"/>
      <c r="R4037" s="540"/>
      <c r="S4037" s="540"/>
      <c r="T4037" s="540"/>
      <c r="U4037" s="541"/>
    </row>
    <row r="4038" spans="1:21" x14ac:dyDescent="0.25">
      <c r="A4038" s="542" t="s">
        <v>16</v>
      </c>
      <c r="B4038" s="543" t="s">
        <v>18</v>
      </c>
      <c r="C4038" s="543"/>
      <c r="D4038" s="543"/>
      <c r="E4038" s="543"/>
      <c r="F4038" s="543"/>
      <c r="G4038" s="543" t="s">
        <v>24</v>
      </c>
      <c r="H4038" s="543"/>
      <c r="I4038" s="543"/>
      <c r="J4038" s="543"/>
      <c r="K4038" s="543"/>
      <c r="L4038" s="543" t="s">
        <v>25</v>
      </c>
      <c r="M4038" s="543"/>
      <c r="N4038" s="543"/>
      <c r="O4038" s="543"/>
      <c r="P4038" s="543"/>
      <c r="Q4038" s="543" t="s">
        <v>26</v>
      </c>
      <c r="R4038" s="543"/>
      <c r="S4038" s="543"/>
      <c r="T4038" s="543"/>
      <c r="U4038" s="543"/>
    </row>
    <row r="4039" spans="1:21" x14ac:dyDescent="0.25">
      <c r="A4039" s="542"/>
      <c r="B4039" s="182" t="s">
        <v>19</v>
      </c>
      <c r="C4039" s="182" t="s">
        <v>20</v>
      </c>
      <c r="D4039" s="182" t="s">
        <v>21</v>
      </c>
      <c r="E4039" s="182" t="s">
        <v>22</v>
      </c>
      <c r="F4039" s="182" t="s">
        <v>23</v>
      </c>
      <c r="G4039" s="182" t="s">
        <v>19</v>
      </c>
      <c r="H4039" s="216" t="s">
        <v>20</v>
      </c>
      <c r="I4039" s="182" t="s">
        <v>21</v>
      </c>
      <c r="J4039" s="182" t="s">
        <v>22</v>
      </c>
      <c r="K4039" s="182" t="s">
        <v>23</v>
      </c>
      <c r="L4039" s="182" t="s">
        <v>19</v>
      </c>
      <c r="M4039" s="182" t="s">
        <v>20</v>
      </c>
      <c r="N4039" s="182" t="s">
        <v>21</v>
      </c>
      <c r="O4039" s="182" t="s">
        <v>22</v>
      </c>
      <c r="P4039" s="182" t="s">
        <v>23</v>
      </c>
      <c r="Q4039" s="182" t="s">
        <v>19</v>
      </c>
      <c r="R4039" s="182" t="s">
        <v>20</v>
      </c>
      <c r="S4039" s="182" t="s">
        <v>21</v>
      </c>
      <c r="T4039" s="182" t="s">
        <v>22</v>
      </c>
      <c r="U4039" s="211" t="s">
        <v>23</v>
      </c>
    </row>
    <row r="4040" spans="1:21" x14ac:dyDescent="0.25">
      <c r="A4040" s="183" t="s">
        <v>1120</v>
      </c>
      <c r="B4040" s="182" t="s">
        <v>47</v>
      </c>
      <c r="C4040" s="182" t="s">
        <v>28</v>
      </c>
      <c r="D4040" s="182">
        <v>1</v>
      </c>
      <c r="E4040" s="182">
        <f>skilled</f>
        <v>1245</v>
      </c>
      <c r="F4040" s="184">
        <f>(D4040*E4040)</f>
        <v>1245</v>
      </c>
      <c r="G4040" s="182" t="s">
        <v>1121</v>
      </c>
      <c r="H4040" s="216" t="s">
        <v>144</v>
      </c>
      <c r="I4040" s="182">
        <v>87</v>
      </c>
      <c r="J4040" s="182">
        <f>adopted_rate_ms_channel</f>
        <v>0</v>
      </c>
      <c r="K4040" s="182">
        <f>(I4040*J4040)</f>
        <v>0</v>
      </c>
    </row>
    <row r="4041" spans="1:21" x14ac:dyDescent="0.25">
      <c r="B4041" s="182" t="s">
        <v>29</v>
      </c>
      <c r="C4041" s="182" t="s">
        <v>28</v>
      </c>
      <c r="D4041" s="182">
        <v>2</v>
      </c>
      <c r="E4041" s="182">
        <f>unskilled</f>
        <v>935</v>
      </c>
      <c r="F4041" s="184">
        <f>(D4041*E4041)</f>
        <v>1870</v>
      </c>
      <c r="G4041" s="182" t="s">
        <v>1122</v>
      </c>
      <c r="H4041" s="216" t="s">
        <v>144</v>
      </c>
      <c r="I4041" s="182">
        <v>30</v>
      </c>
      <c r="J4041" s="182">
        <f>adopted_rate_ms_plate</f>
        <v>0</v>
      </c>
      <c r="K4041" s="182">
        <f>(I4041*J4041)</f>
        <v>0</v>
      </c>
    </row>
    <row r="4042" spans="1:21" x14ac:dyDescent="0.25">
      <c r="G4042" s="182" t="s">
        <v>1123</v>
      </c>
      <c r="H4042" s="216" t="s">
        <v>144</v>
      </c>
      <c r="I4042" s="182">
        <v>30</v>
      </c>
      <c r="J4042" s="182">
        <f>adopted_rate_nuts_bolts</f>
        <v>195</v>
      </c>
      <c r="K4042" s="182">
        <f>(I4042*J4042)</f>
        <v>5850</v>
      </c>
    </row>
    <row r="4043" spans="1:21" x14ac:dyDescent="0.25">
      <c r="G4043" s="182" t="s">
        <v>1124</v>
      </c>
      <c r="H4043" s="216"/>
      <c r="K4043" s="184">
        <f>(SUM(K4040:K4042)*5/100)</f>
        <v>292.5</v>
      </c>
    </row>
    <row r="4044" spans="1:21" x14ac:dyDescent="0.25">
      <c r="A4044" s="537" t="s">
        <v>30</v>
      </c>
      <c r="B4044" s="537"/>
      <c r="C4044" s="537"/>
      <c r="D4044" s="537"/>
      <c r="E4044" s="537"/>
      <c r="F4044" s="184">
        <f>SUM(F4039:F4043)</f>
        <v>3115</v>
      </c>
      <c r="G4044" s="537" t="s">
        <v>31</v>
      </c>
      <c r="H4044" s="537"/>
      <c r="I4044" s="537"/>
      <c r="J4044" s="537"/>
      <c r="K4044" s="184">
        <f>SUM(K4039:K4043)</f>
        <v>6142.5</v>
      </c>
      <c r="L4044" s="537" t="s">
        <v>32</v>
      </c>
      <c r="M4044" s="537"/>
      <c r="N4044" s="537"/>
      <c r="O4044" s="537"/>
      <c r="P4044" s="184">
        <f>SUM(P4039:P4043)</f>
        <v>0</v>
      </c>
      <c r="Q4044" s="537" t="s">
        <v>38</v>
      </c>
      <c r="R4044" s="537"/>
      <c r="S4044" s="537"/>
      <c r="T4044" s="537"/>
      <c r="U4044" s="223">
        <f>SUM(U4039:U4043)</f>
        <v>0</v>
      </c>
    </row>
    <row r="4045" spans="1:21" x14ac:dyDescent="0.25">
      <c r="A4045" s="537" t="s">
        <v>33</v>
      </c>
      <c r="B4045" s="537"/>
      <c r="C4045" s="537"/>
      <c r="D4045" s="537"/>
      <c r="E4045" s="537"/>
      <c r="F4045" s="184">
        <f>SUM(F4044+K4044+P4044)</f>
        <v>9257.5</v>
      </c>
      <c r="G4045" s="537" t="s">
        <v>39</v>
      </c>
      <c r="H4045" s="537"/>
      <c r="I4045" s="537"/>
      <c r="J4045" s="537"/>
      <c r="K4045" s="184">
        <f>SUM(F4044+K4044+P4044+U4044)</f>
        <v>9257.5</v>
      </c>
      <c r="L4045" s="537" t="s">
        <v>40</v>
      </c>
      <c r="M4045" s="537"/>
      <c r="N4045" s="537"/>
      <c r="O4045" s="537"/>
      <c r="P4045" s="184">
        <f>SUM(K4045*0.15)</f>
        <v>1388.625</v>
      </c>
      <c r="Q4045" s="537" t="s">
        <v>41</v>
      </c>
      <c r="R4045" s="537"/>
      <c r="S4045" s="537"/>
      <c r="T4045" s="537"/>
      <c r="U4045" s="223">
        <f>SUM(K4045+P4045)</f>
        <v>10646.125</v>
      </c>
    </row>
    <row r="4046" spans="1:21" x14ac:dyDescent="0.25">
      <c r="Q4046" s="537" t="s">
        <v>42</v>
      </c>
      <c r="R4046" s="537"/>
      <c r="S4046" s="537"/>
      <c r="T4046" s="537"/>
      <c r="U4046" s="224">
        <f>ROUND((U4045/30),2)</f>
        <v>354.87</v>
      </c>
    </row>
    <row r="4047" spans="1:21" x14ac:dyDescent="0.25">
      <c r="A4047" s="544"/>
      <c r="B4047" s="544"/>
      <c r="C4047" s="544"/>
      <c r="D4047" s="544"/>
      <c r="E4047" s="544"/>
      <c r="F4047" s="544"/>
      <c r="G4047" s="544"/>
      <c r="H4047" s="544"/>
      <c r="I4047" s="544"/>
      <c r="J4047" s="544"/>
      <c r="K4047" s="544"/>
      <c r="L4047" s="544"/>
      <c r="M4047" s="544"/>
      <c r="N4047" s="544"/>
      <c r="O4047" s="544"/>
      <c r="P4047" s="544"/>
      <c r="Q4047" s="544"/>
      <c r="R4047" s="544"/>
      <c r="S4047" s="544"/>
      <c r="T4047" s="544"/>
      <c r="U4047" s="544"/>
    </row>
    <row r="4048" spans="1:21" x14ac:dyDescent="0.25">
      <c r="A4048" s="538" t="s">
        <v>12</v>
      </c>
      <c r="B4048" s="538"/>
      <c r="C4048" s="540" t="s">
        <v>1126</v>
      </c>
      <c r="D4048" s="540"/>
      <c r="E4048" s="540"/>
      <c r="F4048" s="540"/>
      <c r="G4048" s="540"/>
      <c r="H4048" s="540"/>
      <c r="I4048" s="540"/>
      <c r="J4048" s="540"/>
      <c r="K4048" s="540"/>
      <c r="L4048" s="540"/>
      <c r="M4048" s="540"/>
      <c r="N4048" s="540"/>
      <c r="O4048" s="540"/>
      <c r="P4048" s="540"/>
      <c r="Q4048" s="540"/>
      <c r="R4048" s="540"/>
      <c r="S4048" s="540"/>
      <c r="T4048" s="540"/>
      <c r="U4048" s="541" t="s">
        <v>453</v>
      </c>
    </row>
    <row r="4049" spans="1:21" x14ac:dyDescent="0.25">
      <c r="A4049" s="538"/>
      <c r="B4049" s="538"/>
      <c r="C4049" s="540"/>
      <c r="D4049" s="540"/>
      <c r="E4049" s="540"/>
      <c r="F4049" s="540"/>
      <c r="G4049" s="540"/>
      <c r="H4049" s="540"/>
      <c r="I4049" s="540"/>
      <c r="J4049" s="540"/>
      <c r="K4049" s="540"/>
      <c r="L4049" s="540"/>
      <c r="M4049" s="540"/>
      <c r="N4049" s="540"/>
      <c r="O4049" s="540"/>
      <c r="P4049" s="540"/>
      <c r="Q4049" s="540"/>
      <c r="R4049" s="540"/>
      <c r="S4049" s="540"/>
      <c r="T4049" s="540"/>
      <c r="U4049" s="541"/>
    </row>
    <row r="4050" spans="1:21" x14ac:dyDescent="0.25">
      <c r="A4050" s="539" t="s">
        <v>1125</v>
      </c>
      <c r="B4050" s="539"/>
      <c r="C4050" s="540"/>
      <c r="D4050" s="540"/>
      <c r="E4050" s="540"/>
      <c r="F4050" s="540"/>
      <c r="G4050" s="540"/>
      <c r="H4050" s="540"/>
      <c r="I4050" s="540"/>
      <c r="J4050" s="540"/>
      <c r="K4050" s="540"/>
      <c r="L4050" s="540"/>
      <c r="M4050" s="540"/>
      <c r="N4050" s="540"/>
      <c r="O4050" s="540"/>
      <c r="P4050" s="540"/>
      <c r="Q4050" s="540"/>
      <c r="R4050" s="540"/>
      <c r="S4050" s="540"/>
      <c r="T4050" s="540"/>
      <c r="U4050" s="541"/>
    </row>
    <row r="4051" spans="1:21" x14ac:dyDescent="0.25">
      <c r="A4051" s="542" t="s">
        <v>16</v>
      </c>
      <c r="B4051" s="543" t="s">
        <v>18</v>
      </c>
      <c r="C4051" s="543"/>
      <c r="D4051" s="543"/>
      <c r="E4051" s="543"/>
      <c r="F4051" s="543"/>
      <c r="G4051" s="543" t="s">
        <v>24</v>
      </c>
      <c r="H4051" s="543"/>
      <c r="I4051" s="543"/>
      <c r="J4051" s="543"/>
      <c r="K4051" s="543"/>
      <c r="L4051" s="543" t="s">
        <v>25</v>
      </c>
      <c r="M4051" s="543"/>
      <c r="N4051" s="543"/>
      <c r="O4051" s="543"/>
      <c r="P4051" s="543"/>
      <c r="Q4051" s="543" t="s">
        <v>26</v>
      </c>
      <c r="R4051" s="543"/>
      <c r="S4051" s="543"/>
      <c r="T4051" s="543"/>
      <c r="U4051" s="543"/>
    </row>
    <row r="4052" spans="1:21" x14ac:dyDescent="0.25">
      <c r="A4052" s="542"/>
      <c r="B4052" s="182" t="s">
        <v>19</v>
      </c>
      <c r="C4052" s="182" t="s">
        <v>20</v>
      </c>
      <c r="D4052" s="182" t="s">
        <v>21</v>
      </c>
      <c r="E4052" s="182" t="s">
        <v>22</v>
      </c>
      <c r="F4052" s="182" t="s">
        <v>23</v>
      </c>
      <c r="G4052" s="182" t="s">
        <v>19</v>
      </c>
      <c r="H4052" s="216" t="s">
        <v>20</v>
      </c>
      <c r="I4052" s="182" t="s">
        <v>21</v>
      </c>
      <c r="J4052" s="182" t="s">
        <v>22</v>
      </c>
      <c r="K4052" s="182" t="s">
        <v>23</v>
      </c>
      <c r="L4052" s="182" t="s">
        <v>19</v>
      </c>
      <c r="M4052" s="182" t="s">
        <v>20</v>
      </c>
      <c r="N4052" s="182" t="s">
        <v>21</v>
      </c>
      <c r="O4052" s="182" t="s">
        <v>22</v>
      </c>
      <c r="P4052" s="182" t="s">
        <v>23</v>
      </c>
      <c r="Q4052" s="182" t="s">
        <v>19</v>
      </c>
      <c r="R4052" s="182" t="s">
        <v>20</v>
      </c>
      <c r="S4052" s="182" t="s">
        <v>21</v>
      </c>
      <c r="T4052" s="182" t="s">
        <v>22</v>
      </c>
      <c r="U4052" s="211" t="s">
        <v>23</v>
      </c>
    </row>
    <row r="4053" spans="1:21" x14ac:dyDescent="0.25">
      <c r="A4053" s="183" t="s">
        <v>1127</v>
      </c>
      <c r="B4053" s="182" t="s">
        <v>47</v>
      </c>
      <c r="C4053" s="182" t="s">
        <v>28</v>
      </c>
      <c r="D4053" s="182">
        <v>1</v>
      </c>
      <c r="E4053" s="182">
        <f>skilled</f>
        <v>1245</v>
      </c>
      <c r="F4053" s="184">
        <f>(D4053*E4053)</f>
        <v>1245</v>
      </c>
      <c r="G4053" s="182" t="s">
        <v>1128</v>
      </c>
      <c r="H4053" s="216" t="s">
        <v>84</v>
      </c>
      <c r="I4053" s="182">
        <v>0.8</v>
      </c>
      <c r="J4053" s="182">
        <f>adopted_rate_sand</f>
        <v>3175.2000000000003</v>
      </c>
      <c r="K4053" s="182">
        <f>(I4053*J4053)</f>
        <v>2540.1600000000003</v>
      </c>
      <c r="L4053" s="182" t="s">
        <v>63</v>
      </c>
      <c r="M4053" s="182" t="s">
        <v>58</v>
      </c>
      <c r="N4053" s="182">
        <v>6</v>
      </c>
      <c r="O4053" s="182">
        <f>air_compressor</f>
        <v>1190</v>
      </c>
      <c r="P4053" s="184">
        <f>(N4053*O4053)</f>
        <v>7140</v>
      </c>
    </row>
    <row r="4054" spans="1:21" x14ac:dyDescent="0.25">
      <c r="B4054" s="182" t="s">
        <v>29</v>
      </c>
      <c r="C4054" s="182" t="s">
        <v>28</v>
      </c>
      <c r="D4054" s="182">
        <v>7</v>
      </c>
      <c r="E4054" s="182">
        <f>unskilled</f>
        <v>935</v>
      </c>
      <c r="F4054" s="184">
        <f>(D4054*E4054)</f>
        <v>6545</v>
      </c>
      <c r="L4054" s="182" t="s">
        <v>1129</v>
      </c>
      <c r="M4054" s="182" t="s">
        <v>58</v>
      </c>
      <c r="N4054" s="182">
        <v>6</v>
      </c>
      <c r="O4054" s="182">
        <f>sand_blasting_machine</f>
        <v>1244</v>
      </c>
      <c r="P4054" s="184">
        <f>(N4054*O4054)</f>
        <v>7464</v>
      </c>
    </row>
    <row r="4055" spans="1:21" x14ac:dyDescent="0.25">
      <c r="A4055" s="537" t="s">
        <v>30</v>
      </c>
      <c r="B4055" s="537"/>
      <c r="C4055" s="537"/>
      <c r="D4055" s="537"/>
      <c r="E4055" s="537"/>
      <c r="F4055" s="184">
        <f>SUM(F4052:F4054)</f>
        <v>7790</v>
      </c>
      <c r="G4055" s="537" t="s">
        <v>31</v>
      </c>
      <c r="H4055" s="537"/>
      <c r="I4055" s="537"/>
      <c r="J4055" s="537"/>
      <c r="K4055" s="184">
        <f>SUM(K4052:K4054)</f>
        <v>2540.1600000000003</v>
      </c>
      <c r="L4055" s="537" t="s">
        <v>32</v>
      </c>
      <c r="M4055" s="537"/>
      <c r="N4055" s="537"/>
      <c r="O4055" s="537"/>
      <c r="P4055" s="184">
        <f>SUM(P4052:P4054)</f>
        <v>14604</v>
      </c>
      <c r="Q4055" s="537" t="s">
        <v>38</v>
      </c>
      <c r="R4055" s="537"/>
      <c r="S4055" s="537"/>
      <c r="T4055" s="537"/>
      <c r="U4055" s="223">
        <f>SUM(U4052:U4054)</f>
        <v>0</v>
      </c>
    </row>
    <row r="4056" spans="1:21" x14ac:dyDescent="0.25">
      <c r="A4056" s="537" t="s">
        <v>33</v>
      </c>
      <c r="B4056" s="537"/>
      <c r="C4056" s="537"/>
      <c r="D4056" s="537"/>
      <c r="E4056" s="537"/>
      <c r="F4056" s="184">
        <f>SUM(F4055+K4055+P4055)</f>
        <v>24934.16</v>
      </c>
      <c r="G4056" s="537" t="s">
        <v>39</v>
      </c>
      <c r="H4056" s="537"/>
      <c r="I4056" s="537"/>
      <c r="J4056" s="537"/>
      <c r="K4056" s="184">
        <f>SUM(F4055+K4055+P4055+U4055)</f>
        <v>24934.16</v>
      </c>
      <c r="L4056" s="537" t="s">
        <v>40</v>
      </c>
      <c r="M4056" s="537"/>
      <c r="N4056" s="537"/>
      <c r="O4056" s="537"/>
      <c r="P4056" s="184">
        <f>SUM(K4056*0.15)</f>
        <v>3740.1239999999998</v>
      </c>
      <c r="Q4056" s="537" t="s">
        <v>41</v>
      </c>
      <c r="R4056" s="537"/>
      <c r="S4056" s="537"/>
      <c r="T4056" s="537"/>
      <c r="U4056" s="223">
        <f>SUM(K4056+P4056)</f>
        <v>28674.284</v>
      </c>
    </row>
    <row r="4057" spans="1:21" x14ac:dyDescent="0.25">
      <c r="Q4057" s="537" t="s">
        <v>42</v>
      </c>
      <c r="R4057" s="537"/>
      <c r="S4057" s="537"/>
      <c r="T4057" s="537"/>
      <c r="U4057" s="224">
        <f>ROUND((U4056/20),2)</f>
        <v>1433.71</v>
      </c>
    </row>
    <row r="4058" spans="1:21" x14ac:dyDescent="0.25">
      <c r="A4058" s="544"/>
      <c r="B4058" s="544"/>
      <c r="C4058" s="544"/>
      <c r="D4058" s="544"/>
      <c r="E4058" s="544"/>
      <c r="F4058" s="544"/>
      <c r="G4058" s="544"/>
      <c r="H4058" s="544"/>
      <c r="I4058" s="544"/>
      <c r="J4058" s="544"/>
      <c r="K4058" s="544"/>
      <c r="L4058" s="544"/>
      <c r="M4058" s="544"/>
      <c r="N4058" s="544"/>
      <c r="O4058" s="544"/>
      <c r="P4058" s="544"/>
      <c r="Q4058" s="544"/>
      <c r="R4058" s="544"/>
      <c r="S4058" s="544"/>
      <c r="T4058" s="544"/>
      <c r="U4058" s="544"/>
    </row>
    <row r="4059" spans="1:21" x14ac:dyDescent="0.25">
      <c r="A4059" s="538" t="s">
        <v>12</v>
      </c>
      <c r="B4059" s="538"/>
      <c r="C4059" s="540" t="s">
        <v>1130</v>
      </c>
      <c r="D4059" s="540"/>
      <c r="E4059" s="540"/>
      <c r="F4059" s="540"/>
      <c r="G4059" s="540"/>
      <c r="H4059" s="540"/>
      <c r="I4059" s="540"/>
      <c r="J4059" s="540"/>
      <c r="K4059" s="540"/>
      <c r="L4059" s="540"/>
      <c r="M4059" s="540"/>
      <c r="N4059" s="540"/>
      <c r="O4059" s="540"/>
      <c r="P4059" s="540"/>
      <c r="Q4059" s="540"/>
      <c r="R4059" s="540"/>
      <c r="S4059" s="540"/>
      <c r="T4059" s="540"/>
      <c r="U4059" s="541" t="s">
        <v>453</v>
      </c>
    </row>
    <row r="4060" spans="1:21" x14ac:dyDescent="0.25">
      <c r="A4060" s="538"/>
      <c r="B4060" s="538"/>
      <c r="C4060" s="540"/>
      <c r="D4060" s="540"/>
      <c r="E4060" s="540"/>
      <c r="F4060" s="540"/>
      <c r="G4060" s="540"/>
      <c r="H4060" s="540"/>
      <c r="I4060" s="540"/>
      <c r="J4060" s="540"/>
      <c r="K4060" s="540"/>
      <c r="L4060" s="540"/>
      <c r="M4060" s="540"/>
      <c r="N4060" s="540"/>
      <c r="O4060" s="540"/>
      <c r="P4060" s="540"/>
      <c r="Q4060" s="540"/>
      <c r="R4060" s="540"/>
      <c r="S4060" s="540"/>
      <c r="T4060" s="540"/>
      <c r="U4060" s="541"/>
    </row>
    <row r="4061" spans="1:21" x14ac:dyDescent="0.25">
      <c r="A4061" s="539" t="s">
        <v>1125</v>
      </c>
      <c r="B4061" s="539"/>
      <c r="C4061" s="540"/>
      <c r="D4061" s="540"/>
      <c r="E4061" s="540"/>
      <c r="F4061" s="540"/>
      <c r="G4061" s="540"/>
      <c r="H4061" s="540"/>
      <c r="I4061" s="540"/>
      <c r="J4061" s="540"/>
      <c r="K4061" s="540"/>
      <c r="L4061" s="540"/>
      <c r="M4061" s="540"/>
      <c r="N4061" s="540"/>
      <c r="O4061" s="540"/>
      <c r="P4061" s="540"/>
      <c r="Q4061" s="540"/>
      <c r="R4061" s="540"/>
      <c r="S4061" s="540"/>
      <c r="T4061" s="540"/>
      <c r="U4061" s="541"/>
    </row>
    <row r="4062" spans="1:21" x14ac:dyDescent="0.25">
      <c r="A4062" s="542" t="s">
        <v>16</v>
      </c>
      <c r="B4062" s="543" t="s">
        <v>18</v>
      </c>
      <c r="C4062" s="543"/>
      <c r="D4062" s="543"/>
      <c r="E4062" s="543"/>
      <c r="F4062" s="543"/>
      <c r="G4062" s="543" t="s">
        <v>24</v>
      </c>
      <c r="H4062" s="543"/>
      <c r="I4062" s="543"/>
      <c r="J4062" s="543"/>
      <c r="K4062" s="543"/>
      <c r="L4062" s="543" t="s">
        <v>25</v>
      </c>
      <c r="M4062" s="543"/>
      <c r="N4062" s="543"/>
      <c r="O4062" s="543"/>
      <c r="P4062" s="543"/>
      <c r="Q4062" s="543" t="s">
        <v>26</v>
      </c>
      <c r="R4062" s="543"/>
      <c r="S4062" s="543"/>
      <c r="T4062" s="543"/>
      <c r="U4062" s="543"/>
    </row>
    <row r="4063" spans="1:21" x14ac:dyDescent="0.25">
      <c r="A4063" s="542"/>
      <c r="B4063" s="182" t="s">
        <v>19</v>
      </c>
      <c r="C4063" s="182" t="s">
        <v>20</v>
      </c>
      <c r="D4063" s="182" t="s">
        <v>21</v>
      </c>
      <c r="E4063" s="182" t="s">
        <v>22</v>
      </c>
      <c r="F4063" s="182" t="s">
        <v>23</v>
      </c>
      <c r="G4063" s="182" t="s">
        <v>19</v>
      </c>
      <c r="H4063" s="216" t="s">
        <v>20</v>
      </c>
      <c r="I4063" s="182" t="s">
        <v>21</v>
      </c>
      <c r="J4063" s="182" t="s">
        <v>22</v>
      </c>
      <c r="K4063" s="182" t="s">
        <v>23</v>
      </c>
      <c r="L4063" s="182" t="s">
        <v>19</v>
      </c>
      <c r="M4063" s="182" t="s">
        <v>20</v>
      </c>
      <c r="N4063" s="182" t="s">
        <v>21</v>
      </c>
      <c r="O4063" s="182" t="s">
        <v>22</v>
      </c>
      <c r="P4063" s="182" t="s">
        <v>23</v>
      </c>
      <c r="Q4063" s="182" t="s">
        <v>19</v>
      </c>
      <c r="R4063" s="182" t="s">
        <v>20</v>
      </c>
      <c r="S4063" s="182" t="s">
        <v>21</v>
      </c>
      <c r="T4063" s="182" t="s">
        <v>22</v>
      </c>
      <c r="U4063" s="211" t="s">
        <v>23</v>
      </c>
    </row>
    <row r="4064" spans="1:21" ht="47.25" x14ac:dyDescent="0.25">
      <c r="A4064" s="183" t="s">
        <v>1131</v>
      </c>
      <c r="B4064" s="182" t="s">
        <v>47</v>
      </c>
      <c r="C4064" s="182" t="s">
        <v>28</v>
      </c>
      <c r="D4064" s="182">
        <v>1</v>
      </c>
      <c r="E4064" s="182">
        <f>skilled</f>
        <v>1245</v>
      </c>
      <c r="F4064" s="184">
        <f>(D4064*E4064)</f>
        <v>1245</v>
      </c>
      <c r="G4064" s="182" t="s">
        <v>1132</v>
      </c>
      <c r="H4064" s="216" t="s">
        <v>1133</v>
      </c>
      <c r="I4064" s="182">
        <v>5.5</v>
      </c>
      <c r="J4064" s="182">
        <f>adopted_rate_epoxy_red_zinc_oxide_phosphate_primer</f>
        <v>0</v>
      </c>
      <c r="K4064" s="182">
        <f>(I4064*J4064)</f>
        <v>0</v>
      </c>
      <c r="L4064" s="182" t="s">
        <v>1136</v>
      </c>
      <c r="M4064" s="182" t="s">
        <v>58</v>
      </c>
      <c r="N4064" s="182">
        <v>6</v>
      </c>
      <c r="O4064" s="182">
        <f>paint_sprayer_machine_with_compressor</f>
        <v>0</v>
      </c>
      <c r="P4064" s="184">
        <f>(N4064*O4064)</f>
        <v>0</v>
      </c>
    </row>
    <row r="4065" spans="1:21" x14ac:dyDescent="0.25">
      <c r="B4065" s="182" t="s">
        <v>29</v>
      </c>
      <c r="C4065" s="182" t="s">
        <v>28</v>
      </c>
      <c r="D4065" s="182">
        <v>4</v>
      </c>
      <c r="E4065" s="182">
        <f>unskilled</f>
        <v>935</v>
      </c>
      <c r="F4065" s="184">
        <f>(D4065*E4065)</f>
        <v>3740</v>
      </c>
      <c r="G4065" s="182" t="s">
        <v>1134</v>
      </c>
      <c r="H4065" s="216" t="s">
        <v>1133</v>
      </c>
      <c r="I4065" s="182">
        <v>5.5</v>
      </c>
      <c r="J4065" s="182">
        <f>adopted_rate_high_built_epoxy</f>
        <v>0</v>
      </c>
      <c r="K4065" s="182">
        <f>(I4065*J4065)</f>
        <v>0</v>
      </c>
    </row>
    <row r="4066" spans="1:21" x14ac:dyDescent="0.25">
      <c r="G4066" s="182" t="s">
        <v>1135</v>
      </c>
      <c r="H4066" s="216" t="s">
        <v>1133</v>
      </c>
      <c r="I4066" s="182">
        <v>8</v>
      </c>
      <c r="J4066" s="182">
        <f>adopted_rate_pack_high_built_polyur_ethane</f>
        <v>0</v>
      </c>
      <c r="K4066" s="182">
        <f>(I4066*J4066)</f>
        <v>0</v>
      </c>
    </row>
    <row r="4067" spans="1:21" x14ac:dyDescent="0.25">
      <c r="A4067" s="537" t="s">
        <v>30</v>
      </c>
      <c r="B4067" s="537"/>
      <c r="C4067" s="537"/>
      <c r="D4067" s="537"/>
      <c r="E4067" s="537"/>
      <c r="F4067" s="184">
        <f>SUM(F4063:F4066)</f>
        <v>4985</v>
      </c>
      <c r="G4067" s="537" t="s">
        <v>31</v>
      </c>
      <c r="H4067" s="537"/>
      <c r="I4067" s="537"/>
      <c r="J4067" s="537"/>
      <c r="K4067" s="184">
        <f>SUM(K4063:K4066)</f>
        <v>0</v>
      </c>
      <c r="L4067" s="537" t="s">
        <v>32</v>
      </c>
      <c r="M4067" s="537"/>
      <c r="N4067" s="537"/>
      <c r="O4067" s="537"/>
      <c r="P4067" s="184">
        <f>SUM(P4063:P4066)</f>
        <v>0</v>
      </c>
      <c r="Q4067" s="537" t="s">
        <v>38</v>
      </c>
      <c r="R4067" s="537"/>
      <c r="S4067" s="537"/>
      <c r="T4067" s="537"/>
      <c r="U4067" s="223">
        <f>SUM(U4063:U4066)</f>
        <v>0</v>
      </c>
    </row>
    <row r="4068" spans="1:21" x14ac:dyDescent="0.25">
      <c r="A4068" s="537" t="s">
        <v>33</v>
      </c>
      <c r="B4068" s="537"/>
      <c r="C4068" s="537"/>
      <c r="D4068" s="537"/>
      <c r="E4068" s="537"/>
      <c r="F4068" s="184">
        <f>SUM(F4067+K4067+P4067)</f>
        <v>4985</v>
      </c>
      <c r="G4068" s="537" t="s">
        <v>39</v>
      </c>
      <c r="H4068" s="537"/>
      <c r="I4068" s="537"/>
      <c r="J4068" s="537"/>
      <c r="K4068" s="184">
        <f>SUM(F4067+K4067+P4067+U4067)</f>
        <v>4985</v>
      </c>
      <c r="L4068" s="537" t="s">
        <v>40</v>
      </c>
      <c r="M4068" s="537"/>
      <c r="N4068" s="537"/>
      <c r="O4068" s="537"/>
      <c r="P4068" s="184">
        <f>SUM(K4068*0.15)</f>
        <v>747.75</v>
      </c>
      <c r="Q4068" s="537" t="s">
        <v>41</v>
      </c>
      <c r="R4068" s="537"/>
      <c r="S4068" s="537"/>
      <c r="T4068" s="537"/>
      <c r="U4068" s="223">
        <f>SUM(K4068+P4068)</f>
        <v>5732.75</v>
      </c>
    </row>
    <row r="4069" spans="1:21" x14ac:dyDescent="0.25">
      <c r="Q4069" s="537" t="s">
        <v>42</v>
      </c>
      <c r="R4069" s="537"/>
      <c r="S4069" s="537"/>
      <c r="T4069" s="537"/>
      <c r="U4069" s="224">
        <f>ROUND((U4068/20),2)</f>
        <v>286.64</v>
      </c>
    </row>
    <row r="4070" spans="1:21" x14ac:dyDescent="0.25">
      <c r="A4070" s="544"/>
      <c r="B4070" s="544"/>
      <c r="C4070" s="544"/>
      <c r="D4070" s="544"/>
      <c r="E4070" s="544"/>
      <c r="F4070" s="544"/>
      <c r="G4070" s="544"/>
      <c r="H4070" s="544"/>
      <c r="I4070" s="544"/>
      <c r="J4070" s="544"/>
      <c r="K4070" s="544"/>
      <c r="L4070" s="544"/>
      <c r="M4070" s="544"/>
      <c r="N4070" s="544"/>
      <c r="O4070" s="544"/>
      <c r="P4070" s="544"/>
      <c r="Q4070" s="544"/>
      <c r="R4070" s="544"/>
      <c r="S4070" s="544"/>
      <c r="T4070" s="544"/>
      <c r="U4070" s="544"/>
    </row>
    <row r="4071" spans="1:21" x14ac:dyDescent="0.25">
      <c r="A4071" s="538" t="s">
        <v>12</v>
      </c>
      <c r="B4071" s="538"/>
      <c r="C4071" s="540" t="s">
        <v>1137</v>
      </c>
      <c r="D4071" s="540"/>
      <c r="E4071" s="540"/>
      <c r="F4071" s="540"/>
      <c r="G4071" s="540"/>
      <c r="H4071" s="540"/>
      <c r="I4071" s="540"/>
      <c r="J4071" s="540"/>
      <c r="K4071" s="540"/>
      <c r="L4071" s="540"/>
      <c r="M4071" s="540"/>
      <c r="N4071" s="540"/>
      <c r="O4071" s="540"/>
      <c r="P4071" s="540"/>
      <c r="Q4071" s="540"/>
      <c r="R4071" s="540"/>
      <c r="S4071" s="540"/>
      <c r="T4071" s="540"/>
      <c r="U4071" s="541" t="s">
        <v>975</v>
      </c>
    </row>
    <row r="4072" spans="1:21" x14ac:dyDescent="0.25">
      <c r="A4072" s="538"/>
      <c r="B4072" s="538"/>
      <c r="C4072" s="540"/>
      <c r="D4072" s="540"/>
      <c r="E4072" s="540"/>
      <c r="F4072" s="540"/>
      <c r="G4072" s="540"/>
      <c r="H4072" s="540"/>
      <c r="I4072" s="540"/>
      <c r="J4072" s="540"/>
      <c r="K4072" s="540"/>
      <c r="L4072" s="540"/>
      <c r="M4072" s="540"/>
      <c r="N4072" s="540"/>
      <c r="O4072" s="540"/>
      <c r="P4072" s="540"/>
      <c r="Q4072" s="540"/>
      <c r="R4072" s="540"/>
      <c r="S4072" s="540"/>
      <c r="T4072" s="540"/>
      <c r="U4072" s="541"/>
    </row>
    <row r="4073" spans="1:21" x14ac:dyDescent="0.25">
      <c r="A4073" s="539" t="s">
        <v>1125</v>
      </c>
      <c r="B4073" s="539"/>
      <c r="C4073" s="540"/>
      <c r="D4073" s="540"/>
      <c r="E4073" s="540"/>
      <c r="F4073" s="540"/>
      <c r="G4073" s="540"/>
      <c r="H4073" s="540"/>
      <c r="I4073" s="540"/>
      <c r="J4073" s="540"/>
      <c r="K4073" s="540"/>
      <c r="L4073" s="540"/>
      <c r="M4073" s="540"/>
      <c r="N4073" s="540"/>
      <c r="O4073" s="540"/>
      <c r="P4073" s="540"/>
      <c r="Q4073" s="540"/>
      <c r="R4073" s="540"/>
      <c r="S4073" s="540"/>
      <c r="T4073" s="540"/>
      <c r="U4073" s="541"/>
    </row>
    <row r="4074" spans="1:21" x14ac:dyDescent="0.25">
      <c r="A4074" s="542" t="s">
        <v>16</v>
      </c>
      <c r="B4074" s="543" t="s">
        <v>18</v>
      </c>
      <c r="C4074" s="543"/>
      <c r="D4074" s="543"/>
      <c r="E4074" s="543"/>
      <c r="F4074" s="543"/>
      <c r="G4074" s="543" t="s">
        <v>24</v>
      </c>
      <c r="H4074" s="543"/>
      <c r="I4074" s="543"/>
      <c r="J4074" s="543"/>
      <c r="K4074" s="543"/>
      <c r="L4074" s="543" t="s">
        <v>25</v>
      </c>
      <c r="M4074" s="543"/>
      <c r="N4074" s="543"/>
      <c r="O4074" s="543"/>
      <c r="P4074" s="543"/>
      <c r="Q4074" s="543" t="s">
        <v>26</v>
      </c>
      <c r="R4074" s="543"/>
      <c r="S4074" s="543"/>
      <c r="T4074" s="543"/>
      <c r="U4074" s="543"/>
    </row>
    <row r="4075" spans="1:21" x14ac:dyDescent="0.25">
      <c r="A4075" s="542"/>
      <c r="B4075" s="182" t="s">
        <v>19</v>
      </c>
      <c r="C4075" s="182" t="s">
        <v>20</v>
      </c>
      <c r="D4075" s="182" t="s">
        <v>21</v>
      </c>
      <c r="E4075" s="182" t="s">
        <v>22</v>
      </c>
      <c r="F4075" s="182" t="s">
        <v>23</v>
      </c>
      <c r="G4075" s="182" t="s">
        <v>19</v>
      </c>
      <c r="H4075" s="216" t="s">
        <v>20</v>
      </c>
      <c r="I4075" s="182" t="s">
        <v>21</v>
      </c>
      <c r="J4075" s="182" t="s">
        <v>22</v>
      </c>
      <c r="K4075" s="182" t="s">
        <v>23</v>
      </c>
      <c r="L4075" s="182" t="s">
        <v>19</v>
      </c>
      <c r="M4075" s="182" t="s">
        <v>20</v>
      </c>
      <c r="N4075" s="182" t="s">
        <v>21</v>
      </c>
      <c r="O4075" s="182" t="s">
        <v>22</v>
      </c>
      <c r="P4075" s="182" t="s">
        <v>23</v>
      </c>
      <c r="Q4075" s="182" t="s">
        <v>19</v>
      </c>
      <c r="R4075" s="182" t="s">
        <v>20</v>
      </c>
      <c r="S4075" s="182" t="s">
        <v>21</v>
      </c>
      <c r="T4075" s="182" t="s">
        <v>22</v>
      </c>
      <c r="U4075" s="211" t="s">
        <v>23</v>
      </c>
    </row>
    <row r="4076" spans="1:21" x14ac:dyDescent="0.25">
      <c r="A4076" s="183" t="s">
        <v>1138</v>
      </c>
      <c r="B4076" s="182" t="s">
        <v>47</v>
      </c>
      <c r="C4076" s="182" t="s">
        <v>28</v>
      </c>
      <c r="D4076" s="182">
        <v>0.6</v>
      </c>
      <c r="E4076" s="182">
        <f>skilled</f>
        <v>1245</v>
      </c>
      <c r="F4076" s="184">
        <f>(D4076*E4076)</f>
        <v>747</v>
      </c>
      <c r="G4076" s="182" t="s">
        <v>1132</v>
      </c>
      <c r="H4076" s="216" t="s">
        <v>1133</v>
      </c>
      <c r="I4076" s="182">
        <v>0.25</v>
      </c>
      <c r="J4076" s="182">
        <f>adopted_rate_epoxy_red_zinc_oxide_phosphate_primer</f>
        <v>0</v>
      </c>
      <c r="K4076" s="182">
        <f>(I4076*J4076)</f>
        <v>0</v>
      </c>
    </row>
    <row r="4077" spans="1:21" x14ac:dyDescent="0.25">
      <c r="B4077" s="182" t="s">
        <v>29</v>
      </c>
      <c r="C4077" s="182" t="s">
        <v>28</v>
      </c>
      <c r="D4077" s="182">
        <v>0.6</v>
      </c>
      <c r="E4077" s="182">
        <f>unskilled</f>
        <v>935</v>
      </c>
      <c r="F4077" s="184">
        <f>(D4077*E4077)</f>
        <v>561</v>
      </c>
      <c r="G4077" s="182" t="s">
        <v>1134</v>
      </c>
      <c r="H4077" s="216" t="s">
        <v>1133</v>
      </c>
      <c r="I4077" s="182">
        <v>0.25</v>
      </c>
      <c r="J4077" s="182">
        <f>adopted_rate_high_built_epoxy</f>
        <v>0</v>
      </c>
      <c r="K4077" s="182">
        <f>(I4077*J4077)</f>
        <v>0</v>
      </c>
    </row>
    <row r="4078" spans="1:21" x14ac:dyDescent="0.25">
      <c r="G4078" s="182" t="s">
        <v>1135</v>
      </c>
      <c r="H4078" s="216" t="s">
        <v>1133</v>
      </c>
      <c r="I4078" s="182">
        <v>0.35</v>
      </c>
      <c r="J4078" s="182">
        <f>adopted_rate_pack_high_built_polyur_ethane</f>
        <v>0</v>
      </c>
      <c r="K4078" s="182">
        <f>(I4078*J4078)</f>
        <v>0</v>
      </c>
    </row>
    <row r="4079" spans="1:21" x14ac:dyDescent="0.25">
      <c r="A4079" s="537" t="s">
        <v>30</v>
      </c>
      <c r="B4079" s="537"/>
      <c r="C4079" s="537"/>
      <c r="D4079" s="537"/>
      <c r="E4079" s="537"/>
      <c r="F4079" s="184">
        <f>SUM(F4075:F4078)</f>
        <v>1308</v>
      </c>
      <c r="G4079" s="537" t="s">
        <v>31</v>
      </c>
      <c r="H4079" s="537"/>
      <c r="I4079" s="537"/>
      <c r="J4079" s="537"/>
      <c r="K4079" s="184">
        <f>SUM(K4075:K4078)</f>
        <v>0</v>
      </c>
      <c r="L4079" s="537" t="s">
        <v>32</v>
      </c>
      <c r="M4079" s="537"/>
      <c r="N4079" s="537"/>
      <c r="O4079" s="537"/>
      <c r="P4079" s="184">
        <f>SUM(P4075:P4078)</f>
        <v>0</v>
      </c>
      <c r="Q4079" s="537" t="s">
        <v>38</v>
      </c>
      <c r="R4079" s="537"/>
      <c r="S4079" s="537"/>
      <c r="T4079" s="537"/>
      <c r="U4079" s="223">
        <f>SUM(U4075:U4078)</f>
        <v>0</v>
      </c>
    </row>
    <row r="4080" spans="1:21" x14ac:dyDescent="0.25">
      <c r="A4080" s="537" t="s">
        <v>33</v>
      </c>
      <c r="B4080" s="537"/>
      <c r="C4080" s="537"/>
      <c r="D4080" s="537"/>
      <c r="E4080" s="537"/>
      <c r="F4080" s="184">
        <f>SUM(F4079+K4079+P4079)</f>
        <v>1308</v>
      </c>
      <c r="G4080" s="537" t="s">
        <v>39</v>
      </c>
      <c r="H4080" s="537"/>
      <c r="I4080" s="537"/>
      <c r="J4080" s="537"/>
      <c r="K4080" s="184">
        <f>SUM(F4079+K4079+P4079+U4079)</f>
        <v>1308</v>
      </c>
      <c r="L4080" s="537" t="s">
        <v>40</v>
      </c>
      <c r="M4080" s="537"/>
      <c r="N4080" s="537"/>
      <c r="O4080" s="537"/>
      <c r="P4080" s="184">
        <f>SUM(K4080*0.15)</f>
        <v>196.2</v>
      </c>
      <c r="Q4080" s="537" t="s">
        <v>41</v>
      </c>
      <c r="R4080" s="537"/>
      <c r="S4080" s="537"/>
      <c r="T4080" s="537"/>
      <c r="U4080" s="223">
        <f>SUM(K4080+P4080)</f>
        <v>1504.2</v>
      </c>
    </row>
    <row r="4081" spans="1:21" x14ac:dyDescent="0.25">
      <c r="Q4081" s="537" t="s">
        <v>42</v>
      </c>
      <c r="R4081" s="537"/>
      <c r="S4081" s="537"/>
      <c r="T4081" s="537"/>
      <c r="U4081" s="224">
        <f>ROUND((U4080/1),2)</f>
        <v>1504.2</v>
      </c>
    </row>
    <row r="4082" spans="1:21" x14ac:dyDescent="0.25">
      <c r="A4082" s="544"/>
      <c r="B4082" s="544"/>
      <c r="C4082" s="544"/>
      <c r="D4082" s="544"/>
      <c r="E4082" s="544"/>
      <c r="F4082" s="544"/>
      <c r="G4082" s="544"/>
      <c r="H4082" s="544"/>
      <c r="I4082" s="544"/>
      <c r="J4082" s="544"/>
      <c r="K4082" s="544"/>
      <c r="L4082" s="544"/>
      <c r="M4082" s="544"/>
      <c r="N4082" s="544"/>
      <c r="O4082" s="544"/>
      <c r="P4082" s="544"/>
      <c r="Q4082" s="544"/>
      <c r="R4082" s="544"/>
      <c r="S4082" s="544"/>
      <c r="T4082" s="544"/>
      <c r="U4082" s="544"/>
    </row>
    <row r="4083" spans="1:21" x14ac:dyDescent="0.25">
      <c r="A4083" s="538" t="s">
        <v>12</v>
      </c>
      <c r="B4083" s="538"/>
      <c r="C4083" s="540" t="s">
        <v>1140</v>
      </c>
      <c r="D4083" s="540"/>
      <c r="E4083" s="540"/>
      <c r="F4083" s="540"/>
      <c r="G4083" s="540"/>
      <c r="H4083" s="540"/>
      <c r="I4083" s="540"/>
      <c r="J4083" s="540"/>
      <c r="K4083" s="540"/>
      <c r="L4083" s="540"/>
      <c r="M4083" s="540"/>
      <c r="N4083" s="540"/>
      <c r="O4083" s="540"/>
      <c r="P4083" s="540"/>
      <c r="Q4083" s="540"/>
      <c r="R4083" s="540"/>
      <c r="S4083" s="540"/>
      <c r="T4083" s="540"/>
      <c r="U4083" s="541" t="s">
        <v>1141</v>
      </c>
    </row>
    <row r="4084" spans="1:21" x14ac:dyDescent="0.25">
      <c r="A4084" s="538"/>
      <c r="B4084" s="538"/>
      <c r="C4084" s="540"/>
      <c r="D4084" s="540"/>
      <c r="E4084" s="540"/>
      <c r="F4084" s="540"/>
      <c r="G4084" s="540"/>
      <c r="H4084" s="540"/>
      <c r="I4084" s="540"/>
      <c r="J4084" s="540"/>
      <c r="K4084" s="540"/>
      <c r="L4084" s="540"/>
      <c r="M4084" s="540"/>
      <c r="N4084" s="540"/>
      <c r="O4084" s="540"/>
      <c r="P4084" s="540"/>
      <c r="Q4084" s="540"/>
      <c r="R4084" s="540"/>
      <c r="S4084" s="540"/>
      <c r="T4084" s="540"/>
      <c r="U4084" s="541"/>
    </row>
    <row r="4085" spans="1:21" x14ac:dyDescent="0.25">
      <c r="A4085" s="539" t="s">
        <v>1139</v>
      </c>
      <c r="B4085" s="539"/>
      <c r="C4085" s="540"/>
      <c r="D4085" s="540"/>
      <c r="E4085" s="540"/>
      <c r="F4085" s="540"/>
      <c r="G4085" s="540"/>
      <c r="H4085" s="540"/>
      <c r="I4085" s="540"/>
      <c r="J4085" s="540"/>
      <c r="K4085" s="540"/>
      <c r="L4085" s="540"/>
      <c r="M4085" s="540"/>
      <c r="N4085" s="540"/>
      <c r="O4085" s="540"/>
      <c r="P4085" s="540"/>
      <c r="Q4085" s="540"/>
      <c r="R4085" s="540"/>
      <c r="S4085" s="540"/>
      <c r="T4085" s="540"/>
      <c r="U4085" s="541"/>
    </row>
    <row r="4086" spans="1:21" x14ac:dyDescent="0.25">
      <c r="A4086" s="542" t="s">
        <v>16</v>
      </c>
      <c r="B4086" s="543" t="s">
        <v>18</v>
      </c>
      <c r="C4086" s="543"/>
      <c r="D4086" s="543"/>
      <c r="E4086" s="543"/>
      <c r="F4086" s="543"/>
      <c r="G4086" s="543" t="s">
        <v>24</v>
      </c>
      <c r="H4086" s="543"/>
      <c r="I4086" s="543"/>
      <c r="J4086" s="543"/>
      <c r="K4086" s="543"/>
      <c r="L4086" s="543" t="s">
        <v>25</v>
      </c>
      <c r="M4086" s="543"/>
      <c r="N4086" s="543"/>
      <c r="O4086" s="543"/>
      <c r="P4086" s="543"/>
      <c r="Q4086" s="543" t="s">
        <v>26</v>
      </c>
      <c r="R4086" s="543"/>
      <c r="S4086" s="543"/>
      <c r="T4086" s="543"/>
      <c r="U4086" s="543"/>
    </row>
    <row r="4087" spans="1:21" x14ac:dyDescent="0.25">
      <c r="A4087" s="542"/>
      <c r="B4087" s="182" t="s">
        <v>19</v>
      </c>
      <c r="C4087" s="182" t="s">
        <v>20</v>
      </c>
      <c r="D4087" s="182" t="s">
        <v>21</v>
      </c>
      <c r="E4087" s="182" t="s">
        <v>22</v>
      </c>
      <c r="F4087" s="182" t="s">
        <v>23</v>
      </c>
      <c r="G4087" s="182" t="s">
        <v>19</v>
      </c>
      <c r="H4087" s="216" t="s">
        <v>20</v>
      </c>
      <c r="I4087" s="182" t="s">
        <v>21</v>
      </c>
      <c r="J4087" s="182" t="s">
        <v>22</v>
      </c>
      <c r="K4087" s="182" t="s">
        <v>23</v>
      </c>
      <c r="L4087" s="182" t="s">
        <v>19</v>
      </c>
      <c r="M4087" s="182" t="s">
        <v>20</v>
      </c>
      <c r="N4087" s="182" t="s">
        <v>21</v>
      </c>
      <c r="O4087" s="182" t="s">
        <v>22</v>
      </c>
      <c r="P4087" s="182" t="s">
        <v>23</v>
      </c>
      <c r="Q4087" s="182" t="s">
        <v>19</v>
      </c>
      <c r="R4087" s="182" t="s">
        <v>20</v>
      </c>
      <c r="S4087" s="182" t="s">
        <v>21</v>
      </c>
      <c r="T4087" s="182" t="s">
        <v>22</v>
      </c>
      <c r="U4087" s="211" t="s">
        <v>23</v>
      </c>
    </row>
    <row r="4088" spans="1:21" x14ac:dyDescent="0.25">
      <c r="A4088" s="183" t="s">
        <v>1142</v>
      </c>
      <c r="B4088" s="182" t="s">
        <v>47</v>
      </c>
      <c r="C4088" s="182" t="s">
        <v>28</v>
      </c>
      <c r="D4088" s="182">
        <v>0.05</v>
      </c>
      <c r="E4088" s="182">
        <f>skilled</f>
        <v>1245</v>
      </c>
      <c r="F4088" s="184">
        <f>(D4088*E4088)</f>
        <v>62.25</v>
      </c>
      <c r="G4088" s="182" t="s">
        <v>1143</v>
      </c>
      <c r="H4088" s="216"/>
      <c r="K4088" s="184">
        <f>(F4092*5/100)</f>
        <v>12.4625</v>
      </c>
      <c r="L4088" s="182" t="s">
        <v>1147</v>
      </c>
      <c r="M4088" s="182"/>
      <c r="P4088" s="184">
        <f>F4092*9/100</f>
        <v>22.432500000000001</v>
      </c>
    </row>
    <row r="4089" spans="1:21" x14ac:dyDescent="0.25">
      <c r="B4089" s="182" t="s">
        <v>29</v>
      </c>
      <c r="C4089" s="182" t="s">
        <v>28</v>
      </c>
      <c r="D4089" s="182">
        <v>0.2</v>
      </c>
      <c r="E4089" s="182">
        <f>unskilled</f>
        <v>935</v>
      </c>
      <c r="F4089" s="184">
        <f>(D4089*E4089)</f>
        <v>187</v>
      </c>
      <c r="G4089" s="182" t="s">
        <v>1144</v>
      </c>
      <c r="H4089" s="216"/>
      <c r="K4089" s="184">
        <f>(F4092*1.7/100)</f>
        <v>4.2372499999999995</v>
      </c>
      <c r="L4089" s="182" t="s">
        <v>1148</v>
      </c>
      <c r="M4089" s="182"/>
      <c r="P4089" s="184">
        <f>F4092*3/100</f>
        <v>7.4775</v>
      </c>
    </row>
    <row r="4090" spans="1:21" x14ac:dyDescent="0.25">
      <c r="G4090" s="182" t="s">
        <v>1145</v>
      </c>
      <c r="H4090" s="216"/>
      <c r="K4090" s="184">
        <f>(F4092*1/100)</f>
        <v>2.4925000000000002</v>
      </c>
    </row>
    <row r="4091" spans="1:21" x14ac:dyDescent="0.25">
      <c r="G4091" s="182" t="s">
        <v>1146</v>
      </c>
      <c r="H4091" s="216"/>
      <c r="K4091" s="184">
        <f>(F4092*0.3/100)</f>
        <v>0.74774999999999991</v>
      </c>
    </row>
    <row r="4092" spans="1:21" x14ac:dyDescent="0.25">
      <c r="A4092" s="537" t="s">
        <v>30</v>
      </c>
      <c r="B4092" s="537"/>
      <c r="C4092" s="537"/>
      <c r="D4092" s="537"/>
      <c r="E4092" s="537"/>
      <c r="F4092" s="184">
        <f>SUM(F4087:F4091)</f>
        <v>249.25</v>
      </c>
      <c r="G4092" s="537" t="s">
        <v>31</v>
      </c>
      <c r="H4092" s="537"/>
      <c r="I4092" s="537"/>
      <c r="J4092" s="537"/>
      <c r="K4092" s="184">
        <f>SUM(K4087:K4091)</f>
        <v>19.940000000000001</v>
      </c>
      <c r="L4092" s="537" t="s">
        <v>32</v>
      </c>
      <c r="M4092" s="537"/>
      <c r="N4092" s="537"/>
      <c r="O4092" s="537"/>
      <c r="P4092" s="184">
        <f>SUM(P4087:P4091)</f>
        <v>29.91</v>
      </c>
      <c r="Q4092" s="537" t="s">
        <v>38</v>
      </c>
      <c r="R4092" s="537"/>
      <c r="S4092" s="537"/>
      <c r="T4092" s="537"/>
      <c r="U4092" s="223">
        <f>SUM(U4087:U4091)</f>
        <v>0</v>
      </c>
    </row>
    <row r="4093" spans="1:21" x14ac:dyDescent="0.25">
      <c r="A4093" s="537" t="s">
        <v>33</v>
      </c>
      <c r="B4093" s="537"/>
      <c r="C4093" s="537"/>
      <c r="D4093" s="537"/>
      <c r="E4093" s="537"/>
      <c r="F4093" s="184">
        <f>SUM(F4092+K4092+P4092)</f>
        <v>299.10000000000002</v>
      </c>
      <c r="G4093" s="537" t="s">
        <v>39</v>
      </c>
      <c r="H4093" s="537"/>
      <c r="I4093" s="537"/>
      <c r="J4093" s="537"/>
      <c r="K4093" s="184">
        <f>SUM(F4092+K4092+P4092+U4092)</f>
        <v>299.10000000000002</v>
      </c>
      <c r="L4093" s="537" t="s">
        <v>40</v>
      </c>
      <c r="M4093" s="537"/>
      <c r="N4093" s="537"/>
      <c r="O4093" s="537"/>
      <c r="P4093" s="184">
        <f>SUM(K4093*0.15)</f>
        <v>44.865000000000002</v>
      </c>
      <c r="Q4093" s="537" t="s">
        <v>41</v>
      </c>
      <c r="R4093" s="537"/>
      <c r="S4093" s="537"/>
      <c r="T4093" s="537"/>
      <c r="U4093" s="223">
        <f>SUM(K4093+P4093)</f>
        <v>343.96500000000003</v>
      </c>
    </row>
    <row r="4094" spans="1:21" x14ac:dyDescent="0.25">
      <c r="Q4094" s="537" t="s">
        <v>42</v>
      </c>
      <c r="R4094" s="537"/>
      <c r="S4094" s="537"/>
      <c r="T4094" s="537"/>
      <c r="U4094" s="224">
        <f>ROUND((U4093/1),2)</f>
        <v>343.97</v>
      </c>
    </row>
    <row r="4095" spans="1:21" x14ac:dyDescent="0.25">
      <c r="A4095" s="544"/>
      <c r="B4095" s="544"/>
      <c r="C4095" s="544"/>
      <c r="D4095" s="544"/>
      <c r="E4095" s="544"/>
      <c r="F4095" s="544"/>
      <c r="G4095" s="544"/>
      <c r="H4095" s="544"/>
      <c r="I4095" s="544"/>
      <c r="J4095" s="544"/>
      <c r="K4095" s="544"/>
      <c r="L4095" s="544"/>
      <c r="M4095" s="544"/>
      <c r="N4095" s="544"/>
      <c r="O4095" s="544"/>
      <c r="P4095" s="544"/>
      <c r="Q4095" s="544"/>
      <c r="R4095" s="544"/>
      <c r="S4095" s="544"/>
      <c r="T4095" s="544"/>
      <c r="U4095" s="544"/>
    </row>
    <row r="4096" spans="1:21" x14ac:dyDescent="0.25">
      <c r="A4096" s="538" t="s">
        <v>12</v>
      </c>
      <c r="B4096" s="538"/>
      <c r="C4096" s="540" t="s">
        <v>1149</v>
      </c>
      <c r="D4096" s="540"/>
      <c r="E4096" s="540"/>
      <c r="F4096" s="540"/>
      <c r="G4096" s="540"/>
      <c r="H4096" s="540"/>
      <c r="I4096" s="540"/>
      <c r="J4096" s="540"/>
      <c r="K4096" s="540"/>
      <c r="L4096" s="540"/>
      <c r="M4096" s="540"/>
      <c r="N4096" s="540"/>
      <c r="O4096" s="540"/>
      <c r="P4096" s="540"/>
      <c r="Q4096" s="540"/>
      <c r="R4096" s="540"/>
      <c r="S4096" s="540"/>
      <c r="T4096" s="540"/>
      <c r="U4096" s="541" t="s">
        <v>1141</v>
      </c>
    </row>
    <row r="4097" spans="1:21" x14ac:dyDescent="0.25">
      <c r="A4097" s="538"/>
      <c r="B4097" s="538"/>
      <c r="C4097" s="540"/>
      <c r="D4097" s="540"/>
      <c r="E4097" s="540"/>
      <c r="F4097" s="540"/>
      <c r="G4097" s="540"/>
      <c r="H4097" s="540"/>
      <c r="I4097" s="540"/>
      <c r="J4097" s="540"/>
      <c r="K4097" s="540"/>
      <c r="L4097" s="540"/>
      <c r="M4097" s="540"/>
      <c r="N4097" s="540"/>
      <c r="O4097" s="540"/>
      <c r="P4097" s="540"/>
      <c r="Q4097" s="540"/>
      <c r="R4097" s="540"/>
      <c r="S4097" s="540"/>
      <c r="T4097" s="540"/>
      <c r="U4097" s="541"/>
    </row>
    <row r="4098" spans="1:21" x14ac:dyDescent="0.25">
      <c r="A4098" s="539" t="s">
        <v>1139</v>
      </c>
      <c r="B4098" s="539"/>
      <c r="C4098" s="540"/>
      <c r="D4098" s="540"/>
      <c r="E4098" s="540"/>
      <c r="F4098" s="540"/>
      <c r="G4098" s="540"/>
      <c r="H4098" s="540"/>
      <c r="I4098" s="540"/>
      <c r="J4098" s="540"/>
      <c r="K4098" s="540"/>
      <c r="L4098" s="540"/>
      <c r="M4098" s="540"/>
      <c r="N4098" s="540"/>
      <c r="O4098" s="540"/>
      <c r="P4098" s="540"/>
      <c r="Q4098" s="540"/>
      <c r="R4098" s="540"/>
      <c r="S4098" s="540"/>
      <c r="T4098" s="540"/>
      <c r="U4098" s="541"/>
    </row>
    <row r="4099" spans="1:21" x14ac:dyDescent="0.25">
      <c r="A4099" s="542" t="s">
        <v>16</v>
      </c>
      <c r="B4099" s="543" t="s">
        <v>18</v>
      </c>
      <c r="C4099" s="543"/>
      <c r="D4099" s="543"/>
      <c r="E4099" s="543"/>
      <c r="F4099" s="543"/>
      <c r="G4099" s="543" t="s">
        <v>24</v>
      </c>
      <c r="H4099" s="543"/>
      <c r="I4099" s="543"/>
      <c r="J4099" s="543"/>
      <c r="K4099" s="543"/>
      <c r="L4099" s="543" t="s">
        <v>25</v>
      </c>
      <c r="M4099" s="543"/>
      <c r="N4099" s="543"/>
      <c r="O4099" s="543"/>
      <c r="P4099" s="543"/>
      <c r="Q4099" s="543" t="s">
        <v>26</v>
      </c>
      <c r="R4099" s="543"/>
      <c r="S4099" s="543"/>
      <c r="T4099" s="543"/>
      <c r="U4099" s="543"/>
    </row>
    <row r="4100" spans="1:21" x14ac:dyDescent="0.25">
      <c r="A4100" s="542"/>
      <c r="B4100" s="182" t="s">
        <v>19</v>
      </c>
      <c r="C4100" s="182" t="s">
        <v>20</v>
      </c>
      <c r="D4100" s="182" t="s">
        <v>21</v>
      </c>
      <c r="E4100" s="182" t="s">
        <v>22</v>
      </c>
      <c r="F4100" s="182" t="s">
        <v>23</v>
      </c>
      <c r="G4100" s="182" t="s">
        <v>19</v>
      </c>
      <c r="H4100" s="216" t="s">
        <v>20</v>
      </c>
      <c r="I4100" s="182" t="s">
        <v>21</v>
      </c>
      <c r="J4100" s="182" t="s">
        <v>22</v>
      </c>
      <c r="K4100" s="182" t="s">
        <v>23</v>
      </c>
      <c r="L4100" s="182" t="s">
        <v>19</v>
      </c>
      <c r="M4100" s="182" t="s">
        <v>20</v>
      </c>
      <c r="N4100" s="182" t="s">
        <v>21</v>
      </c>
      <c r="O4100" s="182" t="s">
        <v>22</v>
      </c>
      <c r="P4100" s="182" t="s">
        <v>23</v>
      </c>
      <c r="Q4100" s="182" t="s">
        <v>19</v>
      </c>
      <c r="R4100" s="182" t="s">
        <v>20</v>
      </c>
      <c r="S4100" s="182" t="s">
        <v>21</v>
      </c>
      <c r="T4100" s="182" t="s">
        <v>22</v>
      </c>
      <c r="U4100" s="211" t="s">
        <v>23</v>
      </c>
    </row>
    <row r="4101" spans="1:21" x14ac:dyDescent="0.25">
      <c r="A4101" s="183" t="s">
        <v>1150</v>
      </c>
      <c r="B4101" s="182" t="s">
        <v>47</v>
      </c>
      <c r="C4101" s="182" t="s">
        <v>28</v>
      </c>
      <c r="D4101" s="182">
        <v>0.05</v>
      </c>
      <c r="E4101" s="182">
        <f>skilled</f>
        <v>1245</v>
      </c>
      <c r="F4101" s="184">
        <f>(D4101*E4101)</f>
        <v>62.25</v>
      </c>
      <c r="G4101" s="182" t="s">
        <v>1143</v>
      </c>
      <c r="H4101" s="216"/>
      <c r="K4101" s="184">
        <f>(F4105*5/100)</f>
        <v>18.54</v>
      </c>
      <c r="L4101" s="182" t="s">
        <v>1147</v>
      </c>
      <c r="M4101" s="182"/>
      <c r="P4101" s="184">
        <f>F4105*9/100</f>
        <v>33.372</v>
      </c>
    </row>
    <row r="4102" spans="1:21" x14ac:dyDescent="0.25">
      <c r="B4102" s="182" t="s">
        <v>29</v>
      </c>
      <c r="C4102" s="182" t="s">
        <v>28</v>
      </c>
      <c r="D4102" s="182">
        <v>0.33</v>
      </c>
      <c r="E4102" s="182">
        <f>unskilled</f>
        <v>935</v>
      </c>
      <c r="F4102" s="184">
        <f>(D4102*E4102)</f>
        <v>308.55</v>
      </c>
      <c r="G4102" s="182" t="s">
        <v>1144</v>
      </c>
      <c r="H4102" s="216"/>
      <c r="K4102" s="184">
        <f>(F4105*1.7/100)</f>
        <v>6.3036000000000003</v>
      </c>
      <c r="L4102" s="182" t="s">
        <v>1148</v>
      </c>
      <c r="M4102" s="182"/>
      <c r="P4102" s="184">
        <f>F4105*3/100</f>
        <v>11.124000000000001</v>
      </c>
    </row>
    <row r="4103" spans="1:21" x14ac:dyDescent="0.25">
      <c r="G4103" s="182" t="s">
        <v>1145</v>
      </c>
      <c r="H4103" s="216"/>
      <c r="K4103" s="184">
        <f>(F4105*1/100)</f>
        <v>3.7080000000000002</v>
      </c>
    </row>
    <row r="4104" spans="1:21" x14ac:dyDescent="0.25">
      <c r="G4104" s="182" t="s">
        <v>1146</v>
      </c>
      <c r="H4104" s="216"/>
      <c r="K4104" s="184">
        <f>(F4105*0.3/100)</f>
        <v>1.1124000000000001</v>
      </c>
    </row>
    <row r="4105" spans="1:21" x14ac:dyDescent="0.25">
      <c r="A4105" s="537" t="s">
        <v>30</v>
      </c>
      <c r="B4105" s="537"/>
      <c r="C4105" s="537"/>
      <c r="D4105" s="537"/>
      <c r="E4105" s="537"/>
      <c r="F4105" s="184">
        <f>SUM(F4100:F4104)</f>
        <v>370.8</v>
      </c>
      <c r="G4105" s="537" t="s">
        <v>31</v>
      </c>
      <c r="H4105" s="537"/>
      <c r="I4105" s="537"/>
      <c r="J4105" s="537"/>
      <c r="K4105" s="184">
        <f>SUM(K4100:K4104)</f>
        <v>29.664000000000001</v>
      </c>
      <c r="L4105" s="537" t="s">
        <v>32</v>
      </c>
      <c r="M4105" s="537"/>
      <c r="N4105" s="537"/>
      <c r="O4105" s="537"/>
      <c r="P4105" s="184">
        <f>SUM(P4100:P4104)</f>
        <v>44.496000000000002</v>
      </c>
      <c r="Q4105" s="537" t="s">
        <v>38</v>
      </c>
      <c r="R4105" s="537"/>
      <c r="S4105" s="537"/>
      <c r="T4105" s="537"/>
      <c r="U4105" s="223">
        <f>SUM(U4100:U4104)</f>
        <v>0</v>
      </c>
    </row>
    <row r="4106" spans="1:21" x14ac:dyDescent="0.25">
      <c r="A4106" s="537" t="s">
        <v>33</v>
      </c>
      <c r="B4106" s="537"/>
      <c r="C4106" s="537"/>
      <c r="D4106" s="537"/>
      <c r="E4106" s="537"/>
      <c r="F4106" s="184">
        <f>SUM(F4105+K4105+P4105)</f>
        <v>444.96</v>
      </c>
      <c r="G4106" s="537" t="s">
        <v>39</v>
      </c>
      <c r="H4106" s="537"/>
      <c r="I4106" s="537"/>
      <c r="J4106" s="537"/>
      <c r="K4106" s="184">
        <f>SUM(F4105+K4105+P4105+U4105)</f>
        <v>444.96</v>
      </c>
      <c r="L4106" s="537" t="s">
        <v>40</v>
      </c>
      <c r="M4106" s="537"/>
      <c r="N4106" s="537"/>
      <c r="O4106" s="537"/>
      <c r="P4106" s="184">
        <f>SUM(K4106*0.15)</f>
        <v>66.744</v>
      </c>
      <c r="Q4106" s="537" t="s">
        <v>41</v>
      </c>
      <c r="R4106" s="537"/>
      <c r="S4106" s="537"/>
      <c r="T4106" s="537"/>
      <c r="U4106" s="223">
        <f>SUM(K4106+P4106)</f>
        <v>511.70399999999995</v>
      </c>
    </row>
    <row r="4107" spans="1:21" x14ac:dyDescent="0.25">
      <c r="Q4107" s="537" t="s">
        <v>42</v>
      </c>
      <c r="R4107" s="537"/>
      <c r="S4107" s="537"/>
      <c r="T4107" s="537"/>
      <c r="U4107" s="224">
        <f>ROUND((U4106/1),2)</f>
        <v>511.7</v>
      </c>
    </row>
    <row r="4108" spans="1:21" x14ac:dyDescent="0.25">
      <c r="A4108" s="544"/>
      <c r="B4108" s="544"/>
      <c r="C4108" s="544"/>
      <c r="D4108" s="544"/>
      <c r="E4108" s="544"/>
      <c r="F4108" s="544"/>
      <c r="G4108" s="544"/>
      <c r="H4108" s="544"/>
      <c r="I4108" s="544"/>
      <c r="J4108" s="544"/>
      <c r="K4108" s="544"/>
      <c r="L4108" s="544"/>
      <c r="M4108" s="544"/>
      <c r="N4108" s="544"/>
      <c r="O4108" s="544"/>
      <c r="P4108" s="544"/>
      <c r="Q4108" s="544"/>
      <c r="R4108" s="544"/>
      <c r="S4108" s="544"/>
      <c r="T4108" s="544"/>
      <c r="U4108" s="544"/>
    </row>
    <row r="4109" spans="1:21" x14ac:dyDescent="0.25">
      <c r="A4109" s="538" t="s">
        <v>12</v>
      </c>
      <c r="B4109" s="538"/>
      <c r="C4109" s="540" t="s">
        <v>1149</v>
      </c>
      <c r="D4109" s="540"/>
      <c r="E4109" s="540"/>
      <c r="F4109" s="540"/>
      <c r="G4109" s="540"/>
      <c r="H4109" s="540"/>
      <c r="I4109" s="540"/>
      <c r="J4109" s="540"/>
      <c r="K4109" s="540"/>
      <c r="L4109" s="540"/>
      <c r="M4109" s="540"/>
      <c r="N4109" s="540"/>
      <c r="O4109" s="540"/>
      <c r="P4109" s="540"/>
      <c r="Q4109" s="540"/>
      <c r="R4109" s="540"/>
      <c r="S4109" s="540"/>
      <c r="T4109" s="540"/>
      <c r="U4109" s="541" t="s">
        <v>1152</v>
      </c>
    </row>
    <row r="4110" spans="1:21" x14ac:dyDescent="0.25">
      <c r="A4110" s="538"/>
      <c r="B4110" s="538"/>
      <c r="C4110" s="540"/>
      <c r="D4110" s="540"/>
      <c r="E4110" s="540"/>
      <c r="F4110" s="540"/>
      <c r="G4110" s="540"/>
      <c r="H4110" s="540"/>
      <c r="I4110" s="540"/>
      <c r="J4110" s="540"/>
      <c r="K4110" s="540"/>
      <c r="L4110" s="540"/>
      <c r="M4110" s="540"/>
      <c r="N4110" s="540"/>
      <c r="O4110" s="540"/>
      <c r="P4110" s="540"/>
      <c r="Q4110" s="540"/>
      <c r="R4110" s="540"/>
      <c r="S4110" s="540"/>
      <c r="T4110" s="540"/>
      <c r="U4110" s="541"/>
    </row>
    <row r="4111" spans="1:21" x14ac:dyDescent="0.25">
      <c r="A4111" s="539" t="s">
        <v>1151</v>
      </c>
      <c r="B4111" s="539"/>
      <c r="C4111" s="540"/>
      <c r="D4111" s="540"/>
      <c r="E4111" s="540"/>
      <c r="F4111" s="540"/>
      <c r="G4111" s="540"/>
      <c r="H4111" s="540"/>
      <c r="I4111" s="540"/>
      <c r="J4111" s="540"/>
      <c r="K4111" s="540"/>
      <c r="L4111" s="540"/>
      <c r="M4111" s="540"/>
      <c r="N4111" s="540"/>
      <c r="O4111" s="540"/>
      <c r="P4111" s="540"/>
      <c r="Q4111" s="540"/>
      <c r="R4111" s="540"/>
      <c r="S4111" s="540"/>
      <c r="T4111" s="540"/>
      <c r="U4111" s="541"/>
    </row>
    <row r="4112" spans="1:21" x14ac:dyDescent="0.25">
      <c r="A4112" s="542" t="s">
        <v>16</v>
      </c>
      <c r="B4112" s="543" t="s">
        <v>18</v>
      </c>
      <c r="C4112" s="543"/>
      <c r="D4112" s="543"/>
      <c r="E4112" s="543"/>
      <c r="F4112" s="543"/>
      <c r="G4112" s="543" t="s">
        <v>24</v>
      </c>
      <c r="H4112" s="543"/>
      <c r="I4112" s="543"/>
      <c r="J4112" s="543"/>
      <c r="K4112" s="543"/>
      <c r="L4112" s="543" t="s">
        <v>25</v>
      </c>
      <c r="M4112" s="543"/>
      <c r="N4112" s="543"/>
      <c r="O4112" s="543"/>
      <c r="P4112" s="543"/>
      <c r="Q4112" s="543" t="s">
        <v>26</v>
      </c>
      <c r="R4112" s="543"/>
      <c r="S4112" s="543"/>
      <c r="T4112" s="543"/>
      <c r="U4112" s="543"/>
    </row>
    <row r="4113" spans="1:21" x14ac:dyDescent="0.25">
      <c r="A4113" s="542"/>
      <c r="B4113" s="182" t="s">
        <v>19</v>
      </c>
      <c r="C4113" s="182" t="s">
        <v>20</v>
      </c>
      <c r="D4113" s="182" t="s">
        <v>21</v>
      </c>
      <c r="E4113" s="182" t="s">
        <v>22</v>
      </c>
      <c r="F4113" s="182" t="s">
        <v>23</v>
      </c>
      <c r="G4113" s="182" t="s">
        <v>19</v>
      </c>
      <c r="H4113" s="216" t="s">
        <v>20</v>
      </c>
      <c r="I4113" s="182" t="s">
        <v>21</v>
      </c>
      <c r="J4113" s="182" t="s">
        <v>22</v>
      </c>
      <c r="K4113" s="182" t="s">
        <v>23</v>
      </c>
      <c r="L4113" s="182" t="s">
        <v>19</v>
      </c>
      <c r="M4113" s="182" t="s">
        <v>20</v>
      </c>
      <c r="N4113" s="182" t="s">
        <v>21</v>
      </c>
      <c r="O4113" s="182" t="s">
        <v>22</v>
      </c>
      <c r="P4113" s="182" t="s">
        <v>23</v>
      </c>
      <c r="Q4113" s="182" t="s">
        <v>19</v>
      </c>
      <c r="R4113" s="182" t="s">
        <v>20</v>
      </c>
      <c r="S4113" s="182" t="s">
        <v>21</v>
      </c>
      <c r="T4113" s="182" t="s">
        <v>22</v>
      </c>
      <c r="U4113" s="211" t="s">
        <v>23</v>
      </c>
    </row>
    <row r="4114" spans="1:21" ht="31.5" x14ac:dyDescent="0.25">
      <c r="A4114" s="183" t="s">
        <v>1153</v>
      </c>
      <c r="B4114" s="182" t="s">
        <v>47</v>
      </c>
      <c r="C4114" s="182" t="s">
        <v>28</v>
      </c>
      <c r="D4114" s="182">
        <v>365</v>
      </c>
      <c r="E4114" s="182">
        <f>skilled</f>
        <v>1245</v>
      </c>
      <c r="F4114" s="184">
        <f>(D4114*E4114)</f>
        <v>454425</v>
      </c>
      <c r="G4114" s="182" t="s">
        <v>1154</v>
      </c>
      <c r="H4114" s="216" t="s">
        <v>84</v>
      </c>
      <c r="I4114" s="182">
        <v>0</v>
      </c>
      <c r="J4114" s="182">
        <f>adopted_rate_aggregate_13.2_mm</f>
        <v>0</v>
      </c>
      <c r="K4114" s="182">
        <f>(I4114*J4114)</f>
        <v>0</v>
      </c>
      <c r="L4114" s="182" t="s">
        <v>1157</v>
      </c>
      <c r="M4114" s="182"/>
      <c r="P4114" s="184">
        <f>F4119*12/100</f>
        <v>423108</v>
      </c>
    </row>
    <row r="4115" spans="1:21" ht="47.25" x14ac:dyDescent="0.25">
      <c r="B4115" s="182" t="s">
        <v>29</v>
      </c>
      <c r="C4115" s="182" t="s">
        <v>28</v>
      </c>
      <c r="D4115" s="182">
        <v>3285</v>
      </c>
      <c r="E4115" s="182">
        <f>unskilled</f>
        <v>935</v>
      </c>
      <c r="F4115" s="184">
        <f>(D4115*E4115)</f>
        <v>3071475</v>
      </c>
      <c r="G4115" s="182" t="s">
        <v>1155</v>
      </c>
      <c r="H4115" s="216" t="s">
        <v>84</v>
      </c>
      <c r="I4115" s="182">
        <v>0</v>
      </c>
      <c r="J4115" s="182">
        <f>adopted_rate_aggregate_10_mm</f>
        <v>3175.2000000000003</v>
      </c>
      <c r="K4115" s="182">
        <f>(I4115*J4115)</f>
        <v>0</v>
      </c>
      <c r="L4115" s="182" t="s">
        <v>63</v>
      </c>
      <c r="M4115" s="182" t="s">
        <v>58</v>
      </c>
      <c r="N4115" s="182" t="s">
        <v>1158</v>
      </c>
      <c r="O4115" s="182">
        <f>air_compressor</f>
        <v>1190</v>
      </c>
      <c r="P4115" s="184" t="e">
        <f>(N4115*O4115)</f>
        <v>#VALUE!</v>
      </c>
    </row>
    <row r="4116" spans="1:21" ht="47.25" x14ac:dyDescent="0.25">
      <c r="G4116" s="182" t="s">
        <v>1156</v>
      </c>
      <c r="H4116" s="216" t="s">
        <v>35</v>
      </c>
      <c r="I4116" s="182">
        <v>0</v>
      </c>
      <c r="J4116" s="182">
        <f>adopted_rate_bitumen_vg_10</f>
        <v>108000</v>
      </c>
      <c r="K4116" s="182">
        <f>(I4116*J4116)</f>
        <v>0</v>
      </c>
      <c r="L4116" s="182" t="s">
        <v>1159</v>
      </c>
      <c r="M4116" s="182" t="s">
        <v>58</v>
      </c>
      <c r="N4116" s="182" t="s">
        <v>1158</v>
      </c>
      <c r="O4116" s="182">
        <f>hot_mix_plant</f>
        <v>28602</v>
      </c>
      <c r="P4116" s="184" t="e">
        <f>(N4116*O4116)</f>
        <v>#VALUE!</v>
      </c>
    </row>
    <row r="4117" spans="1:21" ht="47.25" x14ac:dyDescent="0.25">
      <c r="G4117" s="182" t="s">
        <v>293</v>
      </c>
      <c r="H4117" s="216" t="s">
        <v>35</v>
      </c>
      <c r="I4117" s="182">
        <v>0</v>
      </c>
      <c r="J4117" s="182">
        <f>adopted_rate_emulsion</f>
        <v>94000</v>
      </c>
      <c r="K4117" s="182">
        <f>(I4117*J4117)</f>
        <v>0</v>
      </c>
      <c r="L4117" s="182" t="s">
        <v>193</v>
      </c>
      <c r="M4117" s="182" t="s">
        <v>58</v>
      </c>
      <c r="N4117" s="182" t="s">
        <v>1158</v>
      </c>
      <c r="O4117" s="182">
        <f>tipper</f>
        <v>1384</v>
      </c>
      <c r="P4117" s="184" t="e">
        <f>(N4117*O4117)</f>
        <v>#VALUE!</v>
      </c>
    </row>
    <row r="4118" spans="1:21" ht="47.25" x14ac:dyDescent="0.25">
      <c r="L4118" s="182" t="s">
        <v>332</v>
      </c>
      <c r="M4118" s="182" t="s">
        <v>58</v>
      </c>
      <c r="N4118" s="182" t="s">
        <v>1158</v>
      </c>
      <c r="O4118" s="182">
        <f>smooth_wheel_roller</f>
        <v>1089</v>
      </c>
      <c r="P4118" s="184" t="e">
        <f>(N4118*O4118)</f>
        <v>#VALUE!</v>
      </c>
    </row>
    <row r="4119" spans="1:21" x14ac:dyDescent="0.25">
      <c r="A4119" s="537" t="s">
        <v>30</v>
      </c>
      <c r="B4119" s="537"/>
      <c r="C4119" s="537"/>
      <c r="D4119" s="537"/>
      <c r="E4119" s="537"/>
      <c r="F4119" s="184">
        <f>SUM(F4113:F4118)</f>
        <v>3525900</v>
      </c>
      <c r="G4119" s="537" t="s">
        <v>31</v>
      </c>
      <c r="H4119" s="537"/>
      <c r="I4119" s="537"/>
      <c r="J4119" s="537"/>
      <c r="K4119" s="184">
        <f>SUM(K4113:K4118)</f>
        <v>0</v>
      </c>
      <c r="L4119" s="537" t="s">
        <v>32</v>
      </c>
      <c r="M4119" s="537"/>
      <c r="N4119" s="537"/>
      <c r="O4119" s="537"/>
      <c r="P4119" s="184" t="e">
        <f>SUM(P4113:P4118)</f>
        <v>#VALUE!</v>
      </c>
      <c r="Q4119" s="537" t="s">
        <v>38</v>
      </c>
      <c r="R4119" s="537"/>
      <c r="S4119" s="537"/>
      <c r="T4119" s="537"/>
      <c r="U4119" s="223">
        <f>SUM(U4113:U4118)</f>
        <v>0</v>
      </c>
    </row>
    <row r="4120" spans="1:21" x14ac:dyDescent="0.25">
      <c r="A4120" s="537" t="s">
        <v>33</v>
      </c>
      <c r="B4120" s="537"/>
      <c r="C4120" s="537"/>
      <c r="D4120" s="537"/>
      <c r="E4120" s="537"/>
      <c r="F4120" s="184" t="e">
        <f>SUM(F4119+K4119+P4119)</f>
        <v>#VALUE!</v>
      </c>
      <c r="G4120" s="537" t="s">
        <v>39</v>
      </c>
      <c r="H4120" s="537"/>
      <c r="I4120" s="537"/>
      <c r="J4120" s="537"/>
      <c r="K4120" s="184" t="e">
        <f>SUM(F4119+K4119+P4119+U4119)</f>
        <v>#VALUE!</v>
      </c>
      <c r="L4120" s="537" t="s">
        <v>40</v>
      </c>
      <c r="M4120" s="537"/>
      <c r="N4120" s="537"/>
      <c r="O4120" s="537"/>
      <c r="P4120" s="184" t="e">
        <f>SUM(K4120*0.15)</f>
        <v>#VALUE!</v>
      </c>
      <c r="Q4120" s="537" t="s">
        <v>41</v>
      </c>
      <c r="R4120" s="537"/>
      <c r="S4120" s="537"/>
      <c r="T4120" s="537"/>
      <c r="U4120" s="223" t="e">
        <f>SUM(K4120+P4120)</f>
        <v>#VALUE!</v>
      </c>
    </row>
    <row r="4121" spans="1:21" x14ac:dyDescent="0.25">
      <c r="Q4121" s="537" t="s">
        <v>42</v>
      </c>
      <c r="R4121" s="537"/>
      <c r="S4121" s="537"/>
      <c r="T4121" s="537"/>
      <c r="U4121" s="224" t="e">
        <f>ROUND((U4120/20),2)</f>
        <v>#VALUE!</v>
      </c>
    </row>
    <row r="4122" spans="1:21" x14ac:dyDescent="0.25">
      <c r="A4122" s="544"/>
      <c r="B4122" s="544"/>
      <c r="C4122" s="544"/>
      <c r="D4122" s="544"/>
      <c r="E4122" s="544"/>
      <c r="F4122" s="544"/>
      <c r="G4122" s="544"/>
      <c r="H4122" s="544"/>
      <c r="I4122" s="544"/>
      <c r="J4122" s="544"/>
      <c r="K4122" s="544"/>
      <c r="L4122" s="544"/>
      <c r="M4122" s="544"/>
      <c r="N4122" s="544"/>
      <c r="O4122" s="544"/>
      <c r="P4122" s="544"/>
      <c r="Q4122" s="544"/>
      <c r="R4122" s="544"/>
      <c r="S4122" s="544"/>
      <c r="T4122" s="544"/>
      <c r="U4122" s="544"/>
    </row>
    <row r="4123" spans="1:21" x14ac:dyDescent="0.25">
      <c r="A4123" s="538" t="s">
        <v>12</v>
      </c>
      <c r="B4123" s="538"/>
      <c r="C4123" s="540" t="s">
        <v>1161</v>
      </c>
      <c r="D4123" s="540"/>
      <c r="E4123" s="540"/>
      <c r="F4123" s="540"/>
      <c r="G4123" s="540"/>
      <c r="H4123" s="540"/>
      <c r="I4123" s="540"/>
      <c r="J4123" s="540"/>
      <c r="K4123" s="540"/>
      <c r="L4123" s="540"/>
      <c r="M4123" s="540"/>
      <c r="N4123" s="540"/>
      <c r="O4123" s="540"/>
      <c r="P4123" s="540"/>
      <c r="Q4123" s="540"/>
      <c r="R4123" s="540"/>
      <c r="S4123" s="540"/>
      <c r="T4123" s="540"/>
      <c r="U4123" s="541" t="s">
        <v>197</v>
      </c>
    </row>
    <row r="4124" spans="1:21" x14ac:dyDescent="0.25">
      <c r="A4124" s="538"/>
      <c r="B4124" s="538"/>
      <c r="C4124" s="540"/>
      <c r="D4124" s="540"/>
      <c r="E4124" s="540"/>
      <c r="F4124" s="540"/>
      <c r="G4124" s="540"/>
      <c r="H4124" s="540"/>
      <c r="I4124" s="540"/>
      <c r="J4124" s="540"/>
      <c r="K4124" s="540"/>
      <c r="L4124" s="540"/>
      <c r="M4124" s="540"/>
      <c r="N4124" s="540"/>
      <c r="O4124" s="540"/>
      <c r="P4124" s="540"/>
      <c r="Q4124" s="540"/>
      <c r="R4124" s="540"/>
      <c r="S4124" s="540"/>
      <c r="T4124" s="540"/>
      <c r="U4124" s="541"/>
    </row>
    <row r="4125" spans="1:21" x14ac:dyDescent="0.25">
      <c r="A4125" s="539" t="s">
        <v>1160</v>
      </c>
      <c r="B4125" s="539"/>
      <c r="C4125" s="540"/>
      <c r="D4125" s="540"/>
      <c r="E4125" s="540"/>
      <c r="F4125" s="540"/>
      <c r="G4125" s="540"/>
      <c r="H4125" s="540"/>
      <c r="I4125" s="540"/>
      <c r="J4125" s="540"/>
      <c r="K4125" s="540"/>
      <c r="L4125" s="540"/>
      <c r="M4125" s="540"/>
      <c r="N4125" s="540"/>
      <c r="O4125" s="540"/>
      <c r="P4125" s="540"/>
      <c r="Q4125" s="540"/>
      <c r="R4125" s="540"/>
      <c r="S4125" s="540"/>
      <c r="T4125" s="540"/>
      <c r="U4125" s="541"/>
    </row>
    <row r="4126" spans="1:21" x14ac:dyDescent="0.25">
      <c r="A4126" s="542" t="s">
        <v>16</v>
      </c>
      <c r="B4126" s="543" t="s">
        <v>18</v>
      </c>
      <c r="C4126" s="543"/>
      <c r="D4126" s="543"/>
      <c r="E4126" s="543"/>
      <c r="F4126" s="543"/>
      <c r="G4126" s="543" t="s">
        <v>24</v>
      </c>
      <c r="H4126" s="543"/>
      <c r="I4126" s="543"/>
      <c r="J4126" s="543"/>
      <c r="K4126" s="543"/>
      <c r="L4126" s="543" t="s">
        <v>25</v>
      </c>
      <c r="M4126" s="543"/>
      <c r="N4126" s="543"/>
      <c r="O4126" s="543"/>
      <c r="P4126" s="543"/>
      <c r="Q4126" s="543" t="s">
        <v>26</v>
      </c>
      <c r="R4126" s="543"/>
      <c r="S4126" s="543"/>
      <c r="T4126" s="543"/>
      <c r="U4126" s="543"/>
    </row>
    <row r="4127" spans="1:21" x14ac:dyDescent="0.25">
      <c r="A4127" s="542"/>
      <c r="B4127" s="182" t="s">
        <v>19</v>
      </c>
      <c r="C4127" s="182" t="s">
        <v>20</v>
      </c>
      <c r="D4127" s="182" t="s">
        <v>21</v>
      </c>
      <c r="E4127" s="182" t="s">
        <v>22</v>
      </c>
      <c r="F4127" s="182" t="s">
        <v>23</v>
      </c>
      <c r="G4127" s="182" t="s">
        <v>19</v>
      </c>
      <c r="H4127" s="216" t="s">
        <v>20</v>
      </c>
      <c r="I4127" s="182" t="s">
        <v>21</v>
      </c>
      <c r="J4127" s="182" t="s">
        <v>22</v>
      </c>
      <c r="K4127" s="182" t="s">
        <v>23</v>
      </c>
      <c r="L4127" s="182" t="s">
        <v>19</v>
      </c>
      <c r="M4127" s="182" t="s">
        <v>20</v>
      </c>
      <c r="N4127" s="182" t="s">
        <v>21</v>
      </c>
      <c r="O4127" s="182" t="s">
        <v>22</v>
      </c>
      <c r="P4127" s="182" t="s">
        <v>23</v>
      </c>
      <c r="Q4127" s="182" t="s">
        <v>19</v>
      </c>
      <c r="R4127" s="182" t="s">
        <v>20</v>
      </c>
      <c r="S4127" s="182" t="s">
        <v>21</v>
      </c>
      <c r="T4127" s="182" t="s">
        <v>22</v>
      </c>
      <c r="U4127" s="211" t="s">
        <v>23</v>
      </c>
    </row>
    <row r="4128" spans="1:21" x14ac:dyDescent="0.25">
      <c r="A4128" s="183" t="s">
        <v>1162</v>
      </c>
      <c r="B4128" s="182" t="s">
        <v>47</v>
      </c>
      <c r="C4128" s="182" t="s">
        <v>28</v>
      </c>
      <c r="D4128" s="182">
        <v>0.1</v>
      </c>
      <c r="E4128" s="182">
        <f>skilled</f>
        <v>1245</v>
      </c>
      <c r="F4128" s="184">
        <f>(D4128*E4128)</f>
        <v>124.5</v>
      </c>
    </row>
    <row r="4129" spans="1:21" x14ac:dyDescent="0.25">
      <c r="B4129" s="182" t="s">
        <v>29</v>
      </c>
      <c r="C4129" s="182" t="s">
        <v>28</v>
      </c>
      <c r="D4129" s="182">
        <v>0.75</v>
      </c>
      <c r="E4129" s="182">
        <f>unskilled</f>
        <v>935</v>
      </c>
      <c r="F4129" s="184">
        <f>(D4129*E4129)</f>
        <v>701.25</v>
      </c>
    </row>
    <row r="4130" spans="1:21" x14ac:dyDescent="0.25">
      <c r="A4130" s="537" t="s">
        <v>30</v>
      </c>
      <c r="B4130" s="537"/>
      <c r="C4130" s="537"/>
      <c r="D4130" s="537"/>
      <c r="E4130" s="537"/>
      <c r="F4130" s="184">
        <f>SUM(F4127:F4129)</f>
        <v>825.75</v>
      </c>
      <c r="G4130" s="537" t="s">
        <v>31</v>
      </c>
      <c r="H4130" s="537"/>
      <c r="I4130" s="537"/>
      <c r="J4130" s="537"/>
      <c r="K4130" s="184">
        <f>SUM(K4127:K4129)</f>
        <v>0</v>
      </c>
      <c r="L4130" s="537" t="s">
        <v>32</v>
      </c>
      <c r="M4130" s="537"/>
      <c r="N4130" s="537"/>
      <c r="O4130" s="537"/>
      <c r="P4130" s="184">
        <f>SUM(P4127:P4129)</f>
        <v>0</v>
      </c>
      <c r="Q4130" s="537" t="s">
        <v>38</v>
      </c>
      <c r="R4130" s="537"/>
      <c r="S4130" s="537"/>
      <c r="T4130" s="537"/>
      <c r="U4130" s="223">
        <f>SUM(U4127:U4129)</f>
        <v>0</v>
      </c>
    </row>
    <row r="4131" spans="1:21" x14ac:dyDescent="0.25">
      <c r="A4131" s="537" t="s">
        <v>33</v>
      </c>
      <c r="B4131" s="537"/>
      <c r="C4131" s="537"/>
      <c r="D4131" s="537"/>
      <c r="E4131" s="537"/>
      <c r="F4131" s="184">
        <f>SUM(F4130+K4130+P4130)</f>
        <v>825.75</v>
      </c>
      <c r="G4131" s="537" t="s">
        <v>39</v>
      </c>
      <c r="H4131" s="537"/>
      <c r="I4131" s="537"/>
      <c r="J4131" s="537"/>
      <c r="K4131" s="184">
        <f>SUM(F4130+K4130+P4130+U4130)</f>
        <v>825.75</v>
      </c>
      <c r="L4131" s="537" t="s">
        <v>40</v>
      </c>
      <c r="M4131" s="537"/>
      <c r="N4131" s="537"/>
      <c r="O4131" s="537"/>
      <c r="P4131" s="184">
        <f>SUM(K4131*0.15)</f>
        <v>123.8625</v>
      </c>
      <c r="Q4131" s="537" t="s">
        <v>41</v>
      </c>
      <c r="R4131" s="537"/>
      <c r="S4131" s="537"/>
      <c r="T4131" s="537"/>
      <c r="U4131" s="223">
        <f>SUM(K4131+P4131)</f>
        <v>949.61249999999995</v>
      </c>
    </row>
    <row r="4132" spans="1:21" x14ac:dyDescent="0.25">
      <c r="Q4132" s="537" t="s">
        <v>42</v>
      </c>
      <c r="R4132" s="537"/>
      <c r="S4132" s="537"/>
      <c r="T4132" s="537"/>
      <c r="U4132" s="224">
        <f>ROUND((U4131/1),2)</f>
        <v>949.61</v>
      </c>
    </row>
    <row r="4133" spans="1:21" x14ac:dyDescent="0.25">
      <c r="A4133" s="544"/>
      <c r="B4133" s="544"/>
      <c r="C4133" s="544"/>
      <c r="D4133" s="544"/>
      <c r="E4133" s="544"/>
      <c r="F4133" s="544"/>
      <c r="G4133" s="544"/>
      <c r="H4133" s="544"/>
      <c r="I4133" s="544"/>
      <c r="J4133" s="544"/>
      <c r="K4133" s="544"/>
      <c r="L4133" s="544"/>
      <c r="M4133" s="544"/>
      <c r="N4133" s="544"/>
      <c r="O4133" s="544"/>
      <c r="P4133" s="544"/>
      <c r="Q4133" s="544"/>
      <c r="R4133" s="544"/>
      <c r="S4133" s="544"/>
      <c r="T4133" s="544"/>
      <c r="U4133" s="544"/>
    </row>
    <row r="4134" spans="1:21" x14ac:dyDescent="0.25">
      <c r="A4134" s="538" t="s">
        <v>12</v>
      </c>
      <c r="B4134" s="538"/>
      <c r="C4134" s="540" t="s">
        <v>1163</v>
      </c>
      <c r="D4134" s="540"/>
      <c r="E4134" s="540"/>
      <c r="F4134" s="540"/>
      <c r="G4134" s="540"/>
      <c r="H4134" s="540"/>
      <c r="I4134" s="540"/>
      <c r="J4134" s="540"/>
      <c r="K4134" s="540"/>
      <c r="L4134" s="540"/>
      <c r="M4134" s="540"/>
      <c r="N4134" s="540"/>
      <c r="O4134" s="540"/>
      <c r="P4134" s="540"/>
      <c r="Q4134" s="540"/>
      <c r="R4134" s="540"/>
      <c r="S4134" s="540"/>
      <c r="T4134" s="540"/>
      <c r="U4134" s="541" t="s">
        <v>61</v>
      </c>
    </row>
    <row r="4135" spans="1:21" x14ac:dyDescent="0.25">
      <c r="A4135" s="538"/>
      <c r="B4135" s="538"/>
      <c r="C4135" s="540"/>
      <c r="D4135" s="540"/>
      <c r="E4135" s="540"/>
      <c r="F4135" s="540"/>
      <c r="G4135" s="540"/>
      <c r="H4135" s="540"/>
      <c r="I4135" s="540"/>
      <c r="J4135" s="540"/>
      <c r="K4135" s="540"/>
      <c r="L4135" s="540"/>
      <c r="M4135" s="540"/>
      <c r="N4135" s="540"/>
      <c r="O4135" s="540"/>
      <c r="P4135" s="540"/>
      <c r="Q4135" s="540"/>
      <c r="R4135" s="540"/>
      <c r="S4135" s="540"/>
      <c r="T4135" s="540"/>
      <c r="U4135" s="541"/>
    </row>
    <row r="4136" spans="1:21" x14ac:dyDescent="0.25">
      <c r="A4136" s="539" t="s">
        <v>1160</v>
      </c>
      <c r="B4136" s="539"/>
      <c r="C4136" s="540"/>
      <c r="D4136" s="540"/>
      <c r="E4136" s="540"/>
      <c r="F4136" s="540"/>
      <c r="G4136" s="540"/>
      <c r="H4136" s="540"/>
      <c r="I4136" s="540"/>
      <c r="J4136" s="540"/>
      <c r="K4136" s="540"/>
      <c r="L4136" s="540"/>
      <c r="M4136" s="540"/>
      <c r="N4136" s="540"/>
      <c r="O4136" s="540"/>
      <c r="P4136" s="540"/>
      <c r="Q4136" s="540"/>
      <c r="R4136" s="540"/>
      <c r="S4136" s="540"/>
      <c r="T4136" s="540"/>
      <c r="U4136" s="541"/>
    </row>
    <row r="4137" spans="1:21" x14ac:dyDescent="0.25">
      <c r="A4137" s="542" t="s">
        <v>16</v>
      </c>
      <c r="B4137" s="543" t="s">
        <v>18</v>
      </c>
      <c r="C4137" s="543"/>
      <c r="D4137" s="543"/>
      <c r="E4137" s="543"/>
      <c r="F4137" s="543"/>
      <c r="G4137" s="543" t="s">
        <v>24</v>
      </c>
      <c r="H4137" s="543"/>
      <c r="I4137" s="543"/>
      <c r="J4137" s="543"/>
      <c r="K4137" s="543"/>
      <c r="L4137" s="543" t="s">
        <v>25</v>
      </c>
      <c r="M4137" s="543"/>
      <c r="N4137" s="543"/>
      <c r="O4137" s="543"/>
      <c r="P4137" s="543"/>
      <c r="Q4137" s="543" t="s">
        <v>26</v>
      </c>
      <c r="R4137" s="543"/>
      <c r="S4137" s="543"/>
      <c r="T4137" s="543"/>
      <c r="U4137" s="543"/>
    </row>
    <row r="4138" spans="1:21" x14ac:dyDescent="0.25">
      <c r="A4138" s="542"/>
      <c r="B4138" s="182" t="s">
        <v>19</v>
      </c>
      <c r="C4138" s="182" t="s">
        <v>20</v>
      </c>
      <c r="D4138" s="182" t="s">
        <v>21</v>
      </c>
      <c r="E4138" s="182" t="s">
        <v>22</v>
      </c>
      <c r="F4138" s="182" t="s">
        <v>23</v>
      </c>
      <c r="G4138" s="182" t="s">
        <v>19</v>
      </c>
      <c r="H4138" s="216" t="s">
        <v>20</v>
      </c>
      <c r="I4138" s="182" t="s">
        <v>21</v>
      </c>
      <c r="J4138" s="182" t="s">
        <v>22</v>
      </c>
      <c r="K4138" s="182" t="s">
        <v>23</v>
      </c>
      <c r="L4138" s="182" t="s">
        <v>19</v>
      </c>
      <c r="M4138" s="182" t="s">
        <v>20</v>
      </c>
      <c r="N4138" s="182" t="s">
        <v>21</v>
      </c>
      <c r="O4138" s="182" t="s">
        <v>22</v>
      </c>
      <c r="P4138" s="182" t="s">
        <v>23</v>
      </c>
      <c r="Q4138" s="182" t="s">
        <v>19</v>
      </c>
      <c r="R4138" s="182" t="s">
        <v>20</v>
      </c>
      <c r="S4138" s="182" t="s">
        <v>21</v>
      </c>
      <c r="T4138" s="182" t="s">
        <v>22</v>
      </c>
      <c r="U4138" s="211" t="s">
        <v>23</v>
      </c>
    </row>
    <row r="4139" spans="1:21" ht="31.5" x14ac:dyDescent="0.25">
      <c r="A4139" s="183" t="s">
        <v>1164</v>
      </c>
      <c r="B4139" s="182" t="s">
        <v>47</v>
      </c>
      <c r="C4139" s="182" t="s">
        <v>28</v>
      </c>
      <c r="D4139" s="182">
        <v>0.04</v>
      </c>
      <c r="E4139" s="182">
        <f>skilled</f>
        <v>1245</v>
      </c>
      <c r="F4139" s="184">
        <f>(D4139*E4139)</f>
        <v>49.800000000000004</v>
      </c>
      <c r="G4139" s="182" t="s">
        <v>1165</v>
      </c>
      <c r="H4139" s="216" t="s">
        <v>84</v>
      </c>
      <c r="I4139" s="182">
        <v>7.5</v>
      </c>
      <c r="J4139" s="182">
        <f>adopted_rate_borrow_pit_material</f>
        <v>0</v>
      </c>
      <c r="K4139" s="182">
        <f>(I4139*J4139)</f>
        <v>0</v>
      </c>
      <c r="L4139" s="182" t="s">
        <v>183</v>
      </c>
      <c r="M4139" s="182" t="s">
        <v>58</v>
      </c>
      <c r="N4139" s="182">
        <v>3</v>
      </c>
      <c r="O4139" s="182">
        <f>plate_compactor</f>
        <v>429</v>
      </c>
      <c r="P4139" s="184">
        <f>(N4139*O4139)</f>
        <v>1287</v>
      </c>
    </row>
    <row r="4140" spans="1:21" x14ac:dyDescent="0.25">
      <c r="B4140" s="182" t="s">
        <v>29</v>
      </c>
      <c r="C4140" s="182" t="s">
        <v>28</v>
      </c>
      <c r="D4140" s="182">
        <v>6.24</v>
      </c>
      <c r="E4140" s="182">
        <f>unskilled</f>
        <v>935</v>
      </c>
      <c r="F4140" s="184">
        <f>(D4140*E4140)</f>
        <v>5834.4000000000005</v>
      </c>
    </row>
    <row r="4141" spans="1:21" x14ac:dyDescent="0.25">
      <c r="A4141" s="537" t="s">
        <v>30</v>
      </c>
      <c r="B4141" s="537"/>
      <c r="C4141" s="537"/>
      <c r="D4141" s="537"/>
      <c r="E4141" s="537"/>
      <c r="F4141" s="184">
        <f>SUM(F4138:F4140)</f>
        <v>5884.2000000000007</v>
      </c>
      <c r="G4141" s="537" t="s">
        <v>31</v>
      </c>
      <c r="H4141" s="537"/>
      <c r="I4141" s="537"/>
      <c r="J4141" s="537"/>
      <c r="K4141" s="184">
        <f>SUM(K4138:K4140)</f>
        <v>0</v>
      </c>
      <c r="L4141" s="537" t="s">
        <v>32</v>
      </c>
      <c r="M4141" s="537"/>
      <c r="N4141" s="537"/>
      <c r="O4141" s="537"/>
      <c r="P4141" s="184">
        <f>SUM(P4138:P4140)</f>
        <v>1287</v>
      </c>
      <c r="Q4141" s="537" t="s">
        <v>38</v>
      </c>
      <c r="R4141" s="537"/>
      <c r="S4141" s="537"/>
      <c r="T4141" s="537"/>
      <c r="U4141" s="223">
        <f>SUM(U4138:U4140)</f>
        <v>0</v>
      </c>
    </row>
    <row r="4142" spans="1:21" x14ac:dyDescent="0.25">
      <c r="A4142" s="537" t="s">
        <v>33</v>
      </c>
      <c r="B4142" s="537"/>
      <c r="C4142" s="537"/>
      <c r="D4142" s="537"/>
      <c r="E4142" s="537"/>
      <c r="F4142" s="184">
        <f>SUM(F4141+K4141+P4141)</f>
        <v>7171.2000000000007</v>
      </c>
      <c r="G4142" s="537" t="s">
        <v>39</v>
      </c>
      <c r="H4142" s="537"/>
      <c r="I4142" s="537"/>
      <c r="J4142" s="537"/>
      <c r="K4142" s="184">
        <f>SUM(F4141+K4141+P4141+U4141)</f>
        <v>7171.2000000000007</v>
      </c>
      <c r="L4142" s="537" t="s">
        <v>40</v>
      </c>
      <c r="M4142" s="537"/>
      <c r="N4142" s="537"/>
      <c r="O4142" s="537"/>
      <c r="P4142" s="184">
        <f>SUM(K4142*0.15)</f>
        <v>1075.68</v>
      </c>
      <c r="Q4142" s="537" t="s">
        <v>41</v>
      </c>
      <c r="R4142" s="537"/>
      <c r="S4142" s="537"/>
      <c r="T4142" s="537"/>
      <c r="U4142" s="223">
        <f>SUM(K4142+P4142)</f>
        <v>8246.880000000001</v>
      </c>
    </row>
    <row r="4143" spans="1:21" x14ac:dyDescent="0.25">
      <c r="Q4143" s="537" t="s">
        <v>42</v>
      </c>
      <c r="R4143" s="537"/>
      <c r="S4143" s="537"/>
      <c r="T4143" s="537"/>
      <c r="U4143" s="224">
        <f>ROUND((U4142/10),2)</f>
        <v>824.69</v>
      </c>
    </row>
    <row r="4144" spans="1:21" x14ac:dyDescent="0.25">
      <c r="A4144" s="544"/>
      <c r="B4144" s="544"/>
      <c r="C4144" s="544"/>
      <c r="D4144" s="544"/>
      <c r="E4144" s="544"/>
      <c r="F4144" s="544"/>
      <c r="G4144" s="544"/>
      <c r="H4144" s="544"/>
      <c r="I4144" s="544"/>
      <c r="J4144" s="544"/>
      <c r="K4144" s="544"/>
      <c r="L4144" s="544"/>
      <c r="M4144" s="544"/>
      <c r="N4144" s="544"/>
      <c r="O4144" s="544"/>
      <c r="P4144" s="544"/>
      <c r="Q4144" s="544"/>
      <c r="R4144" s="544"/>
      <c r="S4144" s="544"/>
      <c r="T4144" s="544"/>
      <c r="U4144" s="544"/>
    </row>
    <row r="4145" spans="1:21" x14ac:dyDescent="0.25">
      <c r="A4145" s="538" t="s">
        <v>12</v>
      </c>
      <c r="B4145" s="538"/>
      <c r="C4145" s="540" t="s">
        <v>1167</v>
      </c>
      <c r="D4145" s="540"/>
      <c r="E4145" s="540"/>
      <c r="F4145" s="540"/>
      <c r="G4145" s="540"/>
      <c r="H4145" s="540"/>
      <c r="I4145" s="540"/>
      <c r="J4145" s="540"/>
      <c r="K4145" s="540"/>
      <c r="L4145" s="540"/>
      <c r="M4145" s="540"/>
      <c r="N4145" s="540"/>
      <c r="O4145" s="540"/>
      <c r="P4145" s="540"/>
      <c r="Q4145" s="540"/>
      <c r="R4145" s="540"/>
      <c r="S4145" s="540"/>
      <c r="T4145" s="540"/>
      <c r="U4145" s="541" t="s">
        <v>1168</v>
      </c>
    </row>
    <row r="4146" spans="1:21" x14ac:dyDescent="0.25">
      <c r="A4146" s="538"/>
      <c r="B4146" s="538"/>
      <c r="C4146" s="540"/>
      <c r="D4146" s="540"/>
      <c r="E4146" s="540"/>
      <c r="F4146" s="540"/>
      <c r="G4146" s="540"/>
      <c r="H4146" s="540"/>
      <c r="I4146" s="540"/>
      <c r="J4146" s="540"/>
      <c r="K4146" s="540"/>
      <c r="L4146" s="540"/>
      <c r="M4146" s="540"/>
      <c r="N4146" s="540"/>
      <c r="O4146" s="540"/>
      <c r="P4146" s="540"/>
      <c r="Q4146" s="540"/>
      <c r="R4146" s="540"/>
      <c r="S4146" s="540"/>
      <c r="T4146" s="540"/>
      <c r="U4146" s="541"/>
    </row>
    <row r="4147" spans="1:21" x14ac:dyDescent="0.25">
      <c r="A4147" s="539" t="s">
        <v>1166</v>
      </c>
      <c r="B4147" s="539"/>
      <c r="C4147" s="540"/>
      <c r="D4147" s="540"/>
      <c r="E4147" s="540"/>
      <c r="F4147" s="540"/>
      <c r="G4147" s="540"/>
      <c r="H4147" s="540"/>
      <c r="I4147" s="540"/>
      <c r="J4147" s="540"/>
      <c r="K4147" s="540"/>
      <c r="L4147" s="540"/>
      <c r="M4147" s="540"/>
      <c r="N4147" s="540"/>
      <c r="O4147" s="540"/>
      <c r="P4147" s="540"/>
      <c r="Q4147" s="540"/>
      <c r="R4147" s="540"/>
      <c r="S4147" s="540"/>
      <c r="T4147" s="540"/>
      <c r="U4147" s="541"/>
    </row>
    <row r="4148" spans="1:21" x14ac:dyDescent="0.25">
      <c r="A4148" s="542" t="s">
        <v>16</v>
      </c>
      <c r="B4148" s="543" t="s">
        <v>18</v>
      </c>
      <c r="C4148" s="543"/>
      <c r="D4148" s="543"/>
      <c r="E4148" s="543"/>
      <c r="F4148" s="543"/>
      <c r="G4148" s="543" t="s">
        <v>24</v>
      </c>
      <c r="H4148" s="543"/>
      <c r="I4148" s="543"/>
      <c r="J4148" s="543"/>
      <c r="K4148" s="543"/>
      <c r="L4148" s="543" t="s">
        <v>25</v>
      </c>
      <c r="M4148" s="543"/>
      <c r="N4148" s="543"/>
      <c r="O4148" s="543"/>
      <c r="P4148" s="543"/>
      <c r="Q4148" s="543" t="s">
        <v>26</v>
      </c>
      <c r="R4148" s="543"/>
      <c r="S4148" s="543"/>
      <c r="T4148" s="543"/>
      <c r="U4148" s="543"/>
    </row>
    <row r="4149" spans="1:21" x14ac:dyDescent="0.25">
      <c r="A4149" s="542"/>
      <c r="B4149" s="182" t="s">
        <v>19</v>
      </c>
      <c r="C4149" s="182" t="s">
        <v>20</v>
      </c>
      <c r="D4149" s="182" t="s">
        <v>21</v>
      </c>
      <c r="E4149" s="182" t="s">
        <v>22</v>
      </c>
      <c r="F4149" s="182" t="s">
        <v>23</v>
      </c>
      <c r="G4149" s="182" t="s">
        <v>19</v>
      </c>
      <c r="H4149" s="216" t="s">
        <v>20</v>
      </c>
      <c r="I4149" s="182" t="s">
        <v>21</v>
      </c>
      <c r="J4149" s="182" t="s">
        <v>22</v>
      </c>
      <c r="K4149" s="182" t="s">
        <v>23</v>
      </c>
      <c r="L4149" s="182" t="s">
        <v>19</v>
      </c>
      <c r="M4149" s="182" t="s">
        <v>20</v>
      </c>
      <c r="N4149" s="182" t="s">
        <v>21</v>
      </c>
      <c r="O4149" s="182" t="s">
        <v>22</v>
      </c>
      <c r="P4149" s="182" t="s">
        <v>23</v>
      </c>
      <c r="Q4149" s="182" t="s">
        <v>19</v>
      </c>
      <c r="R4149" s="182" t="s">
        <v>20</v>
      </c>
      <c r="S4149" s="182" t="s">
        <v>21</v>
      </c>
      <c r="T4149" s="182" t="s">
        <v>22</v>
      </c>
      <c r="U4149" s="211" t="s">
        <v>23</v>
      </c>
    </row>
    <row r="4150" spans="1:21" x14ac:dyDescent="0.25">
      <c r="A4150" s="183" t="s">
        <v>1169</v>
      </c>
      <c r="B4150" s="182" t="s">
        <v>47</v>
      </c>
      <c r="C4150" s="182" t="s">
        <v>28</v>
      </c>
      <c r="D4150" s="182">
        <v>1</v>
      </c>
      <c r="E4150" s="182">
        <f>skilled</f>
        <v>1245</v>
      </c>
      <c r="F4150" s="184">
        <f>(D4150*E4150)</f>
        <v>1245</v>
      </c>
      <c r="G4150" s="182" t="s">
        <v>1170</v>
      </c>
      <c r="H4150" s="216"/>
      <c r="L4150" s="182" t="s">
        <v>1179</v>
      </c>
      <c r="M4150" s="182" t="s">
        <v>58</v>
      </c>
      <c r="N4150" s="182">
        <v>6</v>
      </c>
      <c r="O4150" s="182">
        <f>air_compressor</f>
        <v>1190</v>
      </c>
      <c r="P4150" s="184">
        <f>(N4150*O4150)</f>
        <v>7140</v>
      </c>
    </row>
    <row r="4151" spans="1:21" ht="31.5" x14ac:dyDescent="0.25">
      <c r="B4151" s="182" t="s">
        <v>29</v>
      </c>
      <c r="C4151" s="182" t="s">
        <v>28</v>
      </c>
      <c r="D4151" s="182">
        <v>20</v>
      </c>
      <c r="E4151" s="182">
        <f>unskilled</f>
        <v>935</v>
      </c>
      <c r="F4151" s="184">
        <f>(D4151*E4151)</f>
        <v>18700</v>
      </c>
      <c r="G4151" s="182" t="s">
        <v>1171</v>
      </c>
      <c r="H4151" s="216" t="s">
        <v>35</v>
      </c>
      <c r="I4151" s="182">
        <v>0.22</v>
      </c>
      <c r="J4151" s="182">
        <f>adopted_rate_emulsion</f>
        <v>94000</v>
      </c>
      <c r="K4151" s="182">
        <f>(I4151*J4151)</f>
        <v>20680</v>
      </c>
      <c r="L4151" s="182" t="s">
        <v>294</v>
      </c>
      <c r="M4151" s="182" t="s">
        <v>58</v>
      </c>
      <c r="N4151" s="182">
        <v>6</v>
      </c>
      <c r="O4151" s="182">
        <f>emulsion_distributor</f>
        <v>751</v>
      </c>
      <c r="P4151" s="184">
        <f>(N4151*O4151)</f>
        <v>4506</v>
      </c>
    </row>
    <row r="4152" spans="1:21" x14ac:dyDescent="0.25">
      <c r="G4152" s="182" t="s">
        <v>1171</v>
      </c>
      <c r="H4152" s="216" t="s">
        <v>35</v>
      </c>
      <c r="I4152" s="182">
        <v>0.13</v>
      </c>
      <c r="J4152" s="182">
        <f>adopted_rate_emulsion</f>
        <v>94000</v>
      </c>
      <c r="K4152" s="182">
        <f>(I4152*J4152)</f>
        <v>12220</v>
      </c>
      <c r="L4152" s="182" t="s">
        <v>1180</v>
      </c>
      <c r="M4152" s="182" t="s">
        <v>58</v>
      </c>
      <c r="N4152" s="182">
        <v>6</v>
      </c>
      <c r="O4152" s="182">
        <f>mixture_machine</f>
        <v>296</v>
      </c>
      <c r="P4152" s="184">
        <f>(N4152*O4152)</f>
        <v>1776</v>
      </c>
    </row>
    <row r="4153" spans="1:21" ht="31.5" x14ac:dyDescent="0.25">
      <c r="G4153" s="182" t="s">
        <v>1172</v>
      </c>
      <c r="H4153" s="216"/>
      <c r="L4153" s="182" t="s">
        <v>332</v>
      </c>
      <c r="M4153" s="182" t="s">
        <v>58</v>
      </c>
      <c r="N4153" s="182">
        <v>6</v>
      </c>
      <c r="O4153" s="182">
        <f>smooth_wheel_roller</f>
        <v>1089</v>
      </c>
      <c r="P4153" s="184">
        <f>(N4153*O4153)</f>
        <v>6534</v>
      </c>
    </row>
    <row r="4154" spans="1:21" x14ac:dyDescent="0.25">
      <c r="G4154" s="182" t="s">
        <v>1173</v>
      </c>
      <c r="H4154" s="216"/>
    </row>
    <row r="4155" spans="1:21" x14ac:dyDescent="0.25">
      <c r="G4155" s="182" t="s">
        <v>1174</v>
      </c>
      <c r="H4155" s="216"/>
    </row>
    <row r="4156" spans="1:21" x14ac:dyDescent="0.25">
      <c r="G4156" s="182" t="s">
        <v>297</v>
      </c>
      <c r="H4156" s="216" t="s">
        <v>35</v>
      </c>
      <c r="I4156" s="182">
        <v>1.08</v>
      </c>
      <c r="J4156" s="182">
        <f>adopted_rate_bitumen</f>
        <v>108000</v>
      </c>
      <c r="K4156" s="182">
        <f>(I4156*J4156)</f>
        <v>116640.00000000001</v>
      </c>
    </row>
    <row r="4157" spans="1:21" ht="31.5" x14ac:dyDescent="0.25">
      <c r="G4157" s="182" t="s">
        <v>1175</v>
      </c>
      <c r="H4157" s="216"/>
    </row>
    <row r="4158" spans="1:21" x14ac:dyDescent="0.25">
      <c r="G4158" s="182" t="s">
        <v>1176</v>
      </c>
      <c r="H4158" s="216"/>
    </row>
    <row r="4159" spans="1:21" x14ac:dyDescent="0.25">
      <c r="G4159" s="182" t="s">
        <v>1177</v>
      </c>
      <c r="H4159" s="216" t="s">
        <v>84</v>
      </c>
      <c r="I4159" s="182">
        <v>2.99</v>
      </c>
      <c r="J4159" s="182">
        <f>adopted_rate_aggregate_20_40_mm</f>
        <v>3175.2000000000003</v>
      </c>
      <c r="K4159" s="182">
        <f>(I4159*J4159)</f>
        <v>9493.8480000000018</v>
      </c>
    </row>
    <row r="4160" spans="1:21" x14ac:dyDescent="0.25">
      <c r="G4160" s="182" t="s">
        <v>1178</v>
      </c>
      <c r="H4160" s="216" t="s">
        <v>84</v>
      </c>
      <c r="I4160" s="182">
        <v>8.9600000000000009</v>
      </c>
      <c r="J4160" s="182">
        <f>adopted_rate_aggregate_10_20_mm</f>
        <v>3351.6</v>
      </c>
      <c r="K4160" s="182">
        <f>(I4160*J4160)</f>
        <v>30030.336000000003</v>
      </c>
    </row>
    <row r="4161" spans="1:21" x14ac:dyDescent="0.25">
      <c r="G4161" s="182" t="s">
        <v>1178</v>
      </c>
      <c r="H4161" s="216" t="s">
        <v>84</v>
      </c>
      <c r="I4161" s="182">
        <v>4.9800000000000004</v>
      </c>
      <c r="J4161" s="182">
        <f>adopted_rate_aggregate_10_20_mm</f>
        <v>3351.6</v>
      </c>
      <c r="K4161" s="182">
        <f>(I4161*J4161)</f>
        <v>16690.968000000001</v>
      </c>
    </row>
    <row r="4162" spans="1:21" x14ac:dyDescent="0.25">
      <c r="G4162" s="182" t="s">
        <v>306</v>
      </c>
      <c r="H4162" s="216" t="s">
        <v>84</v>
      </c>
      <c r="I4162" s="182">
        <v>2.99</v>
      </c>
      <c r="J4162" s="182">
        <f>adopted_rate_aggregate_10_mm</f>
        <v>3175.2000000000003</v>
      </c>
      <c r="K4162" s="182">
        <f>(I4162*J4162)</f>
        <v>9493.8480000000018</v>
      </c>
    </row>
    <row r="4163" spans="1:21" x14ac:dyDescent="0.25">
      <c r="A4163" s="537" t="s">
        <v>30</v>
      </c>
      <c r="B4163" s="537"/>
      <c r="C4163" s="537"/>
      <c r="D4163" s="537"/>
      <c r="E4163" s="537"/>
      <c r="F4163" s="184">
        <f>SUM(F4149:F4162)</f>
        <v>19945</v>
      </c>
      <c r="G4163" s="537" t="s">
        <v>31</v>
      </c>
      <c r="H4163" s="537"/>
      <c r="I4163" s="537"/>
      <c r="J4163" s="537"/>
      <c r="K4163" s="184">
        <f>SUM(K4149:K4162)</f>
        <v>215249</v>
      </c>
      <c r="L4163" s="537" t="s">
        <v>32</v>
      </c>
      <c r="M4163" s="537"/>
      <c r="N4163" s="537"/>
      <c r="O4163" s="537"/>
      <c r="P4163" s="184">
        <f>SUM(P4149:P4162)</f>
        <v>19956</v>
      </c>
      <c r="Q4163" s="537" t="s">
        <v>38</v>
      </c>
      <c r="R4163" s="537"/>
      <c r="S4163" s="537"/>
      <c r="T4163" s="537"/>
      <c r="U4163" s="223">
        <f>SUM(U4149:U4162)</f>
        <v>0</v>
      </c>
    </row>
    <row r="4164" spans="1:21" x14ac:dyDescent="0.25">
      <c r="A4164" s="537" t="s">
        <v>33</v>
      </c>
      <c r="B4164" s="537"/>
      <c r="C4164" s="537"/>
      <c r="D4164" s="537"/>
      <c r="E4164" s="537"/>
      <c r="F4164" s="184">
        <f>SUM(F4163+K4163+P4163)</f>
        <v>255150</v>
      </c>
      <c r="G4164" s="537" t="s">
        <v>39</v>
      </c>
      <c r="H4164" s="537"/>
      <c r="I4164" s="537"/>
      <c r="J4164" s="537"/>
      <c r="K4164" s="184">
        <f>SUM(F4163+K4163+P4163+U4163)</f>
        <v>255150</v>
      </c>
      <c r="L4164" s="537" t="s">
        <v>40</v>
      </c>
      <c r="M4164" s="537"/>
      <c r="N4164" s="537"/>
      <c r="O4164" s="537"/>
      <c r="P4164" s="184">
        <f>SUM(K4164*0.15)</f>
        <v>38272.5</v>
      </c>
      <c r="Q4164" s="537" t="s">
        <v>41</v>
      </c>
      <c r="R4164" s="537"/>
      <c r="S4164" s="537"/>
      <c r="T4164" s="537"/>
      <c r="U4164" s="223">
        <f>SUM(K4164+P4164)</f>
        <v>293422.5</v>
      </c>
    </row>
    <row r="4165" spans="1:21" x14ac:dyDescent="0.25">
      <c r="Q4165" s="537" t="s">
        <v>42</v>
      </c>
      <c r="R4165" s="537"/>
      <c r="S4165" s="537"/>
      <c r="T4165" s="537"/>
      <c r="U4165" s="224">
        <f>ROUND((U4164/14.06),2)</f>
        <v>20869.310000000001</v>
      </c>
    </row>
    <row r="4166" spans="1:21" x14ac:dyDescent="0.25">
      <c r="Q4166" s="192"/>
      <c r="R4166" s="192"/>
      <c r="S4166" s="192"/>
      <c r="T4166" s="192"/>
      <c r="U4166" s="228"/>
    </row>
    <row r="4167" spans="1:21" x14ac:dyDescent="0.25">
      <c r="Q4167" s="192"/>
      <c r="R4167" s="192"/>
      <c r="S4167" s="192"/>
      <c r="T4167" s="192"/>
      <c r="U4167" s="228"/>
    </row>
    <row r="4168" spans="1:21" x14ac:dyDescent="0.25">
      <c r="A4168" s="538" t="s">
        <v>12</v>
      </c>
      <c r="B4168" s="538"/>
      <c r="C4168" s="540" t="s">
        <v>2268</v>
      </c>
      <c r="D4168" s="540"/>
      <c r="E4168" s="540"/>
      <c r="F4168" s="540"/>
      <c r="G4168" s="540"/>
      <c r="H4168" s="540"/>
      <c r="I4168" s="540"/>
      <c r="J4168" s="540"/>
      <c r="K4168" s="540"/>
      <c r="L4168" s="540"/>
      <c r="M4168" s="540"/>
      <c r="N4168" s="540"/>
      <c r="O4168" s="540"/>
      <c r="P4168" s="540"/>
      <c r="Q4168" s="540"/>
      <c r="R4168" s="540"/>
      <c r="S4168" s="540"/>
      <c r="T4168" s="540"/>
      <c r="U4168" s="541" t="s">
        <v>205</v>
      </c>
    </row>
    <row r="4169" spans="1:21" x14ac:dyDescent="0.25">
      <c r="A4169" s="538"/>
      <c r="B4169" s="538"/>
      <c r="C4169" s="540"/>
      <c r="D4169" s="540"/>
      <c r="E4169" s="540"/>
      <c r="F4169" s="540"/>
      <c r="G4169" s="540"/>
      <c r="H4169" s="540"/>
      <c r="I4169" s="540"/>
      <c r="J4169" s="540"/>
      <c r="K4169" s="540"/>
      <c r="L4169" s="540"/>
      <c r="M4169" s="540"/>
      <c r="N4169" s="540"/>
      <c r="O4169" s="540"/>
      <c r="P4169" s="540"/>
      <c r="Q4169" s="540"/>
      <c r="R4169" s="540"/>
      <c r="S4169" s="540"/>
      <c r="T4169" s="540"/>
      <c r="U4169" s="541"/>
    </row>
    <row r="4170" spans="1:21" x14ac:dyDescent="0.25">
      <c r="A4170" s="539" t="s">
        <v>1166</v>
      </c>
      <c r="B4170" s="539"/>
      <c r="C4170" s="540"/>
      <c r="D4170" s="540"/>
      <c r="E4170" s="540"/>
      <c r="F4170" s="540"/>
      <c r="G4170" s="540"/>
      <c r="H4170" s="540"/>
      <c r="I4170" s="540"/>
      <c r="J4170" s="540"/>
      <c r="K4170" s="540"/>
      <c r="L4170" s="540"/>
      <c r="M4170" s="540"/>
      <c r="N4170" s="540"/>
      <c r="O4170" s="540"/>
      <c r="P4170" s="540"/>
      <c r="Q4170" s="540"/>
      <c r="R4170" s="540"/>
      <c r="S4170" s="540"/>
      <c r="T4170" s="540"/>
      <c r="U4170" s="541"/>
    </row>
    <row r="4171" spans="1:21" x14ac:dyDescent="0.25">
      <c r="A4171" s="542" t="s">
        <v>16</v>
      </c>
      <c r="B4171" s="543" t="s">
        <v>18</v>
      </c>
      <c r="C4171" s="543"/>
      <c r="D4171" s="543"/>
      <c r="E4171" s="543"/>
      <c r="F4171" s="543"/>
      <c r="G4171" s="543" t="s">
        <v>24</v>
      </c>
      <c r="H4171" s="543"/>
      <c r="I4171" s="543"/>
      <c r="J4171" s="543"/>
      <c r="K4171" s="543"/>
      <c r="L4171" s="543" t="s">
        <v>25</v>
      </c>
      <c r="M4171" s="543"/>
      <c r="N4171" s="543"/>
      <c r="O4171" s="543"/>
      <c r="P4171" s="543"/>
      <c r="Q4171" s="543" t="s">
        <v>26</v>
      </c>
      <c r="R4171" s="543"/>
      <c r="S4171" s="543"/>
      <c r="T4171" s="543"/>
      <c r="U4171" s="543"/>
    </row>
    <row r="4172" spans="1:21" x14ac:dyDescent="0.25">
      <c r="A4172" s="542"/>
      <c r="B4172" s="182" t="s">
        <v>19</v>
      </c>
      <c r="C4172" s="182" t="s">
        <v>20</v>
      </c>
      <c r="D4172" s="182" t="s">
        <v>21</v>
      </c>
      <c r="E4172" s="182" t="s">
        <v>22</v>
      </c>
      <c r="F4172" s="182" t="s">
        <v>23</v>
      </c>
      <c r="G4172" s="182" t="s">
        <v>19</v>
      </c>
      <c r="H4172" s="216" t="s">
        <v>20</v>
      </c>
      <c r="I4172" s="182" t="s">
        <v>21</v>
      </c>
      <c r="J4172" s="182" t="s">
        <v>22</v>
      </c>
      <c r="K4172" s="182" t="s">
        <v>23</v>
      </c>
      <c r="L4172" s="182" t="s">
        <v>19</v>
      </c>
      <c r="M4172" s="182" t="s">
        <v>20</v>
      </c>
      <c r="N4172" s="182" t="s">
        <v>21</v>
      </c>
      <c r="O4172" s="182" t="s">
        <v>22</v>
      </c>
      <c r="P4172" s="182" t="s">
        <v>23</v>
      </c>
      <c r="Q4172" s="182" t="s">
        <v>19</v>
      </c>
      <c r="R4172" s="182" t="s">
        <v>20</v>
      </c>
      <c r="S4172" s="182" t="s">
        <v>21</v>
      </c>
      <c r="T4172" s="182" t="s">
        <v>22</v>
      </c>
      <c r="U4172" s="211" t="s">
        <v>23</v>
      </c>
    </row>
    <row r="4173" spans="1:21" x14ac:dyDescent="0.25">
      <c r="A4173" s="183" t="s">
        <v>2261</v>
      </c>
      <c r="B4173" s="182" t="s">
        <v>47</v>
      </c>
      <c r="C4173" s="182" t="s">
        <v>28</v>
      </c>
      <c r="D4173" s="182">
        <v>1</v>
      </c>
      <c r="E4173" s="182">
        <f>skilled</f>
        <v>1245</v>
      </c>
      <c r="F4173" s="184">
        <f>(D4173*E4173)</f>
        <v>1245</v>
      </c>
      <c r="G4173" s="182" t="s">
        <v>2262</v>
      </c>
      <c r="H4173" s="216"/>
      <c r="I4173" s="195">
        <v>12.96</v>
      </c>
      <c r="J4173" s="195">
        <f>adopted_rate_aggregate_10_mm</f>
        <v>3175.2000000000003</v>
      </c>
      <c r="K4173" s="182">
        <f>(I4173*J4173)</f>
        <v>41150.592000000004</v>
      </c>
      <c r="L4173" s="182" t="s">
        <v>1179</v>
      </c>
      <c r="M4173" s="182" t="s">
        <v>58</v>
      </c>
      <c r="N4173" s="182">
        <v>6</v>
      </c>
      <c r="O4173" s="182">
        <f>air_compressor</f>
        <v>1190</v>
      </c>
      <c r="P4173" s="184">
        <f>(N4173*O4173)</f>
        <v>7140</v>
      </c>
    </row>
    <row r="4174" spans="1:21" x14ac:dyDescent="0.25">
      <c r="B4174" s="182" t="s">
        <v>29</v>
      </c>
      <c r="C4174" s="182" t="s">
        <v>28</v>
      </c>
      <c r="D4174" s="182">
        <v>6</v>
      </c>
      <c r="E4174" s="182">
        <f>unskilled</f>
        <v>935</v>
      </c>
      <c r="F4174" s="184">
        <f>(D4174*E4174)</f>
        <v>5610</v>
      </c>
      <c r="G4174" s="182" t="s">
        <v>2263</v>
      </c>
      <c r="H4174" s="216" t="s">
        <v>35</v>
      </c>
      <c r="I4174" s="182">
        <v>6.48</v>
      </c>
      <c r="J4174" s="182">
        <f>District_Rate!L12</f>
        <v>3175.2000000000003</v>
      </c>
      <c r="K4174" s="182">
        <f>(I4174*J4174)</f>
        <v>20575.296000000002</v>
      </c>
      <c r="L4174" s="182" t="s">
        <v>2265</v>
      </c>
      <c r="M4174" s="182" t="s">
        <v>58</v>
      </c>
      <c r="N4174" s="182">
        <v>1</v>
      </c>
      <c r="O4174" s="182">
        <v>14122</v>
      </c>
      <c r="P4174" s="184">
        <f>(N4174*O4174)</f>
        <v>14122</v>
      </c>
    </row>
    <row r="4175" spans="1:21" x14ac:dyDescent="0.25">
      <c r="G4175" s="182" t="s">
        <v>297</v>
      </c>
      <c r="H4175" s="216" t="s">
        <v>35</v>
      </c>
      <c r="I4175" s="182">
        <v>1.08</v>
      </c>
      <c r="J4175" s="182">
        <f>adopted_rate_bitumen</f>
        <v>108000</v>
      </c>
      <c r="K4175" s="182">
        <f>(I4175*J4175)</f>
        <v>116640.00000000001</v>
      </c>
      <c r="L4175" s="182" t="s">
        <v>2266</v>
      </c>
      <c r="M4175" s="182" t="s">
        <v>58</v>
      </c>
      <c r="N4175" s="182">
        <v>6</v>
      </c>
      <c r="O4175" s="182">
        <f>tractor</f>
        <v>868</v>
      </c>
      <c r="P4175" s="184">
        <f>(N4175*O4175)</f>
        <v>5208</v>
      </c>
    </row>
    <row r="4176" spans="1:21" ht="31.5" x14ac:dyDescent="0.25">
      <c r="G4176" s="193" t="s">
        <v>2264</v>
      </c>
      <c r="H4176" s="222" t="s">
        <v>35</v>
      </c>
      <c r="I4176" s="194">
        <v>0.36</v>
      </c>
      <c r="J4176" s="195">
        <f>adopted_rate_bitumen</f>
        <v>108000</v>
      </c>
      <c r="K4176" s="182">
        <f>(I4176*J4176)</f>
        <v>38880</v>
      </c>
      <c r="L4176" s="193" t="s">
        <v>2267</v>
      </c>
      <c r="M4176" s="193" t="s">
        <v>58</v>
      </c>
      <c r="N4176" s="193">
        <v>6</v>
      </c>
      <c r="O4176" s="195">
        <f>water_tanker</f>
        <v>1618</v>
      </c>
      <c r="P4176" s="184">
        <f>(N4176*O4176)</f>
        <v>9708</v>
      </c>
      <c r="Q4176" s="192"/>
      <c r="R4176" s="192"/>
      <c r="S4176" s="192"/>
      <c r="T4176" s="192"/>
      <c r="U4176" s="228"/>
    </row>
    <row r="4177" spans="1:21" x14ac:dyDescent="0.25">
      <c r="A4177" s="537" t="s">
        <v>30</v>
      </c>
      <c r="B4177" s="537"/>
      <c r="C4177" s="537"/>
      <c r="D4177" s="537"/>
      <c r="E4177" s="537"/>
      <c r="F4177" s="184">
        <f>SUM(F4173:F4176)</f>
        <v>6855</v>
      </c>
      <c r="G4177" s="537" t="s">
        <v>31</v>
      </c>
      <c r="H4177" s="537"/>
      <c r="I4177" s="537"/>
      <c r="J4177" s="537"/>
      <c r="K4177" s="184">
        <f>SUM(K4173:K4176)</f>
        <v>217245.88800000004</v>
      </c>
      <c r="L4177" s="537" t="s">
        <v>32</v>
      </c>
      <c r="M4177" s="537"/>
      <c r="N4177" s="537"/>
      <c r="O4177" s="537"/>
      <c r="P4177" s="184">
        <f>SUM(P4173:P4176)</f>
        <v>36178</v>
      </c>
      <c r="Q4177" s="537" t="s">
        <v>38</v>
      </c>
      <c r="R4177" s="537"/>
      <c r="S4177" s="537"/>
      <c r="T4177" s="537"/>
      <c r="U4177" s="223"/>
    </row>
    <row r="4178" spans="1:21" x14ac:dyDescent="0.25">
      <c r="A4178" s="537" t="s">
        <v>33</v>
      </c>
      <c r="B4178" s="537"/>
      <c r="C4178" s="537"/>
      <c r="D4178" s="537"/>
      <c r="E4178" s="537"/>
      <c r="F4178" s="184">
        <f>F4177+K4177+P4177</f>
        <v>260278.88800000004</v>
      </c>
      <c r="G4178" s="537" t="s">
        <v>39</v>
      </c>
      <c r="H4178" s="537"/>
      <c r="I4178" s="537"/>
      <c r="J4178" s="537"/>
      <c r="K4178" s="184">
        <f>F4178+U4177</f>
        <v>260278.88800000004</v>
      </c>
      <c r="L4178" s="537" t="s">
        <v>40</v>
      </c>
      <c r="M4178" s="537"/>
      <c r="N4178" s="537"/>
      <c r="O4178" s="537"/>
      <c r="P4178" s="184">
        <f>SUM(K4178*0.15)</f>
        <v>39041.833200000001</v>
      </c>
      <c r="Q4178" s="537" t="s">
        <v>41</v>
      </c>
      <c r="R4178" s="537"/>
      <c r="S4178" s="537"/>
      <c r="T4178" s="537"/>
      <c r="U4178" s="223">
        <f>SUM(K4178+P4178)</f>
        <v>299320.72120000003</v>
      </c>
    </row>
    <row r="4179" spans="1:21" x14ac:dyDescent="0.25">
      <c r="Q4179" s="192"/>
      <c r="R4179" s="192"/>
      <c r="S4179" s="614" t="s">
        <v>2269</v>
      </c>
      <c r="T4179" s="614"/>
      <c r="U4179" s="228">
        <f>U4178/600</f>
        <v>498.86786866666671</v>
      </c>
    </row>
    <row r="4180" spans="1:21" x14ac:dyDescent="0.25">
      <c r="A4180" s="544"/>
      <c r="B4180" s="544"/>
      <c r="C4180" s="544"/>
      <c r="D4180" s="544"/>
      <c r="E4180" s="544"/>
      <c r="F4180" s="544"/>
      <c r="G4180" s="544"/>
      <c r="H4180" s="544"/>
      <c r="I4180" s="544"/>
      <c r="J4180" s="544"/>
      <c r="K4180" s="544"/>
      <c r="L4180" s="544"/>
      <c r="M4180" s="544"/>
      <c r="N4180" s="544"/>
      <c r="O4180" s="544"/>
      <c r="P4180" s="544"/>
      <c r="Q4180" s="544"/>
      <c r="R4180" s="544"/>
      <c r="S4180" s="544"/>
      <c r="T4180" s="544"/>
      <c r="U4180" s="544"/>
    </row>
    <row r="4181" spans="1:21" x14ac:dyDescent="0.25">
      <c r="A4181" s="538" t="s">
        <v>12</v>
      </c>
      <c r="B4181" s="538"/>
      <c r="C4181" s="540" t="s">
        <v>2275</v>
      </c>
      <c r="D4181" s="540"/>
      <c r="E4181" s="540"/>
      <c r="F4181" s="540"/>
      <c r="G4181" s="540"/>
      <c r="H4181" s="540"/>
      <c r="I4181" s="540"/>
      <c r="J4181" s="540"/>
      <c r="K4181" s="540"/>
      <c r="L4181" s="540"/>
      <c r="M4181" s="540"/>
      <c r="N4181" s="540"/>
      <c r="O4181" s="540"/>
      <c r="P4181" s="540"/>
      <c r="Q4181" s="540"/>
      <c r="R4181" s="540"/>
      <c r="S4181" s="540"/>
      <c r="T4181" s="540"/>
      <c r="U4181" s="541" t="s">
        <v>2274</v>
      </c>
    </row>
    <row r="4182" spans="1:21" x14ac:dyDescent="0.25">
      <c r="A4182" s="538"/>
      <c r="B4182" s="538"/>
      <c r="C4182" s="540"/>
      <c r="D4182" s="540"/>
      <c r="E4182" s="540"/>
      <c r="F4182" s="540"/>
      <c r="G4182" s="540"/>
      <c r="H4182" s="540"/>
      <c r="I4182" s="540"/>
      <c r="J4182" s="540"/>
      <c r="K4182" s="540"/>
      <c r="L4182" s="540"/>
      <c r="M4182" s="540"/>
      <c r="N4182" s="540"/>
      <c r="O4182" s="540"/>
      <c r="P4182" s="540"/>
      <c r="Q4182" s="540"/>
      <c r="R4182" s="540"/>
      <c r="S4182" s="540"/>
      <c r="T4182" s="540"/>
      <c r="U4182" s="541"/>
    </row>
    <row r="4183" spans="1:21" x14ac:dyDescent="0.25">
      <c r="A4183" s="539" t="s">
        <v>1166</v>
      </c>
      <c r="B4183" s="539"/>
      <c r="C4183" s="540"/>
      <c r="D4183" s="540"/>
      <c r="E4183" s="540"/>
      <c r="F4183" s="540"/>
      <c r="G4183" s="540"/>
      <c r="H4183" s="540"/>
      <c r="I4183" s="540"/>
      <c r="J4183" s="540"/>
      <c r="K4183" s="540"/>
      <c r="L4183" s="540"/>
      <c r="M4183" s="540"/>
      <c r="N4183" s="540"/>
      <c r="O4183" s="540"/>
      <c r="P4183" s="540"/>
      <c r="Q4183" s="540"/>
      <c r="R4183" s="540"/>
      <c r="S4183" s="540"/>
      <c r="T4183" s="540"/>
      <c r="U4183" s="541"/>
    </row>
    <row r="4184" spans="1:21" x14ac:dyDescent="0.25">
      <c r="A4184" s="542" t="s">
        <v>16</v>
      </c>
      <c r="B4184" s="543" t="s">
        <v>18</v>
      </c>
      <c r="C4184" s="543"/>
      <c r="D4184" s="543"/>
      <c r="E4184" s="543"/>
      <c r="F4184" s="543"/>
      <c r="G4184" s="543" t="s">
        <v>24</v>
      </c>
      <c r="H4184" s="543"/>
      <c r="I4184" s="543"/>
      <c r="J4184" s="543"/>
      <c r="K4184" s="543"/>
      <c r="L4184" s="543" t="s">
        <v>25</v>
      </c>
      <c r="M4184" s="543"/>
      <c r="N4184" s="543"/>
      <c r="O4184" s="543"/>
      <c r="P4184" s="543"/>
      <c r="Q4184" s="543" t="s">
        <v>26</v>
      </c>
      <c r="R4184" s="543"/>
      <c r="S4184" s="543"/>
      <c r="T4184" s="543"/>
      <c r="U4184" s="543"/>
    </row>
    <row r="4185" spans="1:21" x14ac:dyDescent="0.25">
      <c r="A4185" s="542"/>
      <c r="B4185" s="182" t="s">
        <v>19</v>
      </c>
      <c r="C4185" s="182" t="s">
        <v>20</v>
      </c>
      <c r="D4185" s="182" t="s">
        <v>21</v>
      </c>
      <c r="E4185" s="182" t="s">
        <v>22</v>
      </c>
      <c r="F4185" s="182" t="s">
        <v>23</v>
      </c>
      <c r="G4185" s="182" t="s">
        <v>19</v>
      </c>
      <c r="H4185" s="216" t="s">
        <v>20</v>
      </c>
      <c r="I4185" s="182" t="s">
        <v>21</v>
      </c>
      <c r="J4185" s="182" t="s">
        <v>22</v>
      </c>
      <c r="K4185" s="182" t="s">
        <v>23</v>
      </c>
      <c r="L4185" s="182" t="s">
        <v>19</v>
      </c>
      <c r="M4185" s="182" t="s">
        <v>20</v>
      </c>
      <c r="N4185" s="182" t="s">
        <v>21</v>
      </c>
      <c r="O4185" s="182" t="s">
        <v>22</v>
      </c>
      <c r="P4185" s="182" t="s">
        <v>23</v>
      </c>
      <c r="Q4185" s="182" t="s">
        <v>19</v>
      </c>
      <c r="R4185" s="182" t="s">
        <v>20</v>
      </c>
      <c r="S4185" s="182" t="s">
        <v>21</v>
      </c>
      <c r="T4185" s="182" t="s">
        <v>22</v>
      </c>
      <c r="U4185" s="211" t="s">
        <v>23</v>
      </c>
    </row>
    <row r="4186" spans="1:21" x14ac:dyDescent="0.25">
      <c r="A4186" s="183">
        <v>29.12</v>
      </c>
      <c r="B4186" s="182" t="s">
        <v>47</v>
      </c>
      <c r="C4186" s="182" t="s">
        <v>28</v>
      </c>
      <c r="D4186" s="182">
        <v>1</v>
      </c>
      <c r="E4186" s="182">
        <f>skilled</f>
        <v>1245</v>
      </c>
      <c r="F4186" s="184">
        <f>(D4186*E4186)</f>
        <v>1245</v>
      </c>
      <c r="G4186" s="182" t="s">
        <v>2272</v>
      </c>
      <c r="H4186" s="216" t="s">
        <v>144</v>
      </c>
      <c r="I4186" s="195">
        <v>80</v>
      </c>
      <c r="J4186" s="195">
        <f>emulsion/1000</f>
        <v>94</v>
      </c>
      <c r="K4186" s="182">
        <f>(I4186*J4186)</f>
        <v>7520</v>
      </c>
      <c r="L4186" s="182"/>
      <c r="M4186" s="182"/>
      <c r="N4186" s="182"/>
      <c r="O4186" s="182"/>
      <c r="P4186" s="184"/>
    </row>
    <row r="4187" spans="1:21" x14ac:dyDescent="0.25">
      <c r="B4187" s="182" t="s">
        <v>29</v>
      </c>
      <c r="C4187" s="182" t="s">
        <v>28</v>
      </c>
      <c r="D4187" s="182">
        <v>4</v>
      </c>
      <c r="E4187" s="182">
        <f>unskilled</f>
        <v>935</v>
      </c>
      <c r="F4187" s="184">
        <f>(D4187*E4187)</f>
        <v>3740</v>
      </c>
      <c r="G4187" s="182" t="s">
        <v>2273</v>
      </c>
      <c r="H4187" s="216" t="s">
        <v>84</v>
      </c>
      <c r="I4187" s="182">
        <v>0.05</v>
      </c>
      <c r="J4187" s="182">
        <f>adopted_rate_stone_dust</f>
        <v>1234.8</v>
      </c>
      <c r="K4187" s="182">
        <f>(I4187*J4187)</f>
        <v>61.74</v>
      </c>
      <c r="L4187" s="182"/>
      <c r="M4187" s="182"/>
      <c r="N4187" s="182"/>
      <c r="O4187" s="182"/>
      <c r="P4187" s="184"/>
    </row>
    <row r="4188" spans="1:21" x14ac:dyDescent="0.25">
      <c r="G4188" s="182"/>
      <c r="H4188" s="216"/>
      <c r="I4188" s="182"/>
      <c r="J4188" s="182"/>
      <c r="K4188" s="182"/>
      <c r="L4188" s="182"/>
      <c r="M4188" s="182"/>
      <c r="N4188" s="182"/>
      <c r="O4188" s="182"/>
      <c r="P4188" s="184"/>
    </row>
    <row r="4189" spans="1:21" x14ac:dyDescent="0.25">
      <c r="G4189" s="193"/>
      <c r="H4189" s="222"/>
      <c r="I4189" s="194"/>
      <c r="K4189" s="182"/>
      <c r="L4189" s="193"/>
      <c r="M4189" s="193"/>
      <c r="N4189" s="193"/>
      <c r="P4189" s="184"/>
      <c r="Q4189" s="192"/>
      <c r="R4189" s="192"/>
      <c r="S4189" s="192"/>
      <c r="T4189" s="192"/>
      <c r="U4189" s="228"/>
    </row>
    <row r="4190" spans="1:21" x14ac:dyDescent="0.25">
      <c r="A4190" s="537" t="s">
        <v>30</v>
      </c>
      <c r="B4190" s="537"/>
      <c r="C4190" s="537"/>
      <c r="D4190" s="537"/>
      <c r="E4190" s="537"/>
      <c r="F4190" s="184">
        <f>SUM(F4186:F4189)</f>
        <v>4985</v>
      </c>
      <c r="G4190" s="537" t="s">
        <v>31</v>
      </c>
      <c r="H4190" s="537"/>
      <c r="I4190" s="537"/>
      <c r="J4190" s="537"/>
      <c r="K4190" s="184">
        <f>K4187+K4186</f>
        <v>7581.74</v>
      </c>
      <c r="L4190" s="537" t="s">
        <v>32</v>
      </c>
      <c r="M4190" s="537"/>
      <c r="N4190" s="537"/>
      <c r="O4190" s="537"/>
      <c r="P4190" s="184">
        <f>SUM(P4186:P4189)</f>
        <v>0</v>
      </c>
      <c r="Q4190" s="537" t="s">
        <v>38</v>
      </c>
      <c r="R4190" s="537"/>
      <c r="S4190" s="537"/>
      <c r="T4190" s="537"/>
      <c r="U4190" s="223"/>
    </row>
    <row r="4191" spans="1:21" x14ac:dyDescent="0.25">
      <c r="A4191" s="537" t="s">
        <v>33</v>
      </c>
      <c r="B4191" s="537"/>
      <c r="C4191" s="537"/>
      <c r="D4191" s="537"/>
      <c r="E4191" s="537"/>
      <c r="F4191" s="184">
        <f>F4190+K4190+P4190</f>
        <v>12566.74</v>
      </c>
      <c r="G4191" s="537" t="s">
        <v>39</v>
      </c>
      <c r="H4191" s="537"/>
      <c r="I4191" s="537"/>
      <c r="J4191" s="537"/>
      <c r="K4191" s="184">
        <f>F4191+U4190</f>
        <v>12566.74</v>
      </c>
      <c r="L4191" s="537" t="s">
        <v>40</v>
      </c>
      <c r="M4191" s="537"/>
      <c r="N4191" s="537"/>
      <c r="O4191" s="537"/>
      <c r="P4191" s="184">
        <f>SUM(K4191*0.15)</f>
        <v>1885.011</v>
      </c>
      <c r="Q4191" s="537" t="s">
        <v>41</v>
      </c>
      <c r="R4191" s="537"/>
      <c r="S4191" s="537"/>
      <c r="T4191" s="537"/>
      <c r="U4191" s="223">
        <f>SUM(K4191+P4191)</f>
        <v>14451.751</v>
      </c>
    </row>
    <row r="4192" spans="1:21" x14ac:dyDescent="0.25">
      <c r="Q4192" s="192"/>
      <c r="R4192" s="192"/>
      <c r="S4192" s="614" t="s">
        <v>2269</v>
      </c>
      <c r="T4192" s="614"/>
      <c r="U4192" s="229">
        <f>U4191/1000</f>
        <v>14.451751</v>
      </c>
    </row>
    <row r="4193" spans="1:21" x14ac:dyDescent="0.25">
      <c r="A4193" s="186"/>
      <c r="B4193" s="186"/>
      <c r="C4193" s="186"/>
      <c r="D4193" s="186"/>
      <c r="E4193" s="186"/>
      <c r="F4193" s="186"/>
      <c r="G4193" s="186"/>
      <c r="H4193" s="218"/>
      <c r="I4193" s="186"/>
      <c r="J4193" s="186"/>
      <c r="K4193" s="186"/>
      <c r="L4193" s="186"/>
      <c r="M4193" s="186"/>
      <c r="N4193" s="186"/>
      <c r="O4193" s="186"/>
      <c r="P4193" s="186"/>
      <c r="Q4193" s="186"/>
      <c r="R4193" s="186"/>
      <c r="S4193" s="186"/>
      <c r="T4193" s="186"/>
      <c r="U4193" s="213"/>
    </row>
    <row r="4194" spans="1:21" x14ac:dyDescent="0.25">
      <c r="A4194" s="186"/>
      <c r="B4194" s="186"/>
      <c r="C4194" s="186"/>
      <c r="D4194" s="186"/>
      <c r="E4194" s="186"/>
      <c r="F4194" s="186"/>
      <c r="G4194" s="186"/>
      <c r="H4194" s="218"/>
      <c r="I4194" s="186"/>
      <c r="J4194" s="186"/>
      <c r="K4194" s="186"/>
      <c r="L4194" s="186"/>
      <c r="M4194" s="186"/>
      <c r="N4194" s="186"/>
      <c r="O4194" s="186"/>
      <c r="P4194" s="186"/>
      <c r="Q4194" s="186"/>
      <c r="R4194" s="186"/>
      <c r="S4194" s="186"/>
      <c r="T4194" s="186"/>
      <c r="U4194" s="213"/>
    </row>
    <row r="4195" spans="1:21" x14ac:dyDescent="0.25">
      <c r="A4195" s="538" t="s">
        <v>12</v>
      </c>
      <c r="B4195" s="538"/>
      <c r="C4195" s="540" t="s">
        <v>1181</v>
      </c>
      <c r="D4195" s="540"/>
      <c r="E4195" s="540"/>
      <c r="F4195" s="540"/>
      <c r="G4195" s="540"/>
      <c r="H4195" s="540"/>
      <c r="I4195" s="540"/>
      <c r="J4195" s="540"/>
      <c r="K4195" s="540"/>
      <c r="L4195" s="540"/>
      <c r="M4195" s="540"/>
      <c r="N4195" s="540"/>
      <c r="O4195" s="540"/>
      <c r="P4195" s="540"/>
      <c r="Q4195" s="540"/>
      <c r="R4195" s="540"/>
      <c r="S4195" s="540"/>
      <c r="T4195" s="540"/>
      <c r="U4195" s="541" t="s">
        <v>1182</v>
      </c>
    </row>
    <row r="4196" spans="1:21" x14ac:dyDescent="0.25">
      <c r="A4196" s="538"/>
      <c r="B4196" s="538"/>
      <c r="C4196" s="540"/>
      <c r="D4196" s="540"/>
      <c r="E4196" s="540"/>
      <c r="F4196" s="540"/>
      <c r="G4196" s="540"/>
      <c r="H4196" s="540"/>
      <c r="I4196" s="540"/>
      <c r="J4196" s="540"/>
      <c r="K4196" s="540"/>
      <c r="L4196" s="540"/>
      <c r="M4196" s="540"/>
      <c r="N4196" s="540"/>
      <c r="O4196" s="540"/>
      <c r="P4196" s="540"/>
      <c r="Q4196" s="540"/>
      <c r="R4196" s="540"/>
      <c r="S4196" s="540"/>
      <c r="T4196" s="540"/>
      <c r="U4196" s="541"/>
    </row>
    <row r="4197" spans="1:21" x14ac:dyDescent="0.25">
      <c r="A4197" s="539" t="s">
        <v>1166</v>
      </c>
      <c r="B4197" s="539"/>
      <c r="C4197" s="540"/>
      <c r="D4197" s="540"/>
      <c r="E4197" s="540"/>
      <c r="F4197" s="540"/>
      <c r="G4197" s="540"/>
      <c r="H4197" s="540"/>
      <c r="I4197" s="540"/>
      <c r="J4197" s="540"/>
      <c r="K4197" s="540"/>
      <c r="L4197" s="540"/>
      <c r="M4197" s="540"/>
      <c r="N4197" s="540"/>
      <c r="O4197" s="540"/>
      <c r="P4197" s="540"/>
      <c r="Q4197" s="540"/>
      <c r="R4197" s="540"/>
      <c r="S4197" s="540"/>
      <c r="T4197" s="540"/>
      <c r="U4197" s="541"/>
    </row>
    <row r="4198" spans="1:21" x14ac:dyDescent="0.25">
      <c r="A4198" s="542" t="s">
        <v>16</v>
      </c>
      <c r="B4198" s="543" t="s">
        <v>18</v>
      </c>
      <c r="C4198" s="543"/>
      <c r="D4198" s="543"/>
      <c r="E4198" s="543"/>
      <c r="F4198" s="543"/>
      <c r="G4198" s="543" t="s">
        <v>24</v>
      </c>
      <c r="H4198" s="543"/>
      <c r="I4198" s="543"/>
      <c r="J4198" s="543"/>
      <c r="K4198" s="543"/>
      <c r="L4198" s="543" t="s">
        <v>25</v>
      </c>
      <c r="M4198" s="543"/>
      <c r="N4198" s="543"/>
      <c r="O4198" s="543"/>
      <c r="P4198" s="543"/>
      <c r="Q4198" s="543" t="s">
        <v>26</v>
      </c>
      <c r="R4198" s="543"/>
      <c r="S4198" s="543"/>
      <c r="T4198" s="543"/>
      <c r="U4198" s="543"/>
    </row>
    <row r="4199" spans="1:21" x14ac:dyDescent="0.25">
      <c r="A4199" s="542"/>
      <c r="B4199" s="182" t="s">
        <v>19</v>
      </c>
      <c r="C4199" s="182" t="s">
        <v>20</v>
      </c>
      <c r="D4199" s="182" t="s">
        <v>21</v>
      </c>
      <c r="E4199" s="182" t="s">
        <v>22</v>
      </c>
      <c r="F4199" s="182" t="s">
        <v>23</v>
      </c>
      <c r="G4199" s="182" t="s">
        <v>19</v>
      </c>
      <c r="H4199" s="216" t="s">
        <v>20</v>
      </c>
      <c r="I4199" s="182" t="s">
        <v>21</v>
      </c>
      <c r="J4199" s="182" t="s">
        <v>22</v>
      </c>
      <c r="K4199" s="182" t="s">
        <v>23</v>
      </c>
      <c r="L4199" s="182" t="s">
        <v>19</v>
      </c>
      <c r="M4199" s="182" t="s">
        <v>20</v>
      </c>
      <c r="N4199" s="182" t="s">
        <v>21</v>
      </c>
      <c r="O4199" s="182" t="s">
        <v>22</v>
      </c>
      <c r="P4199" s="182" t="s">
        <v>23</v>
      </c>
      <c r="Q4199" s="182" t="s">
        <v>19</v>
      </c>
      <c r="R4199" s="182" t="s">
        <v>20</v>
      </c>
      <c r="S4199" s="182" t="s">
        <v>21</v>
      </c>
      <c r="T4199" s="182" t="s">
        <v>22</v>
      </c>
      <c r="U4199" s="211" t="s">
        <v>23</v>
      </c>
    </row>
    <row r="4200" spans="1:21" x14ac:dyDescent="0.25">
      <c r="A4200" s="183" t="s">
        <v>1183</v>
      </c>
      <c r="B4200" s="182" t="s">
        <v>47</v>
      </c>
      <c r="C4200" s="182" t="s">
        <v>28</v>
      </c>
      <c r="D4200" s="182">
        <v>1</v>
      </c>
      <c r="E4200" s="182">
        <f>skilled</f>
        <v>1245</v>
      </c>
      <c r="F4200" s="184">
        <f>(D4200*E4200)</f>
        <v>1245</v>
      </c>
      <c r="G4200" s="182" t="s">
        <v>1171</v>
      </c>
      <c r="H4200" s="216" t="s">
        <v>35</v>
      </c>
      <c r="I4200" s="182">
        <v>9.52</v>
      </c>
      <c r="J4200" s="182">
        <f>adopted_rate_emulsion</f>
        <v>94000</v>
      </c>
      <c r="K4200" s="182">
        <f>(I4200*J4200)</f>
        <v>894880</v>
      </c>
      <c r="L4200" s="182" t="s">
        <v>288</v>
      </c>
      <c r="M4200" s="182" t="s">
        <v>58</v>
      </c>
      <c r="N4200" s="182">
        <v>6</v>
      </c>
      <c r="O4200" s="182">
        <f>mechanical_broom</f>
        <v>1393</v>
      </c>
      <c r="P4200" s="184">
        <f t="shared" ref="P4200:P4205" si="52">(N4200*O4200)</f>
        <v>8358</v>
      </c>
    </row>
    <row r="4201" spans="1:21" x14ac:dyDescent="0.25">
      <c r="B4201" s="182" t="s">
        <v>29</v>
      </c>
      <c r="C4201" s="182" t="s">
        <v>28</v>
      </c>
      <c r="D4201" s="182">
        <v>6</v>
      </c>
      <c r="E4201" s="182">
        <f>unskilled</f>
        <v>935</v>
      </c>
      <c r="F4201" s="184">
        <f>(D4201*E4201)</f>
        <v>5610</v>
      </c>
      <c r="G4201" s="182" t="s">
        <v>1184</v>
      </c>
      <c r="H4201" s="216" t="s">
        <v>84</v>
      </c>
      <c r="I4201" s="182">
        <v>51</v>
      </c>
      <c r="J4201" s="182">
        <f>adopted_rate_sand</f>
        <v>3175.2000000000003</v>
      </c>
      <c r="K4201" s="182">
        <f>(I4201*J4201)</f>
        <v>161935.20000000001</v>
      </c>
      <c r="L4201" s="182" t="s">
        <v>63</v>
      </c>
      <c r="M4201" s="182" t="s">
        <v>58</v>
      </c>
      <c r="N4201" s="182">
        <v>6</v>
      </c>
      <c r="O4201" s="182">
        <f>air_compressor</f>
        <v>1190</v>
      </c>
      <c r="P4201" s="184">
        <f t="shared" si="52"/>
        <v>7140</v>
      </c>
    </row>
    <row r="4202" spans="1:21" ht="31.5" x14ac:dyDescent="0.25">
      <c r="G4202" s="182" t="s">
        <v>375</v>
      </c>
      <c r="H4202" s="216" t="s">
        <v>35</v>
      </c>
      <c r="I4202" s="182">
        <v>1.75</v>
      </c>
      <c r="J4202" s="182">
        <f>adopted_rate_sand</f>
        <v>3175.2000000000003</v>
      </c>
      <c r="K4202" s="182">
        <f>(I4202*J4202)</f>
        <v>5556.6</v>
      </c>
      <c r="L4202" s="182" t="s">
        <v>376</v>
      </c>
      <c r="M4202" s="182" t="s">
        <v>58</v>
      </c>
      <c r="N4202" s="182">
        <v>6</v>
      </c>
      <c r="O4202" s="182">
        <f>mobile_slurry_seal_equipment</f>
        <v>1397</v>
      </c>
      <c r="P4202" s="184">
        <f t="shared" si="52"/>
        <v>8382</v>
      </c>
    </row>
    <row r="4203" spans="1:21" x14ac:dyDescent="0.25">
      <c r="G4203" s="182" t="s">
        <v>171</v>
      </c>
      <c r="H4203" s="216" t="s">
        <v>172</v>
      </c>
      <c r="I4203" s="182">
        <v>6</v>
      </c>
      <c r="J4203" s="182">
        <f>adopted_rate_water</f>
        <v>310</v>
      </c>
      <c r="K4203" s="182">
        <f>(I4203*J4203)</f>
        <v>1860</v>
      </c>
      <c r="L4203" s="182" t="s">
        <v>213</v>
      </c>
      <c r="M4203" s="182" t="s">
        <v>58</v>
      </c>
      <c r="N4203" s="182">
        <v>6</v>
      </c>
      <c r="O4203" s="182">
        <f>loader</f>
        <v>2344</v>
      </c>
      <c r="P4203" s="184">
        <f t="shared" si="52"/>
        <v>14064</v>
      </c>
    </row>
    <row r="4204" spans="1:21" x14ac:dyDescent="0.25">
      <c r="L4204" s="182" t="s">
        <v>193</v>
      </c>
      <c r="M4204" s="182" t="s">
        <v>58</v>
      </c>
      <c r="N4204" s="182">
        <v>6</v>
      </c>
      <c r="O4204" s="182">
        <f>tipper</f>
        <v>1384</v>
      </c>
      <c r="P4204" s="184">
        <f t="shared" si="52"/>
        <v>8304</v>
      </c>
    </row>
    <row r="4205" spans="1:21" x14ac:dyDescent="0.25">
      <c r="L4205" s="182" t="s">
        <v>308</v>
      </c>
      <c r="M4205" s="182" t="s">
        <v>58</v>
      </c>
      <c r="N4205" s="182">
        <v>6</v>
      </c>
      <c r="O4205" s="182">
        <f>pneumatic_roller</f>
        <v>2121</v>
      </c>
      <c r="P4205" s="184">
        <f t="shared" si="52"/>
        <v>12726</v>
      </c>
    </row>
    <row r="4206" spans="1:21" x14ac:dyDescent="0.25">
      <c r="A4206" s="537" t="s">
        <v>30</v>
      </c>
      <c r="B4206" s="537"/>
      <c r="C4206" s="537"/>
      <c r="D4206" s="537"/>
      <c r="E4206" s="537"/>
      <c r="F4206" s="184">
        <f>SUM(F4199:F4205)</f>
        <v>6855</v>
      </c>
      <c r="G4206" s="537" t="s">
        <v>31</v>
      </c>
      <c r="H4206" s="537"/>
      <c r="I4206" s="537"/>
      <c r="J4206" s="537"/>
      <c r="K4206" s="184">
        <f>SUM(K4199:K4205)</f>
        <v>1064231.8</v>
      </c>
      <c r="L4206" s="537" t="s">
        <v>32</v>
      </c>
      <c r="M4206" s="537"/>
      <c r="N4206" s="537"/>
      <c r="O4206" s="537"/>
      <c r="P4206" s="184">
        <f>SUM(P4199:P4205)</f>
        <v>58974</v>
      </c>
      <c r="Q4206" s="537" t="s">
        <v>38</v>
      </c>
      <c r="R4206" s="537"/>
      <c r="S4206" s="537"/>
      <c r="T4206" s="537"/>
      <c r="U4206" s="223">
        <f>SUM(U4199:U4205)</f>
        <v>0</v>
      </c>
    </row>
    <row r="4207" spans="1:21" x14ac:dyDescent="0.25">
      <c r="A4207" s="537" t="s">
        <v>33</v>
      </c>
      <c r="B4207" s="537"/>
      <c r="C4207" s="537"/>
      <c r="D4207" s="537"/>
      <c r="E4207" s="537"/>
      <c r="F4207" s="184">
        <f>SUM(F4206+K4206+P4206)</f>
        <v>1130060.8</v>
      </c>
      <c r="G4207" s="537" t="s">
        <v>39</v>
      </c>
      <c r="H4207" s="537"/>
      <c r="I4207" s="537"/>
      <c r="J4207" s="537"/>
      <c r="K4207" s="184">
        <f>SUM(F4206+K4206+P4206+U4206)</f>
        <v>1130060.8</v>
      </c>
      <c r="L4207" s="537" t="s">
        <v>40</v>
      </c>
      <c r="M4207" s="537"/>
      <c r="N4207" s="537"/>
      <c r="O4207" s="537"/>
      <c r="P4207" s="184">
        <f>SUM(K4207*0.15)</f>
        <v>169509.12</v>
      </c>
      <c r="Q4207" s="537" t="s">
        <v>41</v>
      </c>
      <c r="R4207" s="537"/>
      <c r="S4207" s="537"/>
      <c r="T4207" s="537"/>
      <c r="U4207" s="223">
        <f>SUM(K4207+P4207)</f>
        <v>1299569.92</v>
      </c>
    </row>
    <row r="4208" spans="1:21" x14ac:dyDescent="0.25">
      <c r="Q4208" s="537" t="s">
        <v>42</v>
      </c>
      <c r="R4208" s="537"/>
      <c r="S4208" s="537"/>
      <c r="T4208" s="537"/>
      <c r="U4208" s="224">
        <f>ROUND((U4207/3500),2)</f>
        <v>371.31</v>
      </c>
    </row>
    <row r="4209" spans="1:21" x14ac:dyDescent="0.25">
      <c r="A4209" s="544"/>
      <c r="B4209" s="544"/>
      <c r="C4209" s="544"/>
      <c r="D4209" s="544"/>
      <c r="E4209" s="544"/>
      <c r="F4209" s="544"/>
      <c r="G4209" s="544"/>
      <c r="H4209" s="544"/>
      <c r="I4209" s="544"/>
      <c r="J4209" s="544"/>
      <c r="K4209" s="544"/>
      <c r="L4209" s="544"/>
      <c r="M4209" s="544"/>
      <c r="N4209" s="544"/>
      <c r="O4209" s="544"/>
      <c r="P4209" s="544"/>
      <c r="Q4209" s="544"/>
      <c r="R4209" s="544"/>
      <c r="S4209" s="544"/>
      <c r="T4209" s="544"/>
      <c r="U4209" s="544"/>
    </row>
    <row r="4210" spans="1:21" x14ac:dyDescent="0.25">
      <c r="A4210" s="538" t="s">
        <v>12</v>
      </c>
      <c r="B4210" s="538"/>
      <c r="C4210" s="540" t="s">
        <v>1185</v>
      </c>
      <c r="D4210" s="540"/>
      <c r="E4210" s="540"/>
      <c r="F4210" s="540"/>
      <c r="G4210" s="540"/>
      <c r="H4210" s="540"/>
      <c r="I4210" s="540"/>
      <c r="J4210" s="540"/>
      <c r="K4210" s="540"/>
      <c r="L4210" s="540"/>
      <c r="M4210" s="540"/>
      <c r="N4210" s="540"/>
      <c r="O4210" s="540"/>
      <c r="P4210" s="540"/>
      <c r="Q4210" s="540"/>
      <c r="R4210" s="540"/>
      <c r="S4210" s="540"/>
      <c r="T4210" s="540"/>
      <c r="U4210" s="541" t="s">
        <v>588</v>
      </c>
    </row>
    <row r="4211" spans="1:21" x14ac:dyDescent="0.25">
      <c r="A4211" s="538"/>
      <c r="B4211" s="538"/>
      <c r="C4211" s="540"/>
      <c r="D4211" s="540"/>
      <c r="E4211" s="540"/>
      <c r="F4211" s="540"/>
      <c r="G4211" s="540"/>
      <c r="H4211" s="540"/>
      <c r="I4211" s="540"/>
      <c r="J4211" s="540"/>
      <c r="K4211" s="540"/>
      <c r="L4211" s="540"/>
      <c r="M4211" s="540"/>
      <c r="N4211" s="540"/>
      <c r="O4211" s="540"/>
      <c r="P4211" s="540"/>
      <c r="Q4211" s="540"/>
      <c r="R4211" s="540"/>
      <c r="S4211" s="540"/>
      <c r="T4211" s="540"/>
      <c r="U4211" s="541"/>
    </row>
    <row r="4212" spans="1:21" x14ac:dyDescent="0.25">
      <c r="A4212" s="539" t="s">
        <v>1166</v>
      </c>
      <c r="B4212" s="539"/>
      <c r="C4212" s="540"/>
      <c r="D4212" s="540"/>
      <c r="E4212" s="540"/>
      <c r="F4212" s="540"/>
      <c r="G4212" s="540"/>
      <c r="H4212" s="540"/>
      <c r="I4212" s="540"/>
      <c r="J4212" s="540"/>
      <c r="K4212" s="540"/>
      <c r="L4212" s="540"/>
      <c r="M4212" s="540"/>
      <c r="N4212" s="540"/>
      <c r="O4212" s="540"/>
      <c r="P4212" s="540"/>
      <c r="Q4212" s="540"/>
      <c r="R4212" s="540"/>
      <c r="S4212" s="540"/>
      <c r="T4212" s="540"/>
      <c r="U4212" s="541"/>
    </row>
    <row r="4213" spans="1:21" x14ac:dyDescent="0.25">
      <c r="A4213" s="542" t="s">
        <v>16</v>
      </c>
      <c r="B4213" s="543" t="s">
        <v>18</v>
      </c>
      <c r="C4213" s="543"/>
      <c r="D4213" s="543"/>
      <c r="E4213" s="543"/>
      <c r="F4213" s="543"/>
      <c r="G4213" s="543" t="s">
        <v>24</v>
      </c>
      <c r="H4213" s="543"/>
      <c r="I4213" s="543"/>
      <c r="J4213" s="543"/>
      <c r="K4213" s="543"/>
      <c r="L4213" s="543" t="s">
        <v>25</v>
      </c>
      <c r="M4213" s="543"/>
      <c r="N4213" s="543"/>
      <c r="O4213" s="543"/>
      <c r="P4213" s="543"/>
      <c r="Q4213" s="543" t="s">
        <v>26</v>
      </c>
      <c r="R4213" s="543"/>
      <c r="S4213" s="543"/>
      <c r="T4213" s="543"/>
      <c r="U4213" s="543"/>
    </row>
    <row r="4214" spans="1:21" x14ac:dyDescent="0.25">
      <c r="A4214" s="542"/>
      <c r="B4214" s="182" t="s">
        <v>19</v>
      </c>
      <c r="C4214" s="182" t="s">
        <v>20</v>
      </c>
      <c r="D4214" s="182" t="s">
        <v>21</v>
      </c>
      <c r="E4214" s="182" t="s">
        <v>22</v>
      </c>
      <c r="F4214" s="182" t="s">
        <v>23</v>
      </c>
      <c r="G4214" s="182" t="s">
        <v>19</v>
      </c>
      <c r="H4214" s="216" t="s">
        <v>20</v>
      </c>
      <c r="I4214" s="182" t="s">
        <v>21</v>
      </c>
      <c r="J4214" s="182" t="s">
        <v>22</v>
      </c>
      <c r="K4214" s="182" t="s">
        <v>23</v>
      </c>
      <c r="L4214" s="182" t="s">
        <v>19</v>
      </c>
      <c r="M4214" s="182" t="s">
        <v>20</v>
      </c>
      <c r="N4214" s="182" t="s">
        <v>21</v>
      </c>
      <c r="O4214" s="182" t="s">
        <v>22</v>
      </c>
      <c r="P4214" s="182" t="s">
        <v>23</v>
      </c>
      <c r="Q4214" s="182" t="s">
        <v>19</v>
      </c>
      <c r="R4214" s="182" t="s">
        <v>20</v>
      </c>
      <c r="S4214" s="182" t="s">
        <v>21</v>
      </c>
      <c r="T4214" s="182" t="s">
        <v>22</v>
      </c>
      <c r="U4214" s="211" t="s">
        <v>23</v>
      </c>
    </row>
    <row r="4215" spans="1:21" x14ac:dyDescent="0.25">
      <c r="A4215" s="183" t="s">
        <v>1186</v>
      </c>
      <c r="B4215" s="182" t="s">
        <v>47</v>
      </c>
      <c r="C4215" s="182" t="s">
        <v>28</v>
      </c>
      <c r="D4215" s="182">
        <v>1</v>
      </c>
      <c r="E4215" s="182">
        <f>skilled</f>
        <v>1245</v>
      </c>
      <c r="F4215" s="184">
        <f>(D4215*E4215)</f>
        <v>1245</v>
      </c>
      <c r="G4215" s="182" t="s">
        <v>1171</v>
      </c>
      <c r="H4215" s="216" t="s">
        <v>35</v>
      </c>
      <c r="I4215" s="182">
        <v>8.1999999999999993</v>
      </c>
      <c r="J4215" s="182">
        <f>adopted_rate_emulsion</f>
        <v>94000</v>
      </c>
      <c r="K4215" s="182">
        <f>(I4215*J4215)</f>
        <v>770799.99999999988</v>
      </c>
      <c r="L4215" s="182" t="s">
        <v>288</v>
      </c>
      <c r="M4215" s="182" t="s">
        <v>58</v>
      </c>
      <c r="N4215" s="182">
        <v>6</v>
      </c>
      <c r="O4215" s="182">
        <f>mechanical_broom</f>
        <v>1393</v>
      </c>
      <c r="P4215" s="184">
        <f>(N4215*O4215)</f>
        <v>8358</v>
      </c>
    </row>
    <row r="4216" spans="1:21" x14ac:dyDescent="0.25">
      <c r="B4216" s="182" t="s">
        <v>29</v>
      </c>
      <c r="C4216" s="182" t="s">
        <v>28</v>
      </c>
      <c r="D4216" s="182">
        <v>8</v>
      </c>
      <c r="E4216" s="182">
        <f>unskilled</f>
        <v>935</v>
      </c>
      <c r="F4216" s="184">
        <f>(D4216*E4216)</f>
        <v>7480</v>
      </c>
      <c r="G4216" s="182" t="s">
        <v>380</v>
      </c>
      <c r="H4216" s="216" t="s">
        <v>84</v>
      </c>
      <c r="I4216" s="182">
        <v>37.5</v>
      </c>
      <c r="J4216" s="182">
        <f>adopted_rate_sand</f>
        <v>3175.2000000000003</v>
      </c>
      <c r="K4216" s="182">
        <f>(I4216*J4216)</f>
        <v>119070.00000000001</v>
      </c>
      <c r="L4216" s="182" t="s">
        <v>63</v>
      </c>
      <c r="M4216" s="182" t="s">
        <v>58</v>
      </c>
      <c r="N4216" s="182">
        <v>6</v>
      </c>
      <c r="O4216" s="182">
        <f>air_compressor</f>
        <v>1190</v>
      </c>
      <c r="P4216" s="184">
        <f>(N4216*O4216)</f>
        <v>7140</v>
      </c>
    </row>
    <row r="4217" spans="1:21" ht="31.5" x14ac:dyDescent="0.25">
      <c r="G4217" s="182" t="s">
        <v>375</v>
      </c>
      <c r="H4217" s="216" t="s">
        <v>35</v>
      </c>
      <c r="I4217" s="182">
        <v>1.4</v>
      </c>
      <c r="J4217" s="182">
        <f>adopted_rate_sand</f>
        <v>3175.2000000000003</v>
      </c>
      <c r="K4217" s="182">
        <f>(I4217*J4217)</f>
        <v>4445.28</v>
      </c>
      <c r="L4217" s="182" t="s">
        <v>376</v>
      </c>
      <c r="M4217" s="182" t="s">
        <v>58</v>
      </c>
      <c r="N4217" s="182">
        <v>6</v>
      </c>
      <c r="O4217" s="182">
        <f>mobile_slurry_seal_equipment</f>
        <v>1397</v>
      </c>
      <c r="P4217" s="184">
        <f>(N4217*O4217)</f>
        <v>8382</v>
      </c>
    </row>
    <row r="4218" spans="1:21" x14ac:dyDescent="0.25">
      <c r="G4218" s="182" t="s">
        <v>171</v>
      </c>
      <c r="H4218" s="216" t="s">
        <v>172</v>
      </c>
      <c r="I4218" s="182">
        <v>6</v>
      </c>
      <c r="J4218" s="182">
        <f>adopted_rate_water</f>
        <v>310</v>
      </c>
      <c r="K4218" s="182">
        <f>(I4218*J4218)</f>
        <v>1860</v>
      </c>
      <c r="L4218" s="182" t="s">
        <v>213</v>
      </c>
      <c r="M4218" s="182" t="s">
        <v>58</v>
      </c>
      <c r="N4218" s="182">
        <v>6</v>
      </c>
      <c r="O4218" s="182">
        <f>loader</f>
        <v>2344</v>
      </c>
      <c r="P4218" s="184">
        <f>(N4218*O4218)</f>
        <v>14064</v>
      </c>
    </row>
    <row r="4219" spans="1:21" x14ac:dyDescent="0.25">
      <c r="L4219" s="182" t="s">
        <v>193</v>
      </c>
      <c r="M4219" s="182" t="s">
        <v>58</v>
      </c>
      <c r="N4219" s="182">
        <v>6</v>
      </c>
      <c r="O4219" s="182">
        <f>tipper</f>
        <v>1384</v>
      </c>
      <c r="P4219" s="184">
        <f>(N4219*O4219)</f>
        <v>8304</v>
      </c>
    </row>
    <row r="4220" spans="1:21" x14ac:dyDescent="0.25">
      <c r="A4220" s="537" t="s">
        <v>30</v>
      </c>
      <c r="B4220" s="537"/>
      <c r="C4220" s="537"/>
      <c r="D4220" s="537"/>
      <c r="E4220" s="537"/>
      <c r="F4220" s="184">
        <f>SUM(F4214:F4219)</f>
        <v>8725</v>
      </c>
      <c r="G4220" s="537" t="s">
        <v>31</v>
      </c>
      <c r="H4220" s="537"/>
      <c r="I4220" s="537"/>
      <c r="J4220" s="537"/>
      <c r="K4220" s="184">
        <f>SUM(K4214:K4219)</f>
        <v>896175.27999999991</v>
      </c>
      <c r="L4220" s="537" t="s">
        <v>32</v>
      </c>
      <c r="M4220" s="537"/>
      <c r="N4220" s="537"/>
      <c r="O4220" s="537"/>
      <c r="P4220" s="184">
        <f>SUM(P4214:P4219)</f>
        <v>46248</v>
      </c>
      <c r="Q4220" s="537" t="s">
        <v>38</v>
      </c>
      <c r="R4220" s="537"/>
      <c r="S4220" s="537"/>
      <c r="T4220" s="537"/>
      <c r="U4220" s="223">
        <f>SUM(U4214:U4219)</f>
        <v>0</v>
      </c>
    </row>
    <row r="4221" spans="1:21" x14ac:dyDescent="0.25">
      <c r="A4221" s="537" t="s">
        <v>33</v>
      </c>
      <c r="B4221" s="537"/>
      <c r="C4221" s="537"/>
      <c r="D4221" s="537"/>
      <c r="E4221" s="537"/>
      <c r="F4221" s="184">
        <f>SUM(F4220+K4220+P4220)</f>
        <v>951148.27999999991</v>
      </c>
      <c r="G4221" s="537" t="s">
        <v>39</v>
      </c>
      <c r="H4221" s="537"/>
      <c r="I4221" s="537"/>
      <c r="J4221" s="537"/>
      <c r="K4221" s="184">
        <f>SUM(F4220+K4220+P4220+U4220)</f>
        <v>951148.27999999991</v>
      </c>
      <c r="L4221" s="537" t="s">
        <v>40</v>
      </c>
      <c r="M4221" s="537"/>
      <c r="N4221" s="537"/>
      <c r="O4221" s="537"/>
      <c r="P4221" s="184">
        <f>SUM(K4221*0.15)</f>
        <v>142672.24199999997</v>
      </c>
      <c r="Q4221" s="537" t="s">
        <v>41</v>
      </c>
      <c r="R4221" s="537"/>
      <c r="S4221" s="537"/>
      <c r="T4221" s="537"/>
      <c r="U4221" s="223">
        <f>SUM(K4221+P4221)</f>
        <v>1093820.5219999999</v>
      </c>
    </row>
    <row r="4222" spans="1:21" x14ac:dyDescent="0.25">
      <c r="Q4222" s="537" t="s">
        <v>42</v>
      </c>
      <c r="R4222" s="537"/>
      <c r="S4222" s="537"/>
      <c r="T4222" s="537"/>
      <c r="U4222" s="224">
        <f>ROUND((U4221/100),2)</f>
        <v>10938.21</v>
      </c>
    </row>
    <row r="4223" spans="1:21" x14ac:dyDescent="0.25">
      <c r="A4223" s="544"/>
      <c r="B4223" s="544"/>
      <c r="C4223" s="544"/>
      <c r="D4223" s="544"/>
      <c r="E4223" s="544"/>
      <c r="F4223" s="544"/>
      <c r="G4223" s="544"/>
      <c r="H4223" s="544"/>
      <c r="I4223" s="544"/>
      <c r="J4223" s="544"/>
      <c r="K4223" s="544"/>
      <c r="L4223" s="544"/>
      <c r="M4223" s="544"/>
      <c r="N4223" s="544"/>
      <c r="O4223" s="544"/>
      <c r="P4223" s="544"/>
      <c r="Q4223" s="544"/>
      <c r="R4223" s="544"/>
      <c r="S4223" s="544"/>
      <c r="T4223" s="544"/>
      <c r="U4223" s="544"/>
    </row>
    <row r="4224" spans="1:21" x14ac:dyDescent="0.25">
      <c r="A4224" s="538" t="s">
        <v>12</v>
      </c>
      <c r="B4224" s="538"/>
      <c r="C4224" s="540" t="s">
        <v>1187</v>
      </c>
      <c r="D4224" s="540"/>
      <c r="E4224" s="540"/>
      <c r="F4224" s="540"/>
      <c r="G4224" s="540"/>
      <c r="H4224" s="540"/>
      <c r="I4224" s="540"/>
      <c r="J4224" s="540"/>
      <c r="K4224" s="540"/>
      <c r="L4224" s="540"/>
      <c r="M4224" s="540"/>
      <c r="N4224" s="540"/>
      <c r="O4224" s="540"/>
      <c r="P4224" s="540"/>
      <c r="Q4224" s="540"/>
      <c r="R4224" s="540"/>
      <c r="S4224" s="540"/>
      <c r="T4224" s="540"/>
      <c r="U4224" s="541" t="s">
        <v>1188</v>
      </c>
    </row>
    <row r="4225" spans="1:21" x14ac:dyDescent="0.25">
      <c r="A4225" s="538"/>
      <c r="B4225" s="538"/>
      <c r="C4225" s="540"/>
      <c r="D4225" s="540"/>
      <c r="E4225" s="540"/>
      <c r="F4225" s="540"/>
      <c r="G4225" s="540"/>
      <c r="H4225" s="540"/>
      <c r="I4225" s="540"/>
      <c r="J4225" s="540"/>
      <c r="K4225" s="540"/>
      <c r="L4225" s="540"/>
      <c r="M4225" s="540"/>
      <c r="N4225" s="540"/>
      <c r="O4225" s="540"/>
      <c r="P4225" s="540"/>
      <c r="Q4225" s="540"/>
      <c r="R4225" s="540"/>
      <c r="S4225" s="540"/>
      <c r="T4225" s="540"/>
      <c r="U4225" s="541"/>
    </row>
    <row r="4226" spans="1:21" x14ac:dyDescent="0.25">
      <c r="A4226" s="539" t="s">
        <v>50</v>
      </c>
      <c r="B4226" s="539"/>
      <c r="C4226" s="540"/>
      <c r="D4226" s="540"/>
      <c r="E4226" s="540"/>
      <c r="F4226" s="540"/>
      <c r="G4226" s="540"/>
      <c r="H4226" s="540"/>
      <c r="I4226" s="540"/>
      <c r="J4226" s="540"/>
      <c r="K4226" s="540"/>
      <c r="L4226" s="540"/>
      <c r="M4226" s="540"/>
      <c r="N4226" s="540"/>
      <c r="O4226" s="540"/>
      <c r="P4226" s="540"/>
      <c r="Q4226" s="540"/>
      <c r="R4226" s="540"/>
      <c r="S4226" s="540"/>
      <c r="T4226" s="540"/>
      <c r="U4226" s="541"/>
    </row>
    <row r="4227" spans="1:21" x14ac:dyDescent="0.25">
      <c r="A4227" s="542" t="s">
        <v>16</v>
      </c>
      <c r="B4227" s="543" t="s">
        <v>18</v>
      </c>
      <c r="C4227" s="543"/>
      <c r="D4227" s="543"/>
      <c r="E4227" s="543"/>
      <c r="F4227" s="543"/>
      <c r="G4227" s="543" t="s">
        <v>24</v>
      </c>
      <c r="H4227" s="543"/>
      <c r="I4227" s="543"/>
      <c r="J4227" s="543"/>
      <c r="K4227" s="543"/>
      <c r="L4227" s="543" t="s">
        <v>25</v>
      </c>
      <c r="M4227" s="543"/>
      <c r="N4227" s="543"/>
      <c r="O4227" s="543"/>
      <c r="P4227" s="543"/>
      <c r="Q4227" s="543" t="s">
        <v>26</v>
      </c>
      <c r="R4227" s="543"/>
      <c r="S4227" s="543"/>
      <c r="T4227" s="543"/>
      <c r="U4227" s="543"/>
    </row>
    <row r="4228" spans="1:21" x14ac:dyDescent="0.25">
      <c r="A4228" s="542"/>
      <c r="B4228" s="182" t="s">
        <v>19</v>
      </c>
      <c r="C4228" s="182" t="s">
        <v>20</v>
      </c>
      <c r="D4228" s="182" t="s">
        <v>21</v>
      </c>
      <c r="E4228" s="182" t="s">
        <v>22</v>
      </c>
      <c r="F4228" s="182" t="s">
        <v>23</v>
      </c>
      <c r="G4228" s="182" t="s">
        <v>19</v>
      </c>
      <c r="H4228" s="216" t="s">
        <v>20</v>
      </c>
      <c r="I4228" s="182" t="s">
        <v>21</v>
      </c>
      <c r="J4228" s="182" t="s">
        <v>22</v>
      </c>
      <c r="K4228" s="182" t="s">
        <v>23</v>
      </c>
      <c r="L4228" s="182" t="s">
        <v>19</v>
      </c>
      <c r="M4228" s="182" t="s">
        <v>20</v>
      </c>
      <c r="N4228" s="182" t="s">
        <v>21</v>
      </c>
      <c r="O4228" s="182" t="s">
        <v>22</v>
      </c>
      <c r="P4228" s="182" t="s">
        <v>23</v>
      </c>
      <c r="Q4228" s="182" t="s">
        <v>19</v>
      </c>
      <c r="R4228" s="182" t="s">
        <v>20</v>
      </c>
      <c r="S4228" s="182" t="s">
        <v>21</v>
      </c>
      <c r="T4228" s="182" t="s">
        <v>22</v>
      </c>
      <c r="U4228" s="211" t="s">
        <v>23</v>
      </c>
    </row>
    <row r="4229" spans="1:21" ht="31.5" x14ac:dyDescent="0.25">
      <c r="A4229" s="183" t="s">
        <v>1189</v>
      </c>
      <c r="B4229" s="182" t="s">
        <v>47</v>
      </c>
      <c r="C4229" s="182" t="s">
        <v>28</v>
      </c>
      <c r="D4229" s="182">
        <v>1</v>
      </c>
      <c r="E4229" s="182">
        <f>skilled</f>
        <v>1245</v>
      </c>
      <c r="F4229" s="184">
        <f>(D4229*E4229)</f>
        <v>1245</v>
      </c>
      <c r="G4229" s="182" t="s">
        <v>1171</v>
      </c>
      <c r="H4229" s="216" t="s">
        <v>35</v>
      </c>
      <c r="I4229" s="182">
        <v>6.4</v>
      </c>
      <c r="J4229" s="182">
        <f>adopted_rate_emulsion</f>
        <v>94000</v>
      </c>
      <c r="K4229" s="182">
        <f>(I4229*J4229)</f>
        <v>601600</v>
      </c>
      <c r="L4229" s="182" t="s">
        <v>288</v>
      </c>
      <c r="M4229" s="182" t="s">
        <v>58</v>
      </c>
      <c r="N4229" s="182">
        <v>6</v>
      </c>
      <c r="O4229" s="182">
        <f>mechanical_broom</f>
        <v>1393</v>
      </c>
      <c r="P4229" s="184">
        <f>(N4229*O4229)</f>
        <v>8358</v>
      </c>
    </row>
    <row r="4230" spans="1:21" x14ac:dyDescent="0.25">
      <c r="B4230" s="182" t="s">
        <v>29</v>
      </c>
      <c r="C4230" s="182" t="s">
        <v>28</v>
      </c>
      <c r="D4230" s="182">
        <v>6</v>
      </c>
      <c r="E4230" s="182">
        <f>unskilled</f>
        <v>935</v>
      </c>
      <c r="F4230" s="184">
        <f>(D4230*E4230)</f>
        <v>5610</v>
      </c>
      <c r="G4230" s="182" t="s">
        <v>1190</v>
      </c>
      <c r="H4230" s="216" t="s">
        <v>84</v>
      </c>
      <c r="I4230" s="182">
        <v>22</v>
      </c>
      <c r="J4230" s="182">
        <f>adopted_rate_sand</f>
        <v>3175.2000000000003</v>
      </c>
      <c r="K4230" s="182">
        <f>(I4230*J4230)</f>
        <v>69854.400000000009</v>
      </c>
      <c r="L4230" s="182" t="s">
        <v>63</v>
      </c>
      <c r="M4230" s="182" t="s">
        <v>58</v>
      </c>
      <c r="N4230" s="182">
        <v>6</v>
      </c>
      <c r="O4230" s="182">
        <f>air_compressor</f>
        <v>1190</v>
      </c>
      <c r="P4230" s="184">
        <f>(N4230*O4230)</f>
        <v>7140</v>
      </c>
    </row>
    <row r="4231" spans="1:21" ht="31.5" x14ac:dyDescent="0.25">
      <c r="G4231" s="182" t="s">
        <v>375</v>
      </c>
      <c r="H4231" s="216" t="s">
        <v>35</v>
      </c>
      <c r="I4231" s="182">
        <v>0.8</v>
      </c>
      <c r="J4231" s="182">
        <f>adopted_rate_sand</f>
        <v>3175.2000000000003</v>
      </c>
      <c r="K4231" s="182">
        <f>(I4231*J4231)</f>
        <v>2540.1600000000003</v>
      </c>
      <c r="L4231" s="182" t="s">
        <v>376</v>
      </c>
      <c r="M4231" s="182" t="s">
        <v>58</v>
      </c>
      <c r="N4231" s="182">
        <v>6</v>
      </c>
      <c r="O4231" s="182">
        <f>mobile_slurry_seal_equipment</f>
        <v>1397</v>
      </c>
      <c r="P4231" s="184">
        <f>(N4231*O4231)</f>
        <v>8382</v>
      </c>
    </row>
    <row r="4232" spans="1:21" x14ac:dyDescent="0.25">
      <c r="G4232" s="182" t="s">
        <v>171</v>
      </c>
      <c r="H4232" s="216" t="s">
        <v>172</v>
      </c>
      <c r="I4232" s="182">
        <v>6</v>
      </c>
      <c r="J4232" s="182">
        <f>adopted_rate_water</f>
        <v>310</v>
      </c>
      <c r="K4232" s="182">
        <f>(I4232*J4232)</f>
        <v>1860</v>
      </c>
      <c r="L4232" s="182" t="s">
        <v>213</v>
      </c>
      <c r="M4232" s="182" t="s">
        <v>58</v>
      </c>
      <c r="N4232" s="182">
        <v>6</v>
      </c>
      <c r="O4232" s="182">
        <f>loader</f>
        <v>2344</v>
      </c>
      <c r="P4232" s="184">
        <f>(N4232*O4232)</f>
        <v>14064</v>
      </c>
    </row>
    <row r="4233" spans="1:21" x14ac:dyDescent="0.25">
      <c r="L4233" s="182" t="s">
        <v>193</v>
      </c>
      <c r="M4233" s="182" t="s">
        <v>58</v>
      </c>
      <c r="N4233" s="182">
        <v>6</v>
      </c>
      <c r="O4233" s="182">
        <f>tipper</f>
        <v>1384</v>
      </c>
      <c r="P4233" s="184">
        <f>(N4233*O4233)</f>
        <v>8304</v>
      </c>
    </row>
    <row r="4234" spans="1:21" x14ac:dyDescent="0.25">
      <c r="A4234" s="537" t="s">
        <v>30</v>
      </c>
      <c r="B4234" s="537"/>
      <c r="C4234" s="537"/>
      <c r="D4234" s="537"/>
      <c r="E4234" s="537"/>
      <c r="F4234" s="184">
        <f>SUM(F4228:F4233)</f>
        <v>6855</v>
      </c>
      <c r="G4234" s="537" t="s">
        <v>31</v>
      </c>
      <c r="H4234" s="537"/>
      <c r="I4234" s="537"/>
      <c r="J4234" s="537"/>
      <c r="K4234" s="184">
        <f>SUM(K4228:K4233)</f>
        <v>675854.56</v>
      </c>
      <c r="L4234" s="537" t="s">
        <v>32</v>
      </c>
      <c r="M4234" s="537"/>
      <c r="N4234" s="537"/>
      <c r="O4234" s="537"/>
      <c r="P4234" s="184">
        <f>SUM(P4228:P4233)</f>
        <v>46248</v>
      </c>
      <c r="Q4234" s="537" t="s">
        <v>38</v>
      </c>
      <c r="R4234" s="537"/>
      <c r="S4234" s="537"/>
      <c r="T4234" s="537"/>
      <c r="U4234" s="223">
        <f>SUM(U4228:U4233)</f>
        <v>0</v>
      </c>
    </row>
    <row r="4235" spans="1:21" x14ac:dyDescent="0.25">
      <c r="A4235" s="537" t="s">
        <v>33</v>
      </c>
      <c r="B4235" s="537"/>
      <c r="C4235" s="537"/>
      <c r="D4235" s="537"/>
      <c r="E4235" s="537"/>
      <c r="F4235" s="184">
        <f>SUM(F4234+K4234+P4234)</f>
        <v>728957.56</v>
      </c>
      <c r="G4235" s="537" t="s">
        <v>39</v>
      </c>
      <c r="H4235" s="537"/>
      <c r="I4235" s="537"/>
      <c r="J4235" s="537"/>
      <c r="K4235" s="184">
        <f>SUM(F4234+K4234+P4234+U4234)</f>
        <v>728957.56</v>
      </c>
      <c r="L4235" s="537" t="s">
        <v>40</v>
      </c>
      <c r="M4235" s="537"/>
      <c r="N4235" s="537"/>
      <c r="O4235" s="537"/>
      <c r="P4235" s="184">
        <f>SUM(K4235*0.15)</f>
        <v>109343.63400000001</v>
      </c>
      <c r="Q4235" s="537" t="s">
        <v>41</v>
      </c>
      <c r="R4235" s="537"/>
      <c r="S4235" s="537"/>
      <c r="T4235" s="537"/>
      <c r="U4235" s="223">
        <f>SUM(K4235+P4235)</f>
        <v>838301.19400000002</v>
      </c>
    </row>
    <row r="4236" spans="1:21" x14ac:dyDescent="0.25">
      <c r="Q4236" s="537" t="s">
        <v>42</v>
      </c>
      <c r="R4236" s="537"/>
      <c r="S4236" s="537"/>
      <c r="T4236" s="537"/>
      <c r="U4236" s="224">
        <f>ROUND((U4235/1200),2)</f>
        <v>698.58</v>
      </c>
    </row>
    <row r="4237" spans="1:21" x14ac:dyDescent="0.25">
      <c r="A4237" s="544"/>
      <c r="B4237" s="544"/>
      <c r="C4237" s="544"/>
      <c r="D4237" s="544"/>
      <c r="E4237" s="544"/>
      <c r="F4237" s="544"/>
      <c r="G4237" s="544"/>
      <c r="H4237" s="544"/>
      <c r="I4237" s="544"/>
      <c r="J4237" s="544"/>
      <c r="K4237" s="544"/>
      <c r="L4237" s="544"/>
      <c r="M4237" s="544"/>
      <c r="N4237" s="544"/>
      <c r="O4237" s="544"/>
      <c r="P4237" s="544"/>
      <c r="Q4237" s="544"/>
      <c r="R4237" s="544"/>
      <c r="S4237" s="544"/>
      <c r="T4237" s="544"/>
      <c r="U4237" s="544"/>
    </row>
    <row r="4238" spans="1:21" x14ac:dyDescent="0.25">
      <c r="A4238" s="538" t="s">
        <v>12</v>
      </c>
      <c r="B4238" s="538"/>
      <c r="C4238" s="540" t="s">
        <v>1191</v>
      </c>
      <c r="D4238" s="540"/>
      <c r="E4238" s="540"/>
      <c r="F4238" s="540"/>
      <c r="G4238" s="540"/>
      <c r="H4238" s="540"/>
      <c r="I4238" s="540"/>
      <c r="J4238" s="540"/>
      <c r="K4238" s="540"/>
      <c r="L4238" s="540"/>
      <c r="M4238" s="540"/>
      <c r="N4238" s="540"/>
      <c r="O4238" s="540"/>
      <c r="P4238" s="540"/>
      <c r="Q4238" s="540"/>
      <c r="R4238" s="540"/>
      <c r="S4238" s="540"/>
      <c r="T4238" s="540"/>
      <c r="U4238" s="541" t="s">
        <v>1192</v>
      </c>
    </row>
    <row r="4239" spans="1:21" x14ac:dyDescent="0.25">
      <c r="A4239" s="538"/>
      <c r="B4239" s="538"/>
      <c r="C4239" s="540"/>
      <c r="D4239" s="540"/>
      <c r="E4239" s="540"/>
      <c r="F4239" s="540"/>
      <c r="G4239" s="540"/>
      <c r="H4239" s="540"/>
      <c r="I4239" s="540"/>
      <c r="J4239" s="540"/>
      <c r="K4239" s="540"/>
      <c r="L4239" s="540"/>
      <c r="M4239" s="540"/>
      <c r="N4239" s="540"/>
      <c r="O4239" s="540"/>
      <c r="P4239" s="540"/>
      <c r="Q4239" s="540"/>
      <c r="R4239" s="540"/>
      <c r="S4239" s="540"/>
      <c r="T4239" s="540"/>
      <c r="U4239" s="541"/>
    </row>
    <row r="4240" spans="1:21" x14ac:dyDescent="0.25">
      <c r="A4240" s="539" t="s">
        <v>1166</v>
      </c>
      <c r="B4240" s="539"/>
      <c r="C4240" s="540"/>
      <c r="D4240" s="540"/>
      <c r="E4240" s="540"/>
      <c r="F4240" s="540"/>
      <c r="G4240" s="540"/>
      <c r="H4240" s="540"/>
      <c r="I4240" s="540"/>
      <c r="J4240" s="540"/>
      <c r="K4240" s="540"/>
      <c r="L4240" s="540"/>
      <c r="M4240" s="540"/>
      <c r="N4240" s="540"/>
      <c r="O4240" s="540"/>
      <c r="P4240" s="540"/>
      <c r="Q4240" s="540"/>
      <c r="R4240" s="540"/>
      <c r="S4240" s="540"/>
      <c r="T4240" s="540"/>
      <c r="U4240" s="541"/>
    </row>
    <row r="4241" spans="1:21" x14ac:dyDescent="0.25">
      <c r="A4241" s="542" t="s">
        <v>16</v>
      </c>
      <c r="B4241" s="543" t="s">
        <v>18</v>
      </c>
      <c r="C4241" s="543"/>
      <c r="D4241" s="543"/>
      <c r="E4241" s="543"/>
      <c r="F4241" s="543"/>
      <c r="G4241" s="543" t="s">
        <v>24</v>
      </c>
      <c r="H4241" s="543"/>
      <c r="I4241" s="543"/>
      <c r="J4241" s="543"/>
      <c r="K4241" s="543"/>
      <c r="L4241" s="543" t="s">
        <v>25</v>
      </c>
      <c r="M4241" s="543"/>
      <c r="N4241" s="543"/>
      <c r="O4241" s="543"/>
      <c r="P4241" s="543"/>
      <c r="Q4241" s="543" t="s">
        <v>26</v>
      </c>
      <c r="R4241" s="543"/>
      <c r="S4241" s="543"/>
      <c r="T4241" s="543"/>
      <c r="U4241" s="543"/>
    </row>
    <row r="4242" spans="1:21" x14ac:dyDescent="0.25">
      <c r="A4242" s="542"/>
      <c r="B4242" s="182" t="s">
        <v>19</v>
      </c>
      <c r="C4242" s="182" t="s">
        <v>20</v>
      </c>
      <c r="D4242" s="182" t="s">
        <v>21</v>
      </c>
      <c r="E4242" s="182" t="s">
        <v>22</v>
      </c>
      <c r="F4242" s="182" t="s">
        <v>23</v>
      </c>
      <c r="G4242" s="182" t="s">
        <v>19</v>
      </c>
      <c r="H4242" s="216" t="s">
        <v>20</v>
      </c>
      <c r="I4242" s="182" t="s">
        <v>21</v>
      </c>
      <c r="J4242" s="182" t="s">
        <v>22</v>
      </c>
      <c r="K4242" s="182" t="s">
        <v>23</v>
      </c>
      <c r="L4242" s="182" t="s">
        <v>19</v>
      </c>
      <c r="M4242" s="182" t="s">
        <v>20</v>
      </c>
      <c r="N4242" s="182" t="s">
        <v>21</v>
      </c>
      <c r="O4242" s="182" t="s">
        <v>22</v>
      </c>
      <c r="P4242" s="182" t="s">
        <v>23</v>
      </c>
      <c r="Q4242" s="182" t="s">
        <v>19</v>
      </c>
      <c r="R4242" s="182" t="s">
        <v>20</v>
      </c>
      <c r="S4242" s="182" t="s">
        <v>21</v>
      </c>
      <c r="T4242" s="182" t="s">
        <v>22</v>
      </c>
      <c r="U4242" s="211" t="s">
        <v>23</v>
      </c>
    </row>
    <row r="4243" spans="1:21" x14ac:dyDescent="0.25">
      <c r="A4243" s="183" t="s">
        <v>1193</v>
      </c>
      <c r="B4243" s="182" t="s">
        <v>47</v>
      </c>
      <c r="C4243" s="182" t="s">
        <v>28</v>
      </c>
      <c r="D4243" s="182">
        <v>1</v>
      </c>
      <c r="E4243" s="182">
        <f>skilled</f>
        <v>1245</v>
      </c>
      <c r="F4243" s="184">
        <f>(D4243*E4243)</f>
        <v>1245</v>
      </c>
      <c r="G4243" s="182" t="s">
        <v>1171</v>
      </c>
      <c r="H4243" s="216" t="s">
        <v>35</v>
      </c>
      <c r="I4243" s="182">
        <v>4</v>
      </c>
      <c r="J4243" s="182">
        <f>adopted_rate_emulsion</f>
        <v>94000</v>
      </c>
      <c r="K4243" s="182">
        <f>(I4243*J4243)</f>
        <v>376000</v>
      </c>
      <c r="L4243" s="182" t="s">
        <v>288</v>
      </c>
      <c r="M4243" s="182" t="s">
        <v>58</v>
      </c>
      <c r="N4243" s="182">
        <v>6</v>
      </c>
      <c r="O4243" s="182">
        <f>mechanical_broom</f>
        <v>1393</v>
      </c>
      <c r="P4243" s="184">
        <f>(N4243*O4243)</f>
        <v>8358</v>
      </c>
    </row>
    <row r="4244" spans="1:21" x14ac:dyDescent="0.25">
      <c r="B4244" s="182" t="s">
        <v>29</v>
      </c>
      <c r="C4244" s="182" t="s">
        <v>28</v>
      </c>
      <c r="D4244" s="182">
        <v>5</v>
      </c>
      <c r="E4244" s="182">
        <f>unskilled</f>
        <v>935</v>
      </c>
      <c r="F4244" s="184">
        <f>(D4244*E4244)</f>
        <v>4675</v>
      </c>
      <c r="L4244" s="182" t="s">
        <v>63</v>
      </c>
      <c r="M4244" s="182" t="s">
        <v>58</v>
      </c>
      <c r="N4244" s="182">
        <v>6</v>
      </c>
      <c r="O4244" s="182">
        <f>air_compressor</f>
        <v>1190</v>
      </c>
      <c r="P4244" s="184">
        <f>(N4244*O4244)</f>
        <v>7140</v>
      </c>
    </row>
    <row r="4245" spans="1:21" ht="31.5" x14ac:dyDescent="0.25">
      <c r="L4245" s="182" t="s">
        <v>294</v>
      </c>
      <c r="M4245" s="182" t="s">
        <v>58</v>
      </c>
      <c r="N4245" s="182">
        <v>6</v>
      </c>
      <c r="O4245" s="182">
        <f>emulsion_distributor</f>
        <v>751</v>
      </c>
      <c r="P4245" s="184">
        <f>(N4245*O4245)</f>
        <v>4506</v>
      </c>
    </row>
    <row r="4246" spans="1:21" x14ac:dyDescent="0.25">
      <c r="A4246" s="537" t="s">
        <v>30</v>
      </c>
      <c r="B4246" s="537"/>
      <c r="C4246" s="537"/>
      <c r="D4246" s="537"/>
      <c r="E4246" s="537"/>
      <c r="F4246" s="184">
        <f>SUM(F4242:F4245)</f>
        <v>5920</v>
      </c>
      <c r="G4246" s="537" t="s">
        <v>31</v>
      </c>
      <c r="H4246" s="537"/>
      <c r="I4246" s="537"/>
      <c r="J4246" s="537"/>
      <c r="K4246" s="184">
        <f>SUM(K4242:K4245)</f>
        <v>376000</v>
      </c>
      <c r="L4246" s="537" t="s">
        <v>32</v>
      </c>
      <c r="M4246" s="537"/>
      <c r="N4246" s="537"/>
      <c r="O4246" s="537"/>
      <c r="P4246" s="184">
        <f>SUM(P4242:P4245)</f>
        <v>20004</v>
      </c>
      <c r="Q4246" s="537" t="s">
        <v>38</v>
      </c>
      <c r="R4246" s="537"/>
      <c r="S4246" s="537"/>
      <c r="T4246" s="537"/>
      <c r="U4246" s="223">
        <f>SUM(U4242:U4245)</f>
        <v>0</v>
      </c>
    </row>
    <row r="4247" spans="1:21" x14ac:dyDescent="0.25">
      <c r="A4247" s="537" t="s">
        <v>33</v>
      </c>
      <c r="B4247" s="537"/>
      <c r="C4247" s="537"/>
      <c r="D4247" s="537"/>
      <c r="E4247" s="537"/>
      <c r="F4247" s="184">
        <f>SUM(F4246+K4246+P4246)</f>
        <v>401924</v>
      </c>
      <c r="G4247" s="537" t="s">
        <v>39</v>
      </c>
      <c r="H4247" s="537"/>
      <c r="I4247" s="537"/>
      <c r="J4247" s="537"/>
      <c r="K4247" s="184">
        <f>SUM(F4246+K4246+P4246+U4246)</f>
        <v>401924</v>
      </c>
      <c r="L4247" s="537" t="s">
        <v>40</v>
      </c>
      <c r="M4247" s="537"/>
      <c r="N4247" s="537"/>
      <c r="O4247" s="537"/>
      <c r="P4247" s="184">
        <f>SUM(K4247*0.15)</f>
        <v>60288.6</v>
      </c>
      <c r="Q4247" s="537" t="s">
        <v>41</v>
      </c>
      <c r="R4247" s="537"/>
      <c r="S4247" s="537"/>
      <c r="T4247" s="537"/>
      <c r="U4247" s="223">
        <f>SUM(K4247+P4247)</f>
        <v>462212.6</v>
      </c>
    </row>
    <row r="4248" spans="1:21" x14ac:dyDescent="0.25">
      <c r="Q4248" s="537" t="s">
        <v>42</v>
      </c>
      <c r="R4248" s="537"/>
      <c r="S4248" s="537"/>
      <c r="T4248" s="537"/>
      <c r="U4248" s="224">
        <f>ROUND((U4247/5000),2)</f>
        <v>92.44</v>
      </c>
    </row>
    <row r="4249" spans="1:21" x14ac:dyDescent="0.25">
      <c r="A4249" s="544"/>
      <c r="B4249" s="544"/>
      <c r="C4249" s="544"/>
      <c r="D4249" s="544"/>
      <c r="E4249" s="544"/>
      <c r="F4249" s="544"/>
      <c r="G4249" s="544"/>
      <c r="H4249" s="544"/>
      <c r="I4249" s="544"/>
      <c r="J4249" s="544"/>
      <c r="K4249" s="544"/>
      <c r="L4249" s="544"/>
      <c r="M4249" s="544"/>
      <c r="N4249" s="544"/>
      <c r="O4249" s="544"/>
      <c r="P4249" s="544"/>
      <c r="Q4249" s="544"/>
      <c r="R4249" s="544"/>
      <c r="S4249" s="544"/>
      <c r="T4249" s="544"/>
      <c r="U4249" s="544"/>
    </row>
    <row r="4250" spans="1:21" x14ac:dyDescent="0.25">
      <c r="A4250" s="538" t="s">
        <v>12</v>
      </c>
      <c r="B4250" s="538"/>
      <c r="C4250" s="540" t="s">
        <v>1194</v>
      </c>
      <c r="D4250" s="540"/>
      <c r="E4250" s="540"/>
      <c r="F4250" s="540"/>
      <c r="G4250" s="540"/>
      <c r="H4250" s="540"/>
      <c r="I4250" s="540"/>
      <c r="J4250" s="540"/>
      <c r="K4250" s="540"/>
      <c r="L4250" s="540"/>
      <c r="M4250" s="540"/>
      <c r="N4250" s="540"/>
      <c r="O4250" s="540"/>
      <c r="P4250" s="540"/>
      <c r="Q4250" s="540"/>
      <c r="R4250" s="540"/>
      <c r="S4250" s="540"/>
      <c r="T4250" s="540"/>
      <c r="U4250" s="541" t="s">
        <v>1192</v>
      </c>
    </row>
    <row r="4251" spans="1:21" x14ac:dyDescent="0.25">
      <c r="A4251" s="538"/>
      <c r="B4251" s="538"/>
      <c r="C4251" s="540"/>
      <c r="D4251" s="540"/>
      <c r="E4251" s="540"/>
      <c r="F4251" s="540"/>
      <c r="G4251" s="540"/>
      <c r="H4251" s="540"/>
      <c r="I4251" s="540"/>
      <c r="J4251" s="540"/>
      <c r="K4251" s="540"/>
      <c r="L4251" s="540"/>
      <c r="M4251" s="540"/>
      <c r="N4251" s="540"/>
      <c r="O4251" s="540"/>
      <c r="P4251" s="540"/>
      <c r="Q4251" s="540"/>
      <c r="R4251" s="540"/>
      <c r="S4251" s="540"/>
      <c r="T4251" s="540"/>
      <c r="U4251" s="541"/>
    </row>
    <row r="4252" spans="1:21" x14ac:dyDescent="0.25">
      <c r="A4252" s="539" t="s">
        <v>1166</v>
      </c>
      <c r="B4252" s="539"/>
      <c r="C4252" s="540"/>
      <c r="D4252" s="540"/>
      <c r="E4252" s="540"/>
      <c r="F4252" s="540"/>
      <c r="G4252" s="540"/>
      <c r="H4252" s="540"/>
      <c r="I4252" s="540"/>
      <c r="J4252" s="540"/>
      <c r="K4252" s="540"/>
      <c r="L4252" s="540"/>
      <c r="M4252" s="540"/>
      <c r="N4252" s="540"/>
      <c r="O4252" s="540"/>
      <c r="P4252" s="540"/>
      <c r="Q4252" s="540"/>
      <c r="R4252" s="540"/>
      <c r="S4252" s="540"/>
      <c r="T4252" s="540"/>
      <c r="U4252" s="541"/>
    </row>
    <row r="4253" spans="1:21" x14ac:dyDescent="0.25">
      <c r="A4253" s="542" t="s">
        <v>16</v>
      </c>
      <c r="B4253" s="543" t="s">
        <v>18</v>
      </c>
      <c r="C4253" s="543"/>
      <c r="D4253" s="543"/>
      <c r="E4253" s="543"/>
      <c r="F4253" s="543"/>
      <c r="G4253" s="543" t="s">
        <v>24</v>
      </c>
      <c r="H4253" s="543"/>
      <c r="I4253" s="543"/>
      <c r="J4253" s="543"/>
      <c r="K4253" s="543"/>
      <c r="L4253" s="543" t="s">
        <v>25</v>
      </c>
      <c r="M4253" s="543"/>
      <c r="N4253" s="543"/>
      <c r="O4253" s="543"/>
      <c r="P4253" s="543"/>
      <c r="Q4253" s="543" t="s">
        <v>26</v>
      </c>
      <c r="R4253" s="543"/>
      <c r="S4253" s="543"/>
      <c r="T4253" s="543"/>
      <c r="U4253" s="543"/>
    </row>
    <row r="4254" spans="1:21" x14ac:dyDescent="0.25">
      <c r="A4254" s="542"/>
      <c r="B4254" s="182" t="s">
        <v>19</v>
      </c>
      <c r="C4254" s="182" t="s">
        <v>20</v>
      </c>
      <c r="D4254" s="182" t="s">
        <v>21</v>
      </c>
      <c r="E4254" s="182" t="s">
        <v>22</v>
      </c>
      <c r="F4254" s="182" t="s">
        <v>23</v>
      </c>
      <c r="G4254" s="182" t="s">
        <v>19</v>
      </c>
      <c r="H4254" s="216" t="s">
        <v>20</v>
      </c>
      <c r="I4254" s="182" t="s">
        <v>21</v>
      </c>
      <c r="J4254" s="182" t="s">
        <v>22</v>
      </c>
      <c r="K4254" s="182" t="s">
        <v>23</v>
      </c>
      <c r="L4254" s="182" t="s">
        <v>19</v>
      </c>
      <c r="M4254" s="182" t="s">
        <v>20</v>
      </c>
      <c r="N4254" s="182" t="s">
        <v>21</v>
      </c>
      <c r="O4254" s="182" t="s">
        <v>22</v>
      </c>
      <c r="P4254" s="182" t="s">
        <v>23</v>
      </c>
      <c r="Q4254" s="182" t="s">
        <v>19</v>
      </c>
      <c r="R4254" s="182" t="s">
        <v>20</v>
      </c>
      <c r="S4254" s="182" t="s">
        <v>21</v>
      </c>
      <c r="T4254" s="182" t="s">
        <v>22</v>
      </c>
      <c r="U4254" s="211" t="s">
        <v>23</v>
      </c>
    </row>
    <row r="4255" spans="1:21" x14ac:dyDescent="0.25">
      <c r="A4255" s="183" t="s">
        <v>1195</v>
      </c>
      <c r="B4255" s="182" t="s">
        <v>47</v>
      </c>
      <c r="C4255" s="182" t="s">
        <v>28</v>
      </c>
      <c r="D4255" s="182">
        <v>2</v>
      </c>
      <c r="E4255" s="182">
        <f>skilled</f>
        <v>1245</v>
      </c>
      <c r="F4255" s="184">
        <f>(D4255*E4255)</f>
        <v>2490</v>
      </c>
      <c r="G4255" s="182" t="s">
        <v>1171</v>
      </c>
      <c r="H4255" s="216" t="s">
        <v>35</v>
      </c>
      <c r="I4255" s="182">
        <v>4.4000000000000004</v>
      </c>
      <c r="J4255" s="182">
        <f>adopted_rate_emulsion</f>
        <v>94000</v>
      </c>
      <c r="K4255" s="182">
        <f>(I4255*J4255)</f>
        <v>413600.00000000006</v>
      </c>
      <c r="L4255" s="182" t="s">
        <v>288</v>
      </c>
      <c r="M4255" s="182" t="s">
        <v>58</v>
      </c>
      <c r="N4255" s="182">
        <v>6</v>
      </c>
      <c r="O4255" s="182">
        <f>mechanical_broom</f>
        <v>1393</v>
      </c>
      <c r="P4255" s="184">
        <f>(N4255*O4255)</f>
        <v>8358</v>
      </c>
    </row>
    <row r="4256" spans="1:21" x14ac:dyDescent="0.25">
      <c r="B4256" s="182" t="s">
        <v>29</v>
      </c>
      <c r="C4256" s="182" t="s">
        <v>28</v>
      </c>
      <c r="D4256" s="182">
        <v>9</v>
      </c>
      <c r="E4256" s="182">
        <f>unskilled</f>
        <v>935</v>
      </c>
      <c r="F4256" s="184">
        <f>(D4256*E4256)</f>
        <v>8415</v>
      </c>
      <c r="G4256" s="182" t="s">
        <v>1196</v>
      </c>
      <c r="H4256" s="216" t="s">
        <v>84</v>
      </c>
      <c r="I4256" s="182">
        <v>13</v>
      </c>
      <c r="J4256" s="182">
        <f>adopted_rate_sand</f>
        <v>3175.2000000000003</v>
      </c>
      <c r="K4256" s="182">
        <f>(I4256*J4256)</f>
        <v>41277.600000000006</v>
      </c>
      <c r="L4256" s="182" t="s">
        <v>63</v>
      </c>
      <c r="M4256" s="182" t="s">
        <v>58</v>
      </c>
      <c r="N4256" s="182">
        <v>6</v>
      </c>
      <c r="O4256" s="182">
        <f>air_compressor</f>
        <v>1190</v>
      </c>
      <c r="P4256" s="184">
        <f>(N4256*O4256)</f>
        <v>7140</v>
      </c>
    </row>
    <row r="4257" spans="1:21" ht="31.5" x14ac:dyDescent="0.25">
      <c r="L4257" s="182" t="s">
        <v>294</v>
      </c>
      <c r="M4257" s="182" t="s">
        <v>58</v>
      </c>
      <c r="N4257" s="182">
        <v>6</v>
      </c>
      <c r="O4257" s="182">
        <f>emulsion_distributor</f>
        <v>751</v>
      </c>
      <c r="P4257" s="184">
        <f>(N4257*O4257)</f>
        <v>4506</v>
      </c>
    </row>
    <row r="4258" spans="1:21" hidden="1" x14ac:dyDescent="0.25">
      <c r="A4258" s="537" t="s">
        <v>30</v>
      </c>
      <c r="B4258" s="537"/>
      <c r="C4258" s="537"/>
      <c r="D4258" s="537"/>
      <c r="E4258" s="537"/>
      <c r="F4258" s="184">
        <f>SUM(F4254:F4257)</f>
        <v>10905</v>
      </c>
      <c r="G4258" s="537" t="s">
        <v>31</v>
      </c>
      <c r="H4258" s="537"/>
      <c r="I4258" s="537"/>
      <c r="J4258" s="537"/>
      <c r="K4258" s="184">
        <f>SUM(K4254:K4257)</f>
        <v>454877.60000000009</v>
      </c>
      <c r="L4258" s="537" t="s">
        <v>32</v>
      </c>
      <c r="M4258" s="537"/>
      <c r="N4258" s="537"/>
      <c r="O4258" s="537"/>
      <c r="P4258" s="184">
        <f>SUM(P4254:P4257)</f>
        <v>20004</v>
      </c>
      <c r="Q4258" s="537" t="s">
        <v>38</v>
      </c>
      <c r="R4258" s="537"/>
      <c r="S4258" s="537"/>
      <c r="T4258" s="537"/>
      <c r="U4258" s="223">
        <f>SUM(U4254:U4257)</f>
        <v>0</v>
      </c>
    </row>
    <row r="4259" spans="1:21" x14ac:dyDescent="0.25">
      <c r="A4259" s="537" t="s">
        <v>33</v>
      </c>
      <c r="B4259" s="537"/>
      <c r="C4259" s="537"/>
      <c r="D4259" s="537"/>
      <c r="E4259" s="537"/>
      <c r="F4259" s="184">
        <f>SUM(F4258+K4258+P4258)</f>
        <v>485786.60000000009</v>
      </c>
      <c r="G4259" s="537" t="s">
        <v>39</v>
      </c>
      <c r="H4259" s="537"/>
      <c r="I4259" s="537"/>
      <c r="J4259" s="537"/>
      <c r="K4259" s="184">
        <f>SUM(F4258+K4258+P4258+U4258)</f>
        <v>485786.60000000009</v>
      </c>
      <c r="L4259" s="537" t="s">
        <v>40</v>
      </c>
      <c r="M4259" s="537"/>
      <c r="N4259" s="537"/>
      <c r="O4259" s="537"/>
      <c r="P4259" s="184">
        <f>SUM(K4259*0.15)</f>
        <v>72867.990000000005</v>
      </c>
      <c r="Q4259" s="537" t="s">
        <v>41</v>
      </c>
      <c r="R4259" s="537"/>
      <c r="S4259" s="537"/>
      <c r="T4259" s="537"/>
      <c r="U4259" s="223">
        <f>SUM(K4259+P4259)</f>
        <v>558654.59000000008</v>
      </c>
    </row>
    <row r="4260" spans="1:21" x14ac:dyDescent="0.25">
      <c r="Q4260" s="537" t="s">
        <v>42</v>
      </c>
      <c r="R4260" s="537"/>
      <c r="S4260" s="537"/>
      <c r="T4260" s="537"/>
      <c r="U4260" s="224">
        <f>ROUND((U4259/5000),2)</f>
        <v>111.73</v>
      </c>
    </row>
    <row r="4261" spans="1:21" x14ac:dyDescent="0.25">
      <c r="A4261" s="544"/>
      <c r="B4261" s="544"/>
      <c r="C4261" s="544"/>
      <c r="D4261" s="544"/>
      <c r="E4261" s="544"/>
      <c r="F4261" s="544"/>
      <c r="G4261" s="544"/>
      <c r="H4261" s="544"/>
      <c r="I4261" s="544"/>
      <c r="J4261" s="544"/>
      <c r="K4261" s="544"/>
      <c r="L4261" s="544"/>
      <c r="M4261" s="544"/>
      <c r="N4261" s="544"/>
      <c r="O4261" s="544"/>
      <c r="P4261" s="544"/>
      <c r="Q4261" s="544"/>
      <c r="R4261" s="544"/>
      <c r="S4261" s="544"/>
      <c r="T4261" s="544"/>
      <c r="U4261" s="544"/>
    </row>
    <row r="4262" spans="1:21" x14ac:dyDescent="0.25">
      <c r="A4262" s="538" t="s">
        <v>12</v>
      </c>
      <c r="B4262" s="538"/>
      <c r="C4262" s="540" t="s">
        <v>1197</v>
      </c>
      <c r="D4262" s="540"/>
      <c r="E4262" s="540"/>
      <c r="F4262" s="540"/>
      <c r="G4262" s="540"/>
      <c r="H4262" s="540"/>
      <c r="I4262" s="540"/>
      <c r="J4262" s="540"/>
      <c r="K4262" s="540"/>
      <c r="L4262" s="540"/>
      <c r="M4262" s="540"/>
      <c r="N4262" s="540"/>
      <c r="O4262" s="540"/>
      <c r="P4262" s="540"/>
      <c r="Q4262" s="540"/>
      <c r="R4262" s="540"/>
      <c r="S4262" s="540"/>
      <c r="T4262" s="540"/>
      <c r="U4262" s="541" t="s">
        <v>1198</v>
      </c>
    </row>
    <row r="4263" spans="1:21" x14ac:dyDescent="0.25">
      <c r="A4263" s="538"/>
      <c r="B4263" s="538"/>
      <c r="C4263" s="540"/>
      <c r="D4263" s="540"/>
      <c r="E4263" s="540"/>
      <c r="F4263" s="540"/>
      <c r="G4263" s="540"/>
      <c r="H4263" s="540"/>
      <c r="I4263" s="540"/>
      <c r="J4263" s="540"/>
      <c r="K4263" s="540"/>
      <c r="L4263" s="540"/>
      <c r="M4263" s="540"/>
      <c r="N4263" s="540"/>
      <c r="O4263" s="540"/>
      <c r="P4263" s="540"/>
      <c r="Q4263" s="540"/>
      <c r="R4263" s="540"/>
      <c r="S4263" s="540"/>
      <c r="T4263" s="540"/>
      <c r="U4263" s="541"/>
    </row>
    <row r="4264" spans="1:21" x14ac:dyDescent="0.25">
      <c r="A4264" s="539" t="s">
        <v>1166</v>
      </c>
      <c r="B4264" s="539"/>
      <c r="C4264" s="540"/>
      <c r="D4264" s="540"/>
      <c r="E4264" s="540"/>
      <c r="F4264" s="540"/>
      <c r="G4264" s="540"/>
      <c r="H4264" s="540"/>
      <c r="I4264" s="540"/>
      <c r="J4264" s="540"/>
      <c r="K4264" s="540"/>
      <c r="L4264" s="540"/>
      <c r="M4264" s="540"/>
      <c r="N4264" s="540"/>
      <c r="O4264" s="540"/>
      <c r="P4264" s="540"/>
      <c r="Q4264" s="540"/>
      <c r="R4264" s="540"/>
      <c r="S4264" s="540"/>
      <c r="T4264" s="540"/>
      <c r="U4264" s="541"/>
    </row>
    <row r="4265" spans="1:21" x14ac:dyDescent="0.25">
      <c r="A4265" s="542" t="s">
        <v>16</v>
      </c>
      <c r="B4265" s="543" t="s">
        <v>18</v>
      </c>
      <c r="C4265" s="543"/>
      <c r="D4265" s="543"/>
      <c r="E4265" s="543"/>
      <c r="F4265" s="543"/>
      <c r="G4265" s="543" t="s">
        <v>24</v>
      </c>
      <c r="H4265" s="543"/>
      <c r="I4265" s="543"/>
      <c r="J4265" s="543"/>
      <c r="K4265" s="543"/>
      <c r="L4265" s="543" t="s">
        <v>25</v>
      </c>
      <c r="M4265" s="543"/>
      <c r="N4265" s="543"/>
      <c r="O4265" s="543"/>
      <c r="P4265" s="543"/>
      <c r="Q4265" s="543" t="s">
        <v>26</v>
      </c>
      <c r="R4265" s="543"/>
      <c r="S4265" s="543"/>
      <c r="T4265" s="543"/>
      <c r="U4265" s="543"/>
    </row>
    <row r="4266" spans="1:21" x14ac:dyDescent="0.25">
      <c r="A4266" s="542"/>
      <c r="B4266" s="182" t="s">
        <v>19</v>
      </c>
      <c r="C4266" s="182" t="s">
        <v>20</v>
      </c>
      <c r="D4266" s="182" t="s">
        <v>21</v>
      </c>
      <c r="E4266" s="182" t="s">
        <v>22</v>
      </c>
      <c r="F4266" s="182" t="s">
        <v>23</v>
      </c>
      <c r="G4266" s="182" t="s">
        <v>19</v>
      </c>
      <c r="H4266" s="216" t="s">
        <v>20</v>
      </c>
      <c r="I4266" s="182" t="s">
        <v>21</v>
      </c>
      <c r="J4266" s="182" t="s">
        <v>22</v>
      </c>
      <c r="K4266" s="182" t="s">
        <v>23</v>
      </c>
      <c r="L4266" s="182" t="s">
        <v>19</v>
      </c>
      <c r="M4266" s="182" t="s">
        <v>20</v>
      </c>
      <c r="N4266" s="182" t="s">
        <v>21</v>
      </c>
      <c r="O4266" s="182" t="s">
        <v>22</v>
      </c>
      <c r="P4266" s="182" t="s">
        <v>23</v>
      </c>
      <c r="Q4266" s="182" t="s">
        <v>19</v>
      </c>
      <c r="R4266" s="182" t="s">
        <v>20</v>
      </c>
      <c r="S4266" s="182" t="s">
        <v>21</v>
      </c>
      <c r="T4266" s="182" t="s">
        <v>22</v>
      </c>
      <c r="U4266" s="211" t="s">
        <v>23</v>
      </c>
    </row>
    <row r="4267" spans="1:21" x14ac:dyDescent="0.25">
      <c r="A4267" s="183" t="s">
        <v>1199</v>
      </c>
      <c r="B4267" s="182" t="s">
        <v>29</v>
      </c>
      <c r="C4267" s="182" t="s">
        <v>28</v>
      </c>
      <c r="D4267" s="182">
        <v>87</v>
      </c>
      <c r="E4267" s="182">
        <f>unskilled</f>
        <v>935</v>
      </c>
      <c r="F4267" s="184">
        <f>(D4267*E4267)</f>
        <v>81345</v>
      </c>
      <c r="G4267" s="182" t="s">
        <v>297</v>
      </c>
      <c r="H4267" s="216" t="s">
        <v>35</v>
      </c>
      <c r="I4267" s="182">
        <v>0.6</v>
      </c>
      <c r="J4267" s="182">
        <f>adopted_rate_bitumen</f>
        <v>108000</v>
      </c>
      <c r="K4267" s="182">
        <f>(I4267*J4267)</f>
        <v>64800</v>
      </c>
      <c r="L4267" s="182" t="s">
        <v>423</v>
      </c>
      <c r="M4267" s="182" t="s">
        <v>58</v>
      </c>
      <c r="N4267" s="182">
        <v>6</v>
      </c>
      <c r="O4267" s="182">
        <f>bitumen_boiler</f>
        <v>701</v>
      </c>
      <c r="P4267" s="184">
        <f>(N4267*O4267)</f>
        <v>4206</v>
      </c>
    </row>
    <row r="4268" spans="1:21" x14ac:dyDescent="0.25">
      <c r="B4268" s="182" t="s">
        <v>47</v>
      </c>
      <c r="C4268" s="182" t="s">
        <v>28</v>
      </c>
      <c r="D4268" s="182">
        <v>11</v>
      </c>
      <c r="E4268" s="182">
        <f>skilled</f>
        <v>1245</v>
      </c>
      <c r="F4268" s="184">
        <f>(D4268*E4268)</f>
        <v>13695</v>
      </c>
      <c r="G4268" s="182" t="s">
        <v>1200</v>
      </c>
      <c r="H4268" s="216" t="s">
        <v>84</v>
      </c>
      <c r="I4268" s="182">
        <v>7.5</v>
      </c>
      <c r="J4268" s="182">
        <f>adopted_rate_surface_dressing_chips</f>
        <v>0</v>
      </c>
      <c r="K4268" s="182">
        <f>(I4268*J4268)</f>
        <v>0</v>
      </c>
      <c r="L4268" s="182" t="s">
        <v>176</v>
      </c>
      <c r="M4268" s="182" t="s">
        <v>58</v>
      </c>
      <c r="N4268" s="182">
        <v>6</v>
      </c>
      <c r="O4268" s="182">
        <f>water_tanker</f>
        <v>1618</v>
      </c>
      <c r="P4268" s="184">
        <f>(N4268*O4268)</f>
        <v>9708</v>
      </c>
    </row>
    <row r="4269" spans="1:21" ht="31.5" x14ac:dyDescent="0.25">
      <c r="L4269" s="182" t="s">
        <v>1201</v>
      </c>
      <c r="M4269" s="182"/>
      <c r="P4269" s="184">
        <f>F4270*0.5/100</f>
        <v>475.2</v>
      </c>
    </row>
    <row r="4270" spans="1:21" x14ac:dyDescent="0.25">
      <c r="A4270" s="537" t="s">
        <v>30</v>
      </c>
      <c r="B4270" s="537"/>
      <c r="C4270" s="537"/>
      <c r="D4270" s="537"/>
      <c r="E4270" s="537"/>
      <c r="F4270" s="184">
        <f>SUM(F4266:F4269)</f>
        <v>95040</v>
      </c>
      <c r="G4270" s="537" t="s">
        <v>31</v>
      </c>
      <c r="H4270" s="537"/>
      <c r="I4270" s="537"/>
      <c r="J4270" s="537"/>
      <c r="K4270" s="184">
        <f>SUM(K4266:K4269)</f>
        <v>64800</v>
      </c>
      <c r="L4270" s="537" t="s">
        <v>32</v>
      </c>
      <c r="M4270" s="537"/>
      <c r="N4270" s="537"/>
      <c r="O4270" s="537"/>
      <c r="P4270" s="184">
        <f>SUM(P4266:P4269)</f>
        <v>14389.2</v>
      </c>
      <c r="Q4270" s="537" t="s">
        <v>38</v>
      </c>
      <c r="R4270" s="537"/>
      <c r="S4270" s="537"/>
      <c r="T4270" s="537"/>
      <c r="U4270" s="223">
        <f>SUM(U4266:U4269)</f>
        <v>0</v>
      </c>
    </row>
    <row r="4271" spans="1:21" x14ac:dyDescent="0.25">
      <c r="A4271" s="537" t="s">
        <v>33</v>
      </c>
      <c r="B4271" s="537"/>
      <c r="C4271" s="537"/>
      <c r="D4271" s="537"/>
      <c r="E4271" s="537"/>
      <c r="F4271" s="184">
        <f>SUM(F4270+K4270+P4270)</f>
        <v>174229.2</v>
      </c>
      <c r="G4271" s="537" t="s">
        <v>39</v>
      </c>
      <c r="H4271" s="537"/>
      <c r="I4271" s="537"/>
      <c r="J4271" s="537"/>
      <c r="K4271" s="184">
        <f>SUM(F4270+K4270+P4270+U4270)</f>
        <v>174229.2</v>
      </c>
      <c r="L4271" s="537" t="s">
        <v>40</v>
      </c>
      <c r="M4271" s="537"/>
      <c r="N4271" s="537"/>
      <c r="O4271" s="537"/>
      <c r="P4271" s="184">
        <f>SUM(K4271*0.15)</f>
        <v>26134.38</v>
      </c>
      <c r="Q4271" s="537" t="s">
        <v>41</v>
      </c>
      <c r="R4271" s="537"/>
      <c r="S4271" s="537"/>
      <c r="T4271" s="537"/>
      <c r="U4271" s="223">
        <f>SUM(K4271+P4271)</f>
        <v>200363.58000000002</v>
      </c>
    </row>
    <row r="4272" spans="1:21" x14ac:dyDescent="0.25">
      <c r="Q4272" s="537" t="s">
        <v>42</v>
      </c>
      <c r="R4272" s="537"/>
      <c r="S4272" s="537"/>
      <c r="T4272" s="537"/>
      <c r="U4272" s="224">
        <f>ROUND((U4271/500),2)</f>
        <v>400.73</v>
      </c>
    </row>
    <row r="4273" spans="1:21" x14ac:dyDescent="0.25">
      <c r="A4273" s="544"/>
      <c r="B4273" s="544"/>
      <c r="C4273" s="544"/>
      <c r="D4273" s="544"/>
      <c r="E4273" s="544"/>
      <c r="F4273" s="544"/>
      <c r="G4273" s="544"/>
      <c r="H4273" s="544"/>
      <c r="I4273" s="544"/>
      <c r="J4273" s="544"/>
      <c r="K4273" s="544"/>
      <c r="L4273" s="544"/>
      <c r="M4273" s="544"/>
      <c r="N4273" s="544"/>
      <c r="O4273" s="544"/>
      <c r="P4273" s="544"/>
      <c r="Q4273" s="544"/>
      <c r="R4273" s="544"/>
      <c r="S4273" s="544"/>
      <c r="T4273" s="544"/>
      <c r="U4273" s="544"/>
    </row>
    <row r="4274" spans="1:21" x14ac:dyDescent="0.25">
      <c r="A4274" s="538" t="s">
        <v>12</v>
      </c>
      <c r="B4274" s="538"/>
      <c r="C4274" s="540" t="s">
        <v>1202</v>
      </c>
      <c r="D4274" s="540"/>
      <c r="E4274" s="540"/>
      <c r="F4274" s="540"/>
      <c r="G4274" s="540"/>
      <c r="H4274" s="540"/>
      <c r="I4274" s="540"/>
      <c r="J4274" s="540"/>
      <c r="K4274" s="540"/>
      <c r="L4274" s="540"/>
      <c r="M4274" s="540"/>
      <c r="N4274" s="540"/>
      <c r="O4274" s="540"/>
      <c r="P4274" s="540"/>
      <c r="Q4274" s="540"/>
      <c r="R4274" s="540"/>
      <c r="S4274" s="540"/>
      <c r="T4274" s="540"/>
      <c r="U4274" s="541" t="s">
        <v>1203</v>
      </c>
    </row>
    <row r="4275" spans="1:21" x14ac:dyDescent="0.25">
      <c r="A4275" s="538"/>
      <c r="B4275" s="538"/>
      <c r="C4275" s="540"/>
      <c r="D4275" s="540"/>
      <c r="E4275" s="540"/>
      <c r="F4275" s="540"/>
      <c r="G4275" s="540"/>
      <c r="H4275" s="540"/>
      <c r="I4275" s="540"/>
      <c r="J4275" s="540"/>
      <c r="K4275" s="540"/>
      <c r="L4275" s="540"/>
      <c r="M4275" s="540"/>
      <c r="N4275" s="540"/>
      <c r="O4275" s="540"/>
      <c r="P4275" s="540"/>
      <c r="Q4275" s="540"/>
      <c r="R4275" s="540"/>
      <c r="S4275" s="540"/>
      <c r="T4275" s="540"/>
      <c r="U4275" s="541"/>
    </row>
    <row r="4276" spans="1:21" x14ac:dyDescent="0.25">
      <c r="A4276" s="539" t="s">
        <v>1166</v>
      </c>
      <c r="B4276" s="539"/>
      <c r="C4276" s="540"/>
      <c r="D4276" s="540"/>
      <c r="E4276" s="540"/>
      <c r="F4276" s="540"/>
      <c r="G4276" s="540"/>
      <c r="H4276" s="540"/>
      <c r="I4276" s="540"/>
      <c r="J4276" s="540"/>
      <c r="K4276" s="540"/>
      <c r="L4276" s="540"/>
      <c r="M4276" s="540"/>
      <c r="N4276" s="540"/>
      <c r="O4276" s="540"/>
      <c r="P4276" s="540"/>
      <c r="Q4276" s="540"/>
      <c r="R4276" s="540"/>
      <c r="S4276" s="540"/>
      <c r="T4276" s="540"/>
      <c r="U4276" s="541"/>
    </row>
    <row r="4277" spans="1:21" x14ac:dyDescent="0.25">
      <c r="A4277" s="542" t="s">
        <v>16</v>
      </c>
      <c r="B4277" s="543" t="s">
        <v>18</v>
      </c>
      <c r="C4277" s="543"/>
      <c r="D4277" s="543"/>
      <c r="E4277" s="543"/>
      <c r="F4277" s="543"/>
      <c r="G4277" s="543" t="s">
        <v>24</v>
      </c>
      <c r="H4277" s="543"/>
      <c r="I4277" s="543"/>
      <c r="J4277" s="543"/>
      <c r="K4277" s="543"/>
      <c r="L4277" s="543" t="s">
        <v>25</v>
      </c>
      <c r="M4277" s="543"/>
      <c r="N4277" s="543"/>
      <c r="O4277" s="543"/>
      <c r="P4277" s="543"/>
      <c r="Q4277" s="543" t="s">
        <v>26</v>
      </c>
      <c r="R4277" s="543"/>
      <c r="S4277" s="543"/>
      <c r="T4277" s="543"/>
      <c r="U4277" s="543"/>
    </row>
    <row r="4278" spans="1:21" x14ac:dyDescent="0.25">
      <c r="A4278" s="542"/>
      <c r="B4278" s="182" t="s">
        <v>19</v>
      </c>
      <c r="C4278" s="182" t="s">
        <v>20</v>
      </c>
      <c r="D4278" s="182" t="s">
        <v>21</v>
      </c>
      <c r="E4278" s="182" t="s">
        <v>22</v>
      </c>
      <c r="F4278" s="182" t="s">
        <v>23</v>
      </c>
      <c r="G4278" s="182" t="s">
        <v>19</v>
      </c>
      <c r="H4278" s="216" t="s">
        <v>20</v>
      </c>
      <c r="I4278" s="182" t="s">
        <v>21</v>
      </c>
      <c r="J4278" s="182" t="s">
        <v>22</v>
      </c>
      <c r="K4278" s="182" t="s">
        <v>23</v>
      </c>
      <c r="L4278" s="182" t="s">
        <v>19</v>
      </c>
      <c r="M4278" s="182" t="s">
        <v>20</v>
      </c>
      <c r="N4278" s="182" t="s">
        <v>21</v>
      </c>
      <c r="O4278" s="182" t="s">
        <v>22</v>
      </c>
      <c r="P4278" s="182" t="s">
        <v>23</v>
      </c>
      <c r="Q4278" s="182" t="s">
        <v>19</v>
      </c>
      <c r="R4278" s="182" t="s">
        <v>20</v>
      </c>
      <c r="S4278" s="182" t="s">
        <v>21</v>
      </c>
      <c r="T4278" s="182" t="s">
        <v>22</v>
      </c>
      <c r="U4278" s="211" t="s">
        <v>23</v>
      </c>
    </row>
    <row r="4279" spans="1:21" x14ac:dyDescent="0.25">
      <c r="A4279" s="183" t="s">
        <v>1204</v>
      </c>
      <c r="B4279" s="182" t="s">
        <v>29</v>
      </c>
      <c r="C4279" s="182" t="s">
        <v>28</v>
      </c>
      <c r="D4279" s="182">
        <v>58</v>
      </c>
      <c r="E4279" s="182">
        <f>unskilled</f>
        <v>935</v>
      </c>
      <c r="F4279" s="184">
        <f>(D4279*E4279)</f>
        <v>54230</v>
      </c>
      <c r="G4279" s="182" t="s">
        <v>297</v>
      </c>
      <c r="H4279" s="216" t="s">
        <v>35</v>
      </c>
      <c r="I4279" s="182">
        <v>0.75</v>
      </c>
      <c r="J4279" s="182">
        <f>adopted_rate_bitumen</f>
        <v>108000</v>
      </c>
      <c r="K4279" s="182">
        <f>(I4279*J4279)</f>
        <v>81000</v>
      </c>
      <c r="L4279" s="182" t="s">
        <v>423</v>
      </c>
      <c r="M4279" s="182" t="s">
        <v>58</v>
      </c>
      <c r="N4279" s="182">
        <v>6</v>
      </c>
      <c r="O4279" s="182">
        <f>bitumen_boiler</f>
        <v>701</v>
      </c>
      <c r="P4279" s="184">
        <f>(N4279*O4279)</f>
        <v>4206</v>
      </c>
    </row>
    <row r="4280" spans="1:21" x14ac:dyDescent="0.25">
      <c r="B4280" s="182" t="s">
        <v>47</v>
      </c>
      <c r="C4280" s="182" t="s">
        <v>28</v>
      </c>
      <c r="D4280" s="182">
        <v>10</v>
      </c>
      <c r="E4280" s="182">
        <f>skilled</f>
        <v>1245</v>
      </c>
      <c r="F4280" s="184">
        <f>(D4280*E4280)</f>
        <v>12450</v>
      </c>
      <c r="G4280" s="182" t="s">
        <v>355</v>
      </c>
      <c r="H4280" s="216" t="s">
        <v>84</v>
      </c>
      <c r="I4280" s="182">
        <v>7.5</v>
      </c>
      <c r="J4280" s="182">
        <f>adopted_rate_surface_dressing_chips</f>
        <v>0</v>
      </c>
      <c r="K4280" s="182">
        <f>(I4280*J4280)</f>
        <v>0</v>
      </c>
      <c r="L4280" s="182" t="s">
        <v>176</v>
      </c>
      <c r="M4280" s="182" t="s">
        <v>58</v>
      </c>
      <c r="N4280" s="182">
        <v>6</v>
      </c>
      <c r="O4280" s="182">
        <f>water_tanker</f>
        <v>1618</v>
      </c>
      <c r="P4280" s="184">
        <f>(N4280*O4280)</f>
        <v>9708</v>
      </c>
    </row>
    <row r="4281" spans="1:21" ht="31.5" x14ac:dyDescent="0.25">
      <c r="L4281" s="182" t="s">
        <v>1201</v>
      </c>
      <c r="M4281" s="182"/>
      <c r="P4281" s="184">
        <f>F4282*0.5/100</f>
        <v>333.4</v>
      </c>
    </row>
    <row r="4282" spans="1:21" x14ac:dyDescent="0.25">
      <c r="A4282" s="537" t="s">
        <v>30</v>
      </c>
      <c r="B4282" s="537"/>
      <c r="C4282" s="537"/>
      <c r="D4282" s="537"/>
      <c r="E4282" s="537"/>
      <c r="F4282" s="184">
        <f>SUM(F4278:F4281)</f>
        <v>66680</v>
      </c>
      <c r="G4282" s="537" t="s">
        <v>31</v>
      </c>
      <c r="H4282" s="537"/>
      <c r="I4282" s="537"/>
      <c r="J4282" s="537"/>
      <c r="K4282" s="184">
        <f>SUM(K4278:K4281)</f>
        <v>81000</v>
      </c>
      <c r="L4282" s="537" t="s">
        <v>32</v>
      </c>
      <c r="M4282" s="537"/>
      <c r="N4282" s="537"/>
      <c r="O4282" s="537"/>
      <c r="P4282" s="184">
        <f>SUM(P4278:P4281)</f>
        <v>14247.4</v>
      </c>
      <c r="Q4282" s="537" t="s">
        <v>38</v>
      </c>
      <c r="R4282" s="537"/>
      <c r="S4282" s="537"/>
      <c r="T4282" s="537"/>
      <c r="U4282" s="223">
        <f>SUM(U4278:U4281)</f>
        <v>0</v>
      </c>
    </row>
    <row r="4283" spans="1:21" x14ac:dyDescent="0.25">
      <c r="A4283" s="537" t="s">
        <v>33</v>
      </c>
      <c r="B4283" s="537"/>
      <c r="C4283" s="537"/>
      <c r="D4283" s="537"/>
      <c r="E4283" s="537"/>
      <c r="F4283" s="184">
        <f>SUM(F4282+K4282+P4282)</f>
        <v>161927.4</v>
      </c>
      <c r="G4283" s="537" t="s">
        <v>39</v>
      </c>
      <c r="H4283" s="537"/>
      <c r="I4283" s="537"/>
      <c r="J4283" s="537"/>
      <c r="K4283" s="184">
        <f>SUM(F4282+K4282+P4282+U4282)</f>
        <v>161927.4</v>
      </c>
      <c r="L4283" s="537" t="s">
        <v>40</v>
      </c>
      <c r="M4283" s="537"/>
      <c r="N4283" s="537"/>
      <c r="O4283" s="537"/>
      <c r="P4283" s="184">
        <f>SUM(K4283*0.15)</f>
        <v>24289.109999999997</v>
      </c>
      <c r="Q4283" s="537" t="s">
        <v>41</v>
      </c>
      <c r="R4283" s="537"/>
      <c r="S4283" s="537"/>
      <c r="T4283" s="537"/>
      <c r="U4283" s="223">
        <f>SUM(K4283+P4283)</f>
        <v>186216.50999999998</v>
      </c>
    </row>
    <row r="4284" spans="1:21" x14ac:dyDescent="0.25">
      <c r="Q4284" s="537" t="s">
        <v>42</v>
      </c>
      <c r="R4284" s="537"/>
      <c r="S4284" s="537"/>
      <c r="T4284" s="537"/>
      <c r="U4284" s="224">
        <f>ROUND((U4283/750),2)</f>
        <v>248.29</v>
      </c>
    </row>
    <row r="4285" spans="1:21" x14ac:dyDescent="0.25">
      <c r="A4285" s="544"/>
      <c r="B4285" s="544"/>
      <c r="C4285" s="544"/>
      <c r="D4285" s="544"/>
      <c r="E4285" s="544"/>
      <c r="F4285" s="544"/>
      <c r="G4285" s="544"/>
      <c r="H4285" s="544"/>
      <c r="I4285" s="544"/>
      <c r="J4285" s="544"/>
      <c r="K4285" s="544"/>
      <c r="L4285" s="544"/>
      <c r="M4285" s="544"/>
      <c r="N4285" s="544"/>
      <c r="O4285" s="544"/>
      <c r="P4285" s="544"/>
      <c r="Q4285" s="544"/>
      <c r="R4285" s="544"/>
      <c r="S4285" s="544"/>
      <c r="T4285" s="544"/>
      <c r="U4285" s="544"/>
    </row>
    <row r="4286" spans="1:21" x14ac:dyDescent="0.25">
      <c r="A4286" s="538" t="s">
        <v>12</v>
      </c>
      <c r="B4286" s="538"/>
      <c r="C4286" s="540" t="s">
        <v>1205</v>
      </c>
      <c r="D4286" s="540"/>
      <c r="E4286" s="540"/>
      <c r="F4286" s="540"/>
      <c r="G4286" s="540"/>
      <c r="H4286" s="540"/>
      <c r="I4286" s="540"/>
      <c r="J4286" s="540"/>
      <c r="K4286" s="540"/>
      <c r="L4286" s="540"/>
      <c r="M4286" s="540"/>
      <c r="N4286" s="540"/>
      <c r="O4286" s="540"/>
      <c r="P4286" s="540"/>
      <c r="Q4286" s="540"/>
      <c r="R4286" s="540"/>
      <c r="S4286" s="540"/>
      <c r="T4286" s="540"/>
      <c r="U4286" s="541" t="s">
        <v>1206</v>
      </c>
    </row>
    <row r="4287" spans="1:21" x14ac:dyDescent="0.25">
      <c r="A4287" s="538"/>
      <c r="B4287" s="538"/>
      <c r="C4287" s="540"/>
      <c r="D4287" s="540"/>
      <c r="E4287" s="540"/>
      <c r="F4287" s="540"/>
      <c r="G4287" s="540"/>
      <c r="H4287" s="540"/>
      <c r="I4287" s="540"/>
      <c r="J4287" s="540"/>
      <c r="K4287" s="540"/>
      <c r="L4287" s="540"/>
      <c r="M4287" s="540"/>
      <c r="N4287" s="540"/>
      <c r="O4287" s="540"/>
      <c r="P4287" s="540"/>
      <c r="Q4287" s="540"/>
      <c r="R4287" s="540"/>
      <c r="S4287" s="540"/>
      <c r="T4287" s="540"/>
      <c r="U4287" s="541"/>
    </row>
    <row r="4288" spans="1:21" x14ac:dyDescent="0.25">
      <c r="A4288" s="539" t="s">
        <v>1166</v>
      </c>
      <c r="B4288" s="539"/>
      <c r="C4288" s="540"/>
      <c r="D4288" s="540"/>
      <c r="E4288" s="540"/>
      <c r="F4288" s="540"/>
      <c r="G4288" s="540"/>
      <c r="H4288" s="540"/>
      <c r="I4288" s="540"/>
      <c r="J4288" s="540"/>
      <c r="K4288" s="540"/>
      <c r="L4288" s="540"/>
      <c r="M4288" s="540"/>
      <c r="N4288" s="540"/>
      <c r="O4288" s="540"/>
      <c r="P4288" s="540"/>
      <c r="Q4288" s="540"/>
      <c r="R4288" s="540"/>
      <c r="S4288" s="540"/>
      <c r="T4288" s="540"/>
      <c r="U4288" s="541"/>
    </row>
    <row r="4289" spans="1:21" x14ac:dyDescent="0.25">
      <c r="A4289" s="542" t="s">
        <v>16</v>
      </c>
      <c r="B4289" s="543" t="s">
        <v>18</v>
      </c>
      <c r="C4289" s="543"/>
      <c r="D4289" s="543"/>
      <c r="E4289" s="543"/>
      <c r="F4289" s="543"/>
      <c r="G4289" s="543" t="s">
        <v>24</v>
      </c>
      <c r="H4289" s="543"/>
      <c r="I4289" s="543"/>
      <c r="J4289" s="543"/>
      <c r="K4289" s="543"/>
      <c r="L4289" s="543" t="s">
        <v>25</v>
      </c>
      <c r="M4289" s="543"/>
      <c r="N4289" s="543"/>
      <c r="O4289" s="543"/>
      <c r="P4289" s="543"/>
      <c r="Q4289" s="543" t="s">
        <v>26</v>
      </c>
      <c r="R4289" s="543"/>
      <c r="S4289" s="543"/>
      <c r="T4289" s="543"/>
      <c r="U4289" s="543"/>
    </row>
    <row r="4290" spans="1:21" x14ac:dyDescent="0.25">
      <c r="A4290" s="542"/>
      <c r="B4290" s="182" t="s">
        <v>19</v>
      </c>
      <c r="C4290" s="182" t="s">
        <v>20</v>
      </c>
      <c r="D4290" s="182" t="s">
        <v>21</v>
      </c>
      <c r="E4290" s="182" t="s">
        <v>22</v>
      </c>
      <c r="F4290" s="182" t="s">
        <v>23</v>
      </c>
      <c r="G4290" s="182" t="s">
        <v>19</v>
      </c>
      <c r="H4290" s="216" t="s">
        <v>20</v>
      </c>
      <c r="I4290" s="182" t="s">
        <v>21</v>
      </c>
      <c r="J4290" s="182" t="s">
        <v>22</v>
      </c>
      <c r="K4290" s="182" t="s">
        <v>23</v>
      </c>
      <c r="L4290" s="182" t="s">
        <v>19</v>
      </c>
      <c r="M4290" s="182" t="s">
        <v>20</v>
      </c>
      <c r="N4290" s="182" t="s">
        <v>21</v>
      </c>
      <c r="O4290" s="182" t="s">
        <v>22</v>
      </c>
      <c r="P4290" s="182" t="s">
        <v>23</v>
      </c>
      <c r="Q4290" s="182" t="s">
        <v>19</v>
      </c>
      <c r="R4290" s="182" t="s">
        <v>20</v>
      </c>
      <c r="S4290" s="182" t="s">
        <v>21</v>
      </c>
      <c r="T4290" s="182" t="s">
        <v>22</v>
      </c>
      <c r="U4290" s="211" t="s">
        <v>23</v>
      </c>
    </row>
    <row r="4291" spans="1:21" ht="31.5" x14ac:dyDescent="0.25">
      <c r="A4291" s="183" t="s">
        <v>1207</v>
      </c>
      <c r="B4291" s="182" t="s">
        <v>29</v>
      </c>
      <c r="C4291" s="182" t="s">
        <v>28</v>
      </c>
      <c r="D4291" s="182">
        <v>58</v>
      </c>
      <c r="E4291" s="182">
        <f>unskilled</f>
        <v>935</v>
      </c>
      <c r="F4291" s="184">
        <f>(D4291*E4291)</f>
        <v>54230</v>
      </c>
      <c r="G4291" s="182" t="s">
        <v>297</v>
      </c>
      <c r="H4291" s="216" t="s">
        <v>35</v>
      </c>
      <c r="I4291" s="182">
        <v>0.77</v>
      </c>
      <c r="J4291" s="182">
        <f>adopted_rate_bitumen</f>
        <v>108000</v>
      </c>
      <c r="K4291" s="182">
        <f>(I4291*J4291)</f>
        <v>83160</v>
      </c>
      <c r="L4291" s="182" t="s">
        <v>423</v>
      </c>
      <c r="M4291" s="182" t="s">
        <v>58</v>
      </c>
      <c r="N4291" s="182">
        <v>6</v>
      </c>
      <c r="O4291" s="182">
        <f>bitumen_boiler</f>
        <v>701</v>
      </c>
      <c r="P4291" s="184">
        <f>(N4291*O4291)</f>
        <v>4206</v>
      </c>
    </row>
    <row r="4292" spans="1:21" x14ac:dyDescent="0.25">
      <c r="B4292" s="182" t="s">
        <v>47</v>
      </c>
      <c r="C4292" s="182" t="s">
        <v>28</v>
      </c>
      <c r="D4292" s="182">
        <v>10</v>
      </c>
      <c r="E4292" s="182">
        <f>skilled</f>
        <v>1245</v>
      </c>
      <c r="F4292" s="184">
        <f>(D4292*E4292)</f>
        <v>12450</v>
      </c>
      <c r="G4292" s="182" t="s">
        <v>1208</v>
      </c>
      <c r="H4292" s="216" t="s">
        <v>84</v>
      </c>
      <c r="I4292" s="182">
        <v>6.8</v>
      </c>
      <c r="J4292" s="182">
        <f>adopted_rate_surface_dressing_chips</f>
        <v>0</v>
      </c>
      <c r="K4292" s="182">
        <f>(I4292*J4292)</f>
        <v>0</v>
      </c>
      <c r="L4292" s="182" t="s">
        <v>176</v>
      </c>
      <c r="M4292" s="182" t="s">
        <v>58</v>
      </c>
      <c r="N4292" s="182">
        <v>6</v>
      </c>
      <c r="O4292" s="182">
        <f>water_tanker</f>
        <v>1618</v>
      </c>
      <c r="P4292" s="184">
        <f>(N4292*O4292)</f>
        <v>9708</v>
      </c>
    </row>
    <row r="4293" spans="1:21" ht="31.5" x14ac:dyDescent="0.25">
      <c r="L4293" s="182" t="s">
        <v>1201</v>
      </c>
      <c r="M4293" s="182"/>
      <c r="P4293" s="184">
        <f>F4294*0.5/100</f>
        <v>333.4</v>
      </c>
    </row>
    <row r="4294" spans="1:21" x14ac:dyDescent="0.25">
      <c r="A4294" s="537" t="s">
        <v>30</v>
      </c>
      <c r="B4294" s="537"/>
      <c r="C4294" s="537"/>
      <c r="D4294" s="537"/>
      <c r="E4294" s="537"/>
      <c r="F4294" s="184">
        <f>SUM(F4290:F4293)</f>
        <v>66680</v>
      </c>
      <c r="G4294" s="537" t="s">
        <v>31</v>
      </c>
      <c r="H4294" s="537"/>
      <c r="I4294" s="537"/>
      <c r="J4294" s="537"/>
      <c r="K4294" s="184">
        <f>SUM(K4290:K4293)</f>
        <v>83160</v>
      </c>
      <c r="L4294" s="537" t="s">
        <v>32</v>
      </c>
      <c r="M4294" s="537"/>
      <c r="N4294" s="537"/>
      <c r="O4294" s="537"/>
      <c r="P4294" s="184">
        <f>SUM(P4290:P4293)</f>
        <v>14247.4</v>
      </c>
      <c r="Q4294" s="537" t="s">
        <v>38</v>
      </c>
      <c r="R4294" s="537"/>
      <c r="S4294" s="537"/>
      <c r="T4294" s="537"/>
      <c r="U4294" s="223">
        <f>SUM(U4290:U4293)</f>
        <v>0</v>
      </c>
    </row>
    <row r="4295" spans="1:21" x14ac:dyDescent="0.25">
      <c r="A4295" s="537" t="s">
        <v>33</v>
      </c>
      <c r="B4295" s="537"/>
      <c r="C4295" s="537"/>
      <c r="D4295" s="537"/>
      <c r="E4295" s="537"/>
      <c r="F4295" s="184">
        <f>SUM(F4294+K4294+P4294)</f>
        <v>164087.4</v>
      </c>
      <c r="G4295" s="537" t="s">
        <v>39</v>
      </c>
      <c r="H4295" s="537"/>
      <c r="I4295" s="537"/>
      <c r="J4295" s="537"/>
      <c r="K4295" s="184">
        <f>SUM(F4294+K4294+P4294+U4294)</f>
        <v>164087.4</v>
      </c>
      <c r="L4295" s="537" t="s">
        <v>40</v>
      </c>
      <c r="M4295" s="537"/>
      <c r="N4295" s="537"/>
      <c r="O4295" s="537"/>
      <c r="P4295" s="184">
        <f>SUM(K4295*0.15)</f>
        <v>24613.109999999997</v>
      </c>
      <c r="Q4295" s="537" t="s">
        <v>41</v>
      </c>
      <c r="R4295" s="537"/>
      <c r="S4295" s="537"/>
      <c r="T4295" s="537"/>
      <c r="U4295" s="223">
        <f>SUM(K4295+P4295)</f>
        <v>188700.50999999998</v>
      </c>
    </row>
    <row r="4296" spans="1:21" x14ac:dyDescent="0.25">
      <c r="Q4296" s="537" t="s">
        <v>42</v>
      </c>
      <c r="R4296" s="537"/>
      <c r="S4296" s="537"/>
      <c r="T4296" s="537"/>
      <c r="U4296" s="224">
        <f>ROUND((U4295/850),2)</f>
        <v>222</v>
      </c>
    </row>
    <row r="4297" spans="1:21" x14ac:dyDescent="0.25">
      <c r="A4297" s="544"/>
      <c r="B4297" s="544"/>
      <c r="C4297" s="544"/>
      <c r="D4297" s="544"/>
      <c r="E4297" s="544"/>
      <c r="F4297" s="544"/>
      <c r="G4297" s="544"/>
      <c r="H4297" s="544"/>
      <c r="I4297" s="544"/>
      <c r="J4297" s="544"/>
      <c r="K4297" s="544"/>
      <c r="L4297" s="544"/>
      <c r="M4297" s="544"/>
      <c r="N4297" s="544"/>
      <c r="O4297" s="544"/>
      <c r="P4297" s="544"/>
      <c r="Q4297" s="544"/>
      <c r="R4297" s="544"/>
      <c r="S4297" s="544"/>
      <c r="T4297" s="544"/>
      <c r="U4297" s="544"/>
    </row>
    <row r="4298" spans="1:21" x14ac:dyDescent="0.25">
      <c r="A4298" s="538" t="s">
        <v>12</v>
      </c>
      <c r="B4298" s="538"/>
      <c r="C4298" s="540" t="s">
        <v>1209</v>
      </c>
      <c r="D4298" s="540"/>
      <c r="E4298" s="540"/>
      <c r="F4298" s="540"/>
      <c r="G4298" s="540"/>
      <c r="H4298" s="540"/>
      <c r="I4298" s="540"/>
      <c r="J4298" s="540"/>
      <c r="K4298" s="540"/>
      <c r="L4298" s="540"/>
      <c r="M4298" s="540"/>
      <c r="N4298" s="540"/>
      <c r="O4298" s="540"/>
      <c r="P4298" s="540"/>
      <c r="Q4298" s="540"/>
      <c r="R4298" s="540"/>
      <c r="S4298" s="540"/>
      <c r="T4298" s="540"/>
      <c r="U4298" s="541" t="s">
        <v>1210</v>
      </c>
    </row>
    <row r="4299" spans="1:21" x14ac:dyDescent="0.25">
      <c r="A4299" s="538"/>
      <c r="B4299" s="538"/>
      <c r="C4299" s="540"/>
      <c r="D4299" s="540"/>
      <c r="E4299" s="540"/>
      <c r="F4299" s="540"/>
      <c r="G4299" s="540"/>
      <c r="H4299" s="540"/>
      <c r="I4299" s="540"/>
      <c r="J4299" s="540"/>
      <c r="K4299" s="540"/>
      <c r="L4299" s="540"/>
      <c r="M4299" s="540"/>
      <c r="N4299" s="540"/>
      <c r="O4299" s="540"/>
      <c r="P4299" s="540"/>
      <c r="Q4299" s="540"/>
      <c r="R4299" s="540"/>
      <c r="S4299" s="540"/>
      <c r="T4299" s="540"/>
      <c r="U4299" s="541"/>
    </row>
    <row r="4300" spans="1:21" x14ac:dyDescent="0.25">
      <c r="A4300" s="539" t="s">
        <v>228</v>
      </c>
      <c r="B4300" s="539"/>
      <c r="C4300" s="540"/>
      <c r="D4300" s="540"/>
      <c r="E4300" s="540"/>
      <c r="F4300" s="540"/>
      <c r="G4300" s="540"/>
      <c r="H4300" s="540"/>
      <c r="I4300" s="540"/>
      <c r="J4300" s="540"/>
      <c r="K4300" s="540"/>
      <c r="L4300" s="540"/>
      <c r="M4300" s="540"/>
      <c r="N4300" s="540"/>
      <c r="O4300" s="540"/>
      <c r="P4300" s="540"/>
      <c r="Q4300" s="540"/>
      <c r="R4300" s="540"/>
      <c r="S4300" s="540"/>
      <c r="T4300" s="540"/>
      <c r="U4300" s="541"/>
    </row>
    <row r="4301" spans="1:21" x14ac:dyDescent="0.25">
      <c r="A4301" s="542" t="s">
        <v>16</v>
      </c>
      <c r="B4301" s="543" t="s">
        <v>18</v>
      </c>
      <c r="C4301" s="543"/>
      <c r="D4301" s="543"/>
      <c r="E4301" s="543"/>
      <c r="F4301" s="543"/>
      <c r="G4301" s="543" t="s">
        <v>24</v>
      </c>
      <c r="H4301" s="543"/>
      <c r="I4301" s="543"/>
      <c r="J4301" s="543"/>
      <c r="K4301" s="543"/>
      <c r="L4301" s="543" t="s">
        <v>25</v>
      </c>
      <c r="M4301" s="543"/>
      <c r="N4301" s="543"/>
      <c r="O4301" s="543"/>
      <c r="P4301" s="543"/>
      <c r="Q4301" s="543" t="s">
        <v>26</v>
      </c>
      <c r="R4301" s="543"/>
      <c r="S4301" s="543"/>
      <c r="T4301" s="543"/>
      <c r="U4301" s="543"/>
    </row>
    <row r="4302" spans="1:21" x14ac:dyDescent="0.25">
      <c r="A4302" s="542"/>
      <c r="B4302" s="182" t="s">
        <v>19</v>
      </c>
      <c r="C4302" s="182" t="s">
        <v>20</v>
      </c>
      <c r="D4302" s="182" t="s">
        <v>21</v>
      </c>
      <c r="E4302" s="182" t="s">
        <v>22</v>
      </c>
      <c r="F4302" s="182" t="s">
        <v>23</v>
      </c>
      <c r="G4302" s="182" t="s">
        <v>19</v>
      </c>
      <c r="H4302" s="216" t="s">
        <v>20</v>
      </c>
      <c r="I4302" s="182" t="s">
        <v>21</v>
      </c>
      <c r="J4302" s="182" t="s">
        <v>22</v>
      </c>
      <c r="K4302" s="182" t="s">
        <v>23</v>
      </c>
      <c r="L4302" s="182" t="s">
        <v>19</v>
      </c>
      <c r="M4302" s="182" t="s">
        <v>20</v>
      </c>
      <c r="N4302" s="182" t="s">
        <v>21</v>
      </c>
      <c r="O4302" s="182" t="s">
        <v>22</v>
      </c>
      <c r="P4302" s="182" t="s">
        <v>23</v>
      </c>
      <c r="Q4302" s="182" t="s">
        <v>19</v>
      </c>
      <c r="R4302" s="182" t="s">
        <v>20</v>
      </c>
      <c r="S4302" s="182" t="s">
        <v>21</v>
      </c>
      <c r="T4302" s="182" t="s">
        <v>22</v>
      </c>
      <c r="U4302" s="211" t="s">
        <v>23</v>
      </c>
    </row>
    <row r="4303" spans="1:21" ht="110.25" x14ac:dyDescent="0.25">
      <c r="A4303" s="183" t="s">
        <v>1211</v>
      </c>
      <c r="B4303" s="182" t="s">
        <v>1212</v>
      </c>
      <c r="C4303" s="182" t="s">
        <v>28</v>
      </c>
      <c r="D4303" s="182">
        <v>2.88</v>
      </c>
      <c r="E4303" s="182">
        <f>supervisor</f>
        <v>825</v>
      </c>
      <c r="F4303" s="184">
        <f>(D4303*E4303)</f>
        <v>2376</v>
      </c>
      <c r="L4303" s="182" t="s">
        <v>1213</v>
      </c>
      <c r="M4303" s="182"/>
    </row>
    <row r="4304" spans="1:21" x14ac:dyDescent="0.25">
      <c r="B4304" s="182" t="s">
        <v>29</v>
      </c>
      <c r="C4304" s="182" t="s">
        <v>28</v>
      </c>
      <c r="D4304" s="182">
        <v>72</v>
      </c>
      <c r="E4304" s="182">
        <f>unskilled</f>
        <v>935</v>
      </c>
      <c r="F4304" s="184">
        <f>(D4304*E4304)</f>
        <v>67320</v>
      </c>
      <c r="L4304" s="182" t="s">
        <v>1214</v>
      </c>
      <c r="M4304" s="182"/>
      <c r="P4304" s="184">
        <f>F4306*9/100</f>
        <v>6272.64</v>
      </c>
    </row>
    <row r="4305" spans="1:21" x14ac:dyDescent="0.25">
      <c r="L4305" s="182" t="s">
        <v>1215</v>
      </c>
      <c r="M4305" s="182"/>
      <c r="P4305" s="184">
        <f>F4306*3/100</f>
        <v>2090.88</v>
      </c>
    </row>
    <row r="4306" spans="1:21" x14ac:dyDescent="0.25">
      <c r="A4306" s="537" t="s">
        <v>30</v>
      </c>
      <c r="B4306" s="537"/>
      <c r="C4306" s="537"/>
      <c r="D4306" s="537"/>
      <c r="E4306" s="537"/>
      <c r="F4306" s="184">
        <f>SUM(F4302:F4305)</f>
        <v>69696</v>
      </c>
      <c r="G4306" s="537" t="s">
        <v>31</v>
      </c>
      <c r="H4306" s="537"/>
      <c r="I4306" s="537"/>
      <c r="J4306" s="537"/>
      <c r="K4306" s="184">
        <f>SUM(K4302:K4305)</f>
        <v>0</v>
      </c>
      <c r="L4306" s="537" t="s">
        <v>32</v>
      </c>
      <c r="M4306" s="537"/>
      <c r="N4306" s="537"/>
      <c r="O4306" s="537"/>
      <c r="P4306" s="184">
        <f>SUM(P4302:P4305)</f>
        <v>8363.52</v>
      </c>
      <c r="Q4306" s="537" t="s">
        <v>38</v>
      </c>
      <c r="R4306" s="537"/>
      <c r="S4306" s="537"/>
      <c r="T4306" s="537"/>
      <c r="U4306" s="223">
        <f>SUM(U4302:U4305)</f>
        <v>0</v>
      </c>
    </row>
    <row r="4307" spans="1:21" x14ac:dyDescent="0.25">
      <c r="A4307" s="537" t="s">
        <v>33</v>
      </c>
      <c r="B4307" s="537"/>
      <c r="C4307" s="537"/>
      <c r="D4307" s="537"/>
      <c r="E4307" s="537"/>
      <c r="F4307" s="184">
        <f>SUM(F4306+K4306+P4306)</f>
        <v>78059.520000000004</v>
      </c>
      <c r="G4307" s="537" t="s">
        <v>39</v>
      </c>
      <c r="H4307" s="537"/>
      <c r="I4307" s="537"/>
      <c r="J4307" s="537"/>
      <c r="K4307" s="184">
        <f>SUM(F4306+K4306+P4306+U4306)</f>
        <v>78059.520000000004</v>
      </c>
      <c r="L4307" s="537" t="s">
        <v>40</v>
      </c>
      <c r="M4307" s="537"/>
      <c r="N4307" s="537"/>
      <c r="O4307" s="537"/>
      <c r="P4307" s="184">
        <f>SUM(K4307*0.15)</f>
        <v>11708.928</v>
      </c>
      <c r="Q4307" s="537" t="s">
        <v>41</v>
      </c>
      <c r="R4307" s="537"/>
      <c r="S4307" s="537"/>
      <c r="T4307" s="537"/>
      <c r="U4307" s="223">
        <f>SUM(K4307+P4307)</f>
        <v>89768.448000000004</v>
      </c>
    </row>
    <row r="4308" spans="1:21" x14ac:dyDescent="0.25">
      <c r="Q4308" s="537" t="s">
        <v>42</v>
      </c>
      <c r="R4308" s="537"/>
      <c r="S4308" s="537"/>
      <c r="T4308" s="537"/>
      <c r="U4308" s="224">
        <f>ROUND((U4307/1),2)</f>
        <v>89768.45</v>
      </c>
    </row>
    <row r="4309" spans="1:21" x14ac:dyDescent="0.25">
      <c r="A4309" s="544"/>
      <c r="B4309" s="544"/>
      <c r="C4309" s="544"/>
      <c r="D4309" s="544"/>
      <c r="E4309" s="544"/>
      <c r="F4309" s="544"/>
      <c r="G4309" s="544"/>
      <c r="H4309" s="544"/>
      <c r="I4309" s="544"/>
      <c r="J4309" s="544"/>
      <c r="K4309" s="544"/>
      <c r="L4309" s="544"/>
      <c r="M4309" s="544"/>
      <c r="N4309" s="544"/>
      <c r="O4309" s="544"/>
      <c r="P4309" s="544"/>
      <c r="Q4309" s="544"/>
      <c r="R4309" s="544"/>
      <c r="S4309" s="544"/>
      <c r="T4309" s="544"/>
      <c r="U4309" s="544"/>
    </row>
    <row r="4310" spans="1:21" x14ac:dyDescent="0.25">
      <c r="A4310" s="538" t="s">
        <v>12</v>
      </c>
      <c r="B4310" s="538"/>
      <c r="C4310" s="540" t="s">
        <v>1216</v>
      </c>
      <c r="D4310" s="540"/>
      <c r="E4310" s="540"/>
      <c r="F4310" s="540"/>
      <c r="G4310" s="540"/>
      <c r="H4310" s="540"/>
      <c r="I4310" s="540"/>
      <c r="J4310" s="540"/>
      <c r="K4310" s="540"/>
      <c r="L4310" s="540"/>
      <c r="M4310" s="540"/>
      <c r="N4310" s="540"/>
      <c r="O4310" s="540"/>
      <c r="P4310" s="540"/>
      <c r="Q4310" s="540"/>
      <c r="R4310" s="540"/>
      <c r="S4310" s="540"/>
      <c r="T4310" s="540"/>
      <c r="U4310" s="541" t="s">
        <v>1210</v>
      </c>
    </row>
    <row r="4311" spans="1:21" x14ac:dyDescent="0.25">
      <c r="A4311" s="538"/>
      <c r="B4311" s="538"/>
      <c r="C4311" s="540"/>
      <c r="D4311" s="540"/>
      <c r="E4311" s="540"/>
      <c r="F4311" s="540"/>
      <c r="G4311" s="540"/>
      <c r="H4311" s="540"/>
      <c r="I4311" s="540"/>
      <c r="J4311" s="540"/>
      <c r="K4311" s="540"/>
      <c r="L4311" s="540"/>
      <c r="M4311" s="540"/>
      <c r="N4311" s="540"/>
      <c r="O4311" s="540"/>
      <c r="P4311" s="540"/>
      <c r="Q4311" s="540"/>
      <c r="R4311" s="540"/>
      <c r="S4311" s="540"/>
      <c r="T4311" s="540"/>
      <c r="U4311" s="541"/>
    </row>
    <row r="4312" spans="1:21" x14ac:dyDescent="0.25">
      <c r="A4312" s="539" t="s">
        <v>228</v>
      </c>
      <c r="B4312" s="539"/>
      <c r="C4312" s="540"/>
      <c r="D4312" s="540"/>
      <c r="E4312" s="540"/>
      <c r="F4312" s="540"/>
      <c r="G4312" s="540"/>
      <c r="H4312" s="540"/>
      <c r="I4312" s="540"/>
      <c r="J4312" s="540"/>
      <c r="K4312" s="540"/>
      <c r="L4312" s="540"/>
      <c r="M4312" s="540"/>
      <c r="N4312" s="540"/>
      <c r="O4312" s="540"/>
      <c r="P4312" s="540"/>
      <c r="Q4312" s="540"/>
      <c r="R4312" s="540"/>
      <c r="S4312" s="540"/>
      <c r="T4312" s="540"/>
      <c r="U4312" s="541"/>
    </row>
    <row r="4313" spans="1:21" x14ac:dyDescent="0.25">
      <c r="A4313" s="542" t="s">
        <v>16</v>
      </c>
      <c r="B4313" s="543" t="s">
        <v>18</v>
      </c>
      <c r="C4313" s="543"/>
      <c r="D4313" s="543"/>
      <c r="E4313" s="543"/>
      <c r="F4313" s="543"/>
      <c r="G4313" s="543" t="s">
        <v>24</v>
      </c>
      <c r="H4313" s="543"/>
      <c r="I4313" s="543"/>
      <c r="J4313" s="543"/>
      <c r="K4313" s="543"/>
      <c r="L4313" s="543" t="s">
        <v>25</v>
      </c>
      <c r="M4313" s="543"/>
      <c r="N4313" s="543"/>
      <c r="O4313" s="543"/>
      <c r="P4313" s="543"/>
      <c r="Q4313" s="543" t="s">
        <v>26</v>
      </c>
      <c r="R4313" s="543"/>
      <c r="S4313" s="543"/>
      <c r="T4313" s="543"/>
      <c r="U4313" s="543"/>
    </row>
    <row r="4314" spans="1:21" x14ac:dyDescent="0.25">
      <c r="A4314" s="542"/>
      <c r="B4314" s="182" t="s">
        <v>19</v>
      </c>
      <c r="C4314" s="182" t="s">
        <v>20</v>
      </c>
      <c r="D4314" s="182" t="s">
        <v>21</v>
      </c>
      <c r="E4314" s="182" t="s">
        <v>22</v>
      </c>
      <c r="F4314" s="182" t="s">
        <v>23</v>
      </c>
      <c r="G4314" s="182" t="s">
        <v>19</v>
      </c>
      <c r="H4314" s="216" t="s">
        <v>20</v>
      </c>
      <c r="I4314" s="182" t="s">
        <v>21</v>
      </c>
      <c r="J4314" s="182" t="s">
        <v>22</v>
      </c>
      <c r="K4314" s="182" t="s">
        <v>23</v>
      </c>
      <c r="L4314" s="182" t="s">
        <v>19</v>
      </c>
      <c r="M4314" s="182" t="s">
        <v>20</v>
      </c>
      <c r="N4314" s="182" t="s">
        <v>21</v>
      </c>
      <c r="O4314" s="182" t="s">
        <v>22</v>
      </c>
      <c r="P4314" s="182" t="s">
        <v>23</v>
      </c>
      <c r="Q4314" s="182" t="s">
        <v>19</v>
      </c>
      <c r="R4314" s="182" t="s">
        <v>20</v>
      </c>
      <c r="S4314" s="182" t="s">
        <v>21</v>
      </c>
      <c r="T4314" s="182" t="s">
        <v>22</v>
      </c>
      <c r="U4314" s="211" t="s">
        <v>23</v>
      </c>
    </row>
    <row r="4315" spans="1:21" ht="110.25" x14ac:dyDescent="0.25">
      <c r="A4315" s="183" t="s">
        <v>1217</v>
      </c>
      <c r="B4315" s="182" t="s">
        <v>1212</v>
      </c>
      <c r="C4315" s="182" t="s">
        <v>28</v>
      </c>
      <c r="D4315" s="182">
        <v>1.44</v>
      </c>
      <c r="E4315" s="182">
        <f>supervisor</f>
        <v>825</v>
      </c>
      <c r="F4315" s="184">
        <f>(D4315*E4315)</f>
        <v>1188</v>
      </c>
      <c r="L4315" s="182" t="s">
        <v>1218</v>
      </c>
      <c r="M4315" s="182"/>
    </row>
    <row r="4316" spans="1:21" x14ac:dyDescent="0.25">
      <c r="B4316" s="182" t="s">
        <v>29</v>
      </c>
      <c r="C4316" s="182" t="s">
        <v>28</v>
      </c>
      <c r="D4316" s="182">
        <v>36</v>
      </c>
      <c r="E4316" s="182">
        <f>unskilled</f>
        <v>935</v>
      </c>
      <c r="F4316" s="184">
        <f>(D4316*E4316)</f>
        <v>33660</v>
      </c>
      <c r="L4316" s="182" t="s">
        <v>1214</v>
      </c>
      <c r="M4316" s="182"/>
      <c r="P4316" s="184">
        <f>F4318*9/100</f>
        <v>3136.32</v>
      </c>
    </row>
    <row r="4317" spans="1:21" x14ac:dyDescent="0.25">
      <c r="L4317" s="182" t="s">
        <v>1215</v>
      </c>
      <c r="M4317" s="182"/>
      <c r="P4317" s="184">
        <f>F4318*3/100</f>
        <v>1045.44</v>
      </c>
    </row>
    <row r="4318" spans="1:21" x14ac:dyDescent="0.25">
      <c r="A4318" s="537" t="s">
        <v>30</v>
      </c>
      <c r="B4318" s="537"/>
      <c r="C4318" s="537"/>
      <c r="D4318" s="537"/>
      <c r="E4318" s="537"/>
      <c r="F4318" s="184">
        <f>SUM(F4314:F4317)</f>
        <v>34848</v>
      </c>
      <c r="G4318" s="537" t="s">
        <v>31</v>
      </c>
      <c r="H4318" s="537"/>
      <c r="I4318" s="537"/>
      <c r="J4318" s="537"/>
      <c r="K4318" s="184">
        <f>SUM(K4314:K4317)</f>
        <v>0</v>
      </c>
      <c r="L4318" s="537" t="s">
        <v>32</v>
      </c>
      <c r="M4318" s="537"/>
      <c r="N4318" s="537"/>
      <c r="O4318" s="537"/>
      <c r="P4318" s="184">
        <f>SUM(P4314:P4317)</f>
        <v>4181.76</v>
      </c>
      <c r="Q4318" s="537" t="s">
        <v>38</v>
      </c>
      <c r="R4318" s="537"/>
      <c r="S4318" s="537"/>
      <c r="T4318" s="537"/>
      <c r="U4318" s="223">
        <f>SUM(U4314:U4317)</f>
        <v>0</v>
      </c>
    </row>
    <row r="4319" spans="1:21" x14ac:dyDescent="0.25">
      <c r="A4319" s="537" t="s">
        <v>33</v>
      </c>
      <c r="B4319" s="537"/>
      <c r="C4319" s="537"/>
      <c r="D4319" s="537"/>
      <c r="E4319" s="537"/>
      <c r="F4319" s="184">
        <f>SUM(F4318+K4318+P4318)</f>
        <v>39029.760000000002</v>
      </c>
      <c r="G4319" s="537" t="s">
        <v>39</v>
      </c>
      <c r="H4319" s="537"/>
      <c r="I4319" s="537"/>
      <c r="J4319" s="537"/>
      <c r="K4319" s="184">
        <f>SUM(F4318+K4318+P4318+U4318)</f>
        <v>39029.760000000002</v>
      </c>
      <c r="L4319" s="537" t="s">
        <v>40</v>
      </c>
      <c r="M4319" s="537"/>
      <c r="N4319" s="537"/>
      <c r="O4319" s="537"/>
      <c r="P4319" s="184">
        <f>SUM(K4319*0.15)</f>
        <v>5854.4639999999999</v>
      </c>
      <c r="Q4319" s="537" t="s">
        <v>41</v>
      </c>
      <c r="R4319" s="537"/>
      <c r="S4319" s="537"/>
      <c r="T4319" s="537"/>
      <c r="U4319" s="223">
        <f>SUM(K4319+P4319)</f>
        <v>44884.224000000002</v>
      </c>
    </row>
    <row r="4320" spans="1:21" x14ac:dyDescent="0.25">
      <c r="Q4320" s="537" t="s">
        <v>42</v>
      </c>
      <c r="R4320" s="537"/>
      <c r="S4320" s="537"/>
      <c r="T4320" s="537"/>
      <c r="U4320" s="224">
        <f>ROUND((U4319/1),2)</f>
        <v>44884.22</v>
      </c>
    </row>
    <row r="4321" spans="1:21" x14ac:dyDescent="0.25">
      <c r="A4321" s="544"/>
      <c r="B4321" s="544"/>
      <c r="C4321" s="544"/>
      <c r="D4321" s="544"/>
      <c r="E4321" s="544"/>
      <c r="F4321" s="544"/>
      <c r="G4321" s="544"/>
      <c r="H4321" s="544"/>
      <c r="I4321" s="544"/>
      <c r="J4321" s="544"/>
      <c r="K4321" s="544"/>
      <c r="L4321" s="544"/>
      <c r="M4321" s="544"/>
      <c r="N4321" s="544"/>
      <c r="O4321" s="544"/>
      <c r="P4321" s="544"/>
      <c r="Q4321" s="544"/>
      <c r="R4321" s="544"/>
      <c r="S4321" s="544"/>
      <c r="T4321" s="544"/>
      <c r="U4321" s="544"/>
    </row>
    <row r="4322" spans="1:21" x14ac:dyDescent="0.25">
      <c r="A4322" s="538" t="s">
        <v>12</v>
      </c>
      <c r="B4322" s="538"/>
      <c r="C4322" s="540" t="s">
        <v>1219</v>
      </c>
      <c r="D4322" s="540"/>
      <c r="E4322" s="540"/>
      <c r="F4322" s="540"/>
      <c r="G4322" s="540"/>
      <c r="H4322" s="540"/>
      <c r="I4322" s="540"/>
      <c r="J4322" s="540"/>
      <c r="K4322" s="540"/>
      <c r="L4322" s="540"/>
      <c r="M4322" s="540"/>
      <c r="N4322" s="540"/>
      <c r="O4322" s="540"/>
      <c r="P4322" s="540"/>
      <c r="Q4322" s="540"/>
      <c r="R4322" s="540"/>
      <c r="S4322" s="540"/>
      <c r="T4322" s="540"/>
      <c r="U4322" s="541" t="s">
        <v>1220</v>
      </c>
    </row>
    <row r="4323" spans="1:21" x14ac:dyDescent="0.25">
      <c r="A4323" s="538"/>
      <c r="B4323" s="538"/>
      <c r="C4323" s="540"/>
      <c r="D4323" s="540"/>
      <c r="E4323" s="540"/>
      <c r="F4323" s="540"/>
      <c r="G4323" s="540"/>
      <c r="H4323" s="540"/>
      <c r="I4323" s="540"/>
      <c r="J4323" s="540"/>
      <c r="K4323" s="540"/>
      <c r="L4323" s="540"/>
      <c r="M4323" s="540"/>
      <c r="N4323" s="540"/>
      <c r="O4323" s="540"/>
      <c r="P4323" s="540"/>
      <c r="Q4323" s="540"/>
      <c r="R4323" s="540"/>
      <c r="S4323" s="540"/>
      <c r="T4323" s="540"/>
      <c r="U4323" s="541"/>
    </row>
    <row r="4324" spans="1:21" x14ac:dyDescent="0.25">
      <c r="A4324" s="539" t="s">
        <v>228</v>
      </c>
      <c r="B4324" s="539"/>
      <c r="C4324" s="540"/>
      <c r="D4324" s="540"/>
      <c r="E4324" s="540"/>
      <c r="F4324" s="540"/>
      <c r="G4324" s="540"/>
      <c r="H4324" s="540"/>
      <c r="I4324" s="540"/>
      <c r="J4324" s="540"/>
      <c r="K4324" s="540"/>
      <c r="L4324" s="540"/>
      <c r="M4324" s="540"/>
      <c r="N4324" s="540"/>
      <c r="O4324" s="540"/>
      <c r="P4324" s="540"/>
      <c r="Q4324" s="540"/>
      <c r="R4324" s="540"/>
      <c r="S4324" s="540"/>
      <c r="T4324" s="540"/>
      <c r="U4324" s="541"/>
    </row>
    <row r="4325" spans="1:21" x14ac:dyDescent="0.25">
      <c r="A4325" s="542" t="s">
        <v>16</v>
      </c>
      <c r="B4325" s="543" t="s">
        <v>18</v>
      </c>
      <c r="C4325" s="543"/>
      <c r="D4325" s="543"/>
      <c r="E4325" s="543"/>
      <c r="F4325" s="543"/>
      <c r="G4325" s="543" t="s">
        <v>24</v>
      </c>
      <c r="H4325" s="543"/>
      <c r="I4325" s="543"/>
      <c r="J4325" s="543"/>
      <c r="K4325" s="543"/>
      <c r="L4325" s="543" t="s">
        <v>25</v>
      </c>
      <c r="M4325" s="543"/>
      <c r="N4325" s="543"/>
      <c r="O4325" s="543"/>
      <c r="P4325" s="543"/>
      <c r="Q4325" s="543" t="s">
        <v>26</v>
      </c>
      <c r="R4325" s="543"/>
      <c r="S4325" s="543"/>
      <c r="T4325" s="543"/>
      <c r="U4325" s="543"/>
    </row>
    <row r="4326" spans="1:21" x14ac:dyDescent="0.25">
      <c r="A4326" s="542"/>
      <c r="B4326" s="182" t="s">
        <v>19</v>
      </c>
      <c r="C4326" s="182" t="s">
        <v>20</v>
      </c>
      <c r="D4326" s="182" t="s">
        <v>21</v>
      </c>
      <c r="E4326" s="182" t="s">
        <v>22</v>
      </c>
      <c r="F4326" s="182" t="s">
        <v>23</v>
      </c>
      <c r="G4326" s="182" t="s">
        <v>19</v>
      </c>
      <c r="H4326" s="216" t="s">
        <v>20</v>
      </c>
      <c r="I4326" s="182" t="s">
        <v>21</v>
      </c>
      <c r="J4326" s="182" t="s">
        <v>22</v>
      </c>
      <c r="K4326" s="182" t="s">
        <v>23</v>
      </c>
      <c r="L4326" s="182" t="s">
        <v>19</v>
      </c>
      <c r="M4326" s="182" t="s">
        <v>20</v>
      </c>
      <c r="N4326" s="182" t="s">
        <v>21</v>
      </c>
      <c r="O4326" s="182" t="s">
        <v>22</v>
      </c>
      <c r="P4326" s="182" t="s">
        <v>23</v>
      </c>
      <c r="Q4326" s="182" t="s">
        <v>19</v>
      </c>
      <c r="R4326" s="182" t="s">
        <v>20</v>
      </c>
      <c r="S4326" s="182" t="s">
        <v>21</v>
      </c>
      <c r="T4326" s="182" t="s">
        <v>22</v>
      </c>
      <c r="U4326" s="211" t="s">
        <v>23</v>
      </c>
    </row>
    <row r="4327" spans="1:21" ht="110.25" x14ac:dyDescent="0.25">
      <c r="A4327" s="183" t="s">
        <v>1221</v>
      </c>
      <c r="B4327" s="182" t="s">
        <v>1212</v>
      </c>
      <c r="C4327" s="182" t="s">
        <v>28</v>
      </c>
      <c r="D4327" s="182">
        <v>0.72</v>
      </c>
      <c r="E4327" s="182">
        <f>supervisor</f>
        <v>825</v>
      </c>
      <c r="F4327" s="184">
        <f>(D4327*E4327)</f>
        <v>594</v>
      </c>
      <c r="L4327" s="182" t="s">
        <v>1222</v>
      </c>
      <c r="M4327" s="182"/>
    </row>
    <row r="4328" spans="1:21" x14ac:dyDescent="0.25">
      <c r="B4328" s="182" t="s">
        <v>29</v>
      </c>
      <c r="C4328" s="182" t="s">
        <v>28</v>
      </c>
      <c r="D4328" s="182">
        <v>18</v>
      </c>
      <c r="E4328" s="182">
        <f>unskilled</f>
        <v>935</v>
      </c>
      <c r="F4328" s="184">
        <f>(D4328*E4328)</f>
        <v>16830</v>
      </c>
      <c r="L4328" s="182" t="s">
        <v>1214</v>
      </c>
      <c r="M4328" s="182"/>
      <c r="P4328" s="184">
        <f>F4330*9/100</f>
        <v>1568.16</v>
      </c>
    </row>
    <row r="4329" spans="1:21" x14ac:dyDescent="0.25">
      <c r="L4329" s="182" t="s">
        <v>1215</v>
      </c>
      <c r="M4329" s="182"/>
      <c r="P4329" s="184">
        <f>F4330*3/100</f>
        <v>522.72</v>
      </c>
    </row>
    <row r="4330" spans="1:21" x14ac:dyDescent="0.25">
      <c r="A4330" s="537" t="s">
        <v>30</v>
      </c>
      <c r="B4330" s="537"/>
      <c r="C4330" s="537"/>
      <c r="D4330" s="537"/>
      <c r="E4330" s="537"/>
      <c r="F4330" s="184">
        <f>SUM(F4326:F4329)</f>
        <v>17424</v>
      </c>
      <c r="G4330" s="537" t="s">
        <v>31</v>
      </c>
      <c r="H4330" s="537"/>
      <c r="I4330" s="537"/>
      <c r="J4330" s="537"/>
      <c r="K4330" s="184">
        <f>SUM(K4326:K4329)</f>
        <v>0</v>
      </c>
      <c r="L4330" s="537" t="s">
        <v>32</v>
      </c>
      <c r="M4330" s="537"/>
      <c r="N4330" s="537"/>
      <c r="O4330" s="537"/>
      <c r="P4330" s="184">
        <f>SUM(P4326:P4329)</f>
        <v>2090.88</v>
      </c>
      <c r="Q4330" s="537" t="s">
        <v>38</v>
      </c>
      <c r="R4330" s="537"/>
      <c r="S4330" s="537"/>
      <c r="T4330" s="537"/>
      <c r="U4330" s="223">
        <f>SUM(U4326:U4329)</f>
        <v>0</v>
      </c>
    </row>
    <row r="4331" spans="1:21" x14ac:dyDescent="0.25">
      <c r="A4331" s="537" t="s">
        <v>33</v>
      </c>
      <c r="B4331" s="537"/>
      <c r="C4331" s="537"/>
      <c r="D4331" s="537"/>
      <c r="E4331" s="537"/>
      <c r="F4331" s="184">
        <f>SUM(F4330+K4330+P4330)</f>
        <v>19514.88</v>
      </c>
      <c r="G4331" s="537" t="s">
        <v>39</v>
      </c>
      <c r="H4331" s="537"/>
      <c r="I4331" s="537"/>
      <c r="J4331" s="537"/>
      <c r="K4331" s="184">
        <f>SUM(F4330+K4330+P4330+U4330)</f>
        <v>19514.88</v>
      </c>
      <c r="L4331" s="537" t="s">
        <v>40</v>
      </c>
      <c r="M4331" s="537"/>
      <c r="N4331" s="537"/>
      <c r="O4331" s="537"/>
      <c r="P4331" s="184">
        <f>SUM(K4331*0.15)</f>
        <v>2927.232</v>
      </c>
      <c r="Q4331" s="537" t="s">
        <v>41</v>
      </c>
      <c r="R4331" s="537"/>
      <c r="S4331" s="537"/>
      <c r="T4331" s="537"/>
      <c r="U4331" s="223">
        <f>SUM(K4331+P4331)</f>
        <v>22442.112000000001</v>
      </c>
    </row>
    <row r="4332" spans="1:21" x14ac:dyDescent="0.25">
      <c r="Q4332" s="537" t="s">
        <v>42</v>
      </c>
      <c r="R4332" s="537"/>
      <c r="S4332" s="537"/>
      <c r="T4332" s="537"/>
      <c r="U4332" s="224">
        <f>ROUND((U4331/1),2)</f>
        <v>22442.11</v>
      </c>
    </row>
    <row r="4333" spans="1:21" x14ac:dyDescent="0.25">
      <c r="A4333" s="544"/>
      <c r="B4333" s="544"/>
      <c r="C4333" s="544"/>
      <c r="D4333" s="544"/>
      <c r="E4333" s="544"/>
      <c r="F4333" s="544"/>
      <c r="G4333" s="544"/>
      <c r="H4333" s="544"/>
      <c r="I4333" s="544"/>
      <c r="J4333" s="544"/>
      <c r="K4333" s="544"/>
      <c r="L4333" s="544"/>
      <c r="M4333" s="544"/>
      <c r="N4333" s="544"/>
      <c r="O4333" s="544"/>
      <c r="P4333" s="544"/>
      <c r="Q4333" s="544"/>
      <c r="R4333" s="544"/>
      <c r="S4333" s="544"/>
      <c r="T4333" s="544"/>
      <c r="U4333" s="544"/>
    </row>
    <row r="4334" spans="1:21" x14ac:dyDescent="0.25">
      <c r="A4334" s="538" t="s">
        <v>12</v>
      </c>
      <c r="B4334" s="538"/>
      <c r="C4334" s="540" t="s">
        <v>1223</v>
      </c>
      <c r="D4334" s="540"/>
      <c r="E4334" s="540"/>
      <c r="F4334" s="540"/>
      <c r="G4334" s="540"/>
      <c r="H4334" s="540"/>
      <c r="I4334" s="540"/>
      <c r="J4334" s="540"/>
      <c r="K4334" s="540"/>
      <c r="L4334" s="540"/>
      <c r="M4334" s="540"/>
      <c r="N4334" s="540"/>
      <c r="O4334" s="540"/>
      <c r="P4334" s="540"/>
      <c r="Q4334" s="540"/>
      <c r="R4334" s="540"/>
      <c r="S4334" s="540"/>
      <c r="T4334" s="540"/>
      <c r="U4334" s="541" t="s">
        <v>1220</v>
      </c>
    </row>
    <row r="4335" spans="1:21" x14ac:dyDescent="0.25">
      <c r="A4335" s="538"/>
      <c r="B4335" s="538"/>
      <c r="C4335" s="540"/>
      <c r="D4335" s="540"/>
      <c r="E4335" s="540"/>
      <c r="F4335" s="540"/>
      <c r="G4335" s="540"/>
      <c r="H4335" s="540"/>
      <c r="I4335" s="540"/>
      <c r="J4335" s="540"/>
      <c r="K4335" s="540"/>
      <c r="L4335" s="540"/>
      <c r="M4335" s="540"/>
      <c r="N4335" s="540"/>
      <c r="O4335" s="540"/>
      <c r="P4335" s="540"/>
      <c r="Q4335" s="540"/>
      <c r="R4335" s="540"/>
      <c r="S4335" s="540"/>
      <c r="T4335" s="540"/>
      <c r="U4335" s="541"/>
    </row>
    <row r="4336" spans="1:21" x14ac:dyDescent="0.25">
      <c r="A4336" s="539" t="s">
        <v>228</v>
      </c>
      <c r="B4336" s="539"/>
      <c r="C4336" s="540"/>
      <c r="D4336" s="540"/>
      <c r="E4336" s="540"/>
      <c r="F4336" s="540"/>
      <c r="G4336" s="540"/>
      <c r="H4336" s="540"/>
      <c r="I4336" s="540"/>
      <c r="J4336" s="540"/>
      <c r="K4336" s="540"/>
      <c r="L4336" s="540"/>
      <c r="M4336" s="540"/>
      <c r="N4336" s="540"/>
      <c r="O4336" s="540"/>
      <c r="P4336" s="540"/>
      <c r="Q4336" s="540"/>
      <c r="R4336" s="540"/>
      <c r="S4336" s="540"/>
      <c r="T4336" s="540"/>
      <c r="U4336" s="541"/>
    </row>
    <row r="4337" spans="1:21" x14ac:dyDescent="0.25">
      <c r="A4337" s="542" t="s">
        <v>16</v>
      </c>
      <c r="B4337" s="543" t="s">
        <v>18</v>
      </c>
      <c r="C4337" s="543"/>
      <c r="D4337" s="543"/>
      <c r="E4337" s="543"/>
      <c r="F4337" s="543"/>
      <c r="G4337" s="543" t="s">
        <v>24</v>
      </c>
      <c r="H4337" s="543"/>
      <c r="I4337" s="543"/>
      <c r="J4337" s="543"/>
      <c r="K4337" s="543"/>
      <c r="L4337" s="543" t="s">
        <v>25</v>
      </c>
      <c r="M4337" s="543"/>
      <c r="N4337" s="543"/>
      <c r="O4337" s="543"/>
      <c r="P4337" s="543"/>
      <c r="Q4337" s="543" t="s">
        <v>26</v>
      </c>
      <c r="R4337" s="543"/>
      <c r="S4337" s="543"/>
      <c r="T4337" s="543"/>
      <c r="U4337" s="543"/>
    </row>
    <row r="4338" spans="1:21" x14ac:dyDescent="0.25">
      <c r="A4338" s="542"/>
      <c r="B4338" s="182" t="s">
        <v>19</v>
      </c>
      <c r="C4338" s="182" t="s">
        <v>20</v>
      </c>
      <c r="D4338" s="182" t="s">
        <v>21</v>
      </c>
      <c r="E4338" s="182" t="s">
        <v>22</v>
      </c>
      <c r="F4338" s="182" t="s">
        <v>23</v>
      </c>
      <c r="G4338" s="182" t="s">
        <v>19</v>
      </c>
      <c r="H4338" s="216" t="s">
        <v>20</v>
      </c>
      <c r="I4338" s="182" t="s">
        <v>21</v>
      </c>
      <c r="J4338" s="182" t="s">
        <v>22</v>
      </c>
      <c r="K4338" s="182" t="s">
        <v>23</v>
      </c>
      <c r="L4338" s="182" t="s">
        <v>19</v>
      </c>
      <c r="M4338" s="182" t="s">
        <v>20</v>
      </c>
      <c r="N4338" s="182" t="s">
        <v>21</v>
      </c>
      <c r="O4338" s="182" t="s">
        <v>22</v>
      </c>
      <c r="P4338" s="182" t="s">
        <v>23</v>
      </c>
      <c r="Q4338" s="182" t="s">
        <v>19</v>
      </c>
      <c r="R4338" s="182" t="s">
        <v>20</v>
      </c>
      <c r="S4338" s="182" t="s">
        <v>21</v>
      </c>
      <c r="T4338" s="182" t="s">
        <v>22</v>
      </c>
      <c r="U4338" s="211" t="s">
        <v>23</v>
      </c>
    </row>
    <row r="4339" spans="1:21" ht="110.25" x14ac:dyDescent="0.25">
      <c r="A4339" s="183" t="s">
        <v>1224</v>
      </c>
      <c r="B4339" s="182" t="s">
        <v>1212</v>
      </c>
      <c r="C4339" s="182" t="s">
        <v>28</v>
      </c>
      <c r="D4339" s="182">
        <v>0.36</v>
      </c>
      <c r="E4339" s="182">
        <f>supervisor</f>
        <v>825</v>
      </c>
      <c r="F4339" s="184">
        <f>(D4339*E4339)</f>
        <v>297</v>
      </c>
      <c r="L4339" s="182" t="s">
        <v>1225</v>
      </c>
      <c r="M4339" s="182"/>
    </row>
    <row r="4340" spans="1:21" x14ac:dyDescent="0.25">
      <c r="B4340" s="182" t="s">
        <v>29</v>
      </c>
      <c r="C4340" s="182" t="s">
        <v>28</v>
      </c>
      <c r="D4340" s="182">
        <v>9</v>
      </c>
      <c r="E4340" s="182">
        <f>unskilled</f>
        <v>935</v>
      </c>
      <c r="F4340" s="184">
        <f>(D4340*E4340)</f>
        <v>8415</v>
      </c>
      <c r="L4340" s="182" t="s">
        <v>1214</v>
      </c>
      <c r="M4340" s="182"/>
      <c r="P4340" s="184">
        <f>F4342*9/100</f>
        <v>784.08</v>
      </c>
    </row>
    <row r="4341" spans="1:21" x14ac:dyDescent="0.25">
      <c r="L4341" s="182" t="s">
        <v>1215</v>
      </c>
      <c r="M4341" s="182"/>
      <c r="P4341" s="184">
        <f>F4342*3/100</f>
        <v>261.36</v>
      </c>
    </row>
    <row r="4342" spans="1:21" x14ac:dyDescent="0.25">
      <c r="A4342" s="537" t="s">
        <v>30</v>
      </c>
      <c r="B4342" s="537"/>
      <c r="C4342" s="537"/>
      <c r="D4342" s="537"/>
      <c r="E4342" s="537"/>
      <c r="F4342" s="184">
        <f>SUM(F4338:F4341)</f>
        <v>8712</v>
      </c>
      <c r="G4342" s="537" t="s">
        <v>31</v>
      </c>
      <c r="H4342" s="537"/>
      <c r="I4342" s="537"/>
      <c r="J4342" s="537"/>
      <c r="K4342" s="184">
        <f>SUM(K4338:K4341)</f>
        <v>0</v>
      </c>
      <c r="L4342" s="537" t="s">
        <v>32</v>
      </c>
      <c r="M4342" s="537"/>
      <c r="N4342" s="537"/>
      <c r="O4342" s="537"/>
      <c r="P4342" s="184">
        <f>SUM(P4338:P4341)</f>
        <v>1045.44</v>
      </c>
      <c r="Q4342" s="537" t="s">
        <v>38</v>
      </c>
      <c r="R4342" s="537"/>
      <c r="S4342" s="537"/>
      <c r="T4342" s="537"/>
      <c r="U4342" s="223">
        <f>SUM(U4338:U4341)</f>
        <v>0</v>
      </c>
    </row>
    <row r="4343" spans="1:21" x14ac:dyDescent="0.25">
      <c r="A4343" s="537" t="s">
        <v>33</v>
      </c>
      <c r="B4343" s="537"/>
      <c r="C4343" s="537"/>
      <c r="D4343" s="537"/>
      <c r="E4343" s="537"/>
      <c r="F4343" s="184">
        <f>SUM(F4342+K4342+P4342)</f>
        <v>9757.44</v>
      </c>
      <c r="G4343" s="537" t="s">
        <v>39</v>
      </c>
      <c r="H4343" s="537"/>
      <c r="I4343" s="537"/>
      <c r="J4343" s="537"/>
      <c r="K4343" s="184">
        <f>SUM(F4342+K4342+P4342+U4342)</f>
        <v>9757.44</v>
      </c>
      <c r="L4343" s="537" t="s">
        <v>40</v>
      </c>
      <c r="M4343" s="537"/>
      <c r="N4343" s="537"/>
      <c r="O4343" s="537"/>
      <c r="P4343" s="184">
        <f>SUM(K4343*0.15)</f>
        <v>1463.616</v>
      </c>
      <c r="Q4343" s="537" t="s">
        <v>41</v>
      </c>
      <c r="R4343" s="537"/>
      <c r="S4343" s="537"/>
      <c r="T4343" s="537"/>
      <c r="U4343" s="223">
        <f>SUM(K4343+P4343)</f>
        <v>11221.056</v>
      </c>
    </row>
    <row r="4344" spans="1:21" x14ac:dyDescent="0.25">
      <c r="Q4344" s="537" t="s">
        <v>42</v>
      </c>
      <c r="R4344" s="537"/>
      <c r="S4344" s="537"/>
      <c r="T4344" s="537"/>
      <c r="U4344" s="224">
        <f>ROUND((U4343/1),2)</f>
        <v>11221.06</v>
      </c>
    </row>
    <row r="4345" spans="1:21" x14ac:dyDescent="0.25">
      <c r="A4345" s="544"/>
      <c r="B4345" s="544"/>
      <c r="C4345" s="544"/>
      <c r="D4345" s="544"/>
      <c r="E4345" s="544"/>
      <c r="F4345" s="544"/>
      <c r="G4345" s="544"/>
      <c r="H4345" s="544"/>
      <c r="I4345" s="544"/>
      <c r="J4345" s="544"/>
      <c r="K4345" s="544"/>
      <c r="L4345" s="544"/>
      <c r="M4345" s="544"/>
      <c r="N4345" s="544"/>
      <c r="O4345" s="544"/>
      <c r="P4345" s="544"/>
      <c r="Q4345" s="544"/>
      <c r="R4345" s="544"/>
      <c r="S4345" s="544"/>
      <c r="T4345" s="544"/>
      <c r="U4345" s="544"/>
    </row>
    <row r="4346" spans="1:21" x14ac:dyDescent="0.25">
      <c r="A4346" s="538" t="s">
        <v>12</v>
      </c>
      <c r="B4346" s="538"/>
      <c r="C4346" s="540" t="s">
        <v>1227</v>
      </c>
      <c r="D4346" s="540"/>
      <c r="E4346" s="540"/>
      <c r="F4346" s="540"/>
      <c r="G4346" s="540"/>
      <c r="H4346" s="540"/>
      <c r="I4346" s="540"/>
      <c r="J4346" s="540"/>
      <c r="K4346" s="540"/>
      <c r="L4346" s="540"/>
      <c r="M4346" s="540"/>
      <c r="N4346" s="540"/>
      <c r="O4346" s="540"/>
      <c r="P4346" s="540"/>
      <c r="Q4346" s="540"/>
      <c r="R4346" s="540"/>
      <c r="S4346" s="540"/>
      <c r="T4346" s="540"/>
      <c r="U4346" s="541" t="s">
        <v>1228</v>
      </c>
    </row>
    <row r="4347" spans="1:21" x14ac:dyDescent="0.25">
      <c r="A4347" s="538"/>
      <c r="B4347" s="538"/>
      <c r="C4347" s="540"/>
      <c r="D4347" s="540"/>
      <c r="E4347" s="540"/>
      <c r="F4347" s="540"/>
      <c r="G4347" s="540"/>
      <c r="H4347" s="540"/>
      <c r="I4347" s="540"/>
      <c r="J4347" s="540"/>
      <c r="K4347" s="540"/>
      <c r="L4347" s="540"/>
      <c r="M4347" s="540"/>
      <c r="N4347" s="540"/>
      <c r="O4347" s="540"/>
      <c r="P4347" s="540"/>
      <c r="Q4347" s="540"/>
      <c r="R4347" s="540"/>
      <c r="S4347" s="540"/>
      <c r="T4347" s="540"/>
      <c r="U4347" s="541"/>
    </row>
    <row r="4348" spans="1:21" x14ac:dyDescent="0.25">
      <c r="A4348" s="539" t="s">
        <v>1226</v>
      </c>
      <c r="B4348" s="539"/>
      <c r="C4348" s="540"/>
      <c r="D4348" s="540"/>
      <c r="E4348" s="540"/>
      <c r="F4348" s="540"/>
      <c r="G4348" s="540"/>
      <c r="H4348" s="540"/>
      <c r="I4348" s="540"/>
      <c r="J4348" s="540"/>
      <c r="K4348" s="540"/>
      <c r="L4348" s="540"/>
      <c r="M4348" s="540"/>
      <c r="N4348" s="540"/>
      <c r="O4348" s="540"/>
      <c r="P4348" s="540"/>
      <c r="Q4348" s="540"/>
      <c r="R4348" s="540"/>
      <c r="S4348" s="540"/>
      <c r="T4348" s="540"/>
      <c r="U4348" s="541"/>
    </row>
    <row r="4349" spans="1:21" x14ac:dyDescent="0.25">
      <c r="A4349" s="542" t="s">
        <v>16</v>
      </c>
      <c r="B4349" s="543" t="s">
        <v>18</v>
      </c>
      <c r="C4349" s="543"/>
      <c r="D4349" s="543"/>
      <c r="E4349" s="543"/>
      <c r="F4349" s="543"/>
      <c r="G4349" s="543" t="s">
        <v>24</v>
      </c>
      <c r="H4349" s="543"/>
      <c r="I4349" s="543"/>
      <c r="J4349" s="543"/>
      <c r="K4349" s="543"/>
      <c r="L4349" s="543" t="s">
        <v>25</v>
      </c>
      <c r="M4349" s="543"/>
      <c r="N4349" s="543"/>
      <c r="O4349" s="543"/>
      <c r="P4349" s="543"/>
      <c r="Q4349" s="543" t="s">
        <v>26</v>
      </c>
      <c r="R4349" s="543"/>
      <c r="S4349" s="543"/>
      <c r="T4349" s="543"/>
      <c r="U4349" s="543"/>
    </row>
    <row r="4350" spans="1:21" x14ac:dyDescent="0.25">
      <c r="A4350" s="542"/>
      <c r="B4350" s="182" t="s">
        <v>19</v>
      </c>
      <c r="C4350" s="182" t="s">
        <v>20</v>
      </c>
      <c r="D4350" s="182" t="s">
        <v>21</v>
      </c>
      <c r="E4350" s="182" t="s">
        <v>22</v>
      </c>
      <c r="F4350" s="182" t="s">
        <v>23</v>
      </c>
      <c r="G4350" s="182" t="s">
        <v>19</v>
      </c>
      <c r="H4350" s="216" t="s">
        <v>20</v>
      </c>
      <c r="I4350" s="182" t="s">
        <v>21</v>
      </c>
      <c r="J4350" s="182" t="s">
        <v>22</v>
      </c>
      <c r="K4350" s="182" t="s">
        <v>23</v>
      </c>
      <c r="L4350" s="182" t="s">
        <v>19</v>
      </c>
      <c r="M4350" s="182" t="s">
        <v>20</v>
      </c>
      <c r="N4350" s="182" t="s">
        <v>21</v>
      </c>
      <c r="O4350" s="182" t="s">
        <v>22</v>
      </c>
      <c r="P4350" s="182" t="s">
        <v>23</v>
      </c>
      <c r="Q4350" s="182" t="s">
        <v>19</v>
      </c>
      <c r="R4350" s="182" t="s">
        <v>20</v>
      </c>
      <c r="S4350" s="182" t="s">
        <v>21</v>
      </c>
      <c r="T4350" s="182" t="s">
        <v>22</v>
      </c>
      <c r="U4350" s="211" t="s">
        <v>23</v>
      </c>
    </row>
    <row r="4351" spans="1:21" x14ac:dyDescent="0.25">
      <c r="A4351" s="183" t="s">
        <v>1229</v>
      </c>
      <c r="B4351" s="182" t="s">
        <v>47</v>
      </c>
      <c r="C4351" s="182" t="s">
        <v>28</v>
      </c>
      <c r="D4351" s="182">
        <v>30</v>
      </c>
      <c r="E4351" s="182">
        <f>skilled</f>
        <v>1245</v>
      </c>
      <c r="F4351" s="184">
        <f>(D4351*E4351)</f>
        <v>37350</v>
      </c>
      <c r="G4351" s="182" t="s">
        <v>1230</v>
      </c>
      <c r="H4351" s="216" t="s">
        <v>35</v>
      </c>
      <c r="I4351" s="182">
        <v>2.95</v>
      </c>
      <c r="J4351" s="182">
        <f>adopted_rate_ms_channel</f>
        <v>0</v>
      </c>
      <c r="K4351" s="182">
        <f>(I4351*J4351)</f>
        <v>0</v>
      </c>
    </row>
    <row r="4352" spans="1:21" x14ac:dyDescent="0.25">
      <c r="B4352" s="182" t="s">
        <v>29</v>
      </c>
      <c r="C4352" s="182" t="s">
        <v>28</v>
      </c>
      <c r="D4352" s="182">
        <v>60</v>
      </c>
      <c r="E4352" s="182">
        <f>unskilled</f>
        <v>935</v>
      </c>
      <c r="F4352" s="184">
        <f>(D4352*E4352)</f>
        <v>56100</v>
      </c>
      <c r="G4352" s="182" t="s">
        <v>1231</v>
      </c>
      <c r="H4352" s="216" t="s">
        <v>35</v>
      </c>
      <c r="I4352" s="182">
        <v>1.01</v>
      </c>
      <c r="J4352" s="182">
        <f>adopted_rate_ms_flat_pipe</f>
        <v>0</v>
      </c>
      <c r="K4352" s="182">
        <f>(I4352*J4352)</f>
        <v>0</v>
      </c>
    </row>
    <row r="4353" spans="1:21" x14ac:dyDescent="0.25">
      <c r="G4353" s="182" t="s">
        <v>1232</v>
      </c>
      <c r="H4353" s="216" t="s">
        <v>35</v>
      </c>
      <c r="I4353" s="182">
        <v>0.18</v>
      </c>
      <c r="J4353" s="182">
        <f>adopted_rate_ms_bar</f>
        <v>0</v>
      </c>
      <c r="K4353" s="182">
        <f>(I4353*J4353)</f>
        <v>0</v>
      </c>
    </row>
    <row r="4354" spans="1:21" x14ac:dyDescent="0.25">
      <c r="G4354" s="182" t="s">
        <v>1233</v>
      </c>
      <c r="H4354" s="216" t="s">
        <v>35</v>
      </c>
      <c r="I4354" s="182">
        <v>0.15</v>
      </c>
      <c r="J4354" s="182">
        <f>adopted_rate_nuts_bolts</f>
        <v>195</v>
      </c>
      <c r="K4354" s="182">
        <f>(I4354*J4354)</f>
        <v>29.25</v>
      </c>
    </row>
    <row r="4355" spans="1:21" ht="78.75" x14ac:dyDescent="0.25">
      <c r="G4355" s="182" t="s">
        <v>1234</v>
      </c>
      <c r="H4355" s="216"/>
      <c r="K4355" s="184">
        <f>(SUM(K4351:K4354)*5/100)</f>
        <v>1.4624999999999999</v>
      </c>
    </row>
    <row r="4356" spans="1:21" ht="31.5" x14ac:dyDescent="0.25">
      <c r="G4356" s="182" t="s">
        <v>1235</v>
      </c>
      <c r="H4356" s="216"/>
      <c r="K4356" s="184">
        <f>(SUM(K4351:K4354)*1/100)</f>
        <v>0.29249999999999998</v>
      </c>
    </row>
    <row r="4357" spans="1:21" ht="63" x14ac:dyDescent="0.25">
      <c r="G4357" s="182" t="s">
        <v>1236</v>
      </c>
      <c r="H4357" s="216"/>
      <c r="K4357" s="184">
        <f>(SUM(K4351:K4354)*1/100)</f>
        <v>0.29249999999999998</v>
      </c>
    </row>
    <row r="4358" spans="1:21" x14ac:dyDescent="0.25">
      <c r="A4358" s="537" t="s">
        <v>30</v>
      </c>
      <c r="B4358" s="537"/>
      <c r="C4358" s="537"/>
      <c r="D4358" s="537"/>
      <c r="E4358" s="537"/>
      <c r="F4358" s="184">
        <f>SUM(F4350:F4357)</f>
        <v>93450</v>
      </c>
      <c r="G4358" s="537" t="s">
        <v>31</v>
      </c>
      <c r="H4358" s="537"/>
      <c r="I4358" s="537"/>
      <c r="J4358" s="537"/>
      <c r="K4358" s="184">
        <f>SUM(K4350:K4357)</f>
        <v>31.297499999999999</v>
      </c>
      <c r="L4358" s="537" t="s">
        <v>32</v>
      </c>
      <c r="M4358" s="537"/>
      <c r="N4358" s="537"/>
      <c r="O4358" s="537"/>
      <c r="P4358" s="184">
        <f>SUM(P4350:P4357)</f>
        <v>0</v>
      </c>
      <c r="Q4358" s="537" t="s">
        <v>38</v>
      </c>
      <c r="R4358" s="537"/>
      <c r="S4358" s="537"/>
      <c r="T4358" s="537"/>
      <c r="U4358" s="223">
        <f>SUM(U4350:U4357)</f>
        <v>0</v>
      </c>
    </row>
    <row r="4359" spans="1:21" x14ac:dyDescent="0.25">
      <c r="A4359" s="537" t="s">
        <v>33</v>
      </c>
      <c r="B4359" s="537"/>
      <c r="C4359" s="537"/>
      <c r="D4359" s="537"/>
      <c r="E4359" s="537"/>
      <c r="F4359" s="184">
        <f>SUM(F4358+K4358+P4358)</f>
        <v>93481.297500000001</v>
      </c>
      <c r="G4359" s="537" t="s">
        <v>39</v>
      </c>
      <c r="H4359" s="537"/>
      <c r="I4359" s="537"/>
      <c r="J4359" s="537"/>
      <c r="K4359" s="184">
        <f>SUM(F4358+K4358+P4358+U4358)</f>
        <v>93481.297500000001</v>
      </c>
      <c r="L4359" s="537" t="s">
        <v>40</v>
      </c>
      <c r="M4359" s="537"/>
      <c r="N4359" s="537"/>
      <c r="O4359" s="537"/>
      <c r="P4359" s="184">
        <f>SUM(K4359*0.15)</f>
        <v>14022.194625</v>
      </c>
      <c r="Q4359" s="537" t="s">
        <v>41</v>
      </c>
      <c r="R4359" s="537"/>
      <c r="S4359" s="537"/>
      <c r="T4359" s="537"/>
      <c r="U4359" s="223">
        <f>SUM(K4359+P4359)</f>
        <v>107503.492125</v>
      </c>
    </row>
    <row r="4360" spans="1:21" x14ac:dyDescent="0.25">
      <c r="Q4360" s="537" t="s">
        <v>42</v>
      </c>
      <c r="R4360" s="537"/>
      <c r="S4360" s="537"/>
      <c r="T4360" s="537"/>
      <c r="U4360" s="224">
        <f>ROUND((U4359/100),2)</f>
        <v>1075.03</v>
      </c>
    </row>
    <row r="4361" spans="1:21" x14ac:dyDescent="0.25">
      <c r="A4361" s="544"/>
      <c r="B4361" s="544"/>
      <c r="C4361" s="544"/>
      <c r="D4361" s="544"/>
      <c r="E4361" s="544"/>
      <c r="F4361" s="544"/>
      <c r="G4361" s="544"/>
      <c r="H4361" s="544"/>
      <c r="I4361" s="544"/>
      <c r="J4361" s="544"/>
      <c r="K4361" s="544"/>
      <c r="L4361" s="544"/>
      <c r="M4361" s="544"/>
      <c r="N4361" s="544"/>
      <c r="O4361" s="544"/>
      <c r="P4361" s="544"/>
      <c r="Q4361" s="544"/>
      <c r="R4361" s="544"/>
      <c r="S4361" s="544"/>
      <c r="T4361" s="544"/>
      <c r="U4361" s="544"/>
    </row>
    <row r="4362" spans="1:21" x14ac:dyDescent="0.25">
      <c r="A4362" s="538" t="s">
        <v>12</v>
      </c>
      <c r="B4362" s="538"/>
      <c r="C4362" s="540" t="s">
        <v>1237</v>
      </c>
      <c r="D4362" s="540"/>
      <c r="E4362" s="540"/>
      <c r="F4362" s="540"/>
      <c r="G4362" s="540"/>
      <c r="H4362" s="540"/>
      <c r="I4362" s="540"/>
      <c r="J4362" s="540"/>
      <c r="K4362" s="540"/>
      <c r="L4362" s="540"/>
      <c r="M4362" s="540"/>
      <c r="N4362" s="540"/>
      <c r="O4362" s="540"/>
      <c r="P4362" s="540"/>
      <c r="Q4362" s="540"/>
      <c r="R4362" s="540"/>
      <c r="S4362" s="540"/>
      <c r="T4362" s="540"/>
      <c r="U4362" s="541" t="s">
        <v>468</v>
      </c>
    </row>
    <row r="4363" spans="1:21" x14ac:dyDescent="0.25">
      <c r="A4363" s="538"/>
      <c r="B4363" s="538"/>
      <c r="C4363" s="540"/>
      <c r="D4363" s="540"/>
      <c r="E4363" s="540"/>
      <c r="F4363" s="540"/>
      <c r="G4363" s="540"/>
      <c r="H4363" s="540"/>
      <c r="I4363" s="540"/>
      <c r="J4363" s="540"/>
      <c r="K4363" s="540"/>
      <c r="L4363" s="540"/>
      <c r="M4363" s="540"/>
      <c r="N4363" s="540"/>
      <c r="O4363" s="540"/>
      <c r="P4363" s="540"/>
      <c r="Q4363" s="540"/>
      <c r="R4363" s="540"/>
      <c r="S4363" s="540"/>
      <c r="T4363" s="540"/>
      <c r="U4363" s="541"/>
    </row>
    <row r="4364" spans="1:21" x14ac:dyDescent="0.25">
      <c r="A4364" s="539" t="s">
        <v>228</v>
      </c>
      <c r="B4364" s="539"/>
      <c r="C4364" s="540"/>
      <c r="D4364" s="540"/>
      <c r="E4364" s="540"/>
      <c r="F4364" s="540"/>
      <c r="G4364" s="540"/>
      <c r="H4364" s="540"/>
      <c r="I4364" s="540"/>
      <c r="J4364" s="540"/>
      <c r="K4364" s="540"/>
      <c r="L4364" s="540"/>
      <c r="M4364" s="540"/>
      <c r="N4364" s="540"/>
      <c r="O4364" s="540"/>
      <c r="P4364" s="540"/>
      <c r="Q4364" s="540"/>
      <c r="R4364" s="540"/>
      <c r="S4364" s="540"/>
      <c r="T4364" s="540"/>
      <c r="U4364" s="541"/>
    </row>
    <row r="4365" spans="1:21" x14ac:dyDescent="0.25">
      <c r="A4365" s="542" t="s">
        <v>16</v>
      </c>
      <c r="B4365" s="543" t="s">
        <v>18</v>
      </c>
      <c r="C4365" s="543"/>
      <c r="D4365" s="543"/>
      <c r="E4365" s="543"/>
      <c r="F4365" s="543"/>
      <c r="G4365" s="543" t="s">
        <v>24</v>
      </c>
      <c r="H4365" s="543"/>
      <c r="I4365" s="543"/>
      <c r="J4365" s="543"/>
      <c r="K4365" s="543"/>
      <c r="L4365" s="543" t="s">
        <v>25</v>
      </c>
      <c r="M4365" s="543"/>
      <c r="N4365" s="543"/>
      <c r="O4365" s="543"/>
      <c r="P4365" s="543"/>
      <c r="Q4365" s="543" t="s">
        <v>26</v>
      </c>
      <c r="R4365" s="543"/>
      <c r="S4365" s="543"/>
      <c r="T4365" s="543"/>
      <c r="U4365" s="543"/>
    </row>
    <row r="4366" spans="1:21" x14ac:dyDescent="0.25">
      <c r="A4366" s="542"/>
      <c r="B4366" s="182" t="s">
        <v>19</v>
      </c>
      <c r="C4366" s="182" t="s">
        <v>20</v>
      </c>
      <c r="D4366" s="182" t="s">
        <v>21</v>
      </c>
      <c r="E4366" s="182" t="s">
        <v>22</v>
      </c>
      <c r="F4366" s="182" t="s">
        <v>23</v>
      </c>
      <c r="G4366" s="182" t="s">
        <v>19</v>
      </c>
      <c r="H4366" s="216" t="s">
        <v>20</v>
      </c>
      <c r="I4366" s="182" t="s">
        <v>21</v>
      </c>
      <c r="J4366" s="182" t="s">
        <v>22</v>
      </c>
      <c r="K4366" s="182" t="s">
        <v>23</v>
      </c>
      <c r="L4366" s="182" t="s">
        <v>19</v>
      </c>
      <c r="M4366" s="182" t="s">
        <v>20</v>
      </c>
      <c r="N4366" s="182" t="s">
        <v>21</v>
      </c>
      <c r="O4366" s="182" t="s">
        <v>22</v>
      </c>
      <c r="P4366" s="182" t="s">
        <v>23</v>
      </c>
      <c r="Q4366" s="182" t="s">
        <v>19</v>
      </c>
      <c r="R4366" s="182" t="s">
        <v>20</v>
      </c>
      <c r="S4366" s="182" t="s">
        <v>21</v>
      </c>
      <c r="T4366" s="182" t="s">
        <v>22</v>
      </c>
      <c r="U4366" s="211" t="s">
        <v>23</v>
      </c>
    </row>
    <row r="4367" spans="1:21" ht="31.5" x14ac:dyDescent="0.25">
      <c r="A4367" s="183" t="s">
        <v>1238</v>
      </c>
      <c r="B4367" s="182" t="s">
        <v>1239</v>
      </c>
      <c r="C4367" s="182"/>
      <c r="G4367" s="182" t="s">
        <v>1242</v>
      </c>
      <c r="H4367" s="216" t="s">
        <v>37</v>
      </c>
      <c r="I4367" s="182">
        <v>40</v>
      </c>
      <c r="J4367" s="182">
        <f>adopted_rate_corrosion_resistant_steel</f>
        <v>0</v>
      </c>
      <c r="K4367" s="182">
        <f>(I4367*J4367)</f>
        <v>0</v>
      </c>
    </row>
    <row r="4368" spans="1:21" ht="47.25" x14ac:dyDescent="0.25">
      <c r="B4368" s="182" t="s">
        <v>1240</v>
      </c>
      <c r="C4368" s="182" t="s">
        <v>28</v>
      </c>
      <c r="D4368" s="182">
        <v>1</v>
      </c>
      <c r="E4368" s="182">
        <f>skilled_blacksmith</f>
        <v>1245</v>
      </c>
      <c r="F4368" s="184">
        <f>(D4368*E4368)</f>
        <v>1245</v>
      </c>
      <c r="G4368" s="182" t="s">
        <v>1243</v>
      </c>
      <c r="H4368" s="216" t="s">
        <v>75</v>
      </c>
      <c r="I4368" s="182">
        <v>60</v>
      </c>
      <c r="J4368" s="182">
        <f>adopted_rate_gi_pipe_dia_100_mm</f>
        <v>1848</v>
      </c>
      <c r="K4368" s="182">
        <f>(I4368*J4368)</f>
        <v>110880</v>
      </c>
    </row>
    <row r="4369" spans="1:21" x14ac:dyDescent="0.25">
      <c r="B4369" s="182" t="s">
        <v>29</v>
      </c>
      <c r="C4369" s="182" t="s">
        <v>28</v>
      </c>
      <c r="D4369" s="182">
        <v>2</v>
      </c>
      <c r="E4369" s="182">
        <f>unskilled</f>
        <v>935</v>
      </c>
      <c r="F4369" s="184">
        <f>(D4369*E4369)</f>
        <v>1870</v>
      </c>
      <c r="G4369" s="182" t="s">
        <v>1244</v>
      </c>
      <c r="H4369" s="216" t="s">
        <v>49</v>
      </c>
      <c r="I4369" s="182">
        <v>60</v>
      </c>
      <c r="J4369" s="182">
        <f>adopted_rate_gi_bolt_dia_10_mm</f>
        <v>0</v>
      </c>
      <c r="K4369" s="182">
        <f>(I4369*J4369)</f>
        <v>0</v>
      </c>
    </row>
    <row r="4370" spans="1:21" ht="31.5" x14ac:dyDescent="0.25">
      <c r="B4370" s="182" t="s">
        <v>1241</v>
      </c>
      <c r="C4370" s="182"/>
      <c r="G4370" s="182" t="s">
        <v>1245</v>
      </c>
      <c r="H4370" s="216" t="s">
        <v>49</v>
      </c>
      <c r="I4370" s="182">
        <v>20</v>
      </c>
      <c r="J4370" s="182">
        <f>adopted_rate_galvanized_ms_clamp</f>
        <v>0</v>
      </c>
      <c r="K4370" s="182">
        <f>(I4370*J4370)</f>
        <v>0</v>
      </c>
    </row>
    <row r="4371" spans="1:21" ht="63" x14ac:dyDescent="0.25">
      <c r="B4371" s="182" t="s">
        <v>47</v>
      </c>
      <c r="C4371" s="182" t="s">
        <v>28</v>
      </c>
      <c r="D4371" s="182">
        <v>1</v>
      </c>
      <c r="E4371" s="182">
        <f>skilled</f>
        <v>1245</v>
      </c>
      <c r="F4371" s="184">
        <f>(D4371*E4371)</f>
        <v>1245</v>
      </c>
      <c r="G4371" s="182" t="s">
        <v>1246</v>
      </c>
      <c r="H4371" s="216"/>
      <c r="K4371" s="184">
        <f>((F4373+(SUM(K4367:K4370)))*5/100)</f>
        <v>5949</v>
      </c>
    </row>
    <row r="4372" spans="1:21" x14ac:dyDescent="0.25">
      <c r="B4372" s="182" t="s">
        <v>29</v>
      </c>
      <c r="C4372" s="182" t="s">
        <v>28</v>
      </c>
      <c r="D4372" s="182">
        <v>4</v>
      </c>
      <c r="E4372" s="182">
        <f>unskilled</f>
        <v>935</v>
      </c>
      <c r="F4372" s="184">
        <f>(D4372*E4372)</f>
        <v>3740</v>
      </c>
    </row>
    <row r="4373" spans="1:21" x14ac:dyDescent="0.25">
      <c r="A4373" s="537" t="s">
        <v>30</v>
      </c>
      <c r="B4373" s="537"/>
      <c r="C4373" s="537"/>
      <c r="D4373" s="537"/>
      <c r="E4373" s="537"/>
      <c r="F4373" s="184">
        <f>SUM(F4366:F4372)</f>
        <v>8100</v>
      </c>
      <c r="G4373" s="537" t="s">
        <v>31</v>
      </c>
      <c r="H4373" s="537"/>
      <c r="I4373" s="537"/>
      <c r="J4373" s="537"/>
      <c r="K4373" s="184">
        <f>SUM(K4366:K4372)</f>
        <v>116829</v>
      </c>
      <c r="L4373" s="537" t="s">
        <v>32</v>
      </c>
      <c r="M4373" s="537"/>
      <c r="N4373" s="537"/>
      <c r="O4373" s="537"/>
      <c r="P4373" s="184">
        <f>SUM(P4366:P4372)</f>
        <v>0</v>
      </c>
      <c r="Q4373" s="537" t="s">
        <v>38</v>
      </c>
      <c r="R4373" s="537"/>
      <c r="S4373" s="537"/>
      <c r="T4373" s="537"/>
      <c r="U4373" s="223">
        <f>SUM(U4366:U4372)</f>
        <v>0</v>
      </c>
    </row>
    <row r="4374" spans="1:21" x14ac:dyDescent="0.25">
      <c r="A4374" s="537" t="s">
        <v>33</v>
      </c>
      <c r="B4374" s="537"/>
      <c r="C4374" s="537"/>
      <c r="D4374" s="537"/>
      <c r="E4374" s="537"/>
      <c r="F4374" s="184">
        <f>SUM(F4373+K4373+P4373)</f>
        <v>124929</v>
      </c>
      <c r="G4374" s="537" t="s">
        <v>39</v>
      </c>
      <c r="H4374" s="537"/>
      <c r="I4374" s="537"/>
      <c r="J4374" s="537"/>
      <c r="K4374" s="184">
        <f>SUM(F4373+K4373+P4373+U4373)</f>
        <v>124929</v>
      </c>
      <c r="L4374" s="537" t="s">
        <v>40</v>
      </c>
      <c r="M4374" s="537"/>
      <c r="N4374" s="537"/>
      <c r="O4374" s="537"/>
      <c r="P4374" s="184">
        <f>SUM(K4374*0.15)</f>
        <v>18739.349999999999</v>
      </c>
      <c r="Q4374" s="537" t="s">
        <v>41</v>
      </c>
      <c r="R4374" s="537"/>
      <c r="S4374" s="537"/>
      <c r="T4374" s="537"/>
      <c r="U4374" s="223">
        <f>SUM(K4374+P4374)</f>
        <v>143668.35</v>
      </c>
    </row>
    <row r="4375" spans="1:21" x14ac:dyDescent="0.25">
      <c r="Q4375" s="537" t="s">
        <v>42</v>
      </c>
      <c r="R4375" s="537"/>
      <c r="S4375" s="537"/>
      <c r="T4375" s="537"/>
      <c r="U4375" s="224">
        <f>ROUND((U4374/10),2)</f>
        <v>14366.84</v>
      </c>
    </row>
    <row r="4376" spans="1:21" x14ac:dyDescent="0.25">
      <c r="A4376" s="544"/>
      <c r="B4376" s="544"/>
      <c r="C4376" s="544"/>
      <c r="D4376" s="544"/>
      <c r="E4376" s="544"/>
      <c r="F4376" s="544"/>
      <c r="G4376" s="544"/>
      <c r="H4376" s="544"/>
      <c r="I4376" s="544"/>
      <c r="J4376" s="544"/>
      <c r="K4376" s="544"/>
      <c r="L4376" s="544"/>
      <c r="M4376" s="544"/>
      <c r="N4376" s="544"/>
      <c r="O4376" s="544"/>
      <c r="P4376" s="544"/>
      <c r="Q4376" s="544"/>
      <c r="R4376" s="544"/>
      <c r="S4376" s="544"/>
      <c r="T4376" s="544"/>
      <c r="U4376" s="544"/>
    </row>
    <row r="4377" spans="1:21" x14ac:dyDescent="0.25">
      <c r="A4377" s="538" t="s">
        <v>12</v>
      </c>
      <c r="B4377" s="538"/>
      <c r="C4377" s="540" t="s">
        <v>1248</v>
      </c>
      <c r="D4377" s="540"/>
      <c r="E4377" s="540"/>
      <c r="F4377" s="540"/>
      <c r="G4377" s="540"/>
      <c r="H4377" s="540"/>
      <c r="I4377" s="540"/>
      <c r="J4377" s="540"/>
      <c r="K4377" s="540"/>
      <c r="L4377" s="540"/>
      <c r="M4377" s="540"/>
      <c r="N4377" s="540"/>
      <c r="O4377" s="540"/>
      <c r="P4377" s="540"/>
      <c r="Q4377" s="540"/>
      <c r="R4377" s="540"/>
      <c r="S4377" s="540"/>
      <c r="T4377" s="540"/>
      <c r="U4377" s="541" t="s">
        <v>711</v>
      </c>
    </row>
    <row r="4378" spans="1:21" s="199" customFormat="1" ht="15.75" customHeight="1" x14ac:dyDescent="0.25">
      <c r="A4378" s="538"/>
      <c r="B4378" s="538"/>
      <c r="C4378" s="540"/>
      <c r="D4378" s="540"/>
      <c r="E4378" s="540"/>
      <c r="F4378" s="540"/>
      <c r="G4378" s="540"/>
      <c r="H4378" s="540"/>
      <c r="I4378" s="540"/>
      <c r="J4378" s="540"/>
      <c r="K4378" s="540"/>
      <c r="L4378" s="540"/>
      <c r="M4378" s="540"/>
      <c r="N4378" s="540"/>
      <c r="O4378" s="540"/>
      <c r="P4378" s="540"/>
      <c r="Q4378" s="540"/>
      <c r="R4378" s="540"/>
      <c r="S4378" s="540"/>
      <c r="T4378" s="540"/>
      <c r="U4378" s="541"/>
    </row>
    <row r="4379" spans="1:21" s="199" customFormat="1" x14ac:dyDescent="0.25">
      <c r="A4379" s="539" t="s">
        <v>1247</v>
      </c>
      <c r="B4379" s="539"/>
      <c r="C4379" s="540"/>
      <c r="D4379" s="540"/>
      <c r="E4379" s="540"/>
      <c r="F4379" s="540"/>
      <c r="G4379" s="540"/>
      <c r="H4379" s="540"/>
      <c r="I4379" s="540"/>
      <c r="J4379" s="540"/>
      <c r="K4379" s="540"/>
      <c r="L4379" s="540"/>
      <c r="M4379" s="540"/>
      <c r="N4379" s="540"/>
      <c r="O4379" s="540"/>
      <c r="P4379" s="540"/>
      <c r="Q4379" s="540"/>
      <c r="R4379" s="540"/>
      <c r="S4379" s="540"/>
      <c r="T4379" s="540"/>
      <c r="U4379" s="541"/>
    </row>
    <row r="4380" spans="1:21" s="199" customFormat="1" x14ac:dyDescent="0.25">
      <c r="A4380" s="542" t="s">
        <v>16</v>
      </c>
      <c r="B4380" s="543" t="s">
        <v>18</v>
      </c>
      <c r="C4380" s="543"/>
      <c r="D4380" s="543"/>
      <c r="E4380" s="543"/>
      <c r="F4380" s="543"/>
      <c r="G4380" s="543" t="s">
        <v>24</v>
      </c>
      <c r="H4380" s="543"/>
      <c r="I4380" s="543"/>
      <c r="J4380" s="543"/>
      <c r="K4380" s="543"/>
      <c r="L4380" s="543" t="s">
        <v>25</v>
      </c>
      <c r="M4380" s="543"/>
      <c r="N4380" s="543"/>
      <c r="O4380" s="543"/>
      <c r="P4380" s="543"/>
      <c r="Q4380" s="543" t="s">
        <v>26</v>
      </c>
      <c r="R4380" s="543"/>
      <c r="S4380" s="543"/>
      <c r="T4380" s="543"/>
      <c r="U4380" s="543"/>
    </row>
    <row r="4381" spans="1:21" s="199" customFormat="1" x14ac:dyDescent="0.25">
      <c r="A4381" s="542"/>
      <c r="B4381" s="182" t="s">
        <v>19</v>
      </c>
      <c r="C4381" s="182" t="s">
        <v>20</v>
      </c>
      <c r="D4381" s="182" t="s">
        <v>21</v>
      </c>
      <c r="E4381" s="182" t="s">
        <v>22</v>
      </c>
      <c r="F4381" s="182" t="s">
        <v>23</v>
      </c>
      <c r="G4381" s="182" t="s">
        <v>19</v>
      </c>
      <c r="H4381" s="216" t="s">
        <v>20</v>
      </c>
      <c r="I4381" s="182" t="s">
        <v>21</v>
      </c>
      <c r="J4381" s="182" t="s">
        <v>22</v>
      </c>
      <c r="K4381" s="182" t="s">
        <v>23</v>
      </c>
      <c r="L4381" s="182" t="s">
        <v>19</v>
      </c>
      <c r="M4381" s="182" t="s">
        <v>20</v>
      </c>
      <c r="N4381" s="182" t="s">
        <v>21</v>
      </c>
      <c r="O4381" s="182" t="s">
        <v>22</v>
      </c>
      <c r="P4381" s="182" t="s">
        <v>23</v>
      </c>
      <c r="Q4381" s="182" t="s">
        <v>19</v>
      </c>
      <c r="R4381" s="182" t="s">
        <v>20</v>
      </c>
      <c r="S4381" s="182" t="s">
        <v>21</v>
      </c>
      <c r="T4381" s="182" t="s">
        <v>22</v>
      </c>
      <c r="U4381" s="211" t="s">
        <v>23</v>
      </c>
    </row>
    <row r="4382" spans="1:21" s="199" customFormat="1" x14ac:dyDescent="0.25">
      <c r="A4382" s="183" t="s">
        <v>1249</v>
      </c>
      <c r="B4382" s="182" t="s">
        <v>29</v>
      </c>
      <c r="C4382" s="182" t="s">
        <v>28</v>
      </c>
      <c r="D4382" s="182">
        <v>1</v>
      </c>
      <c r="E4382" s="182">
        <f>unskilled</f>
        <v>935</v>
      </c>
      <c r="F4382" s="184">
        <f>(D4382*E4382)</f>
        <v>935</v>
      </c>
      <c r="G4382" s="182" t="s">
        <v>1250</v>
      </c>
      <c r="H4382" s="216" t="s">
        <v>144</v>
      </c>
      <c r="I4382" s="182">
        <v>55</v>
      </c>
      <c r="J4382" s="182">
        <f>adopted_rate_copper_plate</f>
        <v>0</v>
      </c>
      <c r="K4382" s="182">
        <f>(I4382*J4382)</f>
        <v>0</v>
      </c>
      <c r="L4382" s="195"/>
      <c r="M4382" s="195"/>
      <c r="N4382" s="195"/>
      <c r="O4382" s="195"/>
      <c r="P4382" s="195"/>
      <c r="Q4382" s="195"/>
      <c r="R4382" s="195"/>
      <c r="S4382" s="195"/>
      <c r="T4382" s="195"/>
      <c r="U4382" s="212"/>
    </row>
    <row r="4383" spans="1:21" s="199" customFormat="1" x14ac:dyDescent="0.25">
      <c r="A4383" s="195"/>
      <c r="B4383" s="182" t="s">
        <v>47</v>
      </c>
      <c r="C4383" s="182" t="s">
        <v>28</v>
      </c>
      <c r="D4383" s="182">
        <v>1</v>
      </c>
      <c r="E4383" s="182">
        <f>skilled</f>
        <v>1245</v>
      </c>
      <c r="F4383" s="184">
        <f>(D4383*E4383)</f>
        <v>1245</v>
      </c>
      <c r="G4383" s="195"/>
      <c r="H4383" s="217"/>
      <c r="I4383" s="195"/>
      <c r="J4383" s="195"/>
      <c r="K4383" s="195"/>
      <c r="L4383" s="195"/>
      <c r="M4383" s="195"/>
      <c r="N4383" s="195"/>
      <c r="O4383" s="195"/>
      <c r="P4383" s="195"/>
      <c r="Q4383" s="195"/>
      <c r="R4383" s="195"/>
      <c r="S4383" s="195"/>
      <c r="T4383" s="195"/>
      <c r="U4383" s="212"/>
    </row>
    <row r="4384" spans="1:21" s="199" customFormat="1" x14ac:dyDescent="0.25">
      <c r="A4384" s="537" t="s">
        <v>30</v>
      </c>
      <c r="B4384" s="537"/>
      <c r="C4384" s="537"/>
      <c r="D4384" s="537"/>
      <c r="E4384" s="537"/>
      <c r="F4384" s="184">
        <f>SUM(F4381:F4383)</f>
        <v>2180</v>
      </c>
      <c r="G4384" s="537" t="s">
        <v>31</v>
      </c>
      <c r="H4384" s="537"/>
      <c r="I4384" s="537"/>
      <c r="J4384" s="537"/>
      <c r="K4384" s="184">
        <f>SUM(K4381:K4383)</f>
        <v>0</v>
      </c>
      <c r="L4384" s="537" t="s">
        <v>32</v>
      </c>
      <c r="M4384" s="537"/>
      <c r="N4384" s="537"/>
      <c r="O4384" s="537"/>
      <c r="P4384" s="184">
        <f>SUM(P4381:P4383)</f>
        <v>0</v>
      </c>
      <c r="Q4384" s="537" t="s">
        <v>38</v>
      </c>
      <c r="R4384" s="537"/>
      <c r="S4384" s="537"/>
      <c r="T4384" s="537"/>
      <c r="U4384" s="223">
        <f>SUM(U4381:U4383)</f>
        <v>0</v>
      </c>
    </row>
    <row r="4385" spans="1:21" s="199" customFormat="1" x14ac:dyDescent="0.25">
      <c r="A4385" s="537" t="s">
        <v>33</v>
      </c>
      <c r="B4385" s="537"/>
      <c r="C4385" s="537"/>
      <c r="D4385" s="537"/>
      <c r="E4385" s="537"/>
      <c r="F4385" s="184">
        <f>SUM(F4384+K4384+P4384)</f>
        <v>2180</v>
      </c>
      <c r="G4385" s="537" t="s">
        <v>39</v>
      </c>
      <c r="H4385" s="537"/>
      <c r="I4385" s="537"/>
      <c r="J4385" s="537"/>
      <c r="K4385" s="184">
        <f>SUM(F4384+K4384+P4384+U4384)</f>
        <v>2180</v>
      </c>
      <c r="L4385" s="537" t="s">
        <v>40</v>
      </c>
      <c r="M4385" s="537"/>
      <c r="N4385" s="537"/>
      <c r="O4385" s="537"/>
      <c r="P4385" s="184">
        <f>SUM(K4385*0.15)</f>
        <v>327</v>
      </c>
      <c r="Q4385" s="537" t="s">
        <v>41</v>
      </c>
      <c r="R4385" s="537"/>
      <c r="S4385" s="537"/>
      <c r="T4385" s="537"/>
      <c r="U4385" s="223">
        <f>SUM(K4385+P4385)</f>
        <v>2507</v>
      </c>
    </row>
    <row r="4386" spans="1:21" s="199" customFormat="1" x14ac:dyDescent="0.25">
      <c r="A4386" s="195"/>
      <c r="B4386" s="195"/>
      <c r="C4386" s="195"/>
      <c r="D4386" s="195"/>
      <c r="E4386" s="195"/>
      <c r="F4386" s="195"/>
      <c r="G4386" s="195"/>
      <c r="H4386" s="217"/>
      <c r="I4386" s="195"/>
      <c r="J4386" s="195"/>
      <c r="K4386" s="195"/>
      <c r="L4386" s="195"/>
      <c r="M4386" s="195"/>
      <c r="N4386" s="195"/>
      <c r="O4386" s="195"/>
      <c r="P4386" s="195"/>
      <c r="Q4386" s="537" t="s">
        <v>42</v>
      </c>
      <c r="R4386" s="537"/>
      <c r="S4386" s="537"/>
      <c r="T4386" s="537"/>
      <c r="U4386" s="224">
        <f>ROUND((U4385/12),2)</f>
        <v>208.92</v>
      </c>
    </row>
    <row r="4387" spans="1:21" s="199" customFormat="1" x14ac:dyDescent="0.25">
      <c r="A4387" s="544"/>
      <c r="B4387" s="544"/>
      <c r="C4387" s="544"/>
      <c r="D4387" s="544"/>
      <c r="E4387" s="544"/>
      <c r="F4387" s="544"/>
      <c r="G4387" s="544"/>
      <c r="H4387" s="544"/>
      <c r="I4387" s="544"/>
      <c r="J4387" s="544"/>
      <c r="K4387" s="544"/>
      <c r="L4387" s="544"/>
      <c r="M4387" s="544"/>
      <c r="N4387" s="544"/>
      <c r="O4387" s="544"/>
      <c r="P4387" s="544"/>
      <c r="Q4387" s="544"/>
      <c r="R4387" s="544"/>
      <c r="S4387" s="544"/>
      <c r="T4387" s="544"/>
      <c r="U4387" s="544"/>
    </row>
    <row r="4388" spans="1:21" s="199" customFormat="1" x14ac:dyDescent="0.25">
      <c r="A4388" s="538" t="s">
        <v>12</v>
      </c>
      <c r="B4388" s="538"/>
      <c r="C4388" s="540" t="s">
        <v>1251</v>
      </c>
      <c r="D4388" s="540"/>
      <c r="E4388" s="540"/>
      <c r="F4388" s="540"/>
      <c r="G4388" s="540"/>
      <c r="H4388" s="540"/>
      <c r="I4388" s="540"/>
      <c r="J4388" s="540"/>
      <c r="K4388" s="540"/>
      <c r="L4388" s="540"/>
      <c r="M4388" s="540"/>
      <c r="N4388" s="540"/>
      <c r="O4388" s="540"/>
      <c r="P4388" s="540"/>
      <c r="Q4388" s="540"/>
      <c r="R4388" s="540"/>
      <c r="S4388" s="540"/>
      <c r="T4388" s="540"/>
      <c r="U4388" s="541" t="s">
        <v>711</v>
      </c>
    </row>
    <row r="4389" spans="1:21" s="199" customFormat="1" x14ac:dyDescent="0.25">
      <c r="A4389" s="538"/>
      <c r="B4389" s="538"/>
      <c r="C4389" s="540"/>
      <c r="D4389" s="540"/>
      <c r="E4389" s="540"/>
      <c r="F4389" s="540"/>
      <c r="G4389" s="540"/>
      <c r="H4389" s="540"/>
      <c r="I4389" s="540"/>
      <c r="J4389" s="540"/>
      <c r="K4389" s="540"/>
      <c r="L4389" s="540"/>
      <c r="M4389" s="540"/>
      <c r="N4389" s="540"/>
      <c r="O4389" s="540"/>
      <c r="P4389" s="540"/>
      <c r="Q4389" s="540"/>
      <c r="R4389" s="540"/>
      <c r="S4389" s="540"/>
      <c r="T4389" s="540"/>
      <c r="U4389" s="541"/>
    </row>
    <row r="4390" spans="1:21" s="199" customFormat="1" x14ac:dyDescent="0.25">
      <c r="A4390" s="539" t="s">
        <v>50</v>
      </c>
      <c r="B4390" s="539"/>
      <c r="C4390" s="540"/>
      <c r="D4390" s="540"/>
      <c r="E4390" s="540"/>
      <c r="F4390" s="540"/>
      <c r="G4390" s="540"/>
      <c r="H4390" s="540"/>
      <c r="I4390" s="540"/>
      <c r="J4390" s="540"/>
      <c r="K4390" s="540"/>
      <c r="L4390" s="540"/>
      <c r="M4390" s="540"/>
      <c r="N4390" s="540"/>
      <c r="O4390" s="540"/>
      <c r="P4390" s="540"/>
      <c r="Q4390" s="540"/>
      <c r="R4390" s="540"/>
      <c r="S4390" s="540"/>
      <c r="T4390" s="540"/>
      <c r="U4390" s="541"/>
    </row>
    <row r="4391" spans="1:21" s="199" customFormat="1" ht="15.75" customHeight="1" x14ac:dyDescent="0.25">
      <c r="A4391" s="542" t="s">
        <v>16</v>
      </c>
      <c r="B4391" s="543" t="s">
        <v>18</v>
      </c>
      <c r="C4391" s="543"/>
      <c r="D4391" s="543"/>
      <c r="E4391" s="543"/>
      <c r="F4391" s="543"/>
      <c r="G4391" s="543" t="s">
        <v>24</v>
      </c>
      <c r="H4391" s="543"/>
      <c r="I4391" s="543"/>
      <c r="J4391" s="543"/>
      <c r="K4391" s="543"/>
      <c r="L4391" s="543" t="s">
        <v>25</v>
      </c>
      <c r="M4391" s="543"/>
      <c r="N4391" s="543"/>
      <c r="O4391" s="543"/>
      <c r="P4391" s="543"/>
      <c r="Q4391" s="543" t="s">
        <v>26</v>
      </c>
      <c r="R4391" s="543"/>
      <c r="S4391" s="543"/>
      <c r="T4391" s="543"/>
      <c r="U4391" s="543"/>
    </row>
    <row r="4392" spans="1:21" s="199" customFormat="1" x14ac:dyDescent="0.25">
      <c r="A4392" s="542"/>
      <c r="B4392" s="182" t="s">
        <v>19</v>
      </c>
      <c r="C4392" s="182" t="s">
        <v>20</v>
      </c>
      <c r="D4392" s="182" t="s">
        <v>21</v>
      </c>
      <c r="E4392" s="182" t="s">
        <v>22</v>
      </c>
      <c r="F4392" s="182" t="s">
        <v>23</v>
      </c>
      <c r="G4392" s="182" t="s">
        <v>19</v>
      </c>
      <c r="H4392" s="216" t="s">
        <v>20</v>
      </c>
      <c r="I4392" s="182" t="s">
        <v>21</v>
      </c>
      <c r="J4392" s="182" t="s">
        <v>22</v>
      </c>
      <c r="K4392" s="182" t="s">
        <v>23</v>
      </c>
      <c r="L4392" s="182" t="s">
        <v>19</v>
      </c>
      <c r="M4392" s="182" t="s">
        <v>20</v>
      </c>
      <c r="N4392" s="182" t="s">
        <v>21</v>
      </c>
      <c r="O4392" s="182" t="s">
        <v>22</v>
      </c>
      <c r="P4392" s="182" t="s">
        <v>23</v>
      </c>
      <c r="Q4392" s="182" t="s">
        <v>19</v>
      </c>
      <c r="R4392" s="182" t="s">
        <v>20</v>
      </c>
      <c r="S4392" s="182" t="s">
        <v>21</v>
      </c>
      <c r="T4392" s="182" t="s">
        <v>22</v>
      </c>
      <c r="U4392" s="211" t="s">
        <v>23</v>
      </c>
    </row>
    <row r="4393" spans="1:21" s="199" customFormat="1" x14ac:dyDescent="0.25">
      <c r="A4393" s="183" t="s">
        <v>1252</v>
      </c>
      <c r="B4393" s="182" t="s">
        <v>29</v>
      </c>
      <c r="C4393" s="182" t="s">
        <v>28</v>
      </c>
      <c r="D4393" s="182">
        <v>1</v>
      </c>
      <c r="E4393" s="182">
        <f>unskilled</f>
        <v>935</v>
      </c>
      <c r="F4393" s="184">
        <f>(D4393*E4393)</f>
        <v>935</v>
      </c>
      <c r="G4393" s="182" t="s">
        <v>1253</v>
      </c>
      <c r="H4393" s="216" t="s">
        <v>438</v>
      </c>
      <c r="I4393" s="182">
        <v>3</v>
      </c>
      <c r="J4393" s="182">
        <f>adopted_rate_compressible_fiber_board_20_mm</f>
        <v>0</v>
      </c>
      <c r="K4393" s="182">
        <f>(I4393*J4393)</f>
        <v>0</v>
      </c>
      <c r="L4393" s="195"/>
      <c r="M4393" s="195"/>
      <c r="N4393" s="195"/>
      <c r="O4393" s="195"/>
      <c r="P4393" s="195"/>
      <c r="Q4393" s="195"/>
      <c r="R4393" s="195"/>
      <c r="S4393" s="195"/>
      <c r="T4393" s="195"/>
      <c r="U4393" s="212"/>
    </row>
    <row r="4394" spans="1:21" s="199" customFormat="1" x14ac:dyDescent="0.25">
      <c r="A4394" s="195"/>
      <c r="B4394" s="182" t="s">
        <v>47</v>
      </c>
      <c r="C4394" s="182" t="s">
        <v>28</v>
      </c>
      <c r="D4394" s="182">
        <v>1</v>
      </c>
      <c r="E4394" s="182">
        <f>skilled</f>
        <v>1245</v>
      </c>
      <c r="F4394" s="184">
        <f>(D4394*E4394)</f>
        <v>1245</v>
      </c>
      <c r="G4394" s="195"/>
      <c r="H4394" s="217"/>
      <c r="I4394" s="195"/>
      <c r="J4394" s="195"/>
      <c r="K4394" s="195"/>
      <c r="L4394" s="195"/>
      <c r="M4394" s="195"/>
      <c r="N4394" s="195"/>
      <c r="O4394" s="195"/>
      <c r="P4394" s="195"/>
      <c r="Q4394" s="195"/>
      <c r="R4394" s="195"/>
      <c r="S4394" s="195"/>
      <c r="T4394" s="195"/>
      <c r="U4394" s="212"/>
    </row>
    <row r="4395" spans="1:21" s="199" customFormat="1" x14ac:dyDescent="0.25">
      <c r="A4395" s="537" t="s">
        <v>30</v>
      </c>
      <c r="B4395" s="537"/>
      <c r="C4395" s="537"/>
      <c r="D4395" s="537"/>
      <c r="E4395" s="537"/>
      <c r="F4395" s="184">
        <f>SUM(F4392:F4394)</f>
        <v>2180</v>
      </c>
      <c r="G4395" s="537" t="s">
        <v>31</v>
      </c>
      <c r="H4395" s="537"/>
      <c r="I4395" s="537"/>
      <c r="J4395" s="537"/>
      <c r="K4395" s="184">
        <f>SUM(K4392:K4394)</f>
        <v>0</v>
      </c>
      <c r="L4395" s="537" t="s">
        <v>32</v>
      </c>
      <c r="M4395" s="537"/>
      <c r="N4395" s="537"/>
      <c r="O4395" s="537"/>
      <c r="P4395" s="184">
        <f>SUM(P4392:P4394)</f>
        <v>0</v>
      </c>
      <c r="Q4395" s="537" t="s">
        <v>38</v>
      </c>
      <c r="R4395" s="537"/>
      <c r="S4395" s="537"/>
      <c r="T4395" s="537"/>
      <c r="U4395" s="223">
        <f>SUM(U4392:U4394)</f>
        <v>0</v>
      </c>
    </row>
    <row r="4396" spans="1:21" s="199" customFormat="1" x14ac:dyDescent="0.25">
      <c r="A4396" s="537" t="s">
        <v>33</v>
      </c>
      <c r="B4396" s="537"/>
      <c r="C4396" s="537"/>
      <c r="D4396" s="537"/>
      <c r="E4396" s="537"/>
      <c r="F4396" s="184">
        <f>SUM(F4395+K4395+P4395)</f>
        <v>2180</v>
      </c>
      <c r="G4396" s="537" t="s">
        <v>39</v>
      </c>
      <c r="H4396" s="537"/>
      <c r="I4396" s="537"/>
      <c r="J4396" s="537"/>
      <c r="K4396" s="184">
        <f>SUM(F4395+K4395+P4395+U4395)</f>
        <v>2180</v>
      </c>
      <c r="L4396" s="537" t="s">
        <v>40</v>
      </c>
      <c r="M4396" s="537"/>
      <c r="N4396" s="537"/>
      <c r="O4396" s="537"/>
      <c r="P4396" s="184">
        <f>SUM(K4396*0.15)</f>
        <v>327</v>
      </c>
      <c r="Q4396" s="537" t="s">
        <v>41</v>
      </c>
      <c r="R4396" s="537"/>
      <c r="S4396" s="537"/>
      <c r="T4396" s="537"/>
      <c r="U4396" s="223">
        <f>SUM(K4396+P4396)</f>
        <v>2507</v>
      </c>
    </row>
    <row r="4397" spans="1:21" s="199" customFormat="1" x14ac:dyDescent="0.25">
      <c r="A4397" s="195"/>
      <c r="B4397" s="195"/>
      <c r="C4397" s="195"/>
      <c r="D4397" s="195"/>
      <c r="E4397" s="195"/>
      <c r="F4397" s="195"/>
      <c r="G4397" s="195"/>
      <c r="H4397" s="217"/>
      <c r="I4397" s="195"/>
      <c r="J4397" s="195"/>
      <c r="K4397" s="195"/>
      <c r="L4397" s="195"/>
      <c r="M4397" s="195"/>
      <c r="N4397" s="195"/>
      <c r="O4397" s="195"/>
      <c r="P4397" s="195"/>
      <c r="Q4397" s="537" t="s">
        <v>42</v>
      </c>
      <c r="R4397" s="537"/>
      <c r="S4397" s="537"/>
      <c r="T4397" s="537"/>
      <c r="U4397" s="224">
        <f>ROUND((U4396/12),2)</f>
        <v>208.92</v>
      </c>
    </row>
    <row r="4398" spans="1:21" s="199" customFormat="1" x14ac:dyDescent="0.25">
      <c r="A4398" s="544"/>
      <c r="B4398" s="544"/>
      <c r="C4398" s="544"/>
      <c r="D4398" s="544"/>
      <c r="E4398" s="544"/>
      <c r="F4398" s="544"/>
      <c r="G4398" s="544"/>
      <c r="H4398" s="544"/>
      <c r="I4398" s="544"/>
      <c r="J4398" s="544"/>
      <c r="K4398" s="544"/>
      <c r="L4398" s="544"/>
      <c r="M4398" s="544"/>
      <c r="N4398" s="544"/>
      <c r="O4398" s="544"/>
      <c r="P4398" s="544"/>
      <c r="Q4398" s="544"/>
      <c r="R4398" s="544"/>
      <c r="S4398" s="544"/>
      <c r="T4398" s="544"/>
      <c r="U4398" s="544"/>
    </row>
    <row r="4399" spans="1:21" s="199" customFormat="1" x14ac:dyDescent="0.25">
      <c r="A4399" s="538" t="s">
        <v>12</v>
      </c>
      <c r="B4399" s="538"/>
      <c r="C4399" s="540" t="s">
        <v>1254</v>
      </c>
      <c r="D4399" s="540"/>
      <c r="E4399" s="540"/>
      <c r="F4399" s="540"/>
      <c r="G4399" s="540"/>
      <c r="H4399" s="540"/>
      <c r="I4399" s="540"/>
      <c r="J4399" s="540"/>
      <c r="K4399" s="540"/>
      <c r="L4399" s="540"/>
      <c r="M4399" s="540"/>
      <c r="N4399" s="540"/>
      <c r="O4399" s="540"/>
      <c r="P4399" s="540"/>
      <c r="Q4399" s="540"/>
      <c r="R4399" s="540"/>
      <c r="S4399" s="540"/>
      <c r="T4399" s="540"/>
      <c r="U4399" s="541" t="s">
        <v>711</v>
      </c>
    </row>
    <row r="4400" spans="1:21" s="199" customFormat="1" x14ac:dyDescent="0.25">
      <c r="A4400" s="538"/>
      <c r="B4400" s="538"/>
      <c r="C4400" s="540"/>
      <c r="D4400" s="540"/>
      <c r="E4400" s="540"/>
      <c r="F4400" s="540"/>
      <c r="G4400" s="540"/>
      <c r="H4400" s="540"/>
      <c r="I4400" s="540"/>
      <c r="J4400" s="540"/>
      <c r="K4400" s="540"/>
      <c r="L4400" s="540"/>
      <c r="M4400" s="540"/>
      <c r="N4400" s="540"/>
      <c r="O4400" s="540"/>
      <c r="P4400" s="540"/>
      <c r="Q4400" s="540"/>
      <c r="R4400" s="540"/>
      <c r="S4400" s="540"/>
      <c r="T4400" s="540"/>
      <c r="U4400" s="541"/>
    </row>
    <row r="4401" spans="1:21" s="199" customFormat="1" x14ac:dyDescent="0.25">
      <c r="A4401" s="539" t="s">
        <v>228</v>
      </c>
      <c r="B4401" s="539"/>
      <c r="C4401" s="540"/>
      <c r="D4401" s="540"/>
      <c r="E4401" s="540"/>
      <c r="F4401" s="540"/>
      <c r="G4401" s="540"/>
      <c r="H4401" s="540"/>
      <c r="I4401" s="540"/>
      <c r="J4401" s="540"/>
      <c r="K4401" s="540"/>
      <c r="L4401" s="540"/>
      <c r="M4401" s="540"/>
      <c r="N4401" s="540"/>
      <c r="O4401" s="540"/>
      <c r="P4401" s="540"/>
      <c r="Q4401" s="540"/>
      <c r="R4401" s="540"/>
      <c r="S4401" s="540"/>
      <c r="T4401" s="540"/>
      <c r="U4401" s="541"/>
    </row>
    <row r="4402" spans="1:21" s="199" customFormat="1" x14ac:dyDescent="0.25">
      <c r="A4402" s="542" t="s">
        <v>16</v>
      </c>
      <c r="B4402" s="543" t="s">
        <v>18</v>
      </c>
      <c r="C4402" s="543"/>
      <c r="D4402" s="543"/>
      <c r="E4402" s="543"/>
      <c r="F4402" s="543"/>
      <c r="G4402" s="543" t="s">
        <v>24</v>
      </c>
      <c r="H4402" s="543"/>
      <c r="I4402" s="543"/>
      <c r="J4402" s="543"/>
      <c r="K4402" s="543"/>
      <c r="L4402" s="543" t="s">
        <v>25</v>
      </c>
      <c r="M4402" s="543"/>
      <c r="N4402" s="543"/>
      <c r="O4402" s="543"/>
      <c r="P4402" s="543"/>
      <c r="Q4402" s="543" t="s">
        <v>26</v>
      </c>
      <c r="R4402" s="543"/>
      <c r="S4402" s="543"/>
      <c r="T4402" s="543"/>
      <c r="U4402" s="543"/>
    </row>
    <row r="4403" spans="1:21" s="199" customFormat="1" x14ac:dyDescent="0.25">
      <c r="A4403" s="542"/>
      <c r="B4403" s="182" t="s">
        <v>19</v>
      </c>
      <c r="C4403" s="182" t="s">
        <v>20</v>
      </c>
      <c r="D4403" s="182" t="s">
        <v>21</v>
      </c>
      <c r="E4403" s="182" t="s">
        <v>22</v>
      </c>
      <c r="F4403" s="182" t="s">
        <v>23</v>
      </c>
      <c r="G4403" s="182" t="s">
        <v>19</v>
      </c>
      <c r="H4403" s="216" t="s">
        <v>20</v>
      </c>
      <c r="I4403" s="182" t="s">
        <v>21</v>
      </c>
      <c r="J4403" s="182" t="s">
        <v>22</v>
      </c>
      <c r="K4403" s="182" t="s">
        <v>23</v>
      </c>
      <c r="L4403" s="182" t="s">
        <v>19</v>
      </c>
      <c r="M4403" s="182" t="s">
        <v>20</v>
      </c>
      <c r="N4403" s="182" t="s">
        <v>21</v>
      </c>
      <c r="O4403" s="182" t="s">
        <v>22</v>
      </c>
      <c r="P4403" s="182" t="s">
        <v>23</v>
      </c>
      <c r="Q4403" s="182" t="s">
        <v>19</v>
      </c>
      <c r="R4403" s="182" t="s">
        <v>20</v>
      </c>
      <c r="S4403" s="182" t="s">
        <v>21</v>
      </c>
      <c r="T4403" s="182" t="s">
        <v>22</v>
      </c>
      <c r="U4403" s="211" t="s">
        <v>23</v>
      </c>
    </row>
    <row r="4404" spans="1:21" x14ac:dyDescent="0.25">
      <c r="A4404" s="183" t="s">
        <v>1255</v>
      </c>
      <c r="B4404" s="182" t="s">
        <v>29</v>
      </c>
      <c r="C4404" s="182" t="s">
        <v>28</v>
      </c>
      <c r="D4404" s="182">
        <v>1</v>
      </c>
      <c r="E4404" s="182">
        <f>unskilled</f>
        <v>935</v>
      </c>
      <c r="F4404" s="184">
        <f>(D4404*E4404)</f>
        <v>935</v>
      </c>
      <c r="G4404" s="182" t="s">
        <v>553</v>
      </c>
      <c r="H4404" s="216" t="s">
        <v>438</v>
      </c>
      <c r="I4404" s="182">
        <v>3.6</v>
      </c>
      <c r="J4404" s="182">
        <f>adopted_rate_pre_moulded_joint_filler</f>
        <v>0</v>
      </c>
      <c r="K4404" s="182">
        <f>(I4404*J4404)</f>
        <v>0</v>
      </c>
    </row>
    <row r="4405" spans="1:21" s="199" customFormat="1" ht="15.75" customHeight="1" x14ac:dyDescent="0.25">
      <c r="A4405" s="195"/>
      <c r="B4405" s="182" t="s">
        <v>47</v>
      </c>
      <c r="C4405" s="182" t="s">
        <v>28</v>
      </c>
      <c r="D4405" s="182">
        <v>1</v>
      </c>
      <c r="E4405" s="182">
        <f>skilled</f>
        <v>1245</v>
      </c>
      <c r="F4405" s="184">
        <f>(D4405*E4405)</f>
        <v>1245</v>
      </c>
      <c r="G4405" s="195"/>
      <c r="H4405" s="217"/>
      <c r="I4405" s="195"/>
      <c r="J4405" s="195"/>
      <c r="K4405" s="195"/>
      <c r="L4405" s="195"/>
      <c r="M4405" s="195"/>
      <c r="N4405" s="195"/>
      <c r="O4405" s="195"/>
      <c r="P4405" s="195"/>
      <c r="Q4405" s="195"/>
      <c r="R4405" s="195"/>
      <c r="S4405" s="195"/>
      <c r="T4405" s="195"/>
      <c r="U4405" s="212"/>
    </row>
    <row r="4406" spans="1:21" s="199" customFormat="1" x14ac:dyDescent="0.25">
      <c r="A4406" s="537" t="s">
        <v>30</v>
      </c>
      <c r="B4406" s="537"/>
      <c r="C4406" s="537"/>
      <c r="D4406" s="537"/>
      <c r="E4406" s="537"/>
      <c r="F4406" s="184">
        <f>SUM(F4403:F4405)</f>
        <v>2180</v>
      </c>
      <c r="G4406" s="537" t="s">
        <v>31</v>
      </c>
      <c r="H4406" s="537"/>
      <c r="I4406" s="537"/>
      <c r="J4406" s="537"/>
      <c r="K4406" s="184">
        <f>SUM(K4403:K4405)</f>
        <v>0</v>
      </c>
      <c r="L4406" s="537" t="s">
        <v>32</v>
      </c>
      <c r="M4406" s="537"/>
      <c r="N4406" s="537"/>
      <c r="O4406" s="537"/>
      <c r="P4406" s="184">
        <f>SUM(P4403:P4405)</f>
        <v>0</v>
      </c>
      <c r="Q4406" s="537" t="s">
        <v>38</v>
      </c>
      <c r="R4406" s="537"/>
      <c r="S4406" s="537"/>
      <c r="T4406" s="537"/>
      <c r="U4406" s="223">
        <f>SUM(U4403:U4405)</f>
        <v>0</v>
      </c>
    </row>
    <row r="4407" spans="1:21" s="199" customFormat="1" x14ac:dyDescent="0.25">
      <c r="A4407" s="537" t="s">
        <v>33</v>
      </c>
      <c r="B4407" s="537"/>
      <c r="C4407" s="537"/>
      <c r="D4407" s="537"/>
      <c r="E4407" s="537"/>
      <c r="F4407" s="184">
        <f>SUM(F4406+K4406+P4406)</f>
        <v>2180</v>
      </c>
      <c r="G4407" s="537" t="s">
        <v>39</v>
      </c>
      <c r="H4407" s="537"/>
      <c r="I4407" s="537"/>
      <c r="J4407" s="537"/>
      <c r="K4407" s="184">
        <f>SUM(F4406+K4406+P4406+U4406)</f>
        <v>2180</v>
      </c>
      <c r="L4407" s="537" t="s">
        <v>40</v>
      </c>
      <c r="M4407" s="537"/>
      <c r="N4407" s="537"/>
      <c r="O4407" s="537"/>
      <c r="P4407" s="184">
        <f>SUM(K4407*0.15)</f>
        <v>327</v>
      </c>
      <c r="Q4407" s="537" t="s">
        <v>41</v>
      </c>
      <c r="R4407" s="537"/>
      <c r="S4407" s="537"/>
      <c r="T4407" s="537"/>
      <c r="U4407" s="223">
        <f>SUM(K4407+P4407)</f>
        <v>2507</v>
      </c>
    </row>
    <row r="4408" spans="1:21" s="199" customFormat="1" x14ac:dyDescent="0.25">
      <c r="A4408" s="195"/>
      <c r="B4408" s="195"/>
      <c r="C4408" s="195"/>
      <c r="D4408" s="195"/>
      <c r="E4408" s="195"/>
      <c r="F4408" s="195"/>
      <c r="G4408" s="195"/>
      <c r="H4408" s="217"/>
      <c r="I4408" s="195"/>
      <c r="J4408" s="195"/>
      <c r="K4408" s="195"/>
      <c r="L4408" s="195"/>
      <c r="M4408" s="195"/>
      <c r="N4408" s="195"/>
      <c r="O4408" s="195"/>
      <c r="P4408" s="195"/>
      <c r="Q4408" s="537" t="s">
        <v>42</v>
      </c>
      <c r="R4408" s="537"/>
      <c r="S4408" s="537"/>
      <c r="T4408" s="537"/>
      <c r="U4408" s="224">
        <f>ROUND((U4407/12),2)</f>
        <v>208.92</v>
      </c>
    </row>
    <row r="4409" spans="1:21" s="199" customFormat="1" x14ac:dyDescent="0.25">
      <c r="A4409" s="544"/>
      <c r="B4409" s="544"/>
      <c r="C4409" s="544"/>
      <c r="D4409" s="544"/>
      <c r="E4409" s="544"/>
      <c r="F4409" s="544"/>
      <c r="G4409" s="544"/>
      <c r="H4409" s="544"/>
      <c r="I4409" s="544"/>
      <c r="J4409" s="544"/>
      <c r="K4409" s="544"/>
      <c r="L4409" s="544"/>
      <c r="M4409" s="544"/>
      <c r="N4409" s="544"/>
      <c r="O4409" s="544"/>
      <c r="P4409" s="544"/>
      <c r="Q4409" s="544"/>
      <c r="R4409" s="544"/>
      <c r="S4409" s="544"/>
      <c r="T4409" s="544"/>
      <c r="U4409" s="544"/>
    </row>
    <row r="4410" spans="1:21" s="199" customFormat="1" x14ac:dyDescent="0.25">
      <c r="A4410" s="538" t="s">
        <v>12</v>
      </c>
      <c r="B4410" s="538"/>
      <c r="C4410" s="540" t="s">
        <v>1256</v>
      </c>
      <c r="D4410" s="540"/>
      <c r="E4410" s="540"/>
      <c r="F4410" s="540"/>
      <c r="G4410" s="540"/>
      <c r="H4410" s="540"/>
      <c r="I4410" s="540"/>
      <c r="J4410" s="540"/>
      <c r="K4410" s="540"/>
      <c r="L4410" s="540"/>
      <c r="M4410" s="540"/>
      <c r="N4410" s="540"/>
      <c r="O4410" s="540"/>
      <c r="P4410" s="540"/>
      <c r="Q4410" s="540"/>
      <c r="R4410" s="540"/>
      <c r="S4410" s="540"/>
      <c r="T4410" s="540"/>
      <c r="U4410" s="541" t="s">
        <v>1257</v>
      </c>
    </row>
    <row r="4411" spans="1:21" s="199" customFormat="1" x14ac:dyDescent="0.25">
      <c r="A4411" s="538"/>
      <c r="B4411" s="538"/>
      <c r="C4411" s="540"/>
      <c r="D4411" s="540"/>
      <c r="E4411" s="540"/>
      <c r="F4411" s="540"/>
      <c r="G4411" s="540"/>
      <c r="H4411" s="540"/>
      <c r="I4411" s="540"/>
      <c r="J4411" s="540"/>
      <c r="K4411" s="540"/>
      <c r="L4411" s="540"/>
      <c r="M4411" s="540"/>
      <c r="N4411" s="540"/>
      <c r="O4411" s="540"/>
      <c r="P4411" s="540"/>
      <c r="Q4411" s="540"/>
      <c r="R4411" s="540"/>
      <c r="S4411" s="540"/>
      <c r="T4411" s="540"/>
      <c r="U4411" s="541"/>
    </row>
    <row r="4412" spans="1:21" s="199" customFormat="1" x14ac:dyDescent="0.25">
      <c r="A4412" s="539" t="s">
        <v>1226</v>
      </c>
      <c r="B4412" s="539"/>
      <c r="C4412" s="540"/>
      <c r="D4412" s="540"/>
      <c r="E4412" s="540"/>
      <c r="F4412" s="540"/>
      <c r="G4412" s="540"/>
      <c r="H4412" s="540"/>
      <c r="I4412" s="540"/>
      <c r="J4412" s="540"/>
      <c r="K4412" s="540"/>
      <c r="L4412" s="540"/>
      <c r="M4412" s="540"/>
      <c r="N4412" s="540"/>
      <c r="O4412" s="540"/>
      <c r="P4412" s="540"/>
      <c r="Q4412" s="540"/>
      <c r="R4412" s="540"/>
      <c r="S4412" s="540"/>
      <c r="T4412" s="540"/>
      <c r="U4412" s="541"/>
    </row>
    <row r="4413" spans="1:21" s="199" customFormat="1" x14ac:dyDescent="0.25">
      <c r="A4413" s="542" t="s">
        <v>16</v>
      </c>
      <c r="B4413" s="543" t="s">
        <v>18</v>
      </c>
      <c r="C4413" s="543"/>
      <c r="D4413" s="543"/>
      <c r="E4413" s="543"/>
      <c r="F4413" s="543"/>
      <c r="G4413" s="543" t="s">
        <v>24</v>
      </c>
      <c r="H4413" s="543"/>
      <c r="I4413" s="543"/>
      <c r="J4413" s="543"/>
      <c r="K4413" s="543"/>
      <c r="L4413" s="543" t="s">
        <v>25</v>
      </c>
      <c r="M4413" s="543"/>
      <c r="N4413" s="543"/>
      <c r="O4413" s="543"/>
      <c r="P4413" s="543"/>
      <c r="Q4413" s="543" t="s">
        <v>26</v>
      </c>
      <c r="R4413" s="543"/>
      <c r="S4413" s="543"/>
      <c r="T4413" s="543"/>
      <c r="U4413" s="543"/>
    </row>
    <row r="4414" spans="1:21" s="199" customFormat="1" x14ac:dyDescent="0.25">
      <c r="A4414" s="542"/>
      <c r="B4414" s="182" t="s">
        <v>19</v>
      </c>
      <c r="C4414" s="182" t="s">
        <v>20</v>
      </c>
      <c r="D4414" s="182" t="s">
        <v>21</v>
      </c>
      <c r="E4414" s="182" t="s">
        <v>22</v>
      </c>
      <c r="F4414" s="182" t="s">
        <v>23</v>
      </c>
      <c r="G4414" s="182" t="s">
        <v>19</v>
      </c>
      <c r="H4414" s="216" t="s">
        <v>20</v>
      </c>
      <c r="I4414" s="182" t="s">
        <v>21</v>
      </c>
      <c r="J4414" s="182" t="s">
        <v>22</v>
      </c>
      <c r="K4414" s="182" t="s">
        <v>23</v>
      </c>
      <c r="L4414" s="182" t="s">
        <v>19</v>
      </c>
      <c r="M4414" s="182" t="s">
        <v>20</v>
      </c>
      <c r="N4414" s="182" t="s">
        <v>21</v>
      </c>
      <c r="O4414" s="182" t="s">
        <v>22</v>
      </c>
      <c r="P4414" s="182" t="s">
        <v>23</v>
      </c>
      <c r="Q4414" s="182" t="s">
        <v>19</v>
      </c>
      <c r="R4414" s="182" t="s">
        <v>20</v>
      </c>
      <c r="S4414" s="182" t="s">
        <v>21</v>
      </c>
      <c r="T4414" s="182" t="s">
        <v>22</v>
      </c>
      <c r="U4414" s="211" t="s">
        <v>23</v>
      </c>
    </row>
    <row r="4415" spans="1:21" s="199" customFormat="1" ht="31.5" x14ac:dyDescent="0.25">
      <c r="A4415" s="183" t="s">
        <v>1258</v>
      </c>
      <c r="B4415" s="182" t="s">
        <v>29</v>
      </c>
      <c r="C4415" s="182" t="s">
        <v>28</v>
      </c>
      <c r="D4415" s="182">
        <v>4</v>
      </c>
      <c r="E4415" s="182">
        <f>unskilled</f>
        <v>935</v>
      </c>
      <c r="F4415" s="184">
        <f>(D4415*E4415)</f>
        <v>3740</v>
      </c>
      <c r="G4415" s="182" t="s">
        <v>1260</v>
      </c>
      <c r="H4415" s="216" t="s">
        <v>75</v>
      </c>
      <c r="I4415" s="182">
        <v>300</v>
      </c>
      <c r="J4415" s="182">
        <f>adopted_rate_ms_pipe_50_mm</f>
        <v>0</v>
      </c>
      <c r="K4415" s="182">
        <f>(I4415*J4415)</f>
        <v>0</v>
      </c>
      <c r="L4415" s="182" t="s">
        <v>65</v>
      </c>
      <c r="M4415" s="182" t="s">
        <v>58</v>
      </c>
      <c r="N4415" s="182">
        <v>6</v>
      </c>
      <c r="O4415" s="182">
        <f>tractor</f>
        <v>868</v>
      </c>
      <c r="P4415" s="184">
        <f>(N4415*O4415)</f>
        <v>5208</v>
      </c>
      <c r="Q4415" s="195"/>
      <c r="R4415" s="195"/>
      <c r="S4415" s="195"/>
      <c r="T4415" s="195"/>
      <c r="U4415" s="212"/>
    </row>
    <row r="4416" spans="1:21" s="199" customFormat="1" ht="47.25" x14ac:dyDescent="0.25">
      <c r="A4416" s="195"/>
      <c r="B4416" s="182" t="s">
        <v>1259</v>
      </c>
      <c r="C4416" s="182" t="s">
        <v>28</v>
      </c>
      <c r="D4416" s="182">
        <v>1</v>
      </c>
      <c r="E4416" s="182">
        <f>skilled_plumber</f>
        <v>1245</v>
      </c>
      <c r="F4416" s="184">
        <f>(D4416*E4416)</f>
        <v>1245</v>
      </c>
      <c r="G4416" s="182" t="s">
        <v>1261</v>
      </c>
      <c r="H4416" s="216" t="s">
        <v>144</v>
      </c>
      <c r="I4416" s="182">
        <v>993.6</v>
      </c>
      <c r="J4416" s="182">
        <f>adopted_rate_ms_channel</f>
        <v>0</v>
      </c>
      <c r="K4416" s="182">
        <f>(I4416*J4416)</f>
        <v>0</v>
      </c>
      <c r="L4416" s="195"/>
      <c r="M4416" s="195"/>
      <c r="N4416" s="195"/>
      <c r="O4416" s="195"/>
      <c r="P4416" s="195"/>
      <c r="Q4416" s="195"/>
      <c r="R4416" s="195"/>
      <c r="S4416" s="195"/>
      <c r="T4416" s="195"/>
      <c r="U4416" s="212"/>
    </row>
    <row r="4417" spans="1:25" ht="31.5" x14ac:dyDescent="0.25">
      <c r="G4417" s="182" t="s">
        <v>1262</v>
      </c>
      <c r="H4417" s="216"/>
      <c r="K4417" s="184">
        <f>(K4416*2/100)</f>
        <v>0</v>
      </c>
    </row>
    <row r="4418" spans="1:25" x14ac:dyDescent="0.25">
      <c r="G4418" s="182" t="s">
        <v>459</v>
      </c>
      <c r="H4418" s="216" t="s">
        <v>84</v>
      </c>
      <c r="I4418" s="182">
        <v>12.96</v>
      </c>
      <c r="J4418" s="183">
        <f>(K311/10)</f>
        <v>872.5</v>
      </c>
      <c r="K4418" s="184">
        <f>(I4418*J4418)</f>
        <v>11307.6</v>
      </c>
    </row>
    <row r="4419" spans="1:25" x14ac:dyDescent="0.25">
      <c r="G4419" s="182" t="s">
        <v>1263</v>
      </c>
      <c r="H4419" s="216" t="s">
        <v>84</v>
      </c>
      <c r="I4419" s="182">
        <v>6.48</v>
      </c>
      <c r="J4419" s="183">
        <f>(K2003/15)</f>
        <v>10964.46</v>
      </c>
      <c r="K4419" s="184">
        <f>(I4419*J4419)</f>
        <v>71049.700800000006</v>
      </c>
      <c r="V4419" s="258"/>
      <c r="W4419" s="258"/>
      <c r="X4419" s="258"/>
      <c r="Y4419" s="258"/>
    </row>
    <row r="4420" spans="1:25" x14ac:dyDescent="0.25">
      <c r="G4420" s="182" t="s">
        <v>1264</v>
      </c>
      <c r="H4420" s="216" t="s">
        <v>438</v>
      </c>
      <c r="I4420" s="182">
        <v>47.1</v>
      </c>
      <c r="J4420" s="183">
        <f>(K1271/20)</f>
        <v>174.07499999999999</v>
      </c>
      <c r="K4420" s="184">
        <f>(I4420*J4420)</f>
        <v>8198.932499999999</v>
      </c>
      <c r="V4420" s="258"/>
      <c r="W4420" s="258"/>
      <c r="X4420" s="258"/>
      <c r="Y4420" s="258"/>
    </row>
    <row r="4421" spans="1:25" x14ac:dyDescent="0.25">
      <c r="G4421" s="182" t="s">
        <v>1265</v>
      </c>
      <c r="H4421" s="216" t="s">
        <v>438</v>
      </c>
      <c r="I4421" s="182">
        <v>21.6</v>
      </c>
      <c r="J4421" s="183">
        <f>(K1271/20)</f>
        <v>174.07499999999999</v>
      </c>
      <c r="K4421" s="184">
        <f>(I4421*J4421)</f>
        <v>3760.02</v>
      </c>
      <c r="V4421" s="258"/>
      <c r="W4421" s="258"/>
      <c r="X4421" s="258"/>
      <c r="Y4421" s="258"/>
    </row>
    <row r="4422" spans="1:25" x14ac:dyDescent="0.25">
      <c r="A4422" s="537" t="s">
        <v>30</v>
      </c>
      <c r="B4422" s="537"/>
      <c r="C4422" s="537"/>
      <c r="D4422" s="537"/>
      <c r="E4422" s="537"/>
      <c r="F4422" s="184">
        <f>SUM(F4414:F4421)</f>
        <v>4985</v>
      </c>
      <c r="G4422" s="537" t="s">
        <v>31</v>
      </c>
      <c r="H4422" s="537"/>
      <c r="I4422" s="537"/>
      <c r="J4422" s="537"/>
      <c r="K4422" s="184">
        <f>SUM(K4414:K4421)</f>
        <v>94316.253300000011</v>
      </c>
      <c r="L4422" s="537" t="s">
        <v>32</v>
      </c>
      <c r="M4422" s="537"/>
      <c r="N4422" s="537"/>
      <c r="O4422" s="537"/>
      <c r="P4422" s="184">
        <f>SUM(P4414:P4421)</f>
        <v>5208</v>
      </c>
      <c r="Q4422" s="537" t="s">
        <v>38</v>
      </c>
      <c r="R4422" s="537"/>
      <c r="S4422" s="537"/>
      <c r="T4422" s="537"/>
      <c r="U4422" s="223">
        <f>SUM(U4414:U4421)</f>
        <v>0</v>
      </c>
      <c r="V4422" s="258"/>
      <c r="W4422" s="258"/>
      <c r="X4422" s="258"/>
      <c r="Y4422" s="258"/>
    </row>
    <row r="4423" spans="1:25" x14ac:dyDescent="0.25">
      <c r="A4423" s="537" t="s">
        <v>33</v>
      </c>
      <c r="B4423" s="537"/>
      <c r="C4423" s="537"/>
      <c r="D4423" s="537"/>
      <c r="E4423" s="537"/>
      <c r="F4423" s="184">
        <f>SUM(F4422+K4422+P4422)</f>
        <v>104509.25330000001</v>
      </c>
      <c r="G4423" s="537" t="s">
        <v>39</v>
      </c>
      <c r="H4423" s="537"/>
      <c r="I4423" s="537"/>
      <c r="J4423" s="537"/>
      <c r="K4423" s="184">
        <f>SUM(F4422+K4422+P4422+U4422)</f>
        <v>104509.25330000001</v>
      </c>
      <c r="L4423" s="537" t="s">
        <v>40</v>
      </c>
      <c r="M4423" s="537"/>
      <c r="N4423" s="537"/>
      <c r="O4423" s="537"/>
      <c r="P4423" s="184">
        <f>SUM(K4423*0.15)</f>
        <v>15676.387995000001</v>
      </c>
      <c r="Q4423" s="537" t="s">
        <v>41</v>
      </c>
      <c r="R4423" s="537"/>
      <c r="S4423" s="537"/>
      <c r="T4423" s="537"/>
      <c r="U4423" s="223">
        <f>SUM(K4423+P4423)</f>
        <v>120185.64129500001</v>
      </c>
      <c r="V4423" s="258"/>
      <c r="W4423" s="258"/>
      <c r="X4423" s="258"/>
      <c r="Y4423" s="258"/>
    </row>
    <row r="4424" spans="1:25" x14ac:dyDescent="0.25">
      <c r="Q4424" s="537" t="s">
        <v>42</v>
      </c>
      <c r="R4424" s="537"/>
      <c r="S4424" s="537"/>
      <c r="T4424" s="537"/>
      <c r="U4424" s="224">
        <f>ROUND((U4423/100),2)</f>
        <v>1201.8599999999999</v>
      </c>
      <c r="V4424" s="258"/>
      <c r="W4424" s="258"/>
      <c r="X4424" s="258"/>
      <c r="Y4424" s="258"/>
    </row>
    <row r="4425" spans="1:25" x14ac:dyDescent="0.25">
      <c r="A4425" s="544"/>
      <c r="B4425" s="544"/>
      <c r="C4425" s="544"/>
      <c r="D4425" s="544"/>
      <c r="E4425" s="544"/>
      <c r="F4425" s="544"/>
      <c r="G4425" s="544"/>
      <c r="H4425" s="544"/>
      <c r="I4425" s="544"/>
      <c r="J4425" s="544"/>
      <c r="K4425" s="544"/>
      <c r="L4425" s="544"/>
      <c r="M4425" s="544"/>
      <c r="N4425" s="544"/>
      <c r="O4425" s="544"/>
      <c r="P4425" s="544"/>
      <c r="Q4425" s="544"/>
      <c r="R4425" s="544"/>
      <c r="S4425" s="544"/>
      <c r="T4425" s="544"/>
      <c r="U4425" s="544"/>
      <c r="V4425" s="258"/>
      <c r="W4425" s="258"/>
      <c r="X4425" s="258"/>
      <c r="Y4425" s="258"/>
    </row>
    <row r="4426" spans="1:25" x14ac:dyDescent="0.25">
      <c r="A4426" s="538" t="s">
        <v>12</v>
      </c>
      <c r="B4426" s="538"/>
      <c r="C4426" s="540" t="s">
        <v>1266</v>
      </c>
      <c r="D4426" s="540"/>
      <c r="E4426" s="540"/>
      <c r="F4426" s="540"/>
      <c r="G4426" s="540"/>
      <c r="H4426" s="540"/>
      <c r="I4426" s="540"/>
      <c r="J4426" s="540"/>
      <c r="K4426" s="540"/>
      <c r="L4426" s="540"/>
      <c r="M4426" s="540"/>
      <c r="N4426" s="540"/>
      <c r="O4426" s="540"/>
      <c r="P4426" s="540"/>
      <c r="Q4426" s="540"/>
      <c r="R4426" s="540"/>
      <c r="S4426" s="540"/>
      <c r="T4426" s="540"/>
      <c r="U4426" s="541" t="s">
        <v>1257</v>
      </c>
      <c r="V4426" s="258"/>
      <c r="W4426" s="258"/>
      <c r="X4426" s="258"/>
      <c r="Y4426" s="258"/>
    </row>
    <row r="4427" spans="1:25" x14ac:dyDescent="0.25">
      <c r="A4427" s="538"/>
      <c r="B4427" s="538"/>
      <c r="C4427" s="540"/>
      <c r="D4427" s="540"/>
      <c r="E4427" s="540"/>
      <c r="F4427" s="540"/>
      <c r="G4427" s="540"/>
      <c r="H4427" s="540"/>
      <c r="I4427" s="540"/>
      <c r="J4427" s="540"/>
      <c r="K4427" s="540"/>
      <c r="L4427" s="540"/>
      <c r="M4427" s="540"/>
      <c r="N4427" s="540"/>
      <c r="O4427" s="540"/>
      <c r="P4427" s="540"/>
      <c r="Q4427" s="540"/>
      <c r="R4427" s="540"/>
      <c r="S4427" s="540"/>
      <c r="T4427" s="540"/>
      <c r="U4427" s="541"/>
      <c r="V4427" s="258"/>
      <c r="W4427" s="258"/>
      <c r="X4427" s="258"/>
      <c r="Y4427" s="258"/>
    </row>
    <row r="4428" spans="1:25" x14ac:dyDescent="0.25">
      <c r="A4428" s="539" t="s">
        <v>1226</v>
      </c>
      <c r="B4428" s="539"/>
      <c r="C4428" s="540"/>
      <c r="D4428" s="540"/>
      <c r="E4428" s="540"/>
      <c r="F4428" s="540"/>
      <c r="G4428" s="540"/>
      <c r="H4428" s="540"/>
      <c r="I4428" s="540"/>
      <c r="J4428" s="540"/>
      <c r="K4428" s="540"/>
      <c r="L4428" s="540"/>
      <c r="M4428" s="540"/>
      <c r="N4428" s="540"/>
      <c r="O4428" s="540"/>
      <c r="P4428" s="540"/>
      <c r="Q4428" s="540"/>
      <c r="R4428" s="540"/>
      <c r="S4428" s="540"/>
      <c r="T4428" s="540"/>
      <c r="U4428" s="541"/>
      <c r="V4428" s="258"/>
      <c r="W4428" s="258"/>
      <c r="X4428" s="258"/>
      <c r="Y4428" s="258"/>
    </row>
    <row r="4429" spans="1:25" x14ac:dyDescent="0.25">
      <c r="A4429" s="542" t="s">
        <v>16</v>
      </c>
      <c r="B4429" s="543" t="s">
        <v>18</v>
      </c>
      <c r="C4429" s="543"/>
      <c r="D4429" s="543"/>
      <c r="E4429" s="543"/>
      <c r="F4429" s="543"/>
      <c r="G4429" s="543" t="s">
        <v>24</v>
      </c>
      <c r="H4429" s="543"/>
      <c r="I4429" s="543"/>
      <c r="J4429" s="543"/>
      <c r="K4429" s="543"/>
      <c r="L4429" s="543" t="s">
        <v>25</v>
      </c>
      <c r="M4429" s="543"/>
      <c r="N4429" s="543"/>
      <c r="O4429" s="543"/>
      <c r="P4429" s="543"/>
      <c r="Q4429" s="543" t="s">
        <v>26</v>
      </c>
      <c r="R4429" s="543"/>
      <c r="S4429" s="543"/>
      <c r="T4429" s="543"/>
      <c r="U4429" s="543"/>
    </row>
    <row r="4430" spans="1:25" x14ac:dyDescent="0.25">
      <c r="A4430" s="542"/>
      <c r="B4430" s="182" t="s">
        <v>19</v>
      </c>
      <c r="C4430" s="182" t="s">
        <v>20</v>
      </c>
      <c r="D4430" s="182" t="s">
        <v>21</v>
      </c>
      <c r="E4430" s="182" t="s">
        <v>22</v>
      </c>
      <c r="F4430" s="182" t="s">
        <v>23</v>
      </c>
      <c r="G4430" s="182" t="s">
        <v>19</v>
      </c>
      <c r="H4430" s="216" t="s">
        <v>20</v>
      </c>
      <c r="I4430" s="182" t="s">
        <v>21</v>
      </c>
      <c r="J4430" s="182" t="s">
        <v>22</v>
      </c>
      <c r="K4430" s="182" t="s">
        <v>23</v>
      </c>
      <c r="L4430" s="182" t="s">
        <v>19</v>
      </c>
      <c r="M4430" s="182" t="s">
        <v>20</v>
      </c>
      <c r="N4430" s="182" t="s">
        <v>21</v>
      </c>
      <c r="O4430" s="182" t="s">
        <v>22</v>
      </c>
      <c r="P4430" s="182" t="s">
        <v>23</v>
      </c>
      <c r="Q4430" s="182" t="s">
        <v>19</v>
      </c>
      <c r="R4430" s="182" t="s">
        <v>20</v>
      </c>
      <c r="S4430" s="182" t="s">
        <v>21</v>
      </c>
      <c r="T4430" s="182" t="s">
        <v>22</v>
      </c>
      <c r="U4430" s="211" t="s">
        <v>23</v>
      </c>
    </row>
    <row r="4431" spans="1:25" ht="31.5" x14ac:dyDescent="0.25">
      <c r="A4431" s="183" t="s">
        <v>1267</v>
      </c>
      <c r="B4431" s="182" t="s">
        <v>1259</v>
      </c>
      <c r="C4431" s="182" t="s">
        <v>28</v>
      </c>
      <c r="D4431" s="182">
        <v>1</v>
      </c>
      <c r="E4431" s="182">
        <f>skilled_plumber</f>
        <v>1245</v>
      </c>
      <c r="F4431" s="184">
        <f>(D4431*E4431)</f>
        <v>1245</v>
      </c>
      <c r="G4431" s="182" t="s">
        <v>1260</v>
      </c>
      <c r="H4431" s="216" t="s">
        <v>75</v>
      </c>
      <c r="I4431" s="182">
        <v>300</v>
      </c>
      <c r="J4431" s="182">
        <f>adopted_rate_ms_pipe_50_mm</f>
        <v>0</v>
      </c>
      <c r="K4431" s="182">
        <f>(I4431*J4431)</f>
        <v>0</v>
      </c>
      <c r="L4431" s="182" t="s">
        <v>65</v>
      </c>
      <c r="M4431" s="182" t="s">
        <v>58</v>
      </c>
      <c r="N4431" s="182">
        <v>6</v>
      </c>
      <c r="O4431" s="182">
        <f>tractor</f>
        <v>868</v>
      </c>
      <c r="P4431" s="184">
        <f>(N4431*O4431)</f>
        <v>5208</v>
      </c>
    </row>
    <row r="4432" spans="1:25" x14ac:dyDescent="0.25">
      <c r="B4432" s="182" t="s">
        <v>29</v>
      </c>
      <c r="C4432" s="182" t="s">
        <v>28</v>
      </c>
      <c r="D4432" s="182">
        <v>6</v>
      </c>
      <c r="E4432" s="182">
        <f>unskilled</f>
        <v>935</v>
      </c>
      <c r="F4432" s="184">
        <f>(D4432*E4432)</f>
        <v>5610</v>
      </c>
      <c r="G4432" s="182" t="s">
        <v>459</v>
      </c>
      <c r="H4432" s="216" t="s">
        <v>84</v>
      </c>
      <c r="I4432" s="182">
        <v>12.96</v>
      </c>
      <c r="J4432" s="183">
        <f>(K311/10)</f>
        <v>872.5</v>
      </c>
      <c r="K4432" s="184">
        <f>(I4432*J4432)</f>
        <v>11307.6</v>
      </c>
    </row>
    <row r="4433" spans="1:21" x14ac:dyDescent="0.25">
      <c r="G4433" s="182" t="s">
        <v>1268</v>
      </c>
      <c r="H4433" s="216" t="s">
        <v>84</v>
      </c>
      <c r="I4433" s="182">
        <v>6.48</v>
      </c>
      <c r="J4433" s="183">
        <f>(K2003/15)</f>
        <v>10964.46</v>
      </c>
      <c r="K4433" s="184">
        <f>(I4433*J4433)</f>
        <v>71049.700800000006</v>
      </c>
    </row>
    <row r="4434" spans="1:21" x14ac:dyDescent="0.25">
      <c r="G4434" s="182" t="s">
        <v>1269</v>
      </c>
      <c r="H4434" s="216" t="s">
        <v>84</v>
      </c>
      <c r="I4434" s="182">
        <v>3.2</v>
      </c>
      <c r="J4434" s="183">
        <f>(K2047/15)</f>
        <v>12000.501066666669</v>
      </c>
      <c r="K4434" s="184">
        <f>(I4434*J4434)</f>
        <v>38401.603413333345</v>
      </c>
    </row>
    <row r="4435" spans="1:21" x14ac:dyDescent="0.25">
      <c r="G4435" s="182" t="s">
        <v>1264</v>
      </c>
      <c r="H4435" s="216" t="s">
        <v>438</v>
      </c>
      <c r="I4435" s="182">
        <v>47.1</v>
      </c>
      <c r="J4435" s="183">
        <f>(K1271/20)</f>
        <v>174.07499999999999</v>
      </c>
      <c r="K4435" s="184">
        <f>(I4435*J4435)</f>
        <v>8198.932499999999</v>
      </c>
    </row>
    <row r="4436" spans="1:21" x14ac:dyDescent="0.25">
      <c r="A4436" s="537" t="s">
        <v>30</v>
      </c>
      <c r="B4436" s="537"/>
      <c r="C4436" s="537"/>
      <c r="D4436" s="537"/>
      <c r="E4436" s="537"/>
      <c r="F4436" s="184">
        <f>SUM(F4430:F4435)</f>
        <v>6855</v>
      </c>
      <c r="G4436" s="537" t="s">
        <v>31</v>
      </c>
      <c r="H4436" s="537"/>
      <c r="I4436" s="537"/>
      <c r="J4436" s="537"/>
      <c r="K4436" s="184">
        <f>SUM(K4430:K4435)</f>
        <v>128957.83671333335</v>
      </c>
      <c r="L4436" s="537" t="s">
        <v>32</v>
      </c>
      <c r="M4436" s="537"/>
      <c r="N4436" s="537"/>
      <c r="O4436" s="537"/>
      <c r="P4436" s="184">
        <f>SUM(P4430:P4435)</f>
        <v>5208</v>
      </c>
      <c r="Q4436" s="537" t="s">
        <v>38</v>
      </c>
      <c r="R4436" s="537"/>
      <c r="S4436" s="537"/>
      <c r="T4436" s="537"/>
      <c r="U4436" s="223">
        <f>SUM(U4430:U4435)</f>
        <v>0</v>
      </c>
    </row>
    <row r="4437" spans="1:21" x14ac:dyDescent="0.25">
      <c r="A4437" s="537" t="s">
        <v>33</v>
      </c>
      <c r="B4437" s="537"/>
      <c r="C4437" s="537"/>
      <c r="D4437" s="537"/>
      <c r="E4437" s="537"/>
      <c r="F4437" s="184">
        <f>SUM(F4436+K4436+P4436)</f>
        <v>141020.83671333335</v>
      </c>
      <c r="G4437" s="537" t="s">
        <v>39</v>
      </c>
      <c r="H4437" s="537"/>
      <c r="I4437" s="537"/>
      <c r="J4437" s="537"/>
      <c r="K4437" s="184">
        <f>SUM(F4436+K4436+P4436+U4436)</f>
        <v>141020.83671333335</v>
      </c>
      <c r="L4437" s="537" t="s">
        <v>40</v>
      </c>
      <c r="M4437" s="537"/>
      <c r="N4437" s="537"/>
      <c r="O4437" s="537"/>
      <c r="P4437" s="184">
        <f>SUM(K4437*0.15)</f>
        <v>21153.125507000001</v>
      </c>
      <c r="Q4437" s="537" t="s">
        <v>41</v>
      </c>
      <c r="R4437" s="537"/>
      <c r="S4437" s="537"/>
      <c r="T4437" s="537"/>
      <c r="U4437" s="223">
        <f>SUM(K4437+P4437)</f>
        <v>162173.96222033334</v>
      </c>
    </row>
    <row r="4438" spans="1:21" x14ac:dyDescent="0.25">
      <c r="Q4438" s="537" t="s">
        <v>42</v>
      </c>
      <c r="R4438" s="537"/>
      <c r="S4438" s="537"/>
      <c r="T4438" s="537"/>
      <c r="U4438" s="224">
        <f>ROUND((U4437/100),2)</f>
        <v>1621.74</v>
      </c>
    </row>
    <row r="4439" spans="1:21" x14ac:dyDescent="0.25">
      <c r="A4439" s="544"/>
      <c r="B4439" s="544"/>
      <c r="C4439" s="544"/>
      <c r="D4439" s="544"/>
      <c r="E4439" s="544"/>
      <c r="F4439" s="544"/>
      <c r="G4439" s="544"/>
      <c r="H4439" s="544"/>
      <c r="I4439" s="544"/>
      <c r="J4439" s="544"/>
      <c r="K4439" s="544"/>
      <c r="L4439" s="544"/>
      <c r="M4439" s="544"/>
      <c r="N4439" s="544"/>
      <c r="O4439" s="544"/>
      <c r="P4439" s="544"/>
      <c r="Q4439" s="544"/>
      <c r="R4439" s="544"/>
      <c r="S4439" s="544"/>
      <c r="T4439" s="544"/>
      <c r="U4439" s="544"/>
    </row>
    <row r="4440" spans="1:21" x14ac:dyDescent="0.25">
      <c r="A4440" s="538" t="s">
        <v>12</v>
      </c>
      <c r="B4440" s="538"/>
      <c r="C4440" s="540" t="s">
        <v>14</v>
      </c>
      <c r="D4440" s="540"/>
      <c r="E4440" s="540"/>
      <c r="F4440" s="540"/>
      <c r="G4440" s="540"/>
      <c r="H4440" s="540"/>
      <c r="I4440" s="540"/>
      <c r="J4440" s="540"/>
      <c r="K4440" s="540"/>
      <c r="L4440" s="540"/>
      <c r="M4440" s="540"/>
      <c r="N4440" s="540"/>
      <c r="O4440" s="540"/>
      <c r="P4440" s="540"/>
      <c r="Q4440" s="540"/>
      <c r="R4440" s="540"/>
      <c r="S4440" s="540"/>
      <c r="T4440" s="540"/>
      <c r="U4440" s="541" t="s">
        <v>15</v>
      </c>
    </row>
    <row r="4441" spans="1:21" x14ac:dyDescent="0.25">
      <c r="A4441" s="538"/>
      <c r="B4441" s="538"/>
      <c r="C4441" s="540"/>
      <c r="D4441" s="540"/>
      <c r="E4441" s="540"/>
      <c r="F4441" s="540"/>
      <c r="G4441" s="540"/>
      <c r="H4441" s="540"/>
      <c r="I4441" s="540"/>
      <c r="J4441" s="540"/>
      <c r="K4441" s="540"/>
      <c r="L4441" s="540"/>
      <c r="M4441" s="540"/>
      <c r="N4441" s="540"/>
      <c r="O4441" s="540"/>
      <c r="P4441" s="540"/>
      <c r="Q4441" s="540"/>
      <c r="R4441" s="540"/>
      <c r="S4441" s="540"/>
      <c r="T4441" s="540"/>
      <c r="U4441" s="541"/>
    </row>
    <row r="4442" spans="1:21" x14ac:dyDescent="0.25">
      <c r="A4442" s="539" t="s">
        <v>13</v>
      </c>
      <c r="B4442" s="539"/>
      <c r="C4442" s="540"/>
      <c r="D4442" s="540"/>
      <c r="E4442" s="540"/>
      <c r="F4442" s="540"/>
      <c r="G4442" s="540"/>
      <c r="H4442" s="540"/>
      <c r="I4442" s="540"/>
      <c r="J4442" s="540"/>
      <c r="K4442" s="540"/>
      <c r="L4442" s="540"/>
      <c r="M4442" s="540"/>
      <c r="N4442" s="540"/>
      <c r="O4442" s="540"/>
      <c r="P4442" s="540"/>
      <c r="Q4442" s="540"/>
      <c r="R4442" s="540"/>
      <c r="S4442" s="540"/>
      <c r="T4442" s="540"/>
      <c r="U4442" s="541"/>
    </row>
    <row r="4443" spans="1:21" x14ac:dyDescent="0.25">
      <c r="A4443" s="542" t="s">
        <v>16</v>
      </c>
      <c r="B4443" s="543" t="s">
        <v>18</v>
      </c>
      <c r="C4443" s="543"/>
      <c r="D4443" s="543"/>
      <c r="E4443" s="543"/>
      <c r="F4443" s="543"/>
      <c r="G4443" s="543" t="s">
        <v>24</v>
      </c>
      <c r="H4443" s="543"/>
      <c r="I4443" s="543"/>
      <c r="J4443" s="543"/>
      <c r="K4443" s="543"/>
      <c r="L4443" s="543" t="s">
        <v>25</v>
      </c>
      <c r="M4443" s="543"/>
      <c r="N4443" s="543"/>
      <c r="O4443" s="543"/>
      <c r="P4443" s="543"/>
      <c r="Q4443" s="543" t="s">
        <v>26</v>
      </c>
      <c r="R4443" s="543"/>
      <c r="S4443" s="543"/>
      <c r="T4443" s="543"/>
      <c r="U4443" s="543"/>
    </row>
    <row r="4444" spans="1:21" x14ac:dyDescent="0.25">
      <c r="A4444" s="542"/>
      <c r="B4444" s="182" t="s">
        <v>19</v>
      </c>
      <c r="C4444" s="182" t="s">
        <v>20</v>
      </c>
      <c r="D4444" s="182" t="s">
        <v>21</v>
      </c>
      <c r="E4444" s="182" t="s">
        <v>22</v>
      </c>
      <c r="F4444" s="182" t="s">
        <v>23</v>
      </c>
      <c r="G4444" s="182" t="s">
        <v>19</v>
      </c>
      <c r="H4444" s="216" t="s">
        <v>20</v>
      </c>
      <c r="I4444" s="182" t="s">
        <v>21</v>
      </c>
      <c r="J4444" s="182" t="s">
        <v>22</v>
      </c>
      <c r="K4444" s="182" t="s">
        <v>23</v>
      </c>
      <c r="L4444" s="182" t="s">
        <v>19</v>
      </c>
      <c r="M4444" s="182" t="s">
        <v>20</v>
      </c>
      <c r="N4444" s="182" t="s">
        <v>21</v>
      </c>
      <c r="O4444" s="182" t="s">
        <v>22</v>
      </c>
      <c r="P4444" s="182" t="s">
        <v>23</v>
      </c>
      <c r="Q4444" s="182" t="s">
        <v>19</v>
      </c>
      <c r="R4444" s="182" t="s">
        <v>20</v>
      </c>
      <c r="S4444" s="182" t="s">
        <v>21</v>
      </c>
      <c r="T4444" s="182" t="s">
        <v>22</v>
      </c>
      <c r="U4444" s="211" t="s">
        <v>23</v>
      </c>
    </row>
    <row r="4445" spans="1:21" ht="31.5" x14ac:dyDescent="0.25">
      <c r="A4445" s="183" t="s">
        <v>17</v>
      </c>
      <c r="B4445" s="182" t="s">
        <v>27</v>
      </c>
      <c r="C4445" s="182" t="s">
        <v>28</v>
      </c>
      <c r="D4445" s="182">
        <v>4</v>
      </c>
      <c r="E4445" s="182">
        <f>skilled_blacksmith</f>
        <v>1245</v>
      </c>
      <c r="F4445" s="184">
        <f>(D4445*E4445)</f>
        <v>4980</v>
      </c>
      <c r="G4445" s="182" t="s">
        <v>34</v>
      </c>
      <c r="H4445" s="216" t="s">
        <v>35</v>
      </c>
      <c r="I4445" s="182">
        <v>1.1000000000000001</v>
      </c>
      <c r="J4445" s="182">
        <f>adopted_rate_HYSD_bar</f>
        <v>100000</v>
      </c>
      <c r="K4445" s="182">
        <f>(I4445*J4445)</f>
        <v>110000.00000000001</v>
      </c>
    </row>
    <row r="4446" spans="1:21" x14ac:dyDescent="0.25">
      <c r="B4446" s="182" t="s">
        <v>29</v>
      </c>
      <c r="C4446" s="182" t="s">
        <v>28</v>
      </c>
      <c r="D4446" s="182">
        <v>12</v>
      </c>
      <c r="E4446" s="182">
        <f>unskilled</f>
        <v>935</v>
      </c>
      <c r="F4446" s="184">
        <f>(D4446*E4446)</f>
        <v>11220</v>
      </c>
      <c r="G4446" s="182" t="s">
        <v>36</v>
      </c>
      <c r="H4446" s="216" t="s">
        <v>37</v>
      </c>
      <c r="I4446" s="182">
        <v>8</v>
      </c>
      <c r="J4446" s="182">
        <f>adopted_rate_binding_wire</f>
        <v>120</v>
      </c>
      <c r="K4446" s="182">
        <f>(I4446*J4446)</f>
        <v>960</v>
      </c>
    </row>
    <row r="4447" spans="1:21" x14ac:dyDescent="0.25">
      <c r="A4447" s="537" t="s">
        <v>30</v>
      </c>
      <c r="B4447" s="537"/>
      <c r="C4447" s="537"/>
      <c r="D4447" s="537"/>
      <c r="E4447" s="537"/>
      <c r="F4447" s="184">
        <f>SUM(F4444:F4446)</f>
        <v>16200</v>
      </c>
      <c r="G4447" s="537" t="s">
        <v>31</v>
      </c>
      <c r="H4447" s="537"/>
      <c r="I4447" s="537"/>
      <c r="J4447" s="537"/>
      <c r="K4447" s="184">
        <f>SUM(K4444:K4446)</f>
        <v>110960.00000000001</v>
      </c>
      <c r="L4447" s="537" t="s">
        <v>32</v>
      </c>
      <c r="M4447" s="537"/>
      <c r="N4447" s="537"/>
      <c r="O4447" s="537"/>
      <c r="P4447" s="184">
        <f>SUM(P4444:P4446)</f>
        <v>0</v>
      </c>
      <c r="Q4447" s="537" t="s">
        <v>38</v>
      </c>
      <c r="R4447" s="537"/>
      <c r="S4447" s="537"/>
      <c r="T4447" s="537"/>
      <c r="U4447" s="223">
        <f>SUM(U4444:U4446)</f>
        <v>0</v>
      </c>
    </row>
    <row r="4448" spans="1:21" x14ac:dyDescent="0.25">
      <c r="A4448" s="537" t="s">
        <v>33</v>
      </c>
      <c r="B4448" s="537"/>
      <c r="C4448" s="537"/>
      <c r="D4448" s="537"/>
      <c r="E4448" s="537"/>
      <c r="F4448" s="184">
        <f>SUM(F4447+K4447+P4447)</f>
        <v>127160.00000000001</v>
      </c>
      <c r="G4448" s="537" t="s">
        <v>39</v>
      </c>
      <c r="H4448" s="537"/>
      <c r="I4448" s="537"/>
      <c r="J4448" s="537"/>
      <c r="K4448" s="184">
        <f>SUM(F4447+K4447+P4447+U4447)</f>
        <v>127160.00000000001</v>
      </c>
      <c r="L4448" s="537" t="s">
        <v>40</v>
      </c>
      <c r="M4448" s="537"/>
      <c r="N4448" s="537"/>
      <c r="O4448" s="537"/>
      <c r="P4448" s="184">
        <f>SUM(K4448*0.15)</f>
        <v>19074</v>
      </c>
      <c r="Q4448" s="537" t="s">
        <v>41</v>
      </c>
      <c r="R4448" s="537"/>
      <c r="S4448" s="537"/>
      <c r="T4448" s="537"/>
      <c r="U4448" s="223">
        <f>SUM(K4448+P4448)</f>
        <v>146234</v>
      </c>
    </row>
    <row r="4449" spans="1:21" x14ac:dyDescent="0.25">
      <c r="Q4449" s="537" t="s">
        <v>42</v>
      </c>
      <c r="R4449" s="537"/>
      <c r="S4449" s="537"/>
      <c r="T4449" s="537"/>
      <c r="U4449" s="224">
        <f>ROUND((U4448/1),2)</f>
        <v>146234</v>
      </c>
    </row>
    <row r="4453" spans="1:21" x14ac:dyDescent="0.25">
      <c r="A4453" s="525" t="s">
        <v>12</v>
      </c>
      <c r="B4453" s="525"/>
      <c r="C4453" s="540" t="s">
        <v>2280</v>
      </c>
      <c r="D4453" s="540"/>
      <c r="E4453" s="540"/>
      <c r="F4453" s="540"/>
      <c r="G4453" s="540"/>
      <c r="H4453" s="540"/>
      <c r="I4453" s="540"/>
      <c r="J4453" s="540"/>
      <c r="K4453" s="540"/>
      <c r="L4453" s="540"/>
      <c r="M4453" s="540"/>
      <c r="N4453" s="540"/>
      <c r="O4453" s="540"/>
      <c r="P4453" s="540"/>
      <c r="Q4453" s="540"/>
      <c r="R4453" s="540"/>
      <c r="S4453" s="540"/>
      <c r="T4453" s="540"/>
      <c r="U4453" s="524" t="s">
        <v>197</v>
      </c>
    </row>
    <row r="4454" spans="1:21" x14ac:dyDescent="0.25">
      <c r="A4454" s="525"/>
      <c r="B4454" s="525"/>
      <c r="C4454" s="540"/>
      <c r="D4454" s="540"/>
      <c r="E4454" s="540"/>
      <c r="F4454" s="540"/>
      <c r="G4454" s="540"/>
      <c r="H4454" s="540"/>
      <c r="I4454" s="540"/>
      <c r="J4454" s="540"/>
      <c r="K4454" s="540"/>
      <c r="L4454" s="540"/>
      <c r="M4454" s="540"/>
      <c r="N4454" s="540"/>
      <c r="O4454" s="540"/>
      <c r="P4454" s="540"/>
      <c r="Q4454" s="540"/>
      <c r="R4454" s="540"/>
      <c r="S4454" s="540"/>
      <c r="T4454" s="540"/>
      <c r="U4454" s="524"/>
    </row>
    <row r="4455" spans="1:21" x14ac:dyDescent="0.25">
      <c r="A4455" s="527" t="s">
        <v>973</v>
      </c>
      <c r="B4455" s="527"/>
      <c r="C4455" s="540"/>
      <c r="D4455" s="540"/>
      <c r="E4455" s="540"/>
      <c r="F4455" s="540"/>
      <c r="G4455" s="540"/>
      <c r="H4455" s="540"/>
      <c r="I4455" s="540"/>
      <c r="J4455" s="540"/>
      <c r="K4455" s="540"/>
      <c r="L4455" s="540"/>
      <c r="M4455" s="540"/>
      <c r="N4455" s="540"/>
      <c r="O4455" s="540"/>
      <c r="P4455" s="540"/>
      <c r="Q4455" s="540"/>
      <c r="R4455" s="540"/>
      <c r="S4455" s="540"/>
      <c r="T4455" s="540"/>
      <c r="U4455" s="524"/>
    </row>
    <row r="4456" spans="1:21" x14ac:dyDescent="0.25">
      <c r="A4456" s="528" t="s">
        <v>16</v>
      </c>
      <c r="B4456" s="529" t="s">
        <v>18</v>
      </c>
      <c r="C4456" s="529"/>
      <c r="D4456" s="529"/>
      <c r="E4456" s="529"/>
      <c r="F4456" s="529"/>
      <c r="G4456" s="529" t="s">
        <v>24</v>
      </c>
      <c r="H4456" s="529"/>
      <c r="I4456" s="529"/>
      <c r="J4456" s="529"/>
      <c r="K4456" s="529"/>
      <c r="L4456" s="529" t="s">
        <v>25</v>
      </c>
      <c r="M4456" s="529"/>
      <c r="N4456" s="529"/>
      <c r="O4456" s="529"/>
      <c r="P4456" s="529"/>
      <c r="Q4456" s="529" t="s">
        <v>26</v>
      </c>
      <c r="R4456" s="529"/>
      <c r="S4456" s="529"/>
      <c r="T4456" s="529"/>
      <c r="U4456" s="529"/>
    </row>
    <row r="4457" spans="1:21" x14ac:dyDescent="0.25">
      <c r="A4457" s="528"/>
      <c r="B4457" s="197" t="s">
        <v>19</v>
      </c>
      <c r="C4457" s="197" t="s">
        <v>20</v>
      </c>
      <c r="D4457" s="197" t="s">
        <v>21</v>
      </c>
      <c r="E4457" s="197" t="s">
        <v>22</v>
      </c>
      <c r="F4457" s="197" t="s">
        <v>23</v>
      </c>
      <c r="G4457" s="197" t="s">
        <v>19</v>
      </c>
      <c r="H4457" s="219" t="s">
        <v>20</v>
      </c>
      <c r="I4457" s="197" t="s">
        <v>21</v>
      </c>
      <c r="J4457" s="197" t="s">
        <v>22</v>
      </c>
      <c r="K4457" s="197" t="s">
        <v>23</v>
      </c>
      <c r="L4457" s="197" t="s">
        <v>19</v>
      </c>
      <c r="M4457" s="197" t="s">
        <v>20</v>
      </c>
      <c r="N4457" s="197" t="s">
        <v>21</v>
      </c>
      <c r="O4457" s="197" t="s">
        <v>22</v>
      </c>
      <c r="P4457" s="197" t="s">
        <v>23</v>
      </c>
      <c r="Q4457" s="197" t="s">
        <v>19</v>
      </c>
      <c r="R4457" s="197" t="s">
        <v>20</v>
      </c>
      <c r="S4457" s="197" t="s">
        <v>21</v>
      </c>
      <c r="T4457" s="197" t="s">
        <v>22</v>
      </c>
      <c r="U4457" s="214" t="s">
        <v>23</v>
      </c>
    </row>
    <row r="4458" spans="1:21" x14ac:dyDescent="0.25">
      <c r="A4458" s="245" t="s">
        <v>976</v>
      </c>
      <c r="B4458" s="197" t="s">
        <v>29</v>
      </c>
      <c r="C4458" s="197" t="s">
        <v>28</v>
      </c>
      <c r="D4458" s="197"/>
      <c r="E4458" s="197">
        <f>unskilled</f>
        <v>935</v>
      </c>
      <c r="F4458" s="201">
        <f>(D4458*E4458)</f>
        <v>0</v>
      </c>
      <c r="G4458" s="219" t="s">
        <v>2281</v>
      </c>
      <c r="H4458" s="219" t="s">
        <v>438</v>
      </c>
      <c r="I4458" s="197">
        <v>6</v>
      </c>
      <c r="J4458" s="197">
        <f>Gabion_100x120_MW3_SW3.9_LW2.4</f>
        <v>270</v>
      </c>
      <c r="K4458" s="197">
        <f>(I4458*J4458)</f>
        <v>1620</v>
      </c>
      <c r="L4458" s="199"/>
      <c r="M4458" s="199"/>
      <c r="N4458" s="199"/>
      <c r="O4458" s="199"/>
      <c r="P4458" s="199"/>
      <c r="Q4458" s="199"/>
      <c r="R4458" s="199"/>
      <c r="S4458" s="199"/>
      <c r="T4458" s="199"/>
      <c r="U4458" s="215"/>
    </row>
    <row r="4459" spans="1:21" x14ac:dyDescent="0.25">
      <c r="A4459" s="199"/>
      <c r="B4459" s="197" t="s">
        <v>47</v>
      </c>
      <c r="C4459" s="197" t="s">
        <v>28</v>
      </c>
      <c r="D4459" s="197"/>
      <c r="E4459" s="197">
        <f>skilled</f>
        <v>1245</v>
      </c>
      <c r="F4459" s="201">
        <f>(D4459*E4459)</f>
        <v>0</v>
      </c>
      <c r="G4459" s="197"/>
      <c r="H4459" s="219"/>
      <c r="I4459" s="197"/>
      <c r="J4459" s="197"/>
      <c r="K4459" s="197">
        <f>(I4459*J4459)</f>
        <v>0</v>
      </c>
      <c r="L4459" s="199"/>
      <c r="M4459" s="199"/>
      <c r="N4459" s="199"/>
      <c r="O4459" s="199"/>
      <c r="P4459" s="199"/>
      <c r="Q4459" s="199"/>
      <c r="R4459" s="199"/>
      <c r="S4459" s="199"/>
      <c r="T4459" s="199"/>
      <c r="U4459" s="215"/>
    </row>
    <row r="4460" spans="1:21" x14ac:dyDescent="0.25">
      <c r="A4460" s="199"/>
      <c r="B4460" s="199"/>
      <c r="C4460" s="199"/>
      <c r="D4460" s="199"/>
      <c r="E4460" s="199"/>
      <c r="F4460" s="199"/>
      <c r="G4460" s="197"/>
      <c r="H4460" s="219"/>
      <c r="I4460" s="197"/>
      <c r="J4460" s="197"/>
      <c r="K4460" s="197">
        <f>(I4460*J4460)</f>
        <v>0</v>
      </c>
      <c r="L4460" s="199"/>
      <c r="M4460" s="199"/>
      <c r="N4460" s="199"/>
      <c r="O4460" s="199"/>
      <c r="P4460" s="199"/>
      <c r="Q4460" s="199"/>
      <c r="R4460" s="199"/>
      <c r="S4460" s="199"/>
      <c r="T4460" s="199"/>
      <c r="U4460" s="215"/>
    </row>
    <row r="4461" spans="1:21" x14ac:dyDescent="0.25">
      <c r="A4461" s="199"/>
      <c r="B4461" s="199"/>
      <c r="C4461" s="199"/>
      <c r="D4461" s="199"/>
      <c r="E4461" s="199"/>
      <c r="F4461" s="199"/>
      <c r="G4461" s="197"/>
      <c r="H4461" s="219"/>
      <c r="I4461" s="197"/>
      <c r="J4461" s="197"/>
      <c r="K4461" s="197">
        <f>(I4461*J4461)</f>
        <v>0</v>
      </c>
      <c r="L4461" s="199"/>
      <c r="M4461" s="199"/>
      <c r="N4461" s="199"/>
      <c r="O4461" s="199"/>
      <c r="P4461" s="199"/>
      <c r="Q4461" s="199"/>
      <c r="R4461" s="199"/>
      <c r="S4461" s="199"/>
      <c r="T4461" s="199"/>
      <c r="U4461" s="215"/>
    </row>
    <row r="4462" spans="1:21" x14ac:dyDescent="0.25">
      <c r="A4462" s="524" t="s">
        <v>30</v>
      </c>
      <c r="B4462" s="524"/>
      <c r="C4462" s="524"/>
      <c r="D4462" s="524"/>
      <c r="E4462" s="524"/>
      <c r="F4462" s="201">
        <f>SUM(F4457:F4461)</f>
        <v>0</v>
      </c>
      <c r="G4462" s="524" t="s">
        <v>31</v>
      </c>
      <c r="H4462" s="524"/>
      <c r="I4462" s="524"/>
      <c r="J4462" s="524"/>
      <c r="K4462" s="201">
        <f>SUM(K4457:K4461)</f>
        <v>1620</v>
      </c>
      <c r="L4462" s="524" t="s">
        <v>32</v>
      </c>
      <c r="M4462" s="524"/>
      <c r="N4462" s="524"/>
      <c r="O4462" s="524"/>
      <c r="P4462" s="201">
        <f>SUM(P4457:P4461)</f>
        <v>0</v>
      </c>
      <c r="Q4462" s="524" t="s">
        <v>38</v>
      </c>
      <c r="R4462" s="524"/>
      <c r="S4462" s="524"/>
      <c r="T4462" s="524"/>
      <c r="U4462" s="225">
        <f>SUM(U4457:U4461)</f>
        <v>0</v>
      </c>
    </row>
    <row r="4463" spans="1:21" x14ac:dyDescent="0.25">
      <c r="A4463" s="524" t="s">
        <v>33</v>
      </c>
      <c r="B4463" s="524"/>
      <c r="C4463" s="524"/>
      <c r="D4463" s="524"/>
      <c r="E4463" s="524"/>
      <c r="F4463" s="201">
        <f>SUM(F4462+K4462+P4462)</f>
        <v>1620</v>
      </c>
      <c r="G4463" s="524" t="s">
        <v>39</v>
      </c>
      <c r="H4463" s="524"/>
      <c r="I4463" s="524"/>
      <c r="J4463" s="524"/>
      <c r="K4463" s="201">
        <f>SUM(F4462+K4462+P4462+U4462)</f>
        <v>1620</v>
      </c>
      <c r="L4463" s="524" t="s">
        <v>40</v>
      </c>
      <c r="M4463" s="524"/>
      <c r="N4463" s="524"/>
      <c r="O4463" s="524"/>
      <c r="P4463" s="201">
        <f>SUM(K4463*0.15)</f>
        <v>243</v>
      </c>
      <c r="Q4463" s="524" t="s">
        <v>41</v>
      </c>
      <c r="R4463" s="524"/>
      <c r="S4463" s="524"/>
      <c r="T4463" s="524"/>
      <c r="U4463" s="225">
        <f>SUM(K4463+P4463)</f>
        <v>1863</v>
      </c>
    </row>
    <row r="4464" spans="1:21" x14ac:dyDescent="0.25">
      <c r="A4464" s="199"/>
      <c r="B4464" s="199"/>
      <c r="C4464" s="199"/>
      <c r="D4464" s="199"/>
      <c r="E4464" s="199"/>
      <c r="F4464" s="199"/>
      <c r="G4464" s="199"/>
      <c r="H4464" s="220"/>
      <c r="I4464" s="199"/>
      <c r="J4464" s="199"/>
      <c r="K4464" s="199"/>
      <c r="L4464" s="199"/>
      <c r="M4464" s="199"/>
      <c r="N4464" s="199"/>
      <c r="O4464" s="199"/>
      <c r="P4464" s="199"/>
      <c r="Q4464" s="524" t="s">
        <v>42</v>
      </c>
      <c r="R4464" s="524"/>
      <c r="S4464" s="524"/>
      <c r="T4464" s="524"/>
      <c r="U4464" s="250">
        <f>ROUND((U4463),2)</f>
        <v>1863</v>
      </c>
    </row>
    <row r="4465" spans="1:21" x14ac:dyDescent="0.25">
      <c r="A4465" s="246"/>
      <c r="B4465" s="246"/>
      <c r="C4465" s="246"/>
      <c r="D4465" s="246"/>
      <c r="E4465" s="246"/>
      <c r="F4465" s="246"/>
      <c r="G4465" s="246"/>
      <c r="H4465" s="246"/>
      <c r="I4465" s="246"/>
      <c r="J4465" s="246"/>
      <c r="K4465" s="246"/>
      <c r="L4465" s="246"/>
      <c r="M4465" s="246"/>
      <c r="N4465" s="246"/>
      <c r="O4465" s="246"/>
      <c r="P4465" s="246"/>
      <c r="Q4465" s="246"/>
      <c r="R4465" s="246"/>
      <c r="S4465" s="246"/>
      <c r="T4465" s="246"/>
      <c r="U4465" s="246"/>
    </row>
    <row r="4466" spans="1:21" x14ac:dyDescent="0.25">
      <c r="A4466" s="525" t="s">
        <v>12</v>
      </c>
      <c r="B4466" s="525"/>
      <c r="C4466" s="540" t="s">
        <v>2283</v>
      </c>
      <c r="D4466" s="540"/>
      <c r="E4466" s="540"/>
      <c r="F4466" s="540"/>
      <c r="G4466" s="540"/>
      <c r="H4466" s="540"/>
      <c r="I4466" s="540"/>
      <c r="J4466" s="540"/>
      <c r="K4466" s="540"/>
      <c r="L4466" s="540"/>
      <c r="M4466" s="540"/>
      <c r="N4466" s="540"/>
      <c r="O4466" s="540"/>
      <c r="P4466" s="540"/>
      <c r="Q4466" s="540"/>
      <c r="R4466" s="540"/>
      <c r="S4466" s="540"/>
      <c r="T4466" s="540"/>
      <c r="U4466" s="524" t="s">
        <v>2282</v>
      </c>
    </row>
    <row r="4467" spans="1:21" x14ac:dyDescent="0.25">
      <c r="A4467" s="525"/>
      <c r="B4467" s="525"/>
      <c r="C4467" s="540"/>
      <c r="D4467" s="540"/>
      <c r="E4467" s="540"/>
      <c r="F4467" s="540"/>
      <c r="G4467" s="540"/>
      <c r="H4467" s="540"/>
      <c r="I4467" s="540"/>
      <c r="J4467" s="540"/>
      <c r="K4467" s="540"/>
      <c r="L4467" s="540"/>
      <c r="M4467" s="540"/>
      <c r="N4467" s="540"/>
      <c r="O4467" s="540"/>
      <c r="P4467" s="540"/>
      <c r="Q4467" s="540"/>
      <c r="R4467" s="540"/>
      <c r="S4467" s="540"/>
      <c r="T4467" s="540"/>
      <c r="U4467" s="524"/>
    </row>
    <row r="4468" spans="1:21" x14ac:dyDescent="0.25">
      <c r="A4468" s="527" t="s">
        <v>973</v>
      </c>
      <c r="B4468" s="527"/>
      <c r="C4468" s="540"/>
      <c r="D4468" s="540"/>
      <c r="E4468" s="540"/>
      <c r="F4468" s="540"/>
      <c r="G4468" s="540"/>
      <c r="H4468" s="540"/>
      <c r="I4468" s="540"/>
      <c r="J4468" s="540"/>
      <c r="K4468" s="540"/>
      <c r="L4468" s="540"/>
      <c r="M4468" s="540"/>
      <c r="N4468" s="540"/>
      <c r="O4468" s="540"/>
      <c r="P4468" s="540"/>
      <c r="Q4468" s="540"/>
      <c r="R4468" s="540"/>
      <c r="S4468" s="540"/>
      <c r="T4468" s="540"/>
      <c r="U4468" s="524"/>
    </row>
    <row r="4469" spans="1:21" x14ac:dyDescent="0.25">
      <c r="A4469" s="528" t="s">
        <v>16</v>
      </c>
      <c r="B4469" s="529" t="s">
        <v>18</v>
      </c>
      <c r="C4469" s="529"/>
      <c r="D4469" s="529"/>
      <c r="E4469" s="529"/>
      <c r="F4469" s="529"/>
      <c r="G4469" s="529" t="s">
        <v>24</v>
      </c>
      <c r="H4469" s="529"/>
      <c r="I4469" s="529"/>
      <c r="J4469" s="529"/>
      <c r="K4469" s="529"/>
      <c r="L4469" s="529" t="s">
        <v>25</v>
      </c>
      <c r="M4469" s="529"/>
      <c r="N4469" s="529"/>
      <c r="O4469" s="529"/>
      <c r="P4469" s="529"/>
      <c r="Q4469" s="529" t="s">
        <v>26</v>
      </c>
      <c r="R4469" s="529"/>
      <c r="S4469" s="529"/>
      <c r="T4469" s="529"/>
      <c r="U4469" s="529"/>
    </row>
    <row r="4470" spans="1:21" x14ac:dyDescent="0.25">
      <c r="A4470" s="528"/>
      <c r="B4470" s="197" t="s">
        <v>19</v>
      </c>
      <c r="C4470" s="197" t="s">
        <v>20</v>
      </c>
      <c r="D4470" s="197" t="s">
        <v>21</v>
      </c>
      <c r="E4470" s="197" t="s">
        <v>22</v>
      </c>
      <c r="F4470" s="197" t="s">
        <v>23</v>
      </c>
      <c r="G4470" s="197" t="s">
        <v>19</v>
      </c>
      <c r="H4470" s="219" t="s">
        <v>20</v>
      </c>
      <c r="I4470" s="197" t="s">
        <v>21</v>
      </c>
      <c r="J4470" s="197" t="s">
        <v>22</v>
      </c>
      <c r="K4470" s="197" t="s">
        <v>23</v>
      </c>
      <c r="L4470" s="197" t="s">
        <v>19</v>
      </c>
      <c r="M4470" s="197" t="s">
        <v>20</v>
      </c>
      <c r="N4470" s="197" t="s">
        <v>21</v>
      </c>
      <c r="O4470" s="197" t="s">
        <v>22</v>
      </c>
      <c r="P4470" s="197" t="s">
        <v>23</v>
      </c>
      <c r="Q4470" s="197" t="s">
        <v>19</v>
      </c>
      <c r="R4470" s="197" t="s">
        <v>20</v>
      </c>
      <c r="S4470" s="197" t="s">
        <v>21</v>
      </c>
      <c r="T4470" s="197" t="s">
        <v>22</v>
      </c>
      <c r="U4470" s="214" t="s">
        <v>23</v>
      </c>
    </row>
    <row r="4471" spans="1:21" x14ac:dyDescent="0.25">
      <c r="A4471" s="245">
        <v>24.3</v>
      </c>
      <c r="B4471" s="197" t="s">
        <v>29</v>
      </c>
      <c r="C4471" s="197" t="s">
        <v>28</v>
      </c>
      <c r="D4471" s="197">
        <v>10</v>
      </c>
      <c r="E4471" s="197">
        <f>unskilled</f>
        <v>935</v>
      </c>
      <c r="F4471" s="201">
        <f>(D4471*E4471)</f>
        <v>9350</v>
      </c>
      <c r="G4471" s="197"/>
      <c r="H4471" s="219"/>
      <c r="I4471" s="197"/>
      <c r="J4471" s="197"/>
      <c r="K4471" s="197">
        <f>(I4471*J4471)</f>
        <v>0</v>
      </c>
      <c r="L4471" s="199"/>
      <c r="M4471" s="199"/>
      <c r="N4471" s="199"/>
      <c r="O4471" s="199"/>
      <c r="P4471" s="199"/>
      <c r="Q4471" s="199"/>
      <c r="R4471" s="199"/>
      <c r="S4471" s="199"/>
      <c r="T4471" s="199"/>
      <c r="U4471" s="215"/>
    </row>
    <row r="4472" spans="1:21" x14ac:dyDescent="0.25">
      <c r="A4472" s="199"/>
      <c r="B4472" s="197" t="s">
        <v>47</v>
      </c>
      <c r="C4472" s="197" t="s">
        <v>28</v>
      </c>
      <c r="D4472" s="197">
        <v>2</v>
      </c>
      <c r="E4472" s="197">
        <f>skilled</f>
        <v>1245</v>
      </c>
      <c r="F4472" s="201">
        <f>(D4472*E4472)</f>
        <v>2490</v>
      </c>
      <c r="G4472" s="197"/>
      <c r="H4472" s="219"/>
      <c r="I4472" s="197"/>
      <c r="J4472" s="197"/>
      <c r="K4472" s="197">
        <f>(I4472*J4472)</f>
        <v>0</v>
      </c>
      <c r="L4472" s="199"/>
      <c r="M4472" s="199"/>
      <c r="N4472" s="199"/>
      <c r="O4472" s="199"/>
      <c r="P4472" s="199"/>
      <c r="Q4472" s="199"/>
      <c r="R4472" s="199"/>
      <c r="S4472" s="199"/>
      <c r="T4472" s="199"/>
      <c r="U4472" s="215"/>
    </row>
    <row r="4473" spans="1:21" x14ac:dyDescent="0.25">
      <c r="A4473" s="199"/>
      <c r="B4473" s="199"/>
      <c r="C4473" s="199"/>
      <c r="D4473" s="199"/>
      <c r="E4473" s="199"/>
      <c r="F4473" s="199"/>
      <c r="G4473" s="197"/>
      <c r="H4473" s="219"/>
      <c r="I4473" s="197"/>
      <c r="J4473" s="197"/>
      <c r="K4473" s="197">
        <f>(I4473*J4473)</f>
        <v>0</v>
      </c>
      <c r="L4473" s="199"/>
      <c r="M4473" s="199"/>
      <c r="N4473" s="199"/>
      <c r="O4473" s="199"/>
      <c r="P4473" s="199"/>
      <c r="Q4473" s="199"/>
      <c r="R4473" s="199"/>
      <c r="S4473" s="199"/>
      <c r="T4473" s="199"/>
      <c r="U4473" s="215"/>
    </row>
    <row r="4474" spans="1:21" x14ac:dyDescent="0.25">
      <c r="A4474" s="199"/>
      <c r="B4474" s="199"/>
      <c r="C4474" s="199"/>
      <c r="D4474" s="199"/>
      <c r="E4474" s="199"/>
      <c r="F4474" s="199"/>
      <c r="G4474" s="197"/>
      <c r="H4474" s="219"/>
      <c r="I4474" s="197"/>
      <c r="J4474" s="197"/>
      <c r="K4474" s="197">
        <f>(I4474*J4474)</f>
        <v>0</v>
      </c>
      <c r="L4474" s="199"/>
      <c r="M4474" s="199"/>
      <c r="N4474" s="199"/>
      <c r="O4474" s="199"/>
      <c r="P4474" s="199"/>
      <c r="Q4474" s="199"/>
      <c r="R4474" s="199"/>
      <c r="S4474" s="199"/>
      <c r="T4474" s="199"/>
      <c r="U4474" s="215"/>
    </row>
    <row r="4475" spans="1:21" x14ac:dyDescent="0.25">
      <c r="A4475" s="524" t="s">
        <v>30</v>
      </c>
      <c r="B4475" s="524"/>
      <c r="C4475" s="524"/>
      <c r="D4475" s="524"/>
      <c r="E4475" s="524"/>
      <c r="F4475" s="201">
        <f>SUM(F4470:F4474)</f>
        <v>11840</v>
      </c>
      <c r="G4475" s="524" t="s">
        <v>31</v>
      </c>
      <c r="H4475" s="524"/>
      <c r="I4475" s="524"/>
      <c r="J4475" s="524"/>
      <c r="K4475" s="201">
        <f>SUM(K4470:K4474)</f>
        <v>0</v>
      </c>
      <c r="L4475" s="524" t="s">
        <v>32</v>
      </c>
      <c r="M4475" s="524"/>
      <c r="N4475" s="524"/>
      <c r="O4475" s="524"/>
      <c r="P4475" s="201">
        <f>SUM(P4470:P4474)</f>
        <v>0</v>
      </c>
      <c r="Q4475" s="524" t="s">
        <v>38</v>
      </c>
      <c r="R4475" s="524"/>
      <c r="S4475" s="524"/>
      <c r="T4475" s="524"/>
      <c r="U4475" s="225">
        <f>SUM(U4470:U4474)</f>
        <v>0</v>
      </c>
    </row>
    <row r="4476" spans="1:21" x14ac:dyDescent="0.25">
      <c r="A4476" s="524" t="s">
        <v>33</v>
      </c>
      <c r="B4476" s="524"/>
      <c r="C4476" s="524"/>
      <c r="D4476" s="524"/>
      <c r="E4476" s="524"/>
      <c r="F4476" s="201">
        <f>SUM(F4475+K4475+P4475)</f>
        <v>11840</v>
      </c>
      <c r="G4476" s="524" t="s">
        <v>39</v>
      </c>
      <c r="H4476" s="524"/>
      <c r="I4476" s="524"/>
      <c r="J4476" s="524"/>
      <c r="K4476" s="201">
        <f>SUM(F4475+K4475+P4475+U4475)</f>
        <v>11840</v>
      </c>
      <c r="L4476" s="524" t="s">
        <v>40</v>
      </c>
      <c r="M4476" s="524"/>
      <c r="N4476" s="524"/>
      <c r="O4476" s="524"/>
      <c r="P4476" s="201">
        <f>SUM(K4476*0.15)</f>
        <v>1776</v>
      </c>
      <c r="Q4476" s="524" t="s">
        <v>41</v>
      </c>
      <c r="R4476" s="524"/>
      <c r="S4476" s="524"/>
      <c r="T4476" s="524"/>
      <c r="U4476" s="225">
        <f>SUM(K4476+P4476)</f>
        <v>13616</v>
      </c>
    </row>
    <row r="4477" spans="1:21" x14ac:dyDescent="0.25">
      <c r="A4477" s="199"/>
      <c r="B4477" s="199"/>
      <c r="C4477" s="199"/>
      <c r="D4477" s="199"/>
      <c r="E4477" s="199"/>
      <c r="F4477" s="199"/>
      <c r="G4477" s="199"/>
      <c r="H4477" s="220"/>
      <c r="I4477" s="199"/>
      <c r="J4477" s="199"/>
      <c r="K4477" s="199"/>
      <c r="L4477" s="199"/>
      <c r="M4477" s="199"/>
      <c r="N4477" s="199"/>
      <c r="O4477" s="199"/>
      <c r="P4477" s="199"/>
      <c r="Q4477" s="524" t="s">
        <v>42</v>
      </c>
      <c r="R4477" s="524"/>
      <c r="S4477" s="524"/>
      <c r="T4477" s="524"/>
      <c r="U4477" s="244">
        <f>ROUND((U4476/160),2)</f>
        <v>85.1</v>
      </c>
    </row>
    <row r="4478" spans="1:21" x14ac:dyDescent="0.25">
      <c r="A4478" s="199"/>
      <c r="B4478" s="199"/>
      <c r="C4478" s="199"/>
      <c r="D4478" s="199"/>
      <c r="E4478" s="199"/>
      <c r="F4478" s="199"/>
      <c r="G4478" s="199"/>
      <c r="H4478" s="220"/>
      <c r="I4478" s="199"/>
      <c r="J4478" s="199"/>
      <c r="K4478" s="199"/>
      <c r="L4478" s="199"/>
      <c r="M4478" s="199"/>
      <c r="N4478" s="199"/>
      <c r="O4478" s="199"/>
      <c r="P4478" s="199"/>
      <c r="Q4478" s="624" t="s">
        <v>2285</v>
      </c>
      <c r="R4478" s="624"/>
      <c r="S4478" s="624"/>
      <c r="T4478" s="624"/>
      <c r="U4478" s="255">
        <f>U4477*6</f>
        <v>510.59999999999997</v>
      </c>
    </row>
    <row r="4480" spans="1:21" x14ac:dyDescent="0.25">
      <c r="A4480" s="525" t="s">
        <v>12</v>
      </c>
      <c r="B4480" s="525"/>
      <c r="C4480" s="540" t="s">
        <v>2284</v>
      </c>
      <c r="D4480" s="540"/>
      <c r="E4480" s="540"/>
      <c r="F4480" s="540"/>
      <c r="G4480" s="540"/>
      <c r="H4480" s="540"/>
      <c r="I4480" s="540"/>
      <c r="J4480" s="540"/>
      <c r="K4480" s="540"/>
      <c r="L4480" s="540"/>
      <c r="M4480" s="540"/>
      <c r="N4480" s="540"/>
      <c r="O4480" s="540"/>
      <c r="P4480" s="540"/>
      <c r="Q4480" s="540"/>
      <c r="R4480" s="540"/>
      <c r="S4480" s="540"/>
      <c r="T4480" s="540"/>
      <c r="U4480" s="524" t="s">
        <v>61</v>
      </c>
    </row>
    <row r="4481" spans="1:21" x14ac:dyDescent="0.25">
      <c r="A4481" s="525"/>
      <c r="B4481" s="525"/>
      <c r="C4481" s="540"/>
      <c r="D4481" s="540"/>
      <c r="E4481" s="540"/>
      <c r="F4481" s="540"/>
      <c r="G4481" s="540"/>
      <c r="H4481" s="540"/>
      <c r="I4481" s="540"/>
      <c r="J4481" s="540"/>
      <c r="K4481" s="540"/>
      <c r="L4481" s="540"/>
      <c r="M4481" s="540"/>
      <c r="N4481" s="540"/>
      <c r="O4481" s="540"/>
      <c r="P4481" s="540"/>
      <c r="Q4481" s="540"/>
      <c r="R4481" s="540"/>
      <c r="S4481" s="540"/>
      <c r="T4481" s="540"/>
      <c r="U4481" s="524"/>
    </row>
    <row r="4482" spans="1:21" x14ac:dyDescent="0.25">
      <c r="A4482" s="527" t="s">
        <v>973</v>
      </c>
      <c r="B4482" s="527"/>
      <c r="C4482" s="540"/>
      <c r="D4482" s="540"/>
      <c r="E4482" s="540"/>
      <c r="F4482" s="540"/>
      <c r="G4482" s="540"/>
      <c r="H4482" s="540"/>
      <c r="I4482" s="540"/>
      <c r="J4482" s="540"/>
      <c r="K4482" s="540"/>
      <c r="L4482" s="540"/>
      <c r="M4482" s="540"/>
      <c r="N4482" s="540"/>
      <c r="O4482" s="540"/>
      <c r="P4482" s="540"/>
      <c r="Q4482" s="540"/>
      <c r="R4482" s="540"/>
      <c r="S4482" s="540"/>
      <c r="T4482" s="540"/>
      <c r="U4482" s="524"/>
    </row>
    <row r="4483" spans="1:21" x14ac:dyDescent="0.25">
      <c r="A4483" s="528" t="s">
        <v>16</v>
      </c>
      <c r="B4483" s="529" t="s">
        <v>18</v>
      </c>
      <c r="C4483" s="529"/>
      <c r="D4483" s="529"/>
      <c r="E4483" s="529"/>
      <c r="F4483" s="529"/>
      <c r="G4483" s="529" t="s">
        <v>24</v>
      </c>
      <c r="H4483" s="529"/>
      <c r="I4483" s="529"/>
      <c r="J4483" s="529"/>
      <c r="K4483" s="529"/>
      <c r="L4483" s="529" t="s">
        <v>25</v>
      </c>
      <c r="M4483" s="529"/>
      <c r="N4483" s="529"/>
      <c r="O4483" s="529"/>
      <c r="P4483" s="529"/>
      <c r="Q4483" s="529" t="s">
        <v>26</v>
      </c>
      <c r="R4483" s="529"/>
      <c r="S4483" s="529"/>
      <c r="T4483" s="529"/>
      <c r="U4483" s="529"/>
    </row>
    <row r="4484" spans="1:21" x14ac:dyDescent="0.25">
      <c r="A4484" s="528"/>
      <c r="B4484" s="197" t="s">
        <v>19</v>
      </c>
      <c r="C4484" s="197" t="s">
        <v>20</v>
      </c>
      <c r="D4484" s="197" t="s">
        <v>21</v>
      </c>
      <c r="E4484" s="197" t="s">
        <v>22</v>
      </c>
      <c r="F4484" s="197" t="s">
        <v>23</v>
      </c>
      <c r="G4484" s="197" t="s">
        <v>19</v>
      </c>
      <c r="H4484" s="219" t="s">
        <v>20</v>
      </c>
      <c r="I4484" s="197" t="s">
        <v>21</v>
      </c>
      <c r="J4484" s="197" t="s">
        <v>22</v>
      </c>
      <c r="K4484" s="197" t="s">
        <v>23</v>
      </c>
      <c r="L4484" s="197" t="s">
        <v>19</v>
      </c>
      <c r="M4484" s="197" t="s">
        <v>20</v>
      </c>
      <c r="N4484" s="197" t="s">
        <v>21</v>
      </c>
      <c r="O4484" s="197" t="s">
        <v>22</v>
      </c>
      <c r="P4484" s="197" t="s">
        <v>23</v>
      </c>
      <c r="Q4484" s="197" t="s">
        <v>19</v>
      </c>
      <c r="R4484" s="197" t="s">
        <v>20</v>
      </c>
      <c r="S4484" s="197" t="s">
        <v>21</v>
      </c>
      <c r="T4484" s="197" t="s">
        <v>22</v>
      </c>
      <c r="U4484" s="214" t="s">
        <v>23</v>
      </c>
    </row>
    <row r="4485" spans="1:21" x14ac:dyDescent="0.25">
      <c r="A4485" s="245">
        <v>24.4</v>
      </c>
      <c r="B4485" s="197" t="s">
        <v>29</v>
      </c>
      <c r="C4485" s="197" t="s">
        <v>28</v>
      </c>
      <c r="D4485" s="197">
        <v>2</v>
      </c>
      <c r="E4485" s="197">
        <f>unskilled</f>
        <v>935</v>
      </c>
      <c r="F4485" s="201">
        <f>(D4485*E4485)</f>
        <v>1870</v>
      </c>
      <c r="G4485" s="197" t="s">
        <v>2279</v>
      </c>
      <c r="H4485" s="219" t="s">
        <v>84</v>
      </c>
      <c r="I4485" s="197">
        <v>11</v>
      </c>
      <c r="J4485" s="197">
        <f>District_Rate!G108</f>
        <v>2575.44</v>
      </c>
      <c r="K4485" s="197">
        <f>(I4485*J4485)</f>
        <v>28329.84</v>
      </c>
      <c r="L4485" s="199"/>
      <c r="M4485" s="199"/>
      <c r="N4485" s="199"/>
      <c r="O4485" s="199"/>
      <c r="P4485" s="199"/>
      <c r="Q4485" s="199"/>
      <c r="R4485" s="199"/>
      <c r="S4485" s="199"/>
      <c r="T4485" s="199"/>
      <c r="U4485" s="215"/>
    </row>
    <row r="4486" spans="1:21" x14ac:dyDescent="0.25">
      <c r="A4486" s="199"/>
      <c r="B4486" s="197" t="s">
        <v>47</v>
      </c>
      <c r="C4486" s="197" t="s">
        <v>28</v>
      </c>
      <c r="D4486" s="197">
        <v>8</v>
      </c>
      <c r="E4486" s="197">
        <f>skilled</f>
        <v>1245</v>
      </c>
      <c r="F4486" s="201">
        <f>(D4486*E4486)</f>
        <v>9960</v>
      </c>
      <c r="G4486" s="197"/>
      <c r="H4486" s="219"/>
      <c r="I4486" s="197"/>
      <c r="J4486" s="197"/>
      <c r="K4486" s="197">
        <f>(I4486*J4486)</f>
        <v>0</v>
      </c>
      <c r="L4486" s="199"/>
      <c r="M4486" s="199"/>
      <c r="N4486" s="199"/>
      <c r="O4486" s="199"/>
      <c r="P4486" s="199"/>
      <c r="Q4486" s="199"/>
      <c r="R4486" s="199"/>
      <c r="S4486" s="199"/>
      <c r="T4486" s="199"/>
      <c r="U4486" s="215"/>
    </row>
    <row r="4487" spans="1:21" x14ac:dyDescent="0.25">
      <c r="A4487" s="199"/>
      <c r="B4487" s="199"/>
      <c r="C4487" s="199"/>
      <c r="D4487" s="199"/>
      <c r="E4487" s="199"/>
      <c r="F4487" s="199"/>
      <c r="G4487" s="197"/>
      <c r="H4487" s="219"/>
      <c r="I4487" s="197"/>
      <c r="J4487" s="197"/>
      <c r="K4487" s="197">
        <f>(I4487*J4487)</f>
        <v>0</v>
      </c>
      <c r="L4487" s="199"/>
      <c r="M4487" s="199"/>
      <c r="N4487" s="199"/>
      <c r="O4487" s="199"/>
      <c r="P4487" s="199"/>
      <c r="Q4487" s="199"/>
      <c r="R4487" s="199"/>
      <c r="S4487" s="199"/>
      <c r="T4487" s="199"/>
      <c r="U4487" s="215"/>
    </row>
    <row r="4488" spans="1:21" x14ac:dyDescent="0.25">
      <c r="A4488" s="199"/>
      <c r="B4488" s="199"/>
      <c r="C4488" s="199"/>
      <c r="D4488" s="199"/>
      <c r="E4488" s="199"/>
      <c r="F4488" s="199"/>
      <c r="G4488" s="197"/>
      <c r="H4488" s="219"/>
      <c r="I4488" s="197"/>
      <c r="J4488" s="197"/>
      <c r="K4488" s="197">
        <f>(I4488*J4488)</f>
        <v>0</v>
      </c>
      <c r="L4488" s="199"/>
      <c r="M4488" s="199"/>
      <c r="N4488" s="199"/>
      <c r="O4488" s="199"/>
      <c r="P4488" s="199"/>
      <c r="Q4488" s="199"/>
      <c r="R4488" s="199"/>
      <c r="S4488" s="199"/>
      <c r="T4488" s="199"/>
      <c r="U4488" s="215"/>
    </row>
    <row r="4489" spans="1:21" x14ac:dyDescent="0.25">
      <c r="A4489" s="524" t="s">
        <v>30</v>
      </c>
      <c r="B4489" s="524"/>
      <c r="C4489" s="524"/>
      <c r="D4489" s="524"/>
      <c r="E4489" s="524"/>
      <c r="F4489" s="201">
        <f>SUM(F4484:F4488)</f>
        <v>11830</v>
      </c>
      <c r="G4489" s="524" t="s">
        <v>31</v>
      </c>
      <c r="H4489" s="524"/>
      <c r="I4489" s="524"/>
      <c r="J4489" s="524"/>
      <c r="K4489" s="201">
        <f>SUM(K4484:K4488)</f>
        <v>28329.84</v>
      </c>
      <c r="L4489" s="524" t="s">
        <v>32</v>
      </c>
      <c r="M4489" s="524"/>
      <c r="N4489" s="524"/>
      <c r="O4489" s="524"/>
      <c r="P4489" s="201">
        <f>SUM(P4484:P4488)</f>
        <v>0</v>
      </c>
      <c r="Q4489" s="524" t="s">
        <v>38</v>
      </c>
      <c r="R4489" s="524"/>
      <c r="S4489" s="524"/>
      <c r="T4489" s="524"/>
      <c r="U4489" s="225">
        <f>SUM(U4484:U4488)</f>
        <v>0</v>
      </c>
    </row>
    <row r="4490" spans="1:21" x14ac:dyDescent="0.25">
      <c r="A4490" s="524" t="s">
        <v>33</v>
      </c>
      <c r="B4490" s="524"/>
      <c r="C4490" s="524"/>
      <c r="D4490" s="524"/>
      <c r="E4490" s="524"/>
      <c r="F4490" s="201">
        <f>SUM(F4489+K4489+P4489)</f>
        <v>40159.839999999997</v>
      </c>
      <c r="G4490" s="524" t="s">
        <v>39</v>
      </c>
      <c r="H4490" s="524"/>
      <c r="I4490" s="524"/>
      <c r="J4490" s="524"/>
      <c r="K4490" s="201">
        <f>SUM(F4489+K4489+P4489+U4489)</f>
        <v>40159.839999999997</v>
      </c>
      <c r="L4490" s="524" t="s">
        <v>40</v>
      </c>
      <c r="M4490" s="524"/>
      <c r="N4490" s="524"/>
      <c r="O4490" s="524"/>
      <c r="P4490" s="201">
        <f>SUM(K4490*0.15)</f>
        <v>6023.9759999999997</v>
      </c>
      <c r="Q4490" s="524" t="s">
        <v>41</v>
      </c>
      <c r="R4490" s="524"/>
      <c r="S4490" s="524"/>
      <c r="T4490" s="524"/>
      <c r="U4490" s="225">
        <f>SUM(K4490+P4490)</f>
        <v>46183.815999999999</v>
      </c>
    </row>
    <row r="4491" spans="1:21" x14ac:dyDescent="0.25">
      <c r="A4491" s="199"/>
      <c r="B4491" s="199"/>
      <c r="C4491" s="199"/>
      <c r="D4491" s="199"/>
      <c r="E4491" s="199"/>
      <c r="F4491" s="199"/>
      <c r="G4491" s="199"/>
      <c r="H4491" s="220"/>
      <c r="I4491" s="199"/>
      <c r="J4491" s="199"/>
      <c r="K4491" s="199"/>
      <c r="L4491" s="199"/>
      <c r="M4491" s="199"/>
      <c r="N4491" s="199"/>
      <c r="O4491" s="199"/>
      <c r="P4491" s="199"/>
      <c r="Q4491" s="623" t="s">
        <v>42</v>
      </c>
      <c r="R4491" s="623"/>
      <c r="S4491" s="623"/>
      <c r="T4491" s="623"/>
      <c r="U4491" s="251">
        <f>ROUND((U4490/10),2)</f>
        <v>4618.38</v>
      </c>
    </row>
    <row r="4492" spans="1:21" ht="18.75" x14ac:dyDescent="0.3">
      <c r="A4492" s="252"/>
      <c r="B4492" s="252"/>
      <c r="C4492" s="252"/>
      <c r="D4492" s="252"/>
      <c r="E4492" s="252"/>
      <c r="F4492" s="252"/>
      <c r="G4492" s="252"/>
      <c r="H4492" s="253"/>
      <c r="I4492" s="252"/>
      <c r="J4492" s="252"/>
      <c r="K4492" s="252"/>
      <c r="L4492" s="252"/>
      <c r="M4492" s="252"/>
      <c r="N4492" s="252"/>
      <c r="O4492" s="625" t="s">
        <v>2286</v>
      </c>
      <c r="P4492" s="626"/>
      <c r="Q4492" s="626"/>
      <c r="R4492" s="626"/>
      <c r="S4492" s="626"/>
      <c r="T4492" s="627"/>
      <c r="U4492" s="254">
        <f>U4491+U4478+U4464</f>
        <v>6991.9800000000005</v>
      </c>
    </row>
    <row r="4494" spans="1:21" x14ac:dyDescent="0.25">
      <c r="A4494" s="531" t="s">
        <v>12</v>
      </c>
      <c r="B4494" s="531"/>
      <c r="C4494" s="532" t="s">
        <v>2290</v>
      </c>
      <c r="D4494" s="532"/>
      <c r="E4494" s="532"/>
      <c r="F4494" s="532"/>
      <c r="G4494" s="532"/>
      <c r="H4494" s="532"/>
      <c r="I4494" s="532"/>
      <c r="J4494" s="532"/>
      <c r="K4494" s="532"/>
      <c r="L4494" s="532"/>
      <c r="M4494" s="532"/>
      <c r="N4494" s="532"/>
      <c r="O4494" s="532"/>
      <c r="P4494" s="532"/>
      <c r="Q4494" s="532"/>
      <c r="R4494" s="532"/>
      <c r="S4494" s="532"/>
      <c r="T4494" s="532"/>
      <c r="U4494" s="533" t="s">
        <v>453</v>
      </c>
    </row>
    <row r="4495" spans="1:21" x14ac:dyDescent="0.25">
      <c r="A4495" s="531"/>
      <c r="B4495" s="531"/>
      <c r="C4495" s="532"/>
      <c r="D4495" s="532"/>
      <c r="E4495" s="532"/>
      <c r="F4495" s="532"/>
      <c r="G4495" s="532"/>
      <c r="H4495" s="532"/>
      <c r="I4495" s="532"/>
      <c r="J4495" s="532"/>
      <c r="K4495" s="532"/>
      <c r="L4495" s="532"/>
      <c r="M4495" s="532"/>
      <c r="N4495" s="532"/>
      <c r="O4495" s="532"/>
      <c r="P4495" s="532"/>
      <c r="Q4495" s="532"/>
      <c r="R4495" s="532"/>
      <c r="S4495" s="532"/>
      <c r="T4495" s="532"/>
      <c r="U4495" s="533"/>
    </row>
    <row r="4496" spans="1:21" x14ac:dyDescent="0.25">
      <c r="A4496" s="534" t="s">
        <v>448</v>
      </c>
      <c r="B4496" s="534"/>
      <c r="C4496" s="532"/>
      <c r="D4496" s="532"/>
      <c r="E4496" s="532"/>
      <c r="F4496" s="532"/>
      <c r="G4496" s="532"/>
      <c r="H4496" s="532"/>
      <c r="I4496" s="532"/>
      <c r="J4496" s="532"/>
      <c r="K4496" s="532"/>
      <c r="L4496" s="532"/>
      <c r="M4496" s="532"/>
      <c r="N4496" s="532"/>
      <c r="O4496" s="532"/>
      <c r="P4496" s="532"/>
      <c r="Q4496" s="532"/>
      <c r="R4496" s="532"/>
      <c r="S4496" s="532"/>
      <c r="T4496" s="532"/>
      <c r="U4496" s="533"/>
    </row>
    <row r="4497" spans="1:21" x14ac:dyDescent="0.25">
      <c r="A4497" s="535" t="s">
        <v>16</v>
      </c>
      <c r="B4497" s="536" t="s">
        <v>18</v>
      </c>
      <c r="C4497" s="536"/>
      <c r="D4497" s="536"/>
      <c r="E4497" s="536"/>
      <c r="F4497" s="536"/>
      <c r="G4497" s="536" t="s">
        <v>24</v>
      </c>
      <c r="H4497" s="536"/>
      <c r="I4497" s="536"/>
      <c r="J4497" s="536"/>
      <c r="K4497" s="536"/>
      <c r="L4497" s="536" t="s">
        <v>25</v>
      </c>
      <c r="M4497" s="536"/>
      <c r="N4497" s="536"/>
      <c r="O4497" s="536"/>
      <c r="P4497" s="536"/>
      <c r="Q4497" s="536" t="s">
        <v>26</v>
      </c>
      <c r="R4497" s="536"/>
      <c r="S4497" s="536"/>
      <c r="T4497" s="536"/>
      <c r="U4497" s="536"/>
    </row>
    <row r="4498" spans="1:21" x14ac:dyDescent="0.25">
      <c r="A4498" s="535"/>
      <c r="B4498" s="260" t="s">
        <v>19</v>
      </c>
      <c r="C4498" s="260" t="s">
        <v>20</v>
      </c>
      <c r="D4498" s="260" t="s">
        <v>21</v>
      </c>
      <c r="E4498" s="260" t="s">
        <v>22</v>
      </c>
      <c r="F4498" s="260" t="s">
        <v>23</v>
      </c>
      <c r="G4498" s="260" t="s">
        <v>19</v>
      </c>
      <c r="H4498" s="260" t="s">
        <v>20</v>
      </c>
      <c r="I4498" s="265" t="s">
        <v>21</v>
      </c>
      <c r="J4498" s="260" t="s">
        <v>22</v>
      </c>
      <c r="K4498" s="260" t="s">
        <v>23</v>
      </c>
      <c r="L4498" s="260" t="s">
        <v>19</v>
      </c>
      <c r="M4498" s="260" t="s">
        <v>20</v>
      </c>
      <c r="N4498" s="260" t="s">
        <v>21</v>
      </c>
      <c r="O4498" s="260" t="s">
        <v>22</v>
      </c>
      <c r="P4498" s="260" t="s">
        <v>23</v>
      </c>
      <c r="Q4498" s="260" t="s">
        <v>19</v>
      </c>
      <c r="R4498" s="260" t="s">
        <v>20</v>
      </c>
      <c r="S4498" s="260" t="s">
        <v>21</v>
      </c>
      <c r="T4498" s="260" t="s">
        <v>22</v>
      </c>
      <c r="U4498" s="260" t="s">
        <v>23</v>
      </c>
    </row>
    <row r="4499" spans="1:21" x14ac:dyDescent="0.25">
      <c r="A4499" s="261" t="s">
        <v>2291</v>
      </c>
      <c r="B4499" s="260" t="s">
        <v>47</v>
      </c>
      <c r="C4499" s="260" t="s">
        <v>28</v>
      </c>
      <c r="D4499" s="260">
        <v>1.5</v>
      </c>
      <c r="E4499" s="260">
        <f>E4486</f>
        <v>1245</v>
      </c>
      <c r="F4499" s="262">
        <v>1545</v>
      </c>
      <c r="G4499" s="260" t="s">
        <v>2292</v>
      </c>
      <c r="H4499" s="260" t="s">
        <v>438</v>
      </c>
      <c r="I4499" s="266">
        <v>20</v>
      </c>
      <c r="J4499" s="260">
        <f>District_Rate!F131</f>
        <v>1435.26</v>
      </c>
      <c r="K4499" s="260">
        <v>28705.200000000001</v>
      </c>
      <c r="L4499" s="259"/>
      <c r="M4499" s="259"/>
      <c r="N4499" s="259"/>
      <c r="O4499" s="259"/>
      <c r="P4499" s="259"/>
      <c r="Q4499" s="259"/>
      <c r="R4499" s="259"/>
      <c r="S4499" s="259"/>
      <c r="T4499" s="259"/>
      <c r="U4499" s="263"/>
    </row>
    <row r="4500" spans="1:21" x14ac:dyDescent="0.25">
      <c r="A4500" s="259"/>
      <c r="B4500" s="260" t="s">
        <v>29</v>
      </c>
      <c r="C4500" s="260" t="s">
        <v>28</v>
      </c>
      <c r="D4500" s="260">
        <v>4</v>
      </c>
      <c r="E4500" s="260">
        <f>E4485</f>
        <v>935</v>
      </c>
      <c r="F4500" s="262">
        <v>3000</v>
      </c>
      <c r="G4500" s="260" t="s">
        <v>83</v>
      </c>
      <c r="H4500" s="260" t="s">
        <v>84</v>
      </c>
      <c r="I4500" s="266">
        <v>1.4</v>
      </c>
      <c r="J4500" s="260">
        <f>sand</f>
        <v>3175.2000000000003</v>
      </c>
      <c r="K4500" s="260">
        <v>4346.4959999999992</v>
      </c>
      <c r="L4500" s="259"/>
      <c r="M4500" s="259"/>
      <c r="N4500" s="259"/>
      <c r="O4500" s="259"/>
      <c r="P4500" s="259"/>
      <c r="Q4500" s="259"/>
      <c r="R4500" s="259"/>
      <c r="S4500" s="259"/>
      <c r="T4500" s="259"/>
      <c r="U4500" s="263"/>
    </row>
    <row r="4501" spans="1:21" x14ac:dyDescent="0.25">
      <c r="A4501" s="530" t="s">
        <v>30</v>
      </c>
      <c r="B4501" s="530"/>
      <c r="C4501" s="530"/>
      <c r="D4501" s="530"/>
      <c r="E4501" s="530"/>
      <c r="F4501" s="262">
        <v>4545</v>
      </c>
      <c r="G4501" s="530" t="s">
        <v>31</v>
      </c>
      <c r="H4501" s="530"/>
      <c r="I4501" s="530"/>
      <c r="J4501" s="530"/>
      <c r="K4501" s="262">
        <v>33051.695999999996</v>
      </c>
      <c r="L4501" s="530" t="s">
        <v>32</v>
      </c>
      <c r="M4501" s="530"/>
      <c r="N4501" s="530"/>
      <c r="O4501" s="530"/>
      <c r="P4501" s="262">
        <v>0</v>
      </c>
      <c r="Q4501" s="530" t="s">
        <v>38</v>
      </c>
      <c r="R4501" s="530"/>
      <c r="S4501" s="530"/>
      <c r="T4501" s="530"/>
      <c r="U4501" s="262">
        <v>0</v>
      </c>
    </row>
    <row r="4502" spans="1:21" x14ac:dyDescent="0.25">
      <c r="A4502" s="530" t="s">
        <v>33</v>
      </c>
      <c r="B4502" s="530"/>
      <c r="C4502" s="530"/>
      <c r="D4502" s="530"/>
      <c r="E4502" s="530"/>
      <c r="F4502" s="262">
        <v>37596.695999999996</v>
      </c>
      <c r="G4502" s="530" t="s">
        <v>39</v>
      </c>
      <c r="H4502" s="530"/>
      <c r="I4502" s="530"/>
      <c r="J4502" s="530"/>
      <c r="K4502" s="262">
        <v>37596.695999999996</v>
      </c>
      <c r="L4502" s="530" t="s">
        <v>40</v>
      </c>
      <c r="M4502" s="530"/>
      <c r="N4502" s="530"/>
      <c r="O4502" s="530"/>
      <c r="P4502" s="262">
        <v>5639.5043999999989</v>
      </c>
      <c r="Q4502" s="530" t="s">
        <v>41</v>
      </c>
      <c r="R4502" s="530"/>
      <c r="S4502" s="530"/>
      <c r="T4502" s="530"/>
      <c r="U4502" s="262">
        <v>43236.200399999994</v>
      </c>
    </row>
    <row r="4503" spans="1:21" x14ac:dyDescent="0.25">
      <c r="A4503" s="259"/>
      <c r="B4503" s="259"/>
      <c r="C4503" s="259"/>
      <c r="D4503" s="259"/>
      <c r="E4503" s="259"/>
      <c r="F4503" s="259"/>
      <c r="G4503" s="259"/>
      <c r="H4503" s="263"/>
      <c r="I4503" s="267"/>
      <c r="J4503" s="259"/>
      <c r="K4503" s="259"/>
      <c r="L4503" s="259"/>
      <c r="M4503" s="259"/>
      <c r="N4503" s="259"/>
      <c r="O4503" s="259"/>
      <c r="P4503" s="259"/>
      <c r="Q4503" s="530" t="s">
        <v>42</v>
      </c>
      <c r="R4503" s="530"/>
      <c r="S4503" s="530"/>
      <c r="T4503" s="530"/>
      <c r="U4503" s="264">
        <v>2161.81</v>
      </c>
    </row>
  </sheetData>
  <mergeCells count="6516">
    <mergeCell ref="A3155:E3155"/>
    <mergeCell ref="G3155:J3155"/>
    <mergeCell ref="L3155:O3155"/>
    <mergeCell ref="Q3155:T3155"/>
    <mergeCell ref="Q3156:T3156"/>
    <mergeCell ref="Q3128:T3128"/>
    <mergeCell ref="A3129:E3129"/>
    <mergeCell ref="G3129:J3129"/>
    <mergeCell ref="L3129:O3129"/>
    <mergeCell ref="Q3129:T3129"/>
    <mergeCell ref="Q3130:T3130"/>
    <mergeCell ref="A3131:U3131"/>
    <mergeCell ref="A3132:B3133"/>
    <mergeCell ref="C3132:T3134"/>
    <mergeCell ref="U3132:U3134"/>
    <mergeCell ref="A3134:B3134"/>
    <mergeCell ref="A3135:A3136"/>
    <mergeCell ref="B3135:F3135"/>
    <mergeCell ref="G3135:K3135"/>
    <mergeCell ref="L3135:P3135"/>
    <mergeCell ref="Q3135:U3135"/>
    <mergeCell ref="A3141:E3141"/>
    <mergeCell ref="G3141:J3141"/>
    <mergeCell ref="L3141:O3141"/>
    <mergeCell ref="Q3141:T3141"/>
    <mergeCell ref="A3144:U3144"/>
    <mergeCell ref="A3145:B3146"/>
    <mergeCell ref="C3145:T3147"/>
    <mergeCell ref="U3145:U3147"/>
    <mergeCell ref="A3147:B3147"/>
    <mergeCell ref="A3148:A3149"/>
    <mergeCell ref="B3148:F3148"/>
    <mergeCell ref="G3148:K3148"/>
    <mergeCell ref="L3148:P3148"/>
    <mergeCell ref="Q3148:U3148"/>
    <mergeCell ref="A3154:E3154"/>
    <mergeCell ref="G3154:J3154"/>
    <mergeCell ref="L3154:O3154"/>
    <mergeCell ref="Q3154:T3154"/>
    <mergeCell ref="A3106:B3107"/>
    <mergeCell ref="C3106:T3108"/>
    <mergeCell ref="U3106:U3108"/>
    <mergeCell ref="A3108:B3108"/>
    <mergeCell ref="A3109:A3110"/>
    <mergeCell ref="B3109:F3109"/>
    <mergeCell ref="G3109:K3109"/>
    <mergeCell ref="L3109:P3109"/>
    <mergeCell ref="Q3109:U3109"/>
    <mergeCell ref="A3115:E3115"/>
    <mergeCell ref="G3115:J3115"/>
    <mergeCell ref="L3115:O3115"/>
    <mergeCell ref="Q3115:T3115"/>
    <mergeCell ref="A3116:E3116"/>
    <mergeCell ref="G3116:J3116"/>
    <mergeCell ref="L3116:O3116"/>
    <mergeCell ref="Q3116:T3116"/>
    <mergeCell ref="A3142:E3142"/>
    <mergeCell ref="G3142:J3142"/>
    <mergeCell ref="L3142:O3142"/>
    <mergeCell ref="Q3142:T3142"/>
    <mergeCell ref="Q3143:T3143"/>
    <mergeCell ref="A639:E639"/>
    <mergeCell ref="G639:J639"/>
    <mergeCell ref="L639:O639"/>
    <mergeCell ref="Q639:T639"/>
    <mergeCell ref="Q651:T651"/>
    <mergeCell ref="Q640:T640"/>
    <mergeCell ref="A641:B642"/>
    <mergeCell ref="C641:T643"/>
    <mergeCell ref="U641:U643"/>
    <mergeCell ref="A643:B643"/>
    <mergeCell ref="A644:A645"/>
    <mergeCell ref="B644:F644"/>
    <mergeCell ref="G644:K644"/>
    <mergeCell ref="L644:P644"/>
    <mergeCell ref="Q644:U644"/>
    <mergeCell ref="A649:E649"/>
    <mergeCell ref="G649:J649"/>
    <mergeCell ref="L649:O649"/>
    <mergeCell ref="Q649:T649"/>
    <mergeCell ref="A650:E650"/>
    <mergeCell ref="G650:J650"/>
    <mergeCell ref="L650:O650"/>
    <mergeCell ref="Q650:T650"/>
    <mergeCell ref="A628:E628"/>
    <mergeCell ref="G628:J628"/>
    <mergeCell ref="L628:O628"/>
    <mergeCell ref="Q628:T628"/>
    <mergeCell ref="Q629:T629"/>
    <mergeCell ref="A630:B631"/>
    <mergeCell ref="C630:T632"/>
    <mergeCell ref="U630:U632"/>
    <mergeCell ref="A632:B632"/>
    <mergeCell ref="A633:A634"/>
    <mergeCell ref="B633:F633"/>
    <mergeCell ref="G633:K633"/>
    <mergeCell ref="L633:P633"/>
    <mergeCell ref="Q633:U633"/>
    <mergeCell ref="A638:E638"/>
    <mergeCell ref="G638:J638"/>
    <mergeCell ref="L638:O638"/>
    <mergeCell ref="Q638:T638"/>
    <mergeCell ref="A582:E582"/>
    <mergeCell ref="G582:J582"/>
    <mergeCell ref="L582:O582"/>
    <mergeCell ref="Q582:T582"/>
    <mergeCell ref="Q583:T583"/>
    <mergeCell ref="Q4491:T4491"/>
    <mergeCell ref="Q4478:T4478"/>
    <mergeCell ref="O4492:T4492"/>
    <mergeCell ref="Q4477:T4477"/>
    <mergeCell ref="A4480:B4481"/>
    <mergeCell ref="C4480:T4482"/>
    <mergeCell ref="U4480:U4482"/>
    <mergeCell ref="A4482:B4482"/>
    <mergeCell ref="A4483:A4484"/>
    <mergeCell ref="B4483:F4483"/>
    <mergeCell ref="G4483:K4483"/>
    <mergeCell ref="L4483:P4483"/>
    <mergeCell ref="Q4483:U4483"/>
    <mergeCell ref="A4489:E4489"/>
    <mergeCell ref="G4489:J4489"/>
    <mergeCell ref="L4489:O4489"/>
    <mergeCell ref="Q4489:T4489"/>
    <mergeCell ref="A4490:E4490"/>
    <mergeCell ref="G4490:J4490"/>
    <mergeCell ref="L4490:O4490"/>
    <mergeCell ref="Q4490:T4490"/>
    <mergeCell ref="Q4464:T4464"/>
    <mergeCell ref="A4466:B4467"/>
    <mergeCell ref="C4466:T4468"/>
    <mergeCell ref="U4466:U4468"/>
    <mergeCell ref="A4468:B4468"/>
    <mergeCell ref="A4469:A4470"/>
    <mergeCell ref="B4469:F4469"/>
    <mergeCell ref="G4469:K4469"/>
    <mergeCell ref="L4469:P4469"/>
    <mergeCell ref="Q4469:U4469"/>
    <mergeCell ref="A4475:E4475"/>
    <mergeCell ref="G4475:J4475"/>
    <mergeCell ref="L4475:O4475"/>
    <mergeCell ref="Q4475:T4475"/>
    <mergeCell ref="A4476:E4476"/>
    <mergeCell ref="G4476:J4476"/>
    <mergeCell ref="L4476:O4476"/>
    <mergeCell ref="Q4476:T4476"/>
    <mergeCell ref="A4453:B4454"/>
    <mergeCell ref="C4453:T4455"/>
    <mergeCell ref="U4453:U4455"/>
    <mergeCell ref="A4455:B4455"/>
    <mergeCell ref="A4456:A4457"/>
    <mergeCell ref="B4456:F4456"/>
    <mergeCell ref="G4456:K4456"/>
    <mergeCell ref="L4456:P4456"/>
    <mergeCell ref="Q4456:U4456"/>
    <mergeCell ref="A4462:E4462"/>
    <mergeCell ref="G4462:J4462"/>
    <mergeCell ref="L4462:O4462"/>
    <mergeCell ref="Q4462:T4462"/>
    <mergeCell ref="A4463:E4463"/>
    <mergeCell ref="G4463:J4463"/>
    <mergeCell ref="L4463:O4463"/>
    <mergeCell ref="Q4463:T4463"/>
    <mergeCell ref="A4439:U4439"/>
    <mergeCell ref="A1:U1"/>
    <mergeCell ref="Q2011:Q2016"/>
    <mergeCell ref="L2908:L2909"/>
    <mergeCell ref="Q2908:Q2909"/>
    <mergeCell ref="G2891:G2893"/>
    <mergeCell ref="L2927:L2928"/>
    <mergeCell ref="L2965:L2966"/>
    <mergeCell ref="L2984:L2985"/>
    <mergeCell ref="L3003:L3004"/>
    <mergeCell ref="L3022:L3023"/>
    <mergeCell ref="A425:E425"/>
    <mergeCell ref="G425:J425"/>
    <mergeCell ref="L425:O425"/>
    <mergeCell ref="Q425:T425"/>
    <mergeCell ref="Q426:T426"/>
    <mergeCell ref="A2400:B2401"/>
    <mergeCell ref="C2400:T2402"/>
    <mergeCell ref="U2400:U2402"/>
    <mergeCell ref="A2402:B2402"/>
    <mergeCell ref="A2403:A2404"/>
    <mergeCell ref="B2403:F2403"/>
    <mergeCell ref="G2403:K2403"/>
    <mergeCell ref="L2403:P2403"/>
    <mergeCell ref="Q2403:U2403"/>
    <mergeCell ref="A2407:E2407"/>
    <mergeCell ref="G2407:J2407"/>
    <mergeCell ref="L2407:O2407"/>
    <mergeCell ref="Q2407:T2407"/>
    <mergeCell ref="Q2398:T2398"/>
    <mergeCell ref="A2399:U2399"/>
    <mergeCell ref="Q2368:T2368"/>
    <mergeCell ref="L2373:P2373"/>
    <mergeCell ref="Q2373:U2373"/>
    <mergeCell ref="A2381:E2381"/>
    <mergeCell ref="A414:E414"/>
    <mergeCell ref="G414:J414"/>
    <mergeCell ref="L414:O414"/>
    <mergeCell ref="Q414:T414"/>
    <mergeCell ref="Q415:T415"/>
    <mergeCell ref="A417:B418"/>
    <mergeCell ref="C417:T419"/>
    <mergeCell ref="U417:U419"/>
    <mergeCell ref="A419:B419"/>
    <mergeCell ref="A420:A421"/>
    <mergeCell ref="B420:F420"/>
    <mergeCell ref="G420:K420"/>
    <mergeCell ref="L420:P420"/>
    <mergeCell ref="Q420:U420"/>
    <mergeCell ref="A424:E424"/>
    <mergeCell ref="G424:J424"/>
    <mergeCell ref="L424:O424"/>
    <mergeCell ref="Q424:T424"/>
    <mergeCell ref="G2381:J2381"/>
    <mergeCell ref="L2381:O2381"/>
    <mergeCell ref="Q2338:T2338"/>
    <mergeCell ref="A2339:U2339"/>
    <mergeCell ref="A2340:B2341"/>
    <mergeCell ref="A2342:B2342"/>
    <mergeCell ref="C2340:T2342"/>
    <mergeCell ref="U2340:U2342"/>
    <mergeCell ref="A2343:A2344"/>
    <mergeCell ref="B2343:F2343"/>
    <mergeCell ref="G2343:K2343"/>
    <mergeCell ref="Q4438:T4438"/>
    <mergeCell ref="Q4424:T4424"/>
    <mergeCell ref="A4425:U4425"/>
    <mergeCell ref="A4426:B4427"/>
    <mergeCell ref="A4428:B4428"/>
    <mergeCell ref="C4426:T4428"/>
    <mergeCell ref="U4426:U4428"/>
    <mergeCell ref="A4429:A4430"/>
    <mergeCell ref="B4429:F4429"/>
    <mergeCell ref="G4429:K4429"/>
    <mergeCell ref="L4429:P4429"/>
    <mergeCell ref="Q4429:U4429"/>
    <mergeCell ref="A4436:E4436"/>
    <mergeCell ref="G4436:J4436"/>
    <mergeCell ref="L4436:O4436"/>
    <mergeCell ref="A4437:E4437"/>
    <mergeCell ref="Q4436:T4436"/>
    <mergeCell ref="G4437:J4437"/>
    <mergeCell ref="L4437:O4437"/>
    <mergeCell ref="Q4437:T4437"/>
    <mergeCell ref="Q4408:T4408"/>
    <mergeCell ref="A4409:U4409"/>
    <mergeCell ref="A4410:B4411"/>
    <mergeCell ref="A4412:B4412"/>
    <mergeCell ref="C4410:T4412"/>
    <mergeCell ref="U4410:U4412"/>
    <mergeCell ref="A4413:A4414"/>
    <mergeCell ref="B4413:F4413"/>
    <mergeCell ref="G4413:K4413"/>
    <mergeCell ref="L4413:P4413"/>
    <mergeCell ref="Q4413:U4413"/>
    <mergeCell ref="A4422:E4422"/>
    <mergeCell ref="G4422:J4422"/>
    <mergeCell ref="L4422:O4422"/>
    <mergeCell ref="A4423:E4423"/>
    <mergeCell ref="Q4422:T4422"/>
    <mergeCell ref="G4423:J4423"/>
    <mergeCell ref="L4423:O4423"/>
    <mergeCell ref="Q4423:T4423"/>
    <mergeCell ref="Q4397:T4397"/>
    <mergeCell ref="A4398:U4398"/>
    <mergeCell ref="A4399:B4400"/>
    <mergeCell ref="A4401:B4401"/>
    <mergeCell ref="C4399:T4401"/>
    <mergeCell ref="U4399:U4401"/>
    <mergeCell ref="A4402:A4403"/>
    <mergeCell ref="B4402:F4402"/>
    <mergeCell ref="G4402:K4402"/>
    <mergeCell ref="L4402:P4402"/>
    <mergeCell ref="Q4402:U4402"/>
    <mergeCell ref="A4406:E4406"/>
    <mergeCell ref="G4406:J4406"/>
    <mergeCell ref="L4406:O4406"/>
    <mergeCell ref="A4407:E4407"/>
    <mergeCell ref="Q4406:T4406"/>
    <mergeCell ref="G4407:J4407"/>
    <mergeCell ref="L4407:O4407"/>
    <mergeCell ref="Q4407:T4407"/>
    <mergeCell ref="Q4386:T4386"/>
    <mergeCell ref="A4387:U4387"/>
    <mergeCell ref="A4388:B4389"/>
    <mergeCell ref="A4390:B4390"/>
    <mergeCell ref="C4388:T4390"/>
    <mergeCell ref="U4388:U4390"/>
    <mergeCell ref="A4391:A4392"/>
    <mergeCell ref="B4391:F4391"/>
    <mergeCell ref="G4391:K4391"/>
    <mergeCell ref="L4391:P4391"/>
    <mergeCell ref="Q4391:U4391"/>
    <mergeCell ref="A4395:E4395"/>
    <mergeCell ref="G4395:J4395"/>
    <mergeCell ref="L4395:O4395"/>
    <mergeCell ref="A4396:E4396"/>
    <mergeCell ref="Q4395:T4395"/>
    <mergeCell ref="G4396:J4396"/>
    <mergeCell ref="L4396:O4396"/>
    <mergeCell ref="Q4396:T4396"/>
    <mergeCell ref="Q4375:T4375"/>
    <mergeCell ref="A4376:U4376"/>
    <mergeCell ref="A4377:B4378"/>
    <mergeCell ref="A4379:B4379"/>
    <mergeCell ref="C4377:T4379"/>
    <mergeCell ref="U4377:U4379"/>
    <mergeCell ref="A4380:A4381"/>
    <mergeCell ref="B4380:F4380"/>
    <mergeCell ref="G4380:K4380"/>
    <mergeCell ref="L4380:P4380"/>
    <mergeCell ref="Q4380:U4380"/>
    <mergeCell ref="A4384:E4384"/>
    <mergeCell ref="G4384:J4384"/>
    <mergeCell ref="L4384:O4384"/>
    <mergeCell ref="A4385:E4385"/>
    <mergeCell ref="Q4384:T4384"/>
    <mergeCell ref="G4385:J4385"/>
    <mergeCell ref="L4385:O4385"/>
    <mergeCell ref="Q4385:T4385"/>
    <mergeCell ref="Q4360:T4360"/>
    <mergeCell ref="A4361:U4361"/>
    <mergeCell ref="A4362:B4363"/>
    <mergeCell ref="A4364:B4364"/>
    <mergeCell ref="C4362:T4364"/>
    <mergeCell ref="U4362:U4364"/>
    <mergeCell ref="A4365:A4366"/>
    <mergeCell ref="B4365:F4365"/>
    <mergeCell ref="G4365:K4365"/>
    <mergeCell ref="L4365:P4365"/>
    <mergeCell ref="Q4365:U4365"/>
    <mergeCell ref="A4373:E4373"/>
    <mergeCell ref="G4373:J4373"/>
    <mergeCell ref="L4373:O4373"/>
    <mergeCell ref="A4374:E4374"/>
    <mergeCell ref="Q4373:T4373"/>
    <mergeCell ref="G4374:J4374"/>
    <mergeCell ref="L4374:O4374"/>
    <mergeCell ref="Q4374:T4374"/>
    <mergeCell ref="Q4344:T4344"/>
    <mergeCell ref="A4345:U4345"/>
    <mergeCell ref="A4346:B4347"/>
    <mergeCell ref="A4348:B4348"/>
    <mergeCell ref="C4346:T4348"/>
    <mergeCell ref="U4346:U4348"/>
    <mergeCell ref="A4349:A4350"/>
    <mergeCell ref="B4349:F4349"/>
    <mergeCell ref="G4349:K4349"/>
    <mergeCell ref="L4349:P4349"/>
    <mergeCell ref="Q4349:U4349"/>
    <mergeCell ref="A4358:E4358"/>
    <mergeCell ref="G4358:J4358"/>
    <mergeCell ref="L4358:O4358"/>
    <mergeCell ref="A4359:E4359"/>
    <mergeCell ref="Q4358:T4358"/>
    <mergeCell ref="G4359:J4359"/>
    <mergeCell ref="L4359:O4359"/>
    <mergeCell ref="Q4359:T4359"/>
    <mergeCell ref="Q4332:T4332"/>
    <mergeCell ref="A4333:U4333"/>
    <mergeCell ref="A4334:B4335"/>
    <mergeCell ref="A4336:B4336"/>
    <mergeCell ref="C4334:T4336"/>
    <mergeCell ref="U4334:U4336"/>
    <mergeCell ref="A4337:A4338"/>
    <mergeCell ref="B4337:F4337"/>
    <mergeCell ref="G4337:K4337"/>
    <mergeCell ref="L4337:P4337"/>
    <mergeCell ref="Q4337:U4337"/>
    <mergeCell ref="A4342:E4342"/>
    <mergeCell ref="G4342:J4342"/>
    <mergeCell ref="L4342:O4342"/>
    <mergeCell ref="A4343:E4343"/>
    <mergeCell ref="Q4342:T4342"/>
    <mergeCell ref="G4343:J4343"/>
    <mergeCell ref="L4343:O4343"/>
    <mergeCell ref="Q4343:T4343"/>
    <mergeCell ref="Q4320:T4320"/>
    <mergeCell ref="A4321:U4321"/>
    <mergeCell ref="A4322:B4323"/>
    <mergeCell ref="A4324:B4324"/>
    <mergeCell ref="C4322:T4324"/>
    <mergeCell ref="U4322:U4324"/>
    <mergeCell ref="A4325:A4326"/>
    <mergeCell ref="B4325:F4325"/>
    <mergeCell ref="G4325:K4325"/>
    <mergeCell ref="L4325:P4325"/>
    <mergeCell ref="Q4325:U4325"/>
    <mergeCell ref="A4330:E4330"/>
    <mergeCell ref="G4330:J4330"/>
    <mergeCell ref="L4330:O4330"/>
    <mergeCell ref="A4331:E4331"/>
    <mergeCell ref="Q4330:T4330"/>
    <mergeCell ref="G4331:J4331"/>
    <mergeCell ref="L4331:O4331"/>
    <mergeCell ref="Q4331:T4331"/>
    <mergeCell ref="Q4308:T4308"/>
    <mergeCell ref="A4309:U4309"/>
    <mergeCell ref="A4310:B4311"/>
    <mergeCell ref="A4312:B4312"/>
    <mergeCell ref="C4310:T4312"/>
    <mergeCell ref="U4310:U4312"/>
    <mergeCell ref="A4313:A4314"/>
    <mergeCell ref="B4313:F4313"/>
    <mergeCell ref="G4313:K4313"/>
    <mergeCell ref="L4313:P4313"/>
    <mergeCell ref="Q4313:U4313"/>
    <mergeCell ref="A4318:E4318"/>
    <mergeCell ref="G4318:J4318"/>
    <mergeCell ref="L4318:O4318"/>
    <mergeCell ref="A4319:E4319"/>
    <mergeCell ref="Q4318:T4318"/>
    <mergeCell ref="G4319:J4319"/>
    <mergeCell ref="L4319:O4319"/>
    <mergeCell ref="Q4319:T4319"/>
    <mergeCell ref="Q4296:T4296"/>
    <mergeCell ref="A4297:U4297"/>
    <mergeCell ref="A4298:B4299"/>
    <mergeCell ref="A4300:B4300"/>
    <mergeCell ref="C4298:T4300"/>
    <mergeCell ref="U4298:U4300"/>
    <mergeCell ref="A4301:A4302"/>
    <mergeCell ref="B4301:F4301"/>
    <mergeCell ref="G4301:K4301"/>
    <mergeCell ref="L4301:P4301"/>
    <mergeCell ref="Q4301:U4301"/>
    <mergeCell ref="A4306:E4306"/>
    <mergeCell ref="G4306:J4306"/>
    <mergeCell ref="L4306:O4306"/>
    <mergeCell ref="A4307:E4307"/>
    <mergeCell ref="Q4306:T4306"/>
    <mergeCell ref="G4307:J4307"/>
    <mergeCell ref="L4307:O4307"/>
    <mergeCell ref="Q4307:T4307"/>
    <mergeCell ref="Q4284:T4284"/>
    <mergeCell ref="A4285:U4285"/>
    <mergeCell ref="A4286:B4287"/>
    <mergeCell ref="A4288:B4288"/>
    <mergeCell ref="C4286:T4288"/>
    <mergeCell ref="U4286:U4288"/>
    <mergeCell ref="A4289:A4290"/>
    <mergeCell ref="B4289:F4289"/>
    <mergeCell ref="G4289:K4289"/>
    <mergeCell ref="L4289:P4289"/>
    <mergeCell ref="Q4289:U4289"/>
    <mergeCell ref="A4294:E4294"/>
    <mergeCell ref="G4294:J4294"/>
    <mergeCell ref="L4294:O4294"/>
    <mergeCell ref="A4295:E4295"/>
    <mergeCell ref="Q4294:T4294"/>
    <mergeCell ref="G4295:J4295"/>
    <mergeCell ref="L4295:O4295"/>
    <mergeCell ref="Q4295:T4295"/>
    <mergeCell ref="Q4272:T4272"/>
    <mergeCell ref="A4273:U4273"/>
    <mergeCell ref="A4274:B4275"/>
    <mergeCell ref="A4276:B4276"/>
    <mergeCell ref="C4274:T4276"/>
    <mergeCell ref="U4274:U4276"/>
    <mergeCell ref="A4277:A4278"/>
    <mergeCell ref="B4277:F4277"/>
    <mergeCell ref="G4277:K4277"/>
    <mergeCell ref="L4277:P4277"/>
    <mergeCell ref="Q4277:U4277"/>
    <mergeCell ref="A4282:E4282"/>
    <mergeCell ref="G4282:J4282"/>
    <mergeCell ref="L4282:O4282"/>
    <mergeCell ref="A4283:E4283"/>
    <mergeCell ref="Q4282:T4282"/>
    <mergeCell ref="G4283:J4283"/>
    <mergeCell ref="L4283:O4283"/>
    <mergeCell ref="Q4283:T4283"/>
    <mergeCell ref="Q4260:T4260"/>
    <mergeCell ref="A4261:U4261"/>
    <mergeCell ref="A4262:B4263"/>
    <mergeCell ref="A4264:B4264"/>
    <mergeCell ref="C4262:T4264"/>
    <mergeCell ref="U4262:U4264"/>
    <mergeCell ref="A4265:A4266"/>
    <mergeCell ref="B4265:F4265"/>
    <mergeCell ref="G4265:K4265"/>
    <mergeCell ref="L4265:P4265"/>
    <mergeCell ref="Q4265:U4265"/>
    <mergeCell ref="A4270:E4270"/>
    <mergeCell ref="G4270:J4270"/>
    <mergeCell ref="L4270:O4270"/>
    <mergeCell ref="A4271:E4271"/>
    <mergeCell ref="Q4270:T4270"/>
    <mergeCell ref="G4271:J4271"/>
    <mergeCell ref="L4271:O4271"/>
    <mergeCell ref="Q4271:T4271"/>
    <mergeCell ref="Q4248:T4248"/>
    <mergeCell ref="A4249:U4249"/>
    <mergeCell ref="A4250:B4251"/>
    <mergeCell ref="A4252:B4252"/>
    <mergeCell ref="C4250:T4252"/>
    <mergeCell ref="U4250:U4252"/>
    <mergeCell ref="A4253:A4254"/>
    <mergeCell ref="B4253:F4253"/>
    <mergeCell ref="G4253:K4253"/>
    <mergeCell ref="L4253:P4253"/>
    <mergeCell ref="Q4253:U4253"/>
    <mergeCell ref="A4258:E4258"/>
    <mergeCell ref="G4258:J4258"/>
    <mergeCell ref="L4258:O4258"/>
    <mergeCell ref="A4259:E4259"/>
    <mergeCell ref="Q4258:T4258"/>
    <mergeCell ref="G4259:J4259"/>
    <mergeCell ref="L4259:O4259"/>
    <mergeCell ref="Q4259:T4259"/>
    <mergeCell ref="Q4236:T4236"/>
    <mergeCell ref="A4237:U4237"/>
    <mergeCell ref="A4238:B4239"/>
    <mergeCell ref="A4240:B4240"/>
    <mergeCell ref="C4238:T4240"/>
    <mergeCell ref="U4238:U4240"/>
    <mergeCell ref="A4241:A4242"/>
    <mergeCell ref="B4241:F4241"/>
    <mergeCell ref="G4241:K4241"/>
    <mergeCell ref="L4241:P4241"/>
    <mergeCell ref="Q4241:U4241"/>
    <mergeCell ref="A4246:E4246"/>
    <mergeCell ref="G4246:J4246"/>
    <mergeCell ref="L4246:O4246"/>
    <mergeCell ref="A4247:E4247"/>
    <mergeCell ref="Q4246:T4246"/>
    <mergeCell ref="G4247:J4247"/>
    <mergeCell ref="L4247:O4247"/>
    <mergeCell ref="Q4247:T4247"/>
    <mergeCell ref="Q4222:T4222"/>
    <mergeCell ref="A4223:U4223"/>
    <mergeCell ref="A4224:B4225"/>
    <mergeCell ref="A4226:B4226"/>
    <mergeCell ref="C4224:T4226"/>
    <mergeCell ref="U4224:U4226"/>
    <mergeCell ref="A4227:A4228"/>
    <mergeCell ref="B4227:F4227"/>
    <mergeCell ref="G4227:K4227"/>
    <mergeCell ref="L4227:P4227"/>
    <mergeCell ref="Q4227:U4227"/>
    <mergeCell ref="A4234:E4234"/>
    <mergeCell ref="G4234:J4234"/>
    <mergeCell ref="L4234:O4234"/>
    <mergeCell ref="A4235:E4235"/>
    <mergeCell ref="Q4234:T4234"/>
    <mergeCell ref="G4235:J4235"/>
    <mergeCell ref="L4235:O4235"/>
    <mergeCell ref="Q4235:T4235"/>
    <mergeCell ref="Q4208:T4208"/>
    <mergeCell ref="A4209:U4209"/>
    <mergeCell ref="A4210:B4211"/>
    <mergeCell ref="A4212:B4212"/>
    <mergeCell ref="C4210:T4212"/>
    <mergeCell ref="U4210:U4212"/>
    <mergeCell ref="A4213:A4214"/>
    <mergeCell ref="B4213:F4213"/>
    <mergeCell ref="G4213:K4213"/>
    <mergeCell ref="L4213:P4213"/>
    <mergeCell ref="Q4213:U4213"/>
    <mergeCell ref="A4220:E4220"/>
    <mergeCell ref="G4220:J4220"/>
    <mergeCell ref="L4220:O4220"/>
    <mergeCell ref="A4221:E4221"/>
    <mergeCell ref="Q4220:T4220"/>
    <mergeCell ref="G4221:J4221"/>
    <mergeCell ref="L4221:O4221"/>
    <mergeCell ref="Q4221:T4221"/>
    <mergeCell ref="A4206:E4206"/>
    <mergeCell ref="G4206:J4206"/>
    <mergeCell ref="L4206:O4206"/>
    <mergeCell ref="A4207:E4207"/>
    <mergeCell ref="Q4206:T4206"/>
    <mergeCell ref="G4207:J4207"/>
    <mergeCell ref="L4207:O4207"/>
    <mergeCell ref="Q4207:T4207"/>
    <mergeCell ref="A4168:B4169"/>
    <mergeCell ref="C4168:T4170"/>
    <mergeCell ref="U4168:U4170"/>
    <mergeCell ref="A4170:B4170"/>
    <mergeCell ref="A4171:A4172"/>
    <mergeCell ref="B4171:F4171"/>
    <mergeCell ref="G4171:K4171"/>
    <mergeCell ref="L4171:P4171"/>
    <mergeCell ref="Q4171:U4171"/>
    <mergeCell ref="A4177:E4177"/>
    <mergeCell ref="G4177:J4177"/>
    <mergeCell ref="L4177:O4177"/>
    <mergeCell ref="Q4177:T4177"/>
    <mergeCell ref="Q4190:T4190"/>
    <mergeCell ref="A4191:E4191"/>
    <mergeCell ref="G4191:J4191"/>
    <mergeCell ref="L4191:O4191"/>
    <mergeCell ref="Q4191:T4191"/>
    <mergeCell ref="S4192:T4192"/>
    <mergeCell ref="Q4165:T4165"/>
    <mergeCell ref="A4180:U4180"/>
    <mergeCell ref="A4195:B4196"/>
    <mergeCell ref="A4197:B4197"/>
    <mergeCell ref="C4195:T4197"/>
    <mergeCell ref="U4195:U4197"/>
    <mergeCell ref="A4198:A4199"/>
    <mergeCell ref="B4198:F4198"/>
    <mergeCell ref="G4198:K4198"/>
    <mergeCell ref="L4198:P4198"/>
    <mergeCell ref="Q4198:U4198"/>
    <mergeCell ref="A4178:E4178"/>
    <mergeCell ref="G4178:J4178"/>
    <mergeCell ref="L4178:O4178"/>
    <mergeCell ref="Q4178:T4178"/>
    <mergeCell ref="S4179:T4179"/>
    <mergeCell ref="A4184:A4185"/>
    <mergeCell ref="B4184:F4184"/>
    <mergeCell ref="G4184:K4184"/>
    <mergeCell ref="L4184:P4184"/>
    <mergeCell ref="Q4184:U4184"/>
    <mergeCell ref="A4190:E4190"/>
    <mergeCell ref="G4190:J4190"/>
    <mergeCell ref="L4190:O4190"/>
    <mergeCell ref="Q4143:T4143"/>
    <mergeCell ref="A4144:U4144"/>
    <mergeCell ref="A4145:B4146"/>
    <mergeCell ref="A4147:B4147"/>
    <mergeCell ref="C4145:T4147"/>
    <mergeCell ref="U4145:U4147"/>
    <mergeCell ref="A4148:A4149"/>
    <mergeCell ref="B4148:F4148"/>
    <mergeCell ref="G4148:K4148"/>
    <mergeCell ref="L4148:P4148"/>
    <mergeCell ref="Q4148:U4148"/>
    <mergeCell ref="A4163:E4163"/>
    <mergeCell ref="G4163:J4163"/>
    <mergeCell ref="L4163:O4163"/>
    <mergeCell ref="A4164:E4164"/>
    <mergeCell ref="Q4163:T4163"/>
    <mergeCell ref="G4164:J4164"/>
    <mergeCell ref="L4164:O4164"/>
    <mergeCell ref="Q4164:T4164"/>
    <mergeCell ref="Q4132:T4132"/>
    <mergeCell ref="A4133:U4133"/>
    <mergeCell ref="A4134:B4135"/>
    <mergeCell ref="A4136:B4136"/>
    <mergeCell ref="C4134:T4136"/>
    <mergeCell ref="U4134:U4136"/>
    <mergeCell ref="A4137:A4138"/>
    <mergeCell ref="B4137:F4137"/>
    <mergeCell ref="G4137:K4137"/>
    <mergeCell ref="L4137:P4137"/>
    <mergeCell ref="Q4137:U4137"/>
    <mergeCell ref="A4141:E4141"/>
    <mergeCell ref="G4141:J4141"/>
    <mergeCell ref="L4141:O4141"/>
    <mergeCell ref="A4142:E4142"/>
    <mergeCell ref="Q4141:T4141"/>
    <mergeCell ref="G4142:J4142"/>
    <mergeCell ref="L4142:O4142"/>
    <mergeCell ref="Q4142:T4142"/>
    <mergeCell ref="Q4121:T4121"/>
    <mergeCell ref="A4122:U4122"/>
    <mergeCell ref="A4123:B4124"/>
    <mergeCell ref="A4125:B4125"/>
    <mergeCell ref="C4123:T4125"/>
    <mergeCell ref="U4123:U4125"/>
    <mergeCell ref="A4126:A4127"/>
    <mergeCell ref="B4126:F4126"/>
    <mergeCell ref="G4126:K4126"/>
    <mergeCell ref="L4126:P4126"/>
    <mergeCell ref="Q4126:U4126"/>
    <mergeCell ref="A4130:E4130"/>
    <mergeCell ref="G4130:J4130"/>
    <mergeCell ref="L4130:O4130"/>
    <mergeCell ref="A4131:E4131"/>
    <mergeCell ref="Q4130:T4130"/>
    <mergeCell ref="G4131:J4131"/>
    <mergeCell ref="L4131:O4131"/>
    <mergeCell ref="Q4131:T4131"/>
    <mergeCell ref="Q4107:T4107"/>
    <mergeCell ref="A4108:U4108"/>
    <mergeCell ref="A4109:B4110"/>
    <mergeCell ref="A4111:B4111"/>
    <mergeCell ref="C4109:T4111"/>
    <mergeCell ref="U4109:U4111"/>
    <mergeCell ref="A4112:A4113"/>
    <mergeCell ref="B4112:F4112"/>
    <mergeCell ref="G4112:K4112"/>
    <mergeCell ref="L4112:P4112"/>
    <mergeCell ref="Q4112:U4112"/>
    <mergeCell ref="A4119:E4119"/>
    <mergeCell ref="G4119:J4119"/>
    <mergeCell ref="L4119:O4119"/>
    <mergeCell ref="A4120:E4120"/>
    <mergeCell ref="Q4119:T4119"/>
    <mergeCell ref="G4120:J4120"/>
    <mergeCell ref="L4120:O4120"/>
    <mergeCell ref="Q4120:T4120"/>
    <mergeCell ref="Q4094:T4094"/>
    <mergeCell ref="A4095:U4095"/>
    <mergeCell ref="A4096:B4097"/>
    <mergeCell ref="A4098:B4098"/>
    <mergeCell ref="C4096:T4098"/>
    <mergeCell ref="U4096:U4098"/>
    <mergeCell ref="A4099:A4100"/>
    <mergeCell ref="B4099:F4099"/>
    <mergeCell ref="G4099:K4099"/>
    <mergeCell ref="L4099:P4099"/>
    <mergeCell ref="Q4099:U4099"/>
    <mergeCell ref="A4105:E4105"/>
    <mergeCell ref="G4105:J4105"/>
    <mergeCell ref="L4105:O4105"/>
    <mergeCell ref="A4106:E4106"/>
    <mergeCell ref="Q4105:T4105"/>
    <mergeCell ref="G4106:J4106"/>
    <mergeCell ref="L4106:O4106"/>
    <mergeCell ref="Q4106:T4106"/>
    <mergeCell ref="Q4081:T4081"/>
    <mergeCell ref="A4082:U4082"/>
    <mergeCell ref="A4083:B4084"/>
    <mergeCell ref="A4085:B4085"/>
    <mergeCell ref="C4083:T4085"/>
    <mergeCell ref="U4083:U4085"/>
    <mergeCell ref="A4086:A4087"/>
    <mergeCell ref="B4086:F4086"/>
    <mergeCell ref="G4086:K4086"/>
    <mergeCell ref="L4086:P4086"/>
    <mergeCell ref="Q4086:U4086"/>
    <mergeCell ref="A4092:E4092"/>
    <mergeCell ref="G4092:J4092"/>
    <mergeCell ref="L4092:O4092"/>
    <mergeCell ref="A4093:E4093"/>
    <mergeCell ref="Q4092:T4092"/>
    <mergeCell ref="G4093:J4093"/>
    <mergeCell ref="L4093:O4093"/>
    <mergeCell ref="Q4093:T4093"/>
    <mergeCell ref="Q4069:T4069"/>
    <mergeCell ref="A4070:U4070"/>
    <mergeCell ref="A4071:B4072"/>
    <mergeCell ref="A4073:B4073"/>
    <mergeCell ref="C4071:T4073"/>
    <mergeCell ref="U4071:U4073"/>
    <mergeCell ref="A4074:A4075"/>
    <mergeCell ref="B4074:F4074"/>
    <mergeCell ref="G4074:K4074"/>
    <mergeCell ref="L4074:P4074"/>
    <mergeCell ref="Q4074:U4074"/>
    <mergeCell ref="A4079:E4079"/>
    <mergeCell ref="G4079:J4079"/>
    <mergeCell ref="L4079:O4079"/>
    <mergeCell ref="A4080:E4080"/>
    <mergeCell ref="Q4079:T4079"/>
    <mergeCell ref="G4080:J4080"/>
    <mergeCell ref="L4080:O4080"/>
    <mergeCell ref="Q4080:T4080"/>
    <mergeCell ref="Q4057:T4057"/>
    <mergeCell ref="A4058:U4058"/>
    <mergeCell ref="A4059:B4060"/>
    <mergeCell ref="A4061:B4061"/>
    <mergeCell ref="C4059:T4061"/>
    <mergeCell ref="U4059:U4061"/>
    <mergeCell ref="A4062:A4063"/>
    <mergeCell ref="B4062:F4062"/>
    <mergeCell ref="G4062:K4062"/>
    <mergeCell ref="L4062:P4062"/>
    <mergeCell ref="Q4062:U4062"/>
    <mergeCell ref="A4067:E4067"/>
    <mergeCell ref="G4067:J4067"/>
    <mergeCell ref="L4067:O4067"/>
    <mergeCell ref="A4068:E4068"/>
    <mergeCell ref="Q4067:T4067"/>
    <mergeCell ref="G4068:J4068"/>
    <mergeCell ref="L4068:O4068"/>
    <mergeCell ref="Q4068:T4068"/>
    <mergeCell ref="Q4046:T4046"/>
    <mergeCell ref="A4047:U4047"/>
    <mergeCell ref="A4048:B4049"/>
    <mergeCell ref="A4050:B4050"/>
    <mergeCell ref="C4048:T4050"/>
    <mergeCell ref="U4048:U4050"/>
    <mergeCell ref="A4051:A4052"/>
    <mergeCell ref="B4051:F4051"/>
    <mergeCell ref="G4051:K4051"/>
    <mergeCell ref="L4051:P4051"/>
    <mergeCell ref="Q4051:U4051"/>
    <mergeCell ref="A4055:E4055"/>
    <mergeCell ref="G4055:J4055"/>
    <mergeCell ref="L4055:O4055"/>
    <mergeCell ref="A4056:E4056"/>
    <mergeCell ref="Q4055:T4055"/>
    <mergeCell ref="G4056:J4056"/>
    <mergeCell ref="L4056:O4056"/>
    <mergeCell ref="Q4056:T4056"/>
    <mergeCell ref="Q4033:T4033"/>
    <mergeCell ref="A4034:U4034"/>
    <mergeCell ref="A4035:B4036"/>
    <mergeCell ref="A4037:B4037"/>
    <mergeCell ref="C4035:T4037"/>
    <mergeCell ref="U4035:U4037"/>
    <mergeCell ref="A4038:A4039"/>
    <mergeCell ref="B4038:F4038"/>
    <mergeCell ref="G4038:K4038"/>
    <mergeCell ref="L4038:P4038"/>
    <mergeCell ref="Q4038:U4038"/>
    <mergeCell ref="A4044:E4044"/>
    <mergeCell ref="G4044:J4044"/>
    <mergeCell ref="L4044:O4044"/>
    <mergeCell ref="A4045:E4045"/>
    <mergeCell ref="Q4044:T4044"/>
    <mergeCell ref="G4045:J4045"/>
    <mergeCell ref="L4045:O4045"/>
    <mergeCell ref="Q4045:T4045"/>
    <mergeCell ref="Q4022:T4022"/>
    <mergeCell ref="A4023:U4023"/>
    <mergeCell ref="A4024:B4025"/>
    <mergeCell ref="A4026:B4026"/>
    <mergeCell ref="C4024:T4026"/>
    <mergeCell ref="U4024:U4026"/>
    <mergeCell ref="A4027:A4028"/>
    <mergeCell ref="B4027:F4027"/>
    <mergeCell ref="G4027:K4027"/>
    <mergeCell ref="L4027:P4027"/>
    <mergeCell ref="Q4027:U4027"/>
    <mergeCell ref="A4031:E4031"/>
    <mergeCell ref="G4031:J4031"/>
    <mergeCell ref="L4031:O4031"/>
    <mergeCell ref="A4032:E4032"/>
    <mergeCell ref="Q4031:T4031"/>
    <mergeCell ref="G4032:J4032"/>
    <mergeCell ref="L4032:O4032"/>
    <mergeCell ref="Q4032:T4032"/>
    <mergeCell ref="Q4011:T4011"/>
    <mergeCell ref="A4012:U4012"/>
    <mergeCell ref="A4013:B4014"/>
    <mergeCell ref="A4015:B4015"/>
    <mergeCell ref="C4013:T4015"/>
    <mergeCell ref="U4013:U4015"/>
    <mergeCell ref="A4016:A4017"/>
    <mergeCell ref="B4016:F4016"/>
    <mergeCell ref="G4016:K4016"/>
    <mergeCell ref="L4016:P4016"/>
    <mergeCell ref="Q4016:U4016"/>
    <mergeCell ref="A4020:E4020"/>
    <mergeCell ref="G4020:J4020"/>
    <mergeCell ref="L4020:O4020"/>
    <mergeCell ref="A4021:E4021"/>
    <mergeCell ref="Q4020:T4020"/>
    <mergeCell ref="G4021:J4021"/>
    <mergeCell ref="L4021:O4021"/>
    <mergeCell ref="Q4021:T4021"/>
    <mergeCell ref="Q3999:T3999"/>
    <mergeCell ref="A4000:U4000"/>
    <mergeCell ref="A4001:B4002"/>
    <mergeCell ref="A4003:B4003"/>
    <mergeCell ref="C4001:T4003"/>
    <mergeCell ref="U4001:U4003"/>
    <mergeCell ref="A4004:A4005"/>
    <mergeCell ref="B4004:F4004"/>
    <mergeCell ref="G4004:K4004"/>
    <mergeCell ref="L4004:P4004"/>
    <mergeCell ref="Q4004:U4004"/>
    <mergeCell ref="A4009:E4009"/>
    <mergeCell ref="G4009:J4009"/>
    <mergeCell ref="L4009:O4009"/>
    <mergeCell ref="A4010:E4010"/>
    <mergeCell ref="Q4009:T4009"/>
    <mergeCell ref="G4010:J4010"/>
    <mergeCell ref="L4010:O4010"/>
    <mergeCell ref="Q4010:T4010"/>
    <mergeCell ref="Q3987:T3987"/>
    <mergeCell ref="A3988:U3988"/>
    <mergeCell ref="A3989:B3990"/>
    <mergeCell ref="A3991:B3991"/>
    <mergeCell ref="C3989:T3991"/>
    <mergeCell ref="U3989:U3991"/>
    <mergeCell ref="A3992:A3993"/>
    <mergeCell ref="B3992:F3992"/>
    <mergeCell ref="G3992:K3992"/>
    <mergeCell ref="L3992:P3992"/>
    <mergeCell ref="Q3992:U3992"/>
    <mergeCell ref="A3997:E3997"/>
    <mergeCell ref="G3997:J3997"/>
    <mergeCell ref="L3997:O3997"/>
    <mergeCell ref="A3998:E3998"/>
    <mergeCell ref="Q3997:T3997"/>
    <mergeCell ref="G3998:J3998"/>
    <mergeCell ref="L3998:O3998"/>
    <mergeCell ref="Q3998:T3998"/>
    <mergeCell ref="L3974:O3974"/>
    <mergeCell ref="Q3974:T3974"/>
    <mergeCell ref="Q3975:T3975"/>
    <mergeCell ref="A3976:U3976"/>
    <mergeCell ref="A3977:B3978"/>
    <mergeCell ref="A3979:B3979"/>
    <mergeCell ref="C3977:T3979"/>
    <mergeCell ref="U3977:U3979"/>
    <mergeCell ref="A3980:A3981"/>
    <mergeCell ref="B3980:F3980"/>
    <mergeCell ref="G3980:K3980"/>
    <mergeCell ref="L3980:P3980"/>
    <mergeCell ref="Q3980:U3980"/>
    <mergeCell ref="A3985:E3985"/>
    <mergeCell ref="G3985:J3985"/>
    <mergeCell ref="L3985:O3985"/>
    <mergeCell ref="A3986:E3986"/>
    <mergeCell ref="Q3985:T3985"/>
    <mergeCell ref="G3986:J3986"/>
    <mergeCell ref="L3986:O3986"/>
    <mergeCell ref="Q3986:T3986"/>
    <mergeCell ref="Q3927:T3927"/>
    <mergeCell ref="A3928:U3928"/>
    <mergeCell ref="A3943:B3944"/>
    <mergeCell ref="A3945:B3945"/>
    <mergeCell ref="C3943:T3945"/>
    <mergeCell ref="U3943:U3945"/>
    <mergeCell ref="A3946:A3947"/>
    <mergeCell ref="B3946:F3946"/>
    <mergeCell ref="G3946:K3946"/>
    <mergeCell ref="L3946:P3946"/>
    <mergeCell ref="Q3946:U3946"/>
    <mergeCell ref="A3950:E3950"/>
    <mergeCell ref="G3950:J3950"/>
    <mergeCell ref="L3950:O3950"/>
    <mergeCell ref="A3951:E3951"/>
    <mergeCell ref="Q3950:T3950"/>
    <mergeCell ref="G3951:J3951"/>
    <mergeCell ref="L3951:O3951"/>
    <mergeCell ref="Q3951:T3951"/>
    <mergeCell ref="A3930:B3931"/>
    <mergeCell ref="C3930:T3932"/>
    <mergeCell ref="U3930:U3932"/>
    <mergeCell ref="A3932:B3932"/>
    <mergeCell ref="A3933:A3934"/>
    <mergeCell ref="B3933:F3933"/>
    <mergeCell ref="G3933:K3933"/>
    <mergeCell ref="L3933:P3933"/>
    <mergeCell ref="Q3933:U3933"/>
    <mergeCell ref="A3939:E3939"/>
    <mergeCell ref="G3939:J3939"/>
    <mergeCell ref="L3939:O3939"/>
    <mergeCell ref="Q3939:T3939"/>
    <mergeCell ref="Q3914:T3914"/>
    <mergeCell ref="A3915:U3915"/>
    <mergeCell ref="A3916:B3917"/>
    <mergeCell ref="A3918:B3918"/>
    <mergeCell ref="C3916:T3918"/>
    <mergeCell ref="U3916:U3918"/>
    <mergeCell ref="A3919:A3920"/>
    <mergeCell ref="B3919:F3919"/>
    <mergeCell ref="G3919:K3919"/>
    <mergeCell ref="L3919:P3919"/>
    <mergeCell ref="Q3919:U3919"/>
    <mergeCell ref="A3925:E3925"/>
    <mergeCell ref="G3925:J3925"/>
    <mergeCell ref="L3925:O3925"/>
    <mergeCell ref="A3926:E3926"/>
    <mergeCell ref="Q3925:T3925"/>
    <mergeCell ref="G3926:J3926"/>
    <mergeCell ref="L3926:O3926"/>
    <mergeCell ref="Q3926:T3926"/>
    <mergeCell ref="Q3888:T3888"/>
    <mergeCell ref="A3902:U3902"/>
    <mergeCell ref="A3903:B3904"/>
    <mergeCell ref="A3905:B3905"/>
    <mergeCell ref="C3903:T3905"/>
    <mergeCell ref="U3903:U3905"/>
    <mergeCell ref="A3906:A3907"/>
    <mergeCell ref="B3906:F3906"/>
    <mergeCell ref="G3906:K3906"/>
    <mergeCell ref="L3906:P3906"/>
    <mergeCell ref="Q3906:U3906"/>
    <mergeCell ref="A3912:E3912"/>
    <mergeCell ref="G3912:J3912"/>
    <mergeCell ref="L3912:O3912"/>
    <mergeCell ref="A3913:E3913"/>
    <mergeCell ref="Q3912:T3912"/>
    <mergeCell ref="G3913:J3913"/>
    <mergeCell ref="L3913:O3913"/>
    <mergeCell ref="Q3913:T3913"/>
    <mergeCell ref="A3890:B3891"/>
    <mergeCell ref="C3890:T3892"/>
    <mergeCell ref="U3890:U3892"/>
    <mergeCell ref="A3892:B3892"/>
    <mergeCell ref="A3893:A3894"/>
    <mergeCell ref="B3893:F3893"/>
    <mergeCell ref="G3893:K3893"/>
    <mergeCell ref="L3893:P3893"/>
    <mergeCell ref="Q3893:U3893"/>
    <mergeCell ref="A3899:E3899"/>
    <mergeCell ref="G3899:J3899"/>
    <mergeCell ref="L3899:O3899"/>
    <mergeCell ref="Q3899:T3899"/>
    <mergeCell ref="Q3875:T3875"/>
    <mergeCell ref="A3876:U3876"/>
    <mergeCell ref="A3877:B3878"/>
    <mergeCell ref="A3879:B3879"/>
    <mergeCell ref="C3877:T3879"/>
    <mergeCell ref="U3877:U3879"/>
    <mergeCell ref="A3880:A3881"/>
    <mergeCell ref="B3880:F3880"/>
    <mergeCell ref="G3880:K3880"/>
    <mergeCell ref="L3880:P3880"/>
    <mergeCell ref="Q3880:U3880"/>
    <mergeCell ref="A3886:E3886"/>
    <mergeCell ref="G3886:J3886"/>
    <mergeCell ref="L3886:O3886"/>
    <mergeCell ref="A3887:E3887"/>
    <mergeCell ref="Q3886:T3886"/>
    <mergeCell ref="G3887:J3887"/>
    <mergeCell ref="L3887:O3887"/>
    <mergeCell ref="Q3887:T3887"/>
    <mergeCell ref="Q3862:T3862"/>
    <mergeCell ref="A3863:U3863"/>
    <mergeCell ref="A3864:B3865"/>
    <mergeCell ref="A3866:B3866"/>
    <mergeCell ref="C3864:T3866"/>
    <mergeCell ref="U3864:U3866"/>
    <mergeCell ref="A3867:A3868"/>
    <mergeCell ref="B3867:F3867"/>
    <mergeCell ref="G3867:K3867"/>
    <mergeCell ref="L3867:P3867"/>
    <mergeCell ref="Q3867:U3867"/>
    <mergeCell ref="A3873:E3873"/>
    <mergeCell ref="G3873:J3873"/>
    <mergeCell ref="L3873:O3873"/>
    <mergeCell ref="A3874:E3874"/>
    <mergeCell ref="Q3873:T3873"/>
    <mergeCell ref="G3874:J3874"/>
    <mergeCell ref="L3874:O3874"/>
    <mergeCell ref="Q3874:T3874"/>
    <mergeCell ref="Q3849:T3849"/>
    <mergeCell ref="A3850:U3850"/>
    <mergeCell ref="A3851:B3852"/>
    <mergeCell ref="A3853:B3853"/>
    <mergeCell ref="C3851:T3853"/>
    <mergeCell ref="U3851:U3853"/>
    <mergeCell ref="A3854:A3855"/>
    <mergeCell ref="B3854:F3854"/>
    <mergeCell ref="G3854:K3854"/>
    <mergeCell ref="L3854:P3854"/>
    <mergeCell ref="Q3854:U3854"/>
    <mergeCell ref="A3860:E3860"/>
    <mergeCell ref="G3860:J3860"/>
    <mergeCell ref="L3860:O3860"/>
    <mergeCell ref="A3861:E3861"/>
    <mergeCell ref="Q3860:T3860"/>
    <mergeCell ref="G3861:J3861"/>
    <mergeCell ref="L3861:O3861"/>
    <mergeCell ref="Q3861:T3861"/>
    <mergeCell ref="Q3836:T3836"/>
    <mergeCell ref="A3837:U3837"/>
    <mergeCell ref="A3838:B3839"/>
    <mergeCell ref="A3840:B3840"/>
    <mergeCell ref="C3838:T3840"/>
    <mergeCell ref="U3838:U3840"/>
    <mergeCell ref="A3841:A3842"/>
    <mergeCell ref="B3841:F3841"/>
    <mergeCell ref="G3841:K3841"/>
    <mergeCell ref="L3841:P3841"/>
    <mergeCell ref="Q3841:U3841"/>
    <mergeCell ref="A3847:E3847"/>
    <mergeCell ref="G3847:J3847"/>
    <mergeCell ref="L3847:O3847"/>
    <mergeCell ref="A3848:E3848"/>
    <mergeCell ref="Q3847:T3847"/>
    <mergeCell ref="G3848:J3848"/>
    <mergeCell ref="L3848:O3848"/>
    <mergeCell ref="Q3848:T3848"/>
    <mergeCell ref="Q3824:T3824"/>
    <mergeCell ref="A3825:U3825"/>
    <mergeCell ref="A3826:B3827"/>
    <mergeCell ref="A3828:B3828"/>
    <mergeCell ref="C3826:T3828"/>
    <mergeCell ref="U3826:U3828"/>
    <mergeCell ref="A3829:A3830"/>
    <mergeCell ref="B3829:F3829"/>
    <mergeCell ref="G3829:K3829"/>
    <mergeCell ref="L3829:P3829"/>
    <mergeCell ref="Q3829:U3829"/>
    <mergeCell ref="A3834:E3834"/>
    <mergeCell ref="G3834:J3834"/>
    <mergeCell ref="L3834:O3834"/>
    <mergeCell ref="A3835:E3835"/>
    <mergeCell ref="Q3834:T3834"/>
    <mergeCell ref="G3835:J3835"/>
    <mergeCell ref="L3835:O3835"/>
    <mergeCell ref="Q3835:T3835"/>
    <mergeCell ref="Q3812:T3812"/>
    <mergeCell ref="A3813:U3813"/>
    <mergeCell ref="A3814:B3815"/>
    <mergeCell ref="A3816:B3816"/>
    <mergeCell ref="C3814:T3816"/>
    <mergeCell ref="U3814:U3816"/>
    <mergeCell ref="A3817:A3818"/>
    <mergeCell ref="B3817:F3817"/>
    <mergeCell ref="G3817:K3817"/>
    <mergeCell ref="L3817:P3817"/>
    <mergeCell ref="Q3817:U3817"/>
    <mergeCell ref="A3822:E3822"/>
    <mergeCell ref="G3822:J3822"/>
    <mergeCell ref="L3822:O3822"/>
    <mergeCell ref="A3823:E3823"/>
    <mergeCell ref="Q3822:T3822"/>
    <mergeCell ref="G3823:J3823"/>
    <mergeCell ref="L3823:O3823"/>
    <mergeCell ref="Q3823:T3823"/>
    <mergeCell ref="Q3800:T3800"/>
    <mergeCell ref="A3801:U3801"/>
    <mergeCell ref="A3802:B3803"/>
    <mergeCell ref="A3804:B3804"/>
    <mergeCell ref="C3802:T3804"/>
    <mergeCell ref="U3802:U3804"/>
    <mergeCell ref="A3805:A3806"/>
    <mergeCell ref="B3805:F3805"/>
    <mergeCell ref="G3805:K3805"/>
    <mergeCell ref="L3805:P3805"/>
    <mergeCell ref="Q3805:U3805"/>
    <mergeCell ref="A3810:E3810"/>
    <mergeCell ref="G3810:J3810"/>
    <mergeCell ref="L3810:O3810"/>
    <mergeCell ref="A3811:E3811"/>
    <mergeCell ref="Q3810:T3810"/>
    <mergeCell ref="G3811:J3811"/>
    <mergeCell ref="L3811:O3811"/>
    <mergeCell ref="Q3811:T3811"/>
    <mergeCell ref="A3790:B3791"/>
    <mergeCell ref="A3792:B3792"/>
    <mergeCell ref="C3790:T3792"/>
    <mergeCell ref="U3790:U3792"/>
    <mergeCell ref="A3793:A3794"/>
    <mergeCell ref="B3793:F3793"/>
    <mergeCell ref="G3793:K3793"/>
    <mergeCell ref="L3793:P3793"/>
    <mergeCell ref="Q3793:U3793"/>
    <mergeCell ref="A3798:E3798"/>
    <mergeCell ref="G3798:J3798"/>
    <mergeCell ref="L3798:O3798"/>
    <mergeCell ref="A3799:E3799"/>
    <mergeCell ref="Q3798:T3798"/>
    <mergeCell ref="G3799:J3799"/>
    <mergeCell ref="L3799:O3799"/>
    <mergeCell ref="Q3799:T3799"/>
    <mergeCell ref="Q3788:T3788"/>
    <mergeCell ref="A3789:U3789"/>
    <mergeCell ref="Q3776:T3776"/>
    <mergeCell ref="A3777:U3777"/>
    <mergeCell ref="A3778:B3779"/>
    <mergeCell ref="A3780:B3780"/>
    <mergeCell ref="C3778:T3780"/>
    <mergeCell ref="U3778:U3780"/>
    <mergeCell ref="A3781:A3782"/>
    <mergeCell ref="B3781:F3781"/>
    <mergeCell ref="G3781:K3781"/>
    <mergeCell ref="L3781:P3781"/>
    <mergeCell ref="Q3781:U3781"/>
    <mergeCell ref="A3786:E3786"/>
    <mergeCell ref="G3786:J3786"/>
    <mergeCell ref="L3786:O3786"/>
    <mergeCell ref="A3787:E3787"/>
    <mergeCell ref="Q3786:T3786"/>
    <mergeCell ref="G3787:J3787"/>
    <mergeCell ref="L3787:O3787"/>
    <mergeCell ref="Q3787:T3787"/>
    <mergeCell ref="Q3764:T3764"/>
    <mergeCell ref="A3765:U3765"/>
    <mergeCell ref="A3766:B3767"/>
    <mergeCell ref="A3768:B3768"/>
    <mergeCell ref="C3766:T3768"/>
    <mergeCell ref="U3766:U3768"/>
    <mergeCell ref="A3769:A3770"/>
    <mergeCell ref="B3769:F3769"/>
    <mergeCell ref="G3769:K3769"/>
    <mergeCell ref="L3769:P3769"/>
    <mergeCell ref="Q3769:U3769"/>
    <mergeCell ref="A3774:E3774"/>
    <mergeCell ref="G3774:J3774"/>
    <mergeCell ref="L3774:O3774"/>
    <mergeCell ref="A3775:E3775"/>
    <mergeCell ref="Q3774:T3774"/>
    <mergeCell ref="G3775:J3775"/>
    <mergeCell ref="L3775:O3775"/>
    <mergeCell ref="Q3775:T3775"/>
    <mergeCell ref="Q3752:T3752"/>
    <mergeCell ref="A3753:U3753"/>
    <mergeCell ref="A3754:B3755"/>
    <mergeCell ref="A3756:B3756"/>
    <mergeCell ref="C3754:T3756"/>
    <mergeCell ref="U3754:U3756"/>
    <mergeCell ref="A3757:A3758"/>
    <mergeCell ref="B3757:F3757"/>
    <mergeCell ref="G3757:K3757"/>
    <mergeCell ref="L3757:P3757"/>
    <mergeCell ref="Q3757:U3757"/>
    <mergeCell ref="A3762:E3762"/>
    <mergeCell ref="G3762:J3762"/>
    <mergeCell ref="L3762:O3762"/>
    <mergeCell ref="A3763:E3763"/>
    <mergeCell ref="Q3762:T3762"/>
    <mergeCell ref="G3763:J3763"/>
    <mergeCell ref="L3763:O3763"/>
    <mergeCell ref="Q3763:T3763"/>
    <mergeCell ref="Q3738:T3738"/>
    <mergeCell ref="A3739:U3739"/>
    <mergeCell ref="A3740:B3741"/>
    <mergeCell ref="A3742:B3742"/>
    <mergeCell ref="C3740:T3742"/>
    <mergeCell ref="U3740:U3742"/>
    <mergeCell ref="A3743:A3744"/>
    <mergeCell ref="B3743:F3743"/>
    <mergeCell ref="G3743:K3743"/>
    <mergeCell ref="L3743:P3743"/>
    <mergeCell ref="Q3743:U3743"/>
    <mergeCell ref="A3750:E3750"/>
    <mergeCell ref="G3750:J3750"/>
    <mergeCell ref="L3750:O3750"/>
    <mergeCell ref="A3751:E3751"/>
    <mergeCell ref="Q3750:T3750"/>
    <mergeCell ref="G3751:J3751"/>
    <mergeCell ref="L3751:O3751"/>
    <mergeCell ref="Q3751:T3751"/>
    <mergeCell ref="Q3724:T3724"/>
    <mergeCell ref="A3725:U3725"/>
    <mergeCell ref="A3726:B3727"/>
    <mergeCell ref="A3728:B3728"/>
    <mergeCell ref="C3726:T3728"/>
    <mergeCell ref="U3726:U3728"/>
    <mergeCell ref="A3729:A3730"/>
    <mergeCell ref="B3729:F3729"/>
    <mergeCell ref="G3729:K3729"/>
    <mergeCell ref="L3729:P3729"/>
    <mergeCell ref="Q3729:U3729"/>
    <mergeCell ref="A3736:E3736"/>
    <mergeCell ref="G3736:J3736"/>
    <mergeCell ref="L3736:O3736"/>
    <mergeCell ref="A3737:E3737"/>
    <mergeCell ref="Q3736:T3736"/>
    <mergeCell ref="G3737:J3737"/>
    <mergeCell ref="L3737:O3737"/>
    <mergeCell ref="Q3737:T3737"/>
    <mergeCell ref="Q3710:T3710"/>
    <mergeCell ref="A3711:U3711"/>
    <mergeCell ref="A3712:B3713"/>
    <mergeCell ref="A3714:B3714"/>
    <mergeCell ref="C3712:T3714"/>
    <mergeCell ref="U3712:U3714"/>
    <mergeCell ref="A3715:A3716"/>
    <mergeCell ref="B3715:F3715"/>
    <mergeCell ref="G3715:K3715"/>
    <mergeCell ref="L3715:P3715"/>
    <mergeCell ref="Q3715:U3715"/>
    <mergeCell ref="A3722:E3722"/>
    <mergeCell ref="G3722:J3722"/>
    <mergeCell ref="L3722:O3722"/>
    <mergeCell ref="A3723:E3723"/>
    <mergeCell ref="Q3722:T3722"/>
    <mergeCell ref="G3723:J3723"/>
    <mergeCell ref="L3723:O3723"/>
    <mergeCell ref="Q3723:T3723"/>
    <mergeCell ref="Q3696:T3696"/>
    <mergeCell ref="A3697:U3697"/>
    <mergeCell ref="A3698:B3699"/>
    <mergeCell ref="A3700:B3700"/>
    <mergeCell ref="C3698:T3700"/>
    <mergeCell ref="U3698:U3700"/>
    <mergeCell ref="A3701:A3702"/>
    <mergeCell ref="B3701:F3701"/>
    <mergeCell ref="G3701:K3701"/>
    <mergeCell ref="L3701:P3701"/>
    <mergeCell ref="Q3701:U3701"/>
    <mergeCell ref="A3708:E3708"/>
    <mergeCell ref="G3708:J3708"/>
    <mergeCell ref="L3708:O3708"/>
    <mergeCell ref="A3709:E3709"/>
    <mergeCell ref="Q3708:T3708"/>
    <mergeCell ref="G3709:J3709"/>
    <mergeCell ref="L3709:O3709"/>
    <mergeCell ref="Q3709:T3709"/>
    <mergeCell ref="Q3682:T3682"/>
    <mergeCell ref="A3683:U3683"/>
    <mergeCell ref="A3684:B3685"/>
    <mergeCell ref="A3686:B3686"/>
    <mergeCell ref="C3684:T3686"/>
    <mergeCell ref="U3684:U3686"/>
    <mergeCell ref="A3687:A3688"/>
    <mergeCell ref="B3687:F3687"/>
    <mergeCell ref="G3687:K3687"/>
    <mergeCell ref="L3687:P3687"/>
    <mergeCell ref="Q3687:U3687"/>
    <mergeCell ref="A3694:E3694"/>
    <mergeCell ref="G3694:J3694"/>
    <mergeCell ref="L3694:O3694"/>
    <mergeCell ref="A3695:E3695"/>
    <mergeCell ref="Q3694:T3694"/>
    <mergeCell ref="G3695:J3695"/>
    <mergeCell ref="L3695:O3695"/>
    <mergeCell ref="Q3695:T3695"/>
    <mergeCell ref="Q3668:T3668"/>
    <mergeCell ref="A3669:U3669"/>
    <mergeCell ref="A3670:B3671"/>
    <mergeCell ref="A3672:B3672"/>
    <mergeCell ref="C3670:T3672"/>
    <mergeCell ref="U3670:U3672"/>
    <mergeCell ref="A3673:A3674"/>
    <mergeCell ref="B3673:F3673"/>
    <mergeCell ref="G3673:K3673"/>
    <mergeCell ref="L3673:P3673"/>
    <mergeCell ref="Q3673:U3673"/>
    <mergeCell ref="A3680:E3680"/>
    <mergeCell ref="G3680:J3680"/>
    <mergeCell ref="L3680:O3680"/>
    <mergeCell ref="A3681:E3681"/>
    <mergeCell ref="Q3680:T3680"/>
    <mergeCell ref="G3681:J3681"/>
    <mergeCell ref="L3681:O3681"/>
    <mergeCell ref="Q3681:T3681"/>
    <mergeCell ref="Q3654:T3654"/>
    <mergeCell ref="A3655:U3655"/>
    <mergeCell ref="A3656:B3657"/>
    <mergeCell ref="A3658:B3658"/>
    <mergeCell ref="C3656:T3658"/>
    <mergeCell ref="U3656:U3658"/>
    <mergeCell ref="A3659:A3660"/>
    <mergeCell ref="B3659:F3659"/>
    <mergeCell ref="G3659:K3659"/>
    <mergeCell ref="L3659:P3659"/>
    <mergeCell ref="Q3659:U3659"/>
    <mergeCell ref="A3666:E3666"/>
    <mergeCell ref="G3666:J3666"/>
    <mergeCell ref="L3666:O3666"/>
    <mergeCell ref="A3667:E3667"/>
    <mergeCell ref="Q3666:T3666"/>
    <mergeCell ref="G3667:J3667"/>
    <mergeCell ref="L3667:O3667"/>
    <mergeCell ref="Q3667:T3667"/>
    <mergeCell ref="Q3640:T3640"/>
    <mergeCell ref="A3641:U3641"/>
    <mergeCell ref="A3642:B3643"/>
    <mergeCell ref="A3644:B3644"/>
    <mergeCell ref="C3642:T3644"/>
    <mergeCell ref="U3642:U3644"/>
    <mergeCell ref="A3645:A3646"/>
    <mergeCell ref="B3645:F3645"/>
    <mergeCell ref="G3645:K3645"/>
    <mergeCell ref="L3645:P3645"/>
    <mergeCell ref="Q3645:U3645"/>
    <mergeCell ref="A3652:E3652"/>
    <mergeCell ref="G3652:J3652"/>
    <mergeCell ref="L3652:O3652"/>
    <mergeCell ref="A3653:E3653"/>
    <mergeCell ref="Q3652:T3652"/>
    <mergeCell ref="G3653:J3653"/>
    <mergeCell ref="L3653:O3653"/>
    <mergeCell ref="Q3653:T3653"/>
    <mergeCell ref="Q3627:T3627"/>
    <mergeCell ref="A3628:U3628"/>
    <mergeCell ref="A3629:B3630"/>
    <mergeCell ref="A3631:B3631"/>
    <mergeCell ref="C3629:T3631"/>
    <mergeCell ref="U3629:U3631"/>
    <mergeCell ref="A3632:A3633"/>
    <mergeCell ref="B3632:F3632"/>
    <mergeCell ref="G3632:K3632"/>
    <mergeCell ref="L3632:P3632"/>
    <mergeCell ref="Q3632:U3632"/>
    <mergeCell ref="A3638:E3638"/>
    <mergeCell ref="G3638:J3638"/>
    <mergeCell ref="L3638:O3638"/>
    <mergeCell ref="A3639:E3639"/>
    <mergeCell ref="Q3638:T3638"/>
    <mergeCell ref="G3639:J3639"/>
    <mergeCell ref="L3639:O3639"/>
    <mergeCell ref="Q3639:T3639"/>
    <mergeCell ref="Q3614:T3614"/>
    <mergeCell ref="A3615:U3615"/>
    <mergeCell ref="A3616:B3617"/>
    <mergeCell ref="A3618:B3618"/>
    <mergeCell ref="C3616:T3618"/>
    <mergeCell ref="U3616:U3618"/>
    <mergeCell ref="A3619:A3620"/>
    <mergeCell ref="B3619:F3619"/>
    <mergeCell ref="G3619:K3619"/>
    <mergeCell ref="L3619:P3619"/>
    <mergeCell ref="Q3619:U3619"/>
    <mergeCell ref="A3625:E3625"/>
    <mergeCell ref="G3625:J3625"/>
    <mergeCell ref="L3625:O3625"/>
    <mergeCell ref="A3626:E3626"/>
    <mergeCell ref="Q3625:T3625"/>
    <mergeCell ref="G3626:J3626"/>
    <mergeCell ref="L3626:O3626"/>
    <mergeCell ref="Q3626:T3626"/>
    <mergeCell ref="Q3601:T3601"/>
    <mergeCell ref="A3602:U3602"/>
    <mergeCell ref="A3603:B3604"/>
    <mergeCell ref="A3605:B3605"/>
    <mergeCell ref="C3603:T3605"/>
    <mergeCell ref="U3603:U3605"/>
    <mergeCell ref="A3606:A3607"/>
    <mergeCell ref="B3606:F3606"/>
    <mergeCell ref="G3606:K3606"/>
    <mergeCell ref="L3606:P3606"/>
    <mergeCell ref="Q3606:U3606"/>
    <mergeCell ref="A3612:E3612"/>
    <mergeCell ref="G3612:J3612"/>
    <mergeCell ref="L3612:O3612"/>
    <mergeCell ref="A3613:E3613"/>
    <mergeCell ref="Q3612:T3612"/>
    <mergeCell ref="G3613:J3613"/>
    <mergeCell ref="L3613:O3613"/>
    <mergeCell ref="Q3613:T3613"/>
    <mergeCell ref="Q3588:T3588"/>
    <mergeCell ref="A3589:U3589"/>
    <mergeCell ref="A3590:B3591"/>
    <mergeCell ref="A3592:B3592"/>
    <mergeCell ref="C3590:T3592"/>
    <mergeCell ref="U3590:U3592"/>
    <mergeCell ref="A3593:A3594"/>
    <mergeCell ref="B3593:F3593"/>
    <mergeCell ref="G3593:K3593"/>
    <mergeCell ref="L3593:P3593"/>
    <mergeCell ref="Q3593:U3593"/>
    <mergeCell ref="A3599:E3599"/>
    <mergeCell ref="G3599:J3599"/>
    <mergeCell ref="L3599:O3599"/>
    <mergeCell ref="A3600:E3600"/>
    <mergeCell ref="Q3599:T3599"/>
    <mergeCell ref="G3600:J3600"/>
    <mergeCell ref="L3600:O3600"/>
    <mergeCell ref="Q3600:T3600"/>
    <mergeCell ref="Q3575:T3575"/>
    <mergeCell ref="A3576:U3576"/>
    <mergeCell ref="A3577:B3578"/>
    <mergeCell ref="A3579:B3579"/>
    <mergeCell ref="C3577:T3579"/>
    <mergeCell ref="U3577:U3579"/>
    <mergeCell ref="A3580:A3581"/>
    <mergeCell ref="B3580:F3580"/>
    <mergeCell ref="G3580:K3580"/>
    <mergeCell ref="L3580:P3580"/>
    <mergeCell ref="Q3580:U3580"/>
    <mergeCell ref="A3586:E3586"/>
    <mergeCell ref="G3586:J3586"/>
    <mergeCell ref="L3586:O3586"/>
    <mergeCell ref="A3587:E3587"/>
    <mergeCell ref="Q3586:T3586"/>
    <mergeCell ref="G3587:J3587"/>
    <mergeCell ref="L3587:O3587"/>
    <mergeCell ref="Q3587:T3587"/>
    <mergeCell ref="Q3562:T3562"/>
    <mergeCell ref="A3563:U3563"/>
    <mergeCell ref="A3564:B3565"/>
    <mergeCell ref="A3566:B3566"/>
    <mergeCell ref="C3564:T3566"/>
    <mergeCell ref="U3564:U3566"/>
    <mergeCell ref="A3567:A3568"/>
    <mergeCell ref="B3567:F3567"/>
    <mergeCell ref="G3567:K3567"/>
    <mergeCell ref="L3567:P3567"/>
    <mergeCell ref="Q3567:U3567"/>
    <mergeCell ref="A3573:E3573"/>
    <mergeCell ref="G3573:J3573"/>
    <mergeCell ref="L3573:O3573"/>
    <mergeCell ref="A3574:E3574"/>
    <mergeCell ref="Q3573:T3573"/>
    <mergeCell ref="G3574:J3574"/>
    <mergeCell ref="L3574:O3574"/>
    <mergeCell ref="Q3574:T3574"/>
    <mergeCell ref="Q3549:T3549"/>
    <mergeCell ref="A3550:U3550"/>
    <mergeCell ref="A3551:B3552"/>
    <mergeCell ref="A3553:B3553"/>
    <mergeCell ref="C3551:T3553"/>
    <mergeCell ref="U3551:U3553"/>
    <mergeCell ref="A3554:A3555"/>
    <mergeCell ref="B3554:F3554"/>
    <mergeCell ref="G3554:K3554"/>
    <mergeCell ref="L3554:P3554"/>
    <mergeCell ref="Q3554:U3554"/>
    <mergeCell ref="A3560:E3560"/>
    <mergeCell ref="G3560:J3560"/>
    <mergeCell ref="L3560:O3560"/>
    <mergeCell ref="A3561:E3561"/>
    <mergeCell ref="Q3560:T3560"/>
    <mergeCell ref="G3561:J3561"/>
    <mergeCell ref="L3561:O3561"/>
    <mergeCell ref="Q3561:T3561"/>
    <mergeCell ref="Q3536:T3536"/>
    <mergeCell ref="A3537:U3537"/>
    <mergeCell ref="A3538:B3539"/>
    <mergeCell ref="A3540:B3540"/>
    <mergeCell ref="C3538:T3540"/>
    <mergeCell ref="U3538:U3540"/>
    <mergeCell ref="A3541:A3542"/>
    <mergeCell ref="B3541:F3541"/>
    <mergeCell ref="G3541:K3541"/>
    <mergeCell ref="L3541:P3541"/>
    <mergeCell ref="Q3541:U3541"/>
    <mergeCell ref="A3547:E3547"/>
    <mergeCell ref="G3547:J3547"/>
    <mergeCell ref="L3547:O3547"/>
    <mergeCell ref="A3548:E3548"/>
    <mergeCell ref="Q3547:T3547"/>
    <mergeCell ref="G3548:J3548"/>
    <mergeCell ref="L3548:O3548"/>
    <mergeCell ref="Q3548:T3548"/>
    <mergeCell ref="Q3525:T3525"/>
    <mergeCell ref="A3526:U3526"/>
    <mergeCell ref="A3527:B3528"/>
    <mergeCell ref="A3529:B3529"/>
    <mergeCell ref="C3527:T3529"/>
    <mergeCell ref="U3527:U3529"/>
    <mergeCell ref="A3530:A3531"/>
    <mergeCell ref="B3530:F3530"/>
    <mergeCell ref="G3530:K3530"/>
    <mergeCell ref="L3530:P3530"/>
    <mergeCell ref="Q3530:U3530"/>
    <mergeCell ref="A3534:E3534"/>
    <mergeCell ref="G3534:J3534"/>
    <mergeCell ref="L3534:O3534"/>
    <mergeCell ref="A3535:E3535"/>
    <mergeCell ref="Q3534:T3534"/>
    <mergeCell ref="G3535:J3535"/>
    <mergeCell ref="L3535:O3535"/>
    <mergeCell ref="Q3535:T3535"/>
    <mergeCell ref="Q3509:T3509"/>
    <mergeCell ref="A3510:U3510"/>
    <mergeCell ref="A3511:B3512"/>
    <mergeCell ref="A3513:B3513"/>
    <mergeCell ref="C3511:T3513"/>
    <mergeCell ref="U3511:U3513"/>
    <mergeCell ref="A3514:A3515"/>
    <mergeCell ref="B3514:F3514"/>
    <mergeCell ref="G3514:K3514"/>
    <mergeCell ref="L3514:P3514"/>
    <mergeCell ref="Q3514:U3514"/>
    <mergeCell ref="A3523:E3523"/>
    <mergeCell ref="G3523:J3523"/>
    <mergeCell ref="L3523:O3523"/>
    <mergeCell ref="A3524:E3524"/>
    <mergeCell ref="Q3523:T3523"/>
    <mergeCell ref="G3524:J3524"/>
    <mergeCell ref="L3524:O3524"/>
    <mergeCell ref="Q3524:T3524"/>
    <mergeCell ref="Q3516:Q3522"/>
    <mergeCell ref="Q3493:T3493"/>
    <mergeCell ref="A3494:U3494"/>
    <mergeCell ref="A3495:B3496"/>
    <mergeCell ref="A3497:B3497"/>
    <mergeCell ref="C3495:T3497"/>
    <mergeCell ref="U3495:U3497"/>
    <mergeCell ref="A3498:A3499"/>
    <mergeCell ref="B3498:F3498"/>
    <mergeCell ref="G3498:K3498"/>
    <mergeCell ref="L3498:P3498"/>
    <mergeCell ref="Q3498:U3498"/>
    <mergeCell ref="A3507:E3507"/>
    <mergeCell ref="G3507:J3507"/>
    <mergeCell ref="L3507:O3507"/>
    <mergeCell ref="A3508:E3508"/>
    <mergeCell ref="Q3507:T3507"/>
    <mergeCell ref="G3508:J3508"/>
    <mergeCell ref="L3508:O3508"/>
    <mergeCell ref="Q3508:T3508"/>
    <mergeCell ref="Q3500:Q3506"/>
    <mergeCell ref="Q3477:T3477"/>
    <mergeCell ref="A3478:U3478"/>
    <mergeCell ref="A3479:B3480"/>
    <mergeCell ref="A3481:B3481"/>
    <mergeCell ref="C3479:T3481"/>
    <mergeCell ref="U3479:U3481"/>
    <mergeCell ref="A3482:A3483"/>
    <mergeCell ref="B3482:F3482"/>
    <mergeCell ref="G3482:K3482"/>
    <mergeCell ref="L3482:P3482"/>
    <mergeCell ref="Q3482:U3482"/>
    <mergeCell ref="A3491:E3491"/>
    <mergeCell ref="G3491:J3491"/>
    <mergeCell ref="L3491:O3491"/>
    <mergeCell ref="A3492:E3492"/>
    <mergeCell ref="Q3491:T3491"/>
    <mergeCell ref="G3492:J3492"/>
    <mergeCell ref="L3492:O3492"/>
    <mergeCell ref="Q3492:T3492"/>
    <mergeCell ref="Q3484:Q3490"/>
    <mergeCell ref="Q3461:T3461"/>
    <mergeCell ref="A3462:U3462"/>
    <mergeCell ref="A3463:B3464"/>
    <mergeCell ref="A3465:B3465"/>
    <mergeCell ref="C3463:T3465"/>
    <mergeCell ref="U3463:U3465"/>
    <mergeCell ref="A3466:A3467"/>
    <mergeCell ref="B3466:F3466"/>
    <mergeCell ref="G3466:K3466"/>
    <mergeCell ref="L3466:P3466"/>
    <mergeCell ref="Q3466:U3466"/>
    <mergeCell ref="A3475:E3475"/>
    <mergeCell ref="G3475:J3475"/>
    <mergeCell ref="L3475:O3475"/>
    <mergeCell ref="A3476:E3476"/>
    <mergeCell ref="Q3475:T3475"/>
    <mergeCell ref="G3476:J3476"/>
    <mergeCell ref="L3476:O3476"/>
    <mergeCell ref="Q3476:T3476"/>
    <mergeCell ref="Q3468:Q3474"/>
    <mergeCell ref="Q3450:T3450"/>
    <mergeCell ref="A3451:U3451"/>
    <mergeCell ref="A3452:B3453"/>
    <mergeCell ref="A3454:B3454"/>
    <mergeCell ref="C3452:T3454"/>
    <mergeCell ref="U3452:U3454"/>
    <mergeCell ref="A3455:A3456"/>
    <mergeCell ref="B3455:F3455"/>
    <mergeCell ref="G3455:K3455"/>
    <mergeCell ref="L3455:P3455"/>
    <mergeCell ref="Q3455:U3455"/>
    <mergeCell ref="A3459:E3459"/>
    <mergeCell ref="G3459:J3459"/>
    <mergeCell ref="L3459:O3459"/>
    <mergeCell ref="A3460:E3460"/>
    <mergeCell ref="Q3459:T3459"/>
    <mergeCell ref="G3460:J3460"/>
    <mergeCell ref="L3460:O3460"/>
    <mergeCell ref="Q3460:T3460"/>
    <mergeCell ref="Q3439:T3439"/>
    <mergeCell ref="A3440:U3440"/>
    <mergeCell ref="A3441:B3442"/>
    <mergeCell ref="A3443:B3443"/>
    <mergeCell ref="C3441:T3443"/>
    <mergeCell ref="U3441:U3443"/>
    <mergeCell ref="A3444:A3445"/>
    <mergeCell ref="B3444:F3444"/>
    <mergeCell ref="G3444:K3444"/>
    <mergeCell ref="L3444:P3444"/>
    <mergeCell ref="Q3444:U3444"/>
    <mergeCell ref="A3448:E3448"/>
    <mergeCell ref="G3448:J3448"/>
    <mergeCell ref="L3448:O3448"/>
    <mergeCell ref="A3449:E3449"/>
    <mergeCell ref="Q3448:T3448"/>
    <mergeCell ref="G3449:J3449"/>
    <mergeCell ref="L3449:O3449"/>
    <mergeCell ref="Q3449:T3449"/>
    <mergeCell ref="Q3429:T3429"/>
    <mergeCell ref="A3430:U3430"/>
    <mergeCell ref="A3431:B3432"/>
    <mergeCell ref="A3433:B3433"/>
    <mergeCell ref="C3431:T3433"/>
    <mergeCell ref="U3431:U3433"/>
    <mergeCell ref="A3434:A3435"/>
    <mergeCell ref="B3434:F3434"/>
    <mergeCell ref="G3434:K3434"/>
    <mergeCell ref="L3434:P3434"/>
    <mergeCell ref="Q3434:U3434"/>
    <mergeCell ref="A3437:E3437"/>
    <mergeCell ref="G3437:J3437"/>
    <mergeCell ref="L3437:O3437"/>
    <mergeCell ref="A3438:E3438"/>
    <mergeCell ref="Q3437:T3437"/>
    <mergeCell ref="G3438:J3438"/>
    <mergeCell ref="L3438:O3438"/>
    <mergeCell ref="Q3438:T3438"/>
    <mergeCell ref="Q3419:T3419"/>
    <mergeCell ref="A3420:U3420"/>
    <mergeCell ref="A3421:B3422"/>
    <mergeCell ref="A3423:B3423"/>
    <mergeCell ref="C3421:T3423"/>
    <mergeCell ref="U3421:U3423"/>
    <mergeCell ref="A3424:A3425"/>
    <mergeCell ref="B3424:F3424"/>
    <mergeCell ref="G3424:K3424"/>
    <mergeCell ref="L3424:P3424"/>
    <mergeCell ref="Q3424:U3424"/>
    <mergeCell ref="A3427:E3427"/>
    <mergeCell ref="G3427:J3427"/>
    <mergeCell ref="L3427:O3427"/>
    <mergeCell ref="A3428:E3428"/>
    <mergeCell ref="Q3427:T3427"/>
    <mergeCell ref="G3428:J3428"/>
    <mergeCell ref="L3428:O3428"/>
    <mergeCell ref="Q3428:T3428"/>
    <mergeCell ref="Q3409:T3409"/>
    <mergeCell ref="A3410:U3410"/>
    <mergeCell ref="A3411:B3412"/>
    <mergeCell ref="A3413:B3413"/>
    <mergeCell ref="C3411:T3413"/>
    <mergeCell ref="U3411:U3413"/>
    <mergeCell ref="A3414:A3415"/>
    <mergeCell ref="B3414:F3414"/>
    <mergeCell ref="G3414:K3414"/>
    <mergeCell ref="L3414:P3414"/>
    <mergeCell ref="Q3414:U3414"/>
    <mergeCell ref="A3417:E3417"/>
    <mergeCell ref="G3417:J3417"/>
    <mergeCell ref="L3417:O3417"/>
    <mergeCell ref="A3418:E3418"/>
    <mergeCell ref="Q3417:T3417"/>
    <mergeCell ref="G3418:J3418"/>
    <mergeCell ref="L3418:O3418"/>
    <mergeCell ref="Q3418:T3418"/>
    <mergeCell ref="Q3399:T3399"/>
    <mergeCell ref="A3400:U3400"/>
    <mergeCell ref="A3401:B3402"/>
    <mergeCell ref="A3403:B3403"/>
    <mergeCell ref="C3401:T3403"/>
    <mergeCell ref="U3401:U3403"/>
    <mergeCell ref="A3404:A3405"/>
    <mergeCell ref="B3404:F3404"/>
    <mergeCell ref="G3404:K3404"/>
    <mergeCell ref="L3404:P3404"/>
    <mergeCell ref="Q3404:U3404"/>
    <mergeCell ref="A3407:E3407"/>
    <mergeCell ref="G3407:J3407"/>
    <mergeCell ref="L3407:O3407"/>
    <mergeCell ref="A3408:E3408"/>
    <mergeCell ref="Q3407:T3407"/>
    <mergeCell ref="G3408:J3408"/>
    <mergeCell ref="L3408:O3408"/>
    <mergeCell ref="Q3408:T3408"/>
    <mergeCell ref="Q3389:T3389"/>
    <mergeCell ref="A3390:U3390"/>
    <mergeCell ref="A3391:B3392"/>
    <mergeCell ref="A3393:B3393"/>
    <mergeCell ref="C3391:T3393"/>
    <mergeCell ref="U3391:U3393"/>
    <mergeCell ref="A3394:A3395"/>
    <mergeCell ref="B3394:F3394"/>
    <mergeCell ref="G3394:K3394"/>
    <mergeCell ref="L3394:P3394"/>
    <mergeCell ref="Q3394:U3394"/>
    <mergeCell ref="A3397:E3397"/>
    <mergeCell ref="G3397:J3397"/>
    <mergeCell ref="L3397:O3397"/>
    <mergeCell ref="A3398:E3398"/>
    <mergeCell ref="Q3397:T3397"/>
    <mergeCell ref="G3398:J3398"/>
    <mergeCell ref="L3398:O3398"/>
    <mergeCell ref="Q3398:T3398"/>
    <mergeCell ref="Q3379:T3379"/>
    <mergeCell ref="A3380:U3380"/>
    <mergeCell ref="A3381:B3382"/>
    <mergeCell ref="A3383:B3383"/>
    <mergeCell ref="C3381:T3383"/>
    <mergeCell ref="U3381:U3383"/>
    <mergeCell ref="A3384:A3385"/>
    <mergeCell ref="B3384:F3384"/>
    <mergeCell ref="G3384:K3384"/>
    <mergeCell ref="L3384:P3384"/>
    <mergeCell ref="Q3384:U3384"/>
    <mergeCell ref="A3387:E3387"/>
    <mergeCell ref="G3387:J3387"/>
    <mergeCell ref="L3387:O3387"/>
    <mergeCell ref="A3388:E3388"/>
    <mergeCell ref="Q3387:T3387"/>
    <mergeCell ref="G3388:J3388"/>
    <mergeCell ref="L3388:O3388"/>
    <mergeCell ref="Q3388:T3388"/>
    <mergeCell ref="Q3366:T3366"/>
    <mergeCell ref="A3367:U3367"/>
    <mergeCell ref="A3368:B3369"/>
    <mergeCell ref="A3370:B3370"/>
    <mergeCell ref="C3368:T3370"/>
    <mergeCell ref="U3368:U3370"/>
    <mergeCell ref="A3371:A3372"/>
    <mergeCell ref="B3371:F3371"/>
    <mergeCell ref="G3371:K3371"/>
    <mergeCell ref="L3371:P3371"/>
    <mergeCell ref="Q3371:U3371"/>
    <mergeCell ref="A3377:E3377"/>
    <mergeCell ref="G3377:J3377"/>
    <mergeCell ref="L3377:O3377"/>
    <mergeCell ref="A3378:E3378"/>
    <mergeCell ref="Q3377:T3377"/>
    <mergeCell ref="G3378:J3378"/>
    <mergeCell ref="L3378:O3378"/>
    <mergeCell ref="Q3378:T3378"/>
    <mergeCell ref="Q3353:T3353"/>
    <mergeCell ref="A3354:U3354"/>
    <mergeCell ref="A3355:B3356"/>
    <mergeCell ref="A3357:B3357"/>
    <mergeCell ref="C3355:T3357"/>
    <mergeCell ref="U3355:U3357"/>
    <mergeCell ref="A3358:A3359"/>
    <mergeCell ref="B3358:F3358"/>
    <mergeCell ref="G3358:K3358"/>
    <mergeCell ref="L3358:P3358"/>
    <mergeCell ref="Q3358:U3358"/>
    <mergeCell ref="A3364:E3364"/>
    <mergeCell ref="G3364:J3364"/>
    <mergeCell ref="L3364:O3364"/>
    <mergeCell ref="A3365:E3365"/>
    <mergeCell ref="Q3364:T3364"/>
    <mergeCell ref="G3365:J3365"/>
    <mergeCell ref="L3365:O3365"/>
    <mergeCell ref="Q3365:T3365"/>
    <mergeCell ref="Q3340:T3340"/>
    <mergeCell ref="A3341:U3341"/>
    <mergeCell ref="A3342:B3343"/>
    <mergeCell ref="A3344:B3344"/>
    <mergeCell ref="C3342:T3344"/>
    <mergeCell ref="U3342:U3344"/>
    <mergeCell ref="A3345:A3346"/>
    <mergeCell ref="B3345:F3345"/>
    <mergeCell ref="G3345:K3345"/>
    <mergeCell ref="L3345:P3345"/>
    <mergeCell ref="Q3345:U3345"/>
    <mergeCell ref="A3351:E3351"/>
    <mergeCell ref="G3351:J3351"/>
    <mergeCell ref="L3351:O3351"/>
    <mergeCell ref="A3352:E3352"/>
    <mergeCell ref="Q3351:T3351"/>
    <mergeCell ref="G3352:J3352"/>
    <mergeCell ref="L3352:O3352"/>
    <mergeCell ref="Q3352:T3352"/>
    <mergeCell ref="Q3327:T3327"/>
    <mergeCell ref="A3328:U3328"/>
    <mergeCell ref="A3329:B3330"/>
    <mergeCell ref="A3331:B3331"/>
    <mergeCell ref="C3329:T3331"/>
    <mergeCell ref="U3329:U3331"/>
    <mergeCell ref="A3332:A3333"/>
    <mergeCell ref="B3332:F3332"/>
    <mergeCell ref="G3332:K3332"/>
    <mergeCell ref="L3332:P3332"/>
    <mergeCell ref="Q3332:U3332"/>
    <mergeCell ref="A3338:E3338"/>
    <mergeCell ref="G3338:J3338"/>
    <mergeCell ref="L3338:O3338"/>
    <mergeCell ref="A3339:E3339"/>
    <mergeCell ref="Q3338:T3338"/>
    <mergeCell ref="G3339:J3339"/>
    <mergeCell ref="L3339:O3339"/>
    <mergeCell ref="Q3339:T3339"/>
    <mergeCell ref="Q3314:T3314"/>
    <mergeCell ref="A3315:U3315"/>
    <mergeCell ref="A3316:B3317"/>
    <mergeCell ref="A3318:B3318"/>
    <mergeCell ref="C3316:T3318"/>
    <mergeCell ref="U3316:U3318"/>
    <mergeCell ref="A3319:A3320"/>
    <mergeCell ref="B3319:F3319"/>
    <mergeCell ref="G3319:K3319"/>
    <mergeCell ref="L3319:P3319"/>
    <mergeCell ref="Q3319:U3319"/>
    <mergeCell ref="A3325:E3325"/>
    <mergeCell ref="G3325:J3325"/>
    <mergeCell ref="L3325:O3325"/>
    <mergeCell ref="A3326:E3326"/>
    <mergeCell ref="Q3325:T3325"/>
    <mergeCell ref="G3326:J3326"/>
    <mergeCell ref="L3326:O3326"/>
    <mergeCell ref="Q3326:T3326"/>
    <mergeCell ref="N3301:T3301"/>
    <mergeCell ref="Q3300:T3300"/>
    <mergeCell ref="A3302:U3302"/>
    <mergeCell ref="A3303:B3304"/>
    <mergeCell ref="A3305:B3305"/>
    <mergeCell ref="C3303:T3305"/>
    <mergeCell ref="U3303:U3305"/>
    <mergeCell ref="A3306:A3307"/>
    <mergeCell ref="B3306:F3306"/>
    <mergeCell ref="G3306:K3306"/>
    <mergeCell ref="L3306:P3306"/>
    <mergeCell ref="Q3306:U3306"/>
    <mergeCell ref="A3312:E3312"/>
    <mergeCell ref="G3312:J3312"/>
    <mergeCell ref="L3312:O3312"/>
    <mergeCell ref="A3313:E3313"/>
    <mergeCell ref="Q3312:T3312"/>
    <mergeCell ref="G3313:J3313"/>
    <mergeCell ref="L3313:O3313"/>
    <mergeCell ref="Q3313:T3313"/>
    <mergeCell ref="Q3287:T3287"/>
    <mergeCell ref="A3288:U3288"/>
    <mergeCell ref="A3289:B3290"/>
    <mergeCell ref="A3291:B3291"/>
    <mergeCell ref="C3289:T3291"/>
    <mergeCell ref="U3289:U3291"/>
    <mergeCell ref="A3292:A3293"/>
    <mergeCell ref="B3292:F3292"/>
    <mergeCell ref="G3292:K3292"/>
    <mergeCell ref="L3292:P3292"/>
    <mergeCell ref="Q3292:U3292"/>
    <mergeCell ref="A3298:E3298"/>
    <mergeCell ref="G3298:J3298"/>
    <mergeCell ref="L3298:O3298"/>
    <mergeCell ref="A3299:E3299"/>
    <mergeCell ref="Q3298:T3298"/>
    <mergeCell ref="G3299:J3299"/>
    <mergeCell ref="L3299:O3299"/>
    <mergeCell ref="Q3299:T3299"/>
    <mergeCell ref="Q3274:T3274"/>
    <mergeCell ref="A3275:U3275"/>
    <mergeCell ref="A3276:B3277"/>
    <mergeCell ref="A3278:B3278"/>
    <mergeCell ref="C3276:T3278"/>
    <mergeCell ref="U3276:U3278"/>
    <mergeCell ref="A3279:A3280"/>
    <mergeCell ref="B3279:F3279"/>
    <mergeCell ref="G3279:K3279"/>
    <mergeCell ref="L3279:P3279"/>
    <mergeCell ref="Q3279:U3279"/>
    <mergeCell ref="A3285:E3285"/>
    <mergeCell ref="G3285:J3285"/>
    <mergeCell ref="L3285:O3285"/>
    <mergeCell ref="A3286:E3286"/>
    <mergeCell ref="Q3285:T3285"/>
    <mergeCell ref="G3286:J3286"/>
    <mergeCell ref="L3286:O3286"/>
    <mergeCell ref="Q3286:T3286"/>
    <mergeCell ref="Q3261:T3261"/>
    <mergeCell ref="A3262:U3262"/>
    <mergeCell ref="A3263:B3264"/>
    <mergeCell ref="A3265:B3265"/>
    <mergeCell ref="C3263:T3265"/>
    <mergeCell ref="U3263:U3265"/>
    <mergeCell ref="A3266:A3267"/>
    <mergeCell ref="B3266:F3266"/>
    <mergeCell ref="G3266:K3266"/>
    <mergeCell ref="L3266:P3266"/>
    <mergeCell ref="Q3266:U3266"/>
    <mergeCell ref="A3272:E3272"/>
    <mergeCell ref="G3272:J3272"/>
    <mergeCell ref="L3272:O3272"/>
    <mergeCell ref="A3273:E3273"/>
    <mergeCell ref="Q3272:T3272"/>
    <mergeCell ref="G3273:J3273"/>
    <mergeCell ref="L3273:O3273"/>
    <mergeCell ref="Q3273:T3273"/>
    <mergeCell ref="Q3248:T3248"/>
    <mergeCell ref="A3249:U3249"/>
    <mergeCell ref="A3250:B3251"/>
    <mergeCell ref="A3252:B3252"/>
    <mergeCell ref="C3250:T3252"/>
    <mergeCell ref="U3250:U3252"/>
    <mergeCell ref="A3253:A3254"/>
    <mergeCell ref="B3253:F3253"/>
    <mergeCell ref="G3253:K3253"/>
    <mergeCell ref="L3253:P3253"/>
    <mergeCell ref="Q3253:U3253"/>
    <mergeCell ref="A3259:E3259"/>
    <mergeCell ref="G3259:J3259"/>
    <mergeCell ref="L3259:O3259"/>
    <mergeCell ref="A3260:E3260"/>
    <mergeCell ref="Q3259:T3259"/>
    <mergeCell ref="G3260:J3260"/>
    <mergeCell ref="L3260:O3260"/>
    <mergeCell ref="Q3260:T3260"/>
    <mergeCell ref="Q3235:T3235"/>
    <mergeCell ref="A3236:U3236"/>
    <mergeCell ref="A3237:B3238"/>
    <mergeCell ref="A3239:B3239"/>
    <mergeCell ref="C3237:T3239"/>
    <mergeCell ref="U3237:U3239"/>
    <mergeCell ref="A3240:A3241"/>
    <mergeCell ref="B3240:F3240"/>
    <mergeCell ref="G3240:K3240"/>
    <mergeCell ref="L3240:P3240"/>
    <mergeCell ref="Q3240:U3240"/>
    <mergeCell ref="A3246:E3246"/>
    <mergeCell ref="G3246:J3246"/>
    <mergeCell ref="L3246:O3246"/>
    <mergeCell ref="A3247:E3247"/>
    <mergeCell ref="Q3246:T3246"/>
    <mergeCell ref="G3247:J3247"/>
    <mergeCell ref="L3247:O3247"/>
    <mergeCell ref="Q3247:T3247"/>
    <mergeCell ref="Q3222:T3222"/>
    <mergeCell ref="A3223:U3223"/>
    <mergeCell ref="A3224:B3225"/>
    <mergeCell ref="A3226:B3226"/>
    <mergeCell ref="C3224:T3226"/>
    <mergeCell ref="U3224:U3226"/>
    <mergeCell ref="A3227:A3228"/>
    <mergeCell ref="B3227:F3227"/>
    <mergeCell ref="G3227:K3227"/>
    <mergeCell ref="L3227:P3227"/>
    <mergeCell ref="Q3227:U3227"/>
    <mergeCell ref="A3233:E3233"/>
    <mergeCell ref="G3233:J3233"/>
    <mergeCell ref="L3233:O3233"/>
    <mergeCell ref="A3234:E3234"/>
    <mergeCell ref="Q3233:T3233"/>
    <mergeCell ref="G3234:J3234"/>
    <mergeCell ref="L3234:O3234"/>
    <mergeCell ref="Q3234:T3234"/>
    <mergeCell ref="Q3209:T3209"/>
    <mergeCell ref="A3210:U3210"/>
    <mergeCell ref="A3211:B3212"/>
    <mergeCell ref="A3213:B3213"/>
    <mergeCell ref="C3211:T3213"/>
    <mergeCell ref="U3211:U3213"/>
    <mergeCell ref="A3214:A3215"/>
    <mergeCell ref="B3214:F3214"/>
    <mergeCell ref="G3214:K3214"/>
    <mergeCell ref="L3214:P3214"/>
    <mergeCell ref="Q3214:U3214"/>
    <mergeCell ref="A3220:E3220"/>
    <mergeCell ref="G3220:J3220"/>
    <mergeCell ref="L3220:O3220"/>
    <mergeCell ref="A3221:E3221"/>
    <mergeCell ref="Q3220:T3220"/>
    <mergeCell ref="G3221:J3221"/>
    <mergeCell ref="L3221:O3221"/>
    <mergeCell ref="Q3221:T3221"/>
    <mergeCell ref="Q3196:T3196"/>
    <mergeCell ref="A3197:U3197"/>
    <mergeCell ref="A3198:B3199"/>
    <mergeCell ref="A3200:B3200"/>
    <mergeCell ref="C3198:T3200"/>
    <mergeCell ref="U3198:U3200"/>
    <mergeCell ref="A3201:A3202"/>
    <mergeCell ref="B3201:F3201"/>
    <mergeCell ref="G3201:K3201"/>
    <mergeCell ref="L3201:P3201"/>
    <mergeCell ref="Q3201:U3201"/>
    <mergeCell ref="A3207:E3207"/>
    <mergeCell ref="G3207:J3207"/>
    <mergeCell ref="L3207:O3207"/>
    <mergeCell ref="A3208:E3208"/>
    <mergeCell ref="Q3207:T3207"/>
    <mergeCell ref="G3208:J3208"/>
    <mergeCell ref="L3208:O3208"/>
    <mergeCell ref="Q3208:T3208"/>
    <mergeCell ref="Q3183:T3183"/>
    <mergeCell ref="A3184:U3184"/>
    <mergeCell ref="A3185:B3186"/>
    <mergeCell ref="A3187:B3187"/>
    <mergeCell ref="C3185:T3187"/>
    <mergeCell ref="U3185:U3187"/>
    <mergeCell ref="A3188:A3189"/>
    <mergeCell ref="B3188:F3188"/>
    <mergeCell ref="G3188:K3188"/>
    <mergeCell ref="L3188:P3188"/>
    <mergeCell ref="Q3188:U3188"/>
    <mergeCell ref="A3194:E3194"/>
    <mergeCell ref="G3194:J3194"/>
    <mergeCell ref="L3194:O3194"/>
    <mergeCell ref="A3195:E3195"/>
    <mergeCell ref="Q3194:T3194"/>
    <mergeCell ref="G3195:J3195"/>
    <mergeCell ref="L3195:O3195"/>
    <mergeCell ref="Q3195:T3195"/>
    <mergeCell ref="Q3170:T3170"/>
    <mergeCell ref="A3171:U3171"/>
    <mergeCell ref="A3172:B3173"/>
    <mergeCell ref="A3174:B3174"/>
    <mergeCell ref="C3172:T3174"/>
    <mergeCell ref="U3172:U3174"/>
    <mergeCell ref="A3175:A3176"/>
    <mergeCell ref="B3175:F3175"/>
    <mergeCell ref="G3175:K3175"/>
    <mergeCell ref="L3175:P3175"/>
    <mergeCell ref="Q3175:U3175"/>
    <mergeCell ref="A3181:E3181"/>
    <mergeCell ref="G3181:J3181"/>
    <mergeCell ref="L3181:O3181"/>
    <mergeCell ref="A3182:E3182"/>
    <mergeCell ref="Q3181:T3181"/>
    <mergeCell ref="G3182:J3182"/>
    <mergeCell ref="L3182:O3182"/>
    <mergeCell ref="Q3182:T3182"/>
    <mergeCell ref="Q3104:T3104"/>
    <mergeCell ref="A3159:B3160"/>
    <mergeCell ref="A3161:B3161"/>
    <mergeCell ref="C3159:T3161"/>
    <mergeCell ref="U3159:U3161"/>
    <mergeCell ref="A3162:A3163"/>
    <mergeCell ref="B3162:F3162"/>
    <mergeCell ref="G3162:K3162"/>
    <mergeCell ref="L3162:P3162"/>
    <mergeCell ref="Q3162:U3162"/>
    <mergeCell ref="A3168:E3168"/>
    <mergeCell ref="G3168:J3168"/>
    <mergeCell ref="L3168:O3168"/>
    <mergeCell ref="A3169:E3169"/>
    <mergeCell ref="Q3168:T3168"/>
    <mergeCell ref="G3169:J3169"/>
    <mergeCell ref="L3169:O3169"/>
    <mergeCell ref="Q3169:T3169"/>
    <mergeCell ref="Q3117:T3117"/>
    <mergeCell ref="A3118:U3118"/>
    <mergeCell ref="A3119:B3120"/>
    <mergeCell ref="C3119:T3121"/>
    <mergeCell ref="U3119:U3121"/>
    <mergeCell ref="A3121:B3121"/>
    <mergeCell ref="A3122:A3123"/>
    <mergeCell ref="B3122:F3122"/>
    <mergeCell ref="G3122:K3122"/>
    <mergeCell ref="L3122:P3122"/>
    <mergeCell ref="Q3122:U3122"/>
    <mergeCell ref="A3128:E3128"/>
    <mergeCell ref="G3128:J3128"/>
    <mergeCell ref="L3128:O3128"/>
    <mergeCell ref="Q3091:T3091"/>
    <mergeCell ref="A3092:U3092"/>
    <mergeCell ref="A3093:B3094"/>
    <mergeCell ref="A3095:B3095"/>
    <mergeCell ref="C3093:T3095"/>
    <mergeCell ref="U3093:U3095"/>
    <mergeCell ref="A3096:A3097"/>
    <mergeCell ref="B3096:F3096"/>
    <mergeCell ref="G3096:K3096"/>
    <mergeCell ref="L3096:P3096"/>
    <mergeCell ref="Q3096:U3096"/>
    <mergeCell ref="A3102:E3102"/>
    <mergeCell ref="G3102:J3102"/>
    <mergeCell ref="L3102:O3102"/>
    <mergeCell ref="A3103:E3103"/>
    <mergeCell ref="Q3102:T3102"/>
    <mergeCell ref="G3103:J3103"/>
    <mergeCell ref="L3103:O3103"/>
    <mergeCell ref="Q3103:T3103"/>
    <mergeCell ref="Q3078:T3078"/>
    <mergeCell ref="A3079:U3079"/>
    <mergeCell ref="A3080:B3081"/>
    <mergeCell ref="A3082:B3082"/>
    <mergeCell ref="C3080:T3082"/>
    <mergeCell ref="U3080:U3082"/>
    <mergeCell ref="A3083:A3084"/>
    <mergeCell ref="B3083:F3083"/>
    <mergeCell ref="G3083:K3083"/>
    <mergeCell ref="L3083:P3083"/>
    <mergeCell ref="Q3083:U3083"/>
    <mergeCell ref="A3089:E3089"/>
    <mergeCell ref="G3089:J3089"/>
    <mergeCell ref="L3089:O3089"/>
    <mergeCell ref="A3090:E3090"/>
    <mergeCell ref="Q3089:T3089"/>
    <mergeCell ref="G3090:J3090"/>
    <mergeCell ref="L3090:O3090"/>
    <mergeCell ref="Q3090:T3090"/>
    <mergeCell ref="Q3065:T3065"/>
    <mergeCell ref="A3066:U3066"/>
    <mergeCell ref="A3067:B3068"/>
    <mergeCell ref="A3069:B3069"/>
    <mergeCell ref="C3067:T3069"/>
    <mergeCell ref="U3067:U3069"/>
    <mergeCell ref="A3070:A3071"/>
    <mergeCell ref="B3070:F3070"/>
    <mergeCell ref="G3070:K3070"/>
    <mergeCell ref="L3070:P3070"/>
    <mergeCell ref="Q3070:U3070"/>
    <mergeCell ref="A3076:E3076"/>
    <mergeCell ref="G3076:J3076"/>
    <mergeCell ref="L3076:O3076"/>
    <mergeCell ref="A3077:E3077"/>
    <mergeCell ref="Q3076:T3076"/>
    <mergeCell ref="G3077:J3077"/>
    <mergeCell ref="L3077:O3077"/>
    <mergeCell ref="Q3077:T3077"/>
    <mergeCell ref="Q3052:T3052"/>
    <mergeCell ref="A3053:U3053"/>
    <mergeCell ref="A3054:B3055"/>
    <mergeCell ref="A3056:B3056"/>
    <mergeCell ref="C3054:T3056"/>
    <mergeCell ref="U3054:U3056"/>
    <mergeCell ref="A3057:A3058"/>
    <mergeCell ref="B3057:F3057"/>
    <mergeCell ref="G3057:K3057"/>
    <mergeCell ref="L3057:P3057"/>
    <mergeCell ref="Q3057:U3057"/>
    <mergeCell ref="A3063:E3063"/>
    <mergeCell ref="G3063:J3063"/>
    <mergeCell ref="L3063:O3063"/>
    <mergeCell ref="A3064:E3064"/>
    <mergeCell ref="Q3063:T3063"/>
    <mergeCell ref="G3064:J3064"/>
    <mergeCell ref="L3064:O3064"/>
    <mergeCell ref="Q3064:T3064"/>
    <mergeCell ref="Q3033:T3033"/>
    <mergeCell ref="A3034:U3034"/>
    <mergeCell ref="A3035:B3036"/>
    <mergeCell ref="A3037:B3037"/>
    <mergeCell ref="C3035:T3037"/>
    <mergeCell ref="U3035:U3037"/>
    <mergeCell ref="A3038:A3039"/>
    <mergeCell ref="B3038:F3038"/>
    <mergeCell ref="G3038:K3038"/>
    <mergeCell ref="L3038:P3038"/>
    <mergeCell ref="Q3038:U3038"/>
    <mergeCell ref="A3050:E3050"/>
    <mergeCell ref="G3050:J3050"/>
    <mergeCell ref="L3050:O3050"/>
    <mergeCell ref="A3051:E3051"/>
    <mergeCell ref="Q3050:T3050"/>
    <mergeCell ref="G3051:J3051"/>
    <mergeCell ref="L3051:O3051"/>
    <mergeCell ref="Q3051:T3051"/>
    <mergeCell ref="Q3014:T3014"/>
    <mergeCell ref="A3015:U3015"/>
    <mergeCell ref="A3016:B3017"/>
    <mergeCell ref="A3018:B3018"/>
    <mergeCell ref="C3016:T3018"/>
    <mergeCell ref="U3016:U3018"/>
    <mergeCell ref="A3019:A3020"/>
    <mergeCell ref="B3019:F3019"/>
    <mergeCell ref="G3019:K3019"/>
    <mergeCell ref="L3019:P3019"/>
    <mergeCell ref="Q3019:U3019"/>
    <mergeCell ref="A3031:E3031"/>
    <mergeCell ref="G3031:J3031"/>
    <mergeCell ref="L3031:O3031"/>
    <mergeCell ref="A3032:E3032"/>
    <mergeCell ref="Q3031:T3031"/>
    <mergeCell ref="G3032:J3032"/>
    <mergeCell ref="L3032:O3032"/>
    <mergeCell ref="Q3032:T3032"/>
    <mergeCell ref="Q2995:T2995"/>
    <mergeCell ref="A2996:U2996"/>
    <mergeCell ref="A2997:B2998"/>
    <mergeCell ref="A2999:B2999"/>
    <mergeCell ref="C2997:T2999"/>
    <mergeCell ref="U2997:U2999"/>
    <mergeCell ref="A3000:A3001"/>
    <mergeCell ref="B3000:F3000"/>
    <mergeCell ref="G3000:K3000"/>
    <mergeCell ref="L3000:P3000"/>
    <mergeCell ref="Q3000:U3000"/>
    <mergeCell ref="A3012:E3012"/>
    <mergeCell ref="G3012:J3012"/>
    <mergeCell ref="L3012:O3012"/>
    <mergeCell ref="A3013:E3013"/>
    <mergeCell ref="Q3012:T3012"/>
    <mergeCell ref="G3013:J3013"/>
    <mergeCell ref="L3013:O3013"/>
    <mergeCell ref="Q3013:T3013"/>
    <mergeCell ref="Q2976:T2976"/>
    <mergeCell ref="A2977:U2977"/>
    <mergeCell ref="A2978:B2979"/>
    <mergeCell ref="A2980:B2980"/>
    <mergeCell ref="C2978:T2980"/>
    <mergeCell ref="U2978:U2980"/>
    <mergeCell ref="A2981:A2982"/>
    <mergeCell ref="B2981:F2981"/>
    <mergeCell ref="G2981:K2981"/>
    <mergeCell ref="L2981:P2981"/>
    <mergeCell ref="Q2981:U2981"/>
    <mergeCell ref="A2993:E2993"/>
    <mergeCell ref="G2993:J2993"/>
    <mergeCell ref="L2993:O2993"/>
    <mergeCell ref="A2994:E2994"/>
    <mergeCell ref="Q2993:T2993"/>
    <mergeCell ref="G2994:J2994"/>
    <mergeCell ref="L2994:O2994"/>
    <mergeCell ref="Q2994:T2994"/>
    <mergeCell ref="Q2957:T2957"/>
    <mergeCell ref="A2958:U2958"/>
    <mergeCell ref="A2959:B2960"/>
    <mergeCell ref="A2961:B2961"/>
    <mergeCell ref="C2959:T2961"/>
    <mergeCell ref="U2959:U2961"/>
    <mergeCell ref="A2962:A2963"/>
    <mergeCell ref="B2962:F2962"/>
    <mergeCell ref="G2962:K2962"/>
    <mergeCell ref="L2962:P2962"/>
    <mergeCell ref="Q2962:U2962"/>
    <mergeCell ref="A2974:E2974"/>
    <mergeCell ref="G2974:J2974"/>
    <mergeCell ref="L2974:O2974"/>
    <mergeCell ref="A2975:E2975"/>
    <mergeCell ref="Q2974:T2974"/>
    <mergeCell ref="G2975:J2975"/>
    <mergeCell ref="L2975:O2975"/>
    <mergeCell ref="Q2975:T2975"/>
    <mergeCell ref="Q2938:T2938"/>
    <mergeCell ref="A2939:U2939"/>
    <mergeCell ref="A2940:B2941"/>
    <mergeCell ref="A2942:B2942"/>
    <mergeCell ref="C2940:T2942"/>
    <mergeCell ref="U2940:U2942"/>
    <mergeCell ref="A2943:A2944"/>
    <mergeCell ref="B2943:F2943"/>
    <mergeCell ref="G2943:K2943"/>
    <mergeCell ref="L2943:P2943"/>
    <mergeCell ref="Q2943:U2943"/>
    <mergeCell ref="A2955:E2955"/>
    <mergeCell ref="G2955:J2955"/>
    <mergeCell ref="L2955:O2955"/>
    <mergeCell ref="A2956:E2956"/>
    <mergeCell ref="Q2955:T2955"/>
    <mergeCell ref="G2956:J2956"/>
    <mergeCell ref="L2956:O2956"/>
    <mergeCell ref="Q2956:T2956"/>
    <mergeCell ref="Q2919:T2919"/>
    <mergeCell ref="A2920:U2920"/>
    <mergeCell ref="A2921:B2922"/>
    <mergeCell ref="A2923:B2923"/>
    <mergeCell ref="C2921:T2923"/>
    <mergeCell ref="U2921:U2923"/>
    <mergeCell ref="A2924:A2925"/>
    <mergeCell ref="B2924:F2924"/>
    <mergeCell ref="G2924:K2924"/>
    <mergeCell ref="L2924:P2924"/>
    <mergeCell ref="Q2924:U2924"/>
    <mergeCell ref="A2936:E2936"/>
    <mergeCell ref="G2936:J2936"/>
    <mergeCell ref="L2936:O2936"/>
    <mergeCell ref="A2937:E2937"/>
    <mergeCell ref="Q2936:T2936"/>
    <mergeCell ref="G2937:J2937"/>
    <mergeCell ref="L2937:O2937"/>
    <mergeCell ref="Q2937:T2937"/>
    <mergeCell ref="Q2900:T2900"/>
    <mergeCell ref="A2901:U2901"/>
    <mergeCell ref="A2902:B2903"/>
    <mergeCell ref="A2904:B2904"/>
    <mergeCell ref="C2902:T2904"/>
    <mergeCell ref="U2902:U2904"/>
    <mergeCell ref="A2905:A2906"/>
    <mergeCell ref="B2905:F2905"/>
    <mergeCell ref="G2905:K2905"/>
    <mergeCell ref="L2905:P2905"/>
    <mergeCell ref="Q2905:U2905"/>
    <mergeCell ref="A2917:E2917"/>
    <mergeCell ref="G2917:J2917"/>
    <mergeCell ref="L2917:O2917"/>
    <mergeCell ref="A2918:E2918"/>
    <mergeCell ref="Q2917:T2917"/>
    <mergeCell ref="G2918:J2918"/>
    <mergeCell ref="L2918:O2918"/>
    <mergeCell ref="Q2918:T2918"/>
    <mergeCell ref="Q2881:T2881"/>
    <mergeCell ref="A2882:U2882"/>
    <mergeCell ref="A2883:B2884"/>
    <mergeCell ref="A2885:B2885"/>
    <mergeCell ref="C2883:T2885"/>
    <mergeCell ref="U2883:U2885"/>
    <mergeCell ref="A2886:A2887"/>
    <mergeCell ref="B2886:F2886"/>
    <mergeCell ref="G2886:K2886"/>
    <mergeCell ref="L2886:P2886"/>
    <mergeCell ref="Q2886:U2886"/>
    <mergeCell ref="A2898:E2898"/>
    <mergeCell ref="G2898:J2898"/>
    <mergeCell ref="L2898:O2898"/>
    <mergeCell ref="A2899:E2899"/>
    <mergeCell ref="Q2898:T2898"/>
    <mergeCell ref="G2899:J2899"/>
    <mergeCell ref="L2899:O2899"/>
    <mergeCell ref="Q2899:T2899"/>
    <mergeCell ref="Q2862:T2862"/>
    <mergeCell ref="A2863:U2863"/>
    <mergeCell ref="A2864:B2865"/>
    <mergeCell ref="A2866:B2866"/>
    <mergeCell ref="C2864:T2866"/>
    <mergeCell ref="U2864:U2866"/>
    <mergeCell ref="A2867:A2868"/>
    <mergeCell ref="B2867:F2867"/>
    <mergeCell ref="G2867:K2867"/>
    <mergeCell ref="L2867:P2867"/>
    <mergeCell ref="Q2867:U2867"/>
    <mergeCell ref="A2879:E2879"/>
    <mergeCell ref="G2879:J2879"/>
    <mergeCell ref="L2879:O2879"/>
    <mergeCell ref="A2880:E2880"/>
    <mergeCell ref="Q2879:T2879"/>
    <mergeCell ref="G2880:J2880"/>
    <mergeCell ref="L2880:O2880"/>
    <mergeCell ref="Q2880:T2880"/>
    <mergeCell ref="Q2850:T2850"/>
    <mergeCell ref="A2851:U2851"/>
    <mergeCell ref="A2852:B2853"/>
    <mergeCell ref="A2854:B2854"/>
    <mergeCell ref="C2852:T2854"/>
    <mergeCell ref="U2852:U2854"/>
    <mergeCell ref="A2855:A2856"/>
    <mergeCell ref="B2855:F2855"/>
    <mergeCell ref="G2855:K2855"/>
    <mergeCell ref="L2855:P2855"/>
    <mergeCell ref="Q2855:U2855"/>
    <mergeCell ref="A2860:E2860"/>
    <mergeCell ref="G2860:J2860"/>
    <mergeCell ref="L2860:O2860"/>
    <mergeCell ref="A2861:E2861"/>
    <mergeCell ref="Q2860:T2860"/>
    <mergeCell ref="G2861:J2861"/>
    <mergeCell ref="L2861:O2861"/>
    <mergeCell ref="Q2861:T2861"/>
    <mergeCell ref="Q2835:T2835"/>
    <mergeCell ref="A2836:U2836"/>
    <mergeCell ref="A2837:B2838"/>
    <mergeCell ref="A2839:B2839"/>
    <mergeCell ref="C2837:T2839"/>
    <mergeCell ref="U2837:U2839"/>
    <mergeCell ref="A2840:A2841"/>
    <mergeCell ref="B2840:F2840"/>
    <mergeCell ref="G2840:K2840"/>
    <mergeCell ref="L2840:P2840"/>
    <mergeCell ref="Q2840:U2840"/>
    <mergeCell ref="A2848:E2848"/>
    <mergeCell ref="G2848:J2848"/>
    <mergeCell ref="L2848:O2848"/>
    <mergeCell ref="A2849:E2849"/>
    <mergeCell ref="Q2848:T2848"/>
    <mergeCell ref="G2849:J2849"/>
    <mergeCell ref="L2849:O2849"/>
    <mergeCell ref="Q2849:T2849"/>
    <mergeCell ref="Q2820:T2820"/>
    <mergeCell ref="A2821:U2821"/>
    <mergeCell ref="A2822:B2823"/>
    <mergeCell ref="A2824:B2824"/>
    <mergeCell ref="C2822:T2824"/>
    <mergeCell ref="U2822:U2824"/>
    <mergeCell ref="A2825:A2826"/>
    <mergeCell ref="B2825:F2825"/>
    <mergeCell ref="G2825:K2825"/>
    <mergeCell ref="L2825:P2825"/>
    <mergeCell ref="Q2825:U2825"/>
    <mergeCell ref="A2833:E2833"/>
    <mergeCell ref="G2833:J2833"/>
    <mergeCell ref="L2833:O2833"/>
    <mergeCell ref="A2834:E2834"/>
    <mergeCell ref="Q2833:T2833"/>
    <mergeCell ref="G2834:J2834"/>
    <mergeCell ref="L2834:O2834"/>
    <mergeCell ref="Q2834:T2834"/>
    <mergeCell ref="Q2805:T2805"/>
    <mergeCell ref="A2806:U2806"/>
    <mergeCell ref="A2807:B2808"/>
    <mergeCell ref="A2809:B2809"/>
    <mergeCell ref="C2807:T2809"/>
    <mergeCell ref="U2807:U2809"/>
    <mergeCell ref="A2810:A2811"/>
    <mergeCell ref="B2810:F2810"/>
    <mergeCell ref="G2810:K2810"/>
    <mergeCell ref="L2810:P2810"/>
    <mergeCell ref="Q2810:U2810"/>
    <mergeCell ref="A2818:E2818"/>
    <mergeCell ref="G2818:J2818"/>
    <mergeCell ref="L2818:O2818"/>
    <mergeCell ref="A2819:E2819"/>
    <mergeCell ref="Q2818:T2818"/>
    <mergeCell ref="G2819:J2819"/>
    <mergeCell ref="L2819:O2819"/>
    <mergeCell ref="Q2819:T2819"/>
    <mergeCell ref="Q2790:T2790"/>
    <mergeCell ref="A2791:U2791"/>
    <mergeCell ref="A2792:B2793"/>
    <mergeCell ref="A2794:B2794"/>
    <mergeCell ref="C2792:T2794"/>
    <mergeCell ref="U2792:U2794"/>
    <mergeCell ref="A2795:A2796"/>
    <mergeCell ref="B2795:F2795"/>
    <mergeCell ref="G2795:K2795"/>
    <mergeCell ref="L2795:P2795"/>
    <mergeCell ref="Q2795:U2795"/>
    <mergeCell ref="A2803:E2803"/>
    <mergeCell ref="G2803:J2803"/>
    <mergeCell ref="L2803:O2803"/>
    <mergeCell ref="A2804:E2804"/>
    <mergeCell ref="Q2803:T2803"/>
    <mergeCell ref="G2804:J2804"/>
    <mergeCell ref="L2804:O2804"/>
    <mergeCell ref="Q2804:T2804"/>
    <mergeCell ref="Q2775:T2775"/>
    <mergeCell ref="A2776:U2776"/>
    <mergeCell ref="A2777:B2778"/>
    <mergeCell ref="A2779:B2779"/>
    <mergeCell ref="C2777:T2779"/>
    <mergeCell ref="U2777:U2779"/>
    <mergeCell ref="A2780:A2781"/>
    <mergeCell ref="B2780:F2780"/>
    <mergeCell ref="G2780:K2780"/>
    <mergeCell ref="L2780:P2780"/>
    <mergeCell ref="Q2780:U2780"/>
    <mergeCell ref="A2788:E2788"/>
    <mergeCell ref="G2788:J2788"/>
    <mergeCell ref="L2788:O2788"/>
    <mergeCell ref="A2789:E2789"/>
    <mergeCell ref="Q2788:T2788"/>
    <mergeCell ref="G2789:J2789"/>
    <mergeCell ref="L2789:O2789"/>
    <mergeCell ref="Q2789:T2789"/>
    <mergeCell ref="Q2760:T2760"/>
    <mergeCell ref="A2761:U2761"/>
    <mergeCell ref="A2762:B2763"/>
    <mergeCell ref="A2764:B2764"/>
    <mergeCell ref="C2762:T2764"/>
    <mergeCell ref="U2762:U2764"/>
    <mergeCell ref="A2765:A2766"/>
    <mergeCell ref="B2765:F2765"/>
    <mergeCell ref="G2765:K2765"/>
    <mergeCell ref="L2765:P2765"/>
    <mergeCell ref="Q2765:U2765"/>
    <mergeCell ref="A2773:E2773"/>
    <mergeCell ref="G2773:J2773"/>
    <mergeCell ref="L2773:O2773"/>
    <mergeCell ref="A2774:E2774"/>
    <mergeCell ref="Q2773:T2773"/>
    <mergeCell ref="G2774:J2774"/>
    <mergeCell ref="L2774:O2774"/>
    <mergeCell ref="Q2774:T2774"/>
    <mergeCell ref="Q2745:T2745"/>
    <mergeCell ref="A2746:U2746"/>
    <mergeCell ref="A2747:B2748"/>
    <mergeCell ref="A2749:B2749"/>
    <mergeCell ref="C2747:T2749"/>
    <mergeCell ref="U2747:U2749"/>
    <mergeCell ref="A2750:A2751"/>
    <mergeCell ref="B2750:F2750"/>
    <mergeCell ref="G2750:K2750"/>
    <mergeCell ref="L2750:P2750"/>
    <mergeCell ref="Q2750:U2750"/>
    <mergeCell ref="A2758:E2758"/>
    <mergeCell ref="G2758:J2758"/>
    <mergeCell ref="L2758:O2758"/>
    <mergeCell ref="A2759:E2759"/>
    <mergeCell ref="Q2758:T2758"/>
    <mergeCell ref="G2759:J2759"/>
    <mergeCell ref="L2759:O2759"/>
    <mergeCell ref="Q2759:T2759"/>
    <mergeCell ref="Q2730:T2730"/>
    <mergeCell ref="A2731:U2731"/>
    <mergeCell ref="A2732:B2733"/>
    <mergeCell ref="A2734:B2734"/>
    <mergeCell ref="C2732:T2734"/>
    <mergeCell ref="U2732:U2734"/>
    <mergeCell ref="A2735:A2736"/>
    <mergeCell ref="B2735:F2735"/>
    <mergeCell ref="G2735:K2735"/>
    <mergeCell ref="L2735:P2735"/>
    <mergeCell ref="Q2735:U2735"/>
    <mergeCell ref="A2743:E2743"/>
    <mergeCell ref="G2743:J2743"/>
    <mergeCell ref="L2743:O2743"/>
    <mergeCell ref="A2744:E2744"/>
    <mergeCell ref="Q2743:T2743"/>
    <mergeCell ref="G2744:J2744"/>
    <mergeCell ref="L2744:O2744"/>
    <mergeCell ref="Q2744:T2744"/>
    <mergeCell ref="Q2715:T2715"/>
    <mergeCell ref="A2716:U2716"/>
    <mergeCell ref="A2717:B2718"/>
    <mergeCell ref="A2719:B2719"/>
    <mergeCell ref="C2717:T2719"/>
    <mergeCell ref="U2717:U2719"/>
    <mergeCell ref="A2720:A2721"/>
    <mergeCell ref="B2720:F2720"/>
    <mergeCell ref="G2720:K2720"/>
    <mergeCell ref="L2720:P2720"/>
    <mergeCell ref="Q2720:U2720"/>
    <mergeCell ref="A2728:E2728"/>
    <mergeCell ref="G2728:J2728"/>
    <mergeCell ref="L2728:O2728"/>
    <mergeCell ref="A2729:E2729"/>
    <mergeCell ref="Q2728:T2728"/>
    <mergeCell ref="G2729:J2729"/>
    <mergeCell ref="L2729:O2729"/>
    <mergeCell ref="Q2729:T2729"/>
    <mergeCell ref="Q2700:T2700"/>
    <mergeCell ref="A2701:U2701"/>
    <mergeCell ref="A2702:B2703"/>
    <mergeCell ref="A2704:B2704"/>
    <mergeCell ref="C2702:T2704"/>
    <mergeCell ref="U2702:U2704"/>
    <mergeCell ref="A2705:A2706"/>
    <mergeCell ref="B2705:F2705"/>
    <mergeCell ref="G2705:K2705"/>
    <mergeCell ref="L2705:P2705"/>
    <mergeCell ref="Q2705:U2705"/>
    <mergeCell ref="A2713:E2713"/>
    <mergeCell ref="G2713:J2713"/>
    <mergeCell ref="L2713:O2713"/>
    <mergeCell ref="A2714:E2714"/>
    <mergeCell ref="Q2713:T2713"/>
    <mergeCell ref="G2714:J2714"/>
    <mergeCell ref="L2714:O2714"/>
    <mergeCell ref="Q2714:T2714"/>
    <mergeCell ref="Q2685:T2685"/>
    <mergeCell ref="A2686:U2686"/>
    <mergeCell ref="A2687:B2688"/>
    <mergeCell ref="A2689:B2689"/>
    <mergeCell ref="C2687:T2689"/>
    <mergeCell ref="U2687:U2689"/>
    <mergeCell ref="A2690:A2691"/>
    <mergeCell ref="B2690:F2690"/>
    <mergeCell ref="G2690:K2690"/>
    <mergeCell ref="L2690:P2690"/>
    <mergeCell ref="Q2690:U2690"/>
    <mergeCell ref="A2698:E2698"/>
    <mergeCell ref="G2698:J2698"/>
    <mergeCell ref="L2698:O2698"/>
    <mergeCell ref="A2699:E2699"/>
    <mergeCell ref="Q2698:T2698"/>
    <mergeCell ref="G2699:J2699"/>
    <mergeCell ref="L2699:O2699"/>
    <mergeCell ref="Q2699:T2699"/>
    <mergeCell ref="Q2670:T2670"/>
    <mergeCell ref="A2671:U2671"/>
    <mergeCell ref="A2672:B2673"/>
    <mergeCell ref="A2674:B2674"/>
    <mergeCell ref="C2672:T2674"/>
    <mergeCell ref="U2672:U2674"/>
    <mergeCell ref="A2675:A2676"/>
    <mergeCell ref="B2675:F2675"/>
    <mergeCell ref="G2675:K2675"/>
    <mergeCell ref="L2675:P2675"/>
    <mergeCell ref="Q2675:U2675"/>
    <mergeCell ref="A2683:E2683"/>
    <mergeCell ref="G2683:J2683"/>
    <mergeCell ref="L2683:O2683"/>
    <mergeCell ref="A2684:E2684"/>
    <mergeCell ref="Q2683:T2683"/>
    <mergeCell ref="G2684:J2684"/>
    <mergeCell ref="L2684:O2684"/>
    <mergeCell ref="Q2684:T2684"/>
    <mergeCell ref="Q2655:T2655"/>
    <mergeCell ref="A2656:U2656"/>
    <mergeCell ref="A2657:B2658"/>
    <mergeCell ref="A2659:B2659"/>
    <mergeCell ref="C2657:T2659"/>
    <mergeCell ref="U2657:U2659"/>
    <mergeCell ref="A2660:A2661"/>
    <mergeCell ref="B2660:F2660"/>
    <mergeCell ref="G2660:K2660"/>
    <mergeCell ref="L2660:P2660"/>
    <mergeCell ref="Q2660:U2660"/>
    <mergeCell ref="A2668:E2668"/>
    <mergeCell ref="G2668:J2668"/>
    <mergeCell ref="L2668:O2668"/>
    <mergeCell ref="A2669:E2669"/>
    <mergeCell ref="Q2668:T2668"/>
    <mergeCell ref="G2669:J2669"/>
    <mergeCell ref="L2669:O2669"/>
    <mergeCell ref="Q2669:T2669"/>
    <mergeCell ref="Q2640:T2640"/>
    <mergeCell ref="A2641:U2641"/>
    <mergeCell ref="A2642:B2643"/>
    <mergeCell ref="A2644:B2644"/>
    <mergeCell ref="C2642:T2644"/>
    <mergeCell ref="U2642:U2644"/>
    <mergeCell ref="A2645:A2646"/>
    <mergeCell ref="B2645:F2645"/>
    <mergeCell ref="G2645:K2645"/>
    <mergeCell ref="L2645:P2645"/>
    <mergeCell ref="Q2645:U2645"/>
    <mergeCell ref="A2653:E2653"/>
    <mergeCell ref="G2653:J2653"/>
    <mergeCell ref="L2653:O2653"/>
    <mergeCell ref="A2654:E2654"/>
    <mergeCell ref="Q2653:T2653"/>
    <mergeCell ref="G2654:J2654"/>
    <mergeCell ref="L2654:O2654"/>
    <mergeCell ref="Q2654:T2654"/>
    <mergeCell ref="Q2625:T2625"/>
    <mergeCell ref="A2626:U2626"/>
    <mergeCell ref="A2627:B2628"/>
    <mergeCell ref="A2629:B2629"/>
    <mergeCell ref="C2627:T2629"/>
    <mergeCell ref="U2627:U2629"/>
    <mergeCell ref="A2630:A2631"/>
    <mergeCell ref="B2630:F2630"/>
    <mergeCell ref="G2630:K2630"/>
    <mergeCell ref="L2630:P2630"/>
    <mergeCell ref="Q2630:U2630"/>
    <mergeCell ref="A2638:E2638"/>
    <mergeCell ref="G2638:J2638"/>
    <mergeCell ref="L2638:O2638"/>
    <mergeCell ref="A2639:E2639"/>
    <mergeCell ref="Q2638:T2638"/>
    <mergeCell ref="G2639:J2639"/>
    <mergeCell ref="L2639:O2639"/>
    <mergeCell ref="Q2639:T2639"/>
    <mergeCell ref="Q2610:T2610"/>
    <mergeCell ref="A2611:U2611"/>
    <mergeCell ref="A2612:B2613"/>
    <mergeCell ref="A2614:B2614"/>
    <mergeCell ref="C2612:T2614"/>
    <mergeCell ref="U2612:U2614"/>
    <mergeCell ref="A2615:A2616"/>
    <mergeCell ref="B2615:F2615"/>
    <mergeCell ref="G2615:K2615"/>
    <mergeCell ref="L2615:P2615"/>
    <mergeCell ref="Q2615:U2615"/>
    <mergeCell ref="A2623:E2623"/>
    <mergeCell ref="G2623:J2623"/>
    <mergeCell ref="L2623:O2623"/>
    <mergeCell ref="A2624:E2624"/>
    <mergeCell ref="Q2623:T2623"/>
    <mergeCell ref="G2624:J2624"/>
    <mergeCell ref="L2624:O2624"/>
    <mergeCell ref="Q2624:T2624"/>
    <mergeCell ref="Q2595:T2595"/>
    <mergeCell ref="A2596:U2596"/>
    <mergeCell ref="A2597:B2598"/>
    <mergeCell ref="A2599:B2599"/>
    <mergeCell ref="C2597:T2599"/>
    <mergeCell ref="U2597:U2599"/>
    <mergeCell ref="A2600:A2601"/>
    <mergeCell ref="B2600:F2600"/>
    <mergeCell ref="G2600:K2600"/>
    <mergeCell ref="L2600:P2600"/>
    <mergeCell ref="Q2600:U2600"/>
    <mergeCell ref="A2608:E2608"/>
    <mergeCell ref="G2608:J2608"/>
    <mergeCell ref="L2608:O2608"/>
    <mergeCell ref="A2609:E2609"/>
    <mergeCell ref="Q2608:T2608"/>
    <mergeCell ref="G2609:J2609"/>
    <mergeCell ref="L2609:O2609"/>
    <mergeCell ref="Q2609:T2609"/>
    <mergeCell ref="Q2580:T2580"/>
    <mergeCell ref="A2581:U2581"/>
    <mergeCell ref="A2582:B2583"/>
    <mergeCell ref="A2584:B2584"/>
    <mergeCell ref="C2582:T2584"/>
    <mergeCell ref="U2582:U2584"/>
    <mergeCell ref="A2585:A2586"/>
    <mergeCell ref="B2585:F2585"/>
    <mergeCell ref="G2585:K2585"/>
    <mergeCell ref="L2585:P2585"/>
    <mergeCell ref="Q2585:U2585"/>
    <mergeCell ref="A2593:E2593"/>
    <mergeCell ref="G2593:J2593"/>
    <mergeCell ref="L2593:O2593"/>
    <mergeCell ref="A2594:E2594"/>
    <mergeCell ref="Q2593:T2593"/>
    <mergeCell ref="G2594:J2594"/>
    <mergeCell ref="L2594:O2594"/>
    <mergeCell ref="Q2594:T2594"/>
    <mergeCell ref="Q2565:T2565"/>
    <mergeCell ref="A2566:U2566"/>
    <mergeCell ref="A2567:B2568"/>
    <mergeCell ref="A2569:B2569"/>
    <mergeCell ref="C2567:T2569"/>
    <mergeCell ref="U2567:U2569"/>
    <mergeCell ref="A2570:A2571"/>
    <mergeCell ref="B2570:F2570"/>
    <mergeCell ref="G2570:K2570"/>
    <mergeCell ref="L2570:P2570"/>
    <mergeCell ref="Q2570:U2570"/>
    <mergeCell ref="A2578:E2578"/>
    <mergeCell ref="G2578:J2578"/>
    <mergeCell ref="L2578:O2578"/>
    <mergeCell ref="A2579:E2579"/>
    <mergeCell ref="Q2578:T2578"/>
    <mergeCell ref="G2579:J2579"/>
    <mergeCell ref="L2579:O2579"/>
    <mergeCell ref="Q2579:T2579"/>
    <mergeCell ref="Q2550:T2550"/>
    <mergeCell ref="A2551:U2551"/>
    <mergeCell ref="A2552:B2553"/>
    <mergeCell ref="A2554:B2554"/>
    <mergeCell ref="C2552:T2554"/>
    <mergeCell ref="U2552:U2554"/>
    <mergeCell ref="A2555:A2556"/>
    <mergeCell ref="B2555:F2555"/>
    <mergeCell ref="G2555:K2555"/>
    <mergeCell ref="L2555:P2555"/>
    <mergeCell ref="Q2555:U2555"/>
    <mergeCell ref="A2563:E2563"/>
    <mergeCell ref="G2563:J2563"/>
    <mergeCell ref="L2563:O2563"/>
    <mergeCell ref="A2564:E2564"/>
    <mergeCell ref="Q2563:T2563"/>
    <mergeCell ref="G2564:J2564"/>
    <mergeCell ref="L2564:O2564"/>
    <mergeCell ref="Q2564:T2564"/>
    <mergeCell ref="Q2535:T2535"/>
    <mergeCell ref="A2536:U2536"/>
    <mergeCell ref="A2537:B2538"/>
    <mergeCell ref="A2539:B2539"/>
    <mergeCell ref="C2537:T2539"/>
    <mergeCell ref="U2537:U2539"/>
    <mergeCell ref="A2540:A2541"/>
    <mergeCell ref="B2540:F2540"/>
    <mergeCell ref="G2540:K2540"/>
    <mergeCell ref="L2540:P2540"/>
    <mergeCell ref="Q2540:U2540"/>
    <mergeCell ref="A2548:E2548"/>
    <mergeCell ref="G2548:J2548"/>
    <mergeCell ref="L2548:O2548"/>
    <mergeCell ref="A2549:E2549"/>
    <mergeCell ref="Q2548:T2548"/>
    <mergeCell ref="G2549:J2549"/>
    <mergeCell ref="L2549:O2549"/>
    <mergeCell ref="Q2549:T2549"/>
    <mergeCell ref="Q2520:T2520"/>
    <mergeCell ref="A2521:U2521"/>
    <mergeCell ref="A2522:B2523"/>
    <mergeCell ref="A2524:B2524"/>
    <mergeCell ref="C2522:T2524"/>
    <mergeCell ref="U2522:U2524"/>
    <mergeCell ref="A2525:A2526"/>
    <mergeCell ref="B2525:F2525"/>
    <mergeCell ref="G2525:K2525"/>
    <mergeCell ref="L2525:P2525"/>
    <mergeCell ref="Q2525:U2525"/>
    <mergeCell ref="A2533:E2533"/>
    <mergeCell ref="G2533:J2533"/>
    <mergeCell ref="L2533:O2533"/>
    <mergeCell ref="A2534:E2534"/>
    <mergeCell ref="Q2533:T2533"/>
    <mergeCell ref="G2534:J2534"/>
    <mergeCell ref="L2534:O2534"/>
    <mergeCell ref="Q2534:T2534"/>
    <mergeCell ref="Q2506:T2506"/>
    <mergeCell ref="A2507:U2507"/>
    <mergeCell ref="A2508:B2509"/>
    <mergeCell ref="A2510:B2510"/>
    <mergeCell ref="C2508:T2510"/>
    <mergeCell ref="U2508:U2510"/>
    <mergeCell ref="A2511:A2512"/>
    <mergeCell ref="B2511:F2511"/>
    <mergeCell ref="G2511:K2511"/>
    <mergeCell ref="L2511:P2511"/>
    <mergeCell ref="Q2511:U2511"/>
    <mergeCell ref="A2518:E2518"/>
    <mergeCell ref="G2518:J2518"/>
    <mergeCell ref="L2518:O2518"/>
    <mergeCell ref="A2519:E2519"/>
    <mergeCell ref="Q2518:T2518"/>
    <mergeCell ref="G2519:J2519"/>
    <mergeCell ref="L2519:O2519"/>
    <mergeCell ref="Q2519:T2519"/>
    <mergeCell ref="Q2492:T2492"/>
    <mergeCell ref="A2493:U2493"/>
    <mergeCell ref="A2494:B2495"/>
    <mergeCell ref="A2496:B2496"/>
    <mergeCell ref="C2494:T2496"/>
    <mergeCell ref="U2494:U2496"/>
    <mergeCell ref="A2497:A2498"/>
    <mergeCell ref="B2497:F2497"/>
    <mergeCell ref="G2497:K2497"/>
    <mergeCell ref="L2497:P2497"/>
    <mergeCell ref="Q2497:U2497"/>
    <mergeCell ref="A2504:E2504"/>
    <mergeCell ref="G2504:J2504"/>
    <mergeCell ref="L2504:O2504"/>
    <mergeCell ref="A2505:E2505"/>
    <mergeCell ref="Q2504:T2504"/>
    <mergeCell ref="G2505:J2505"/>
    <mergeCell ref="L2505:O2505"/>
    <mergeCell ref="Q2505:T2505"/>
    <mergeCell ref="Q2478:T2478"/>
    <mergeCell ref="A2479:U2479"/>
    <mergeCell ref="A2480:B2481"/>
    <mergeCell ref="A2482:B2482"/>
    <mergeCell ref="C2480:T2482"/>
    <mergeCell ref="U2480:U2482"/>
    <mergeCell ref="A2483:A2484"/>
    <mergeCell ref="B2483:F2483"/>
    <mergeCell ref="G2483:K2483"/>
    <mergeCell ref="L2483:P2483"/>
    <mergeCell ref="Q2483:U2483"/>
    <mergeCell ref="A2490:E2490"/>
    <mergeCell ref="G2490:J2490"/>
    <mergeCell ref="L2490:O2490"/>
    <mergeCell ref="A2491:E2491"/>
    <mergeCell ref="Q2490:T2490"/>
    <mergeCell ref="G2491:J2491"/>
    <mergeCell ref="L2491:O2491"/>
    <mergeCell ref="Q2491:T2491"/>
    <mergeCell ref="Q2464:T2464"/>
    <mergeCell ref="A2465:U2465"/>
    <mergeCell ref="A2466:B2467"/>
    <mergeCell ref="A2468:B2468"/>
    <mergeCell ref="C2466:T2468"/>
    <mergeCell ref="U2466:U2468"/>
    <mergeCell ref="A2469:A2470"/>
    <mergeCell ref="B2469:F2469"/>
    <mergeCell ref="G2469:K2469"/>
    <mergeCell ref="L2469:P2469"/>
    <mergeCell ref="Q2469:U2469"/>
    <mergeCell ref="A2476:E2476"/>
    <mergeCell ref="G2476:J2476"/>
    <mergeCell ref="L2476:O2476"/>
    <mergeCell ref="A2477:E2477"/>
    <mergeCell ref="Q2476:T2476"/>
    <mergeCell ref="G2477:J2477"/>
    <mergeCell ref="L2477:O2477"/>
    <mergeCell ref="Q2477:T2477"/>
    <mergeCell ref="Q2450:T2450"/>
    <mergeCell ref="A2451:U2451"/>
    <mergeCell ref="A2452:B2453"/>
    <mergeCell ref="A2454:B2454"/>
    <mergeCell ref="C2452:T2454"/>
    <mergeCell ref="U2452:U2454"/>
    <mergeCell ref="A2455:A2456"/>
    <mergeCell ref="B2455:F2455"/>
    <mergeCell ref="G2455:K2455"/>
    <mergeCell ref="L2455:P2455"/>
    <mergeCell ref="Q2455:U2455"/>
    <mergeCell ref="A2462:E2462"/>
    <mergeCell ref="G2462:J2462"/>
    <mergeCell ref="L2462:O2462"/>
    <mergeCell ref="A2463:E2463"/>
    <mergeCell ref="Q2462:T2462"/>
    <mergeCell ref="G2463:J2463"/>
    <mergeCell ref="L2463:O2463"/>
    <mergeCell ref="Q2463:T2463"/>
    <mergeCell ref="Q2436:T2436"/>
    <mergeCell ref="A2437:U2437"/>
    <mergeCell ref="A2438:B2439"/>
    <mergeCell ref="A2440:B2440"/>
    <mergeCell ref="C2438:T2440"/>
    <mergeCell ref="U2438:U2440"/>
    <mergeCell ref="A2441:A2442"/>
    <mergeCell ref="B2441:F2441"/>
    <mergeCell ref="G2441:K2441"/>
    <mergeCell ref="L2441:P2441"/>
    <mergeCell ref="Q2441:U2441"/>
    <mergeCell ref="A2448:E2448"/>
    <mergeCell ref="G2448:J2448"/>
    <mergeCell ref="L2448:O2448"/>
    <mergeCell ref="A2449:E2449"/>
    <mergeCell ref="Q2448:T2448"/>
    <mergeCell ref="G2449:J2449"/>
    <mergeCell ref="L2449:O2449"/>
    <mergeCell ref="Q2449:T2449"/>
    <mergeCell ref="Q2422:T2422"/>
    <mergeCell ref="A2423:U2423"/>
    <mergeCell ref="A2424:B2425"/>
    <mergeCell ref="A2426:B2426"/>
    <mergeCell ref="C2424:T2426"/>
    <mergeCell ref="U2424:U2426"/>
    <mergeCell ref="A2427:A2428"/>
    <mergeCell ref="B2427:F2427"/>
    <mergeCell ref="G2427:K2427"/>
    <mergeCell ref="L2427:P2427"/>
    <mergeCell ref="Q2427:U2427"/>
    <mergeCell ref="A2434:E2434"/>
    <mergeCell ref="G2434:J2434"/>
    <mergeCell ref="L2434:O2434"/>
    <mergeCell ref="A2435:E2435"/>
    <mergeCell ref="Q2434:T2434"/>
    <mergeCell ref="G2435:J2435"/>
    <mergeCell ref="L2435:O2435"/>
    <mergeCell ref="Q2435:T2435"/>
    <mergeCell ref="A2410:B2411"/>
    <mergeCell ref="A2412:B2412"/>
    <mergeCell ref="C2410:T2412"/>
    <mergeCell ref="U2410:U2412"/>
    <mergeCell ref="A2413:A2414"/>
    <mergeCell ref="B2413:F2413"/>
    <mergeCell ref="G2413:K2413"/>
    <mergeCell ref="L2413:P2413"/>
    <mergeCell ref="Q2413:U2413"/>
    <mergeCell ref="A2420:E2420"/>
    <mergeCell ref="G2420:J2420"/>
    <mergeCell ref="L2420:O2420"/>
    <mergeCell ref="A2421:E2421"/>
    <mergeCell ref="Q2420:T2420"/>
    <mergeCell ref="G2421:J2421"/>
    <mergeCell ref="L2421:O2421"/>
    <mergeCell ref="Q2421:T2421"/>
    <mergeCell ref="A2408:E2408"/>
    <mergeCell ref="G2408:J2408"/>
    <mergeCell ref="L2408:O2408"/>
    <mergeCell ref="Q2408:T2408"/>
    <mergeCell ref="Q2409:T2409"/>
    <mergeCell ref="Q2383:T2383"/>
    <mergeCell ref="A2384:U2384"/>
    <mergeCell ref="A2385:B2386"/>
    <mergeCell ref="A2387:B2387"/>
    <mergeCell ref="C2385:T2387"/>
    <mergeCell ref="U2385:U2387"/>
    <mergeCell ref="A2388:A2389"/>
    <mergeCell ref="B2388:F2388"/>
    <mergeCell ref="G2388:K2388"/>
    <mergeCell ref="L2388:P2388"/>
    <mergeCell ref="Q2388:U2388"/>
    <mergeCell ref="A2396:E2396"/>
    <mergeCell ref="G2396:J2396"/>
    <mergeCell ref="L2396:O2396"/>
    <mergeCell ref="A2397:E2397"/>
    <mergeCell ref="Q2396:T2396"/>
    <mergeCell ref="G2397:J2397"/>
    <mergeCell ref="L2397:O2397"/>
    <mergeCell ref="Q2397:T2397"/>
    <mergeCell ref="A2382:E2382"/>
    <mergeCell ref="Q2381:T2381"/>
    <mergeCell ref="G2382:J2382"/>
    <mergeCell ref="L2382:O2382"/>
    <mergeCell ref="Q2382:T2382"/>
    <mergeCell ref="Q2353:T2353"/>
    <mergeCell ref="A2354:U2354"/>
    <mergeCell ref="A2355:B2356"/>
    <mergeCell ref="A2357:B2357"/>
    <mergeCell ref="C2355:T2357"/>
    <mergeCell ref="U2355:U2357"/>
    <mergeCell ref="A2358:A2359"/>
    <mergeCell ref="B2358:F2358"/>
    <mergeCell ref="G2358:K2358"/>
    <mergeCell ref="L2358:P2358"/>
    <mergeCell ref="Q2358:U2358"/>
    <mergeCell ref="A2366:E2366"/>
    <mergeCell ref="G2366:J2366"/>
    <mergeCell ref="L2366:O2366"/>
    <mergeCell ref="A2367:E2367"/>
    <mergeCell ref="Q2366:T2366"/>
    <mergeCell ref="G2367:J2367"/>
    <mergeCell ref="L2367:O2367"/>
    <mergeCell ref="Q2367:T2367"/>
    <mergeCell ref="A2369:U2369"/>
    <mergeCell ref="A2370:B2371"/>
    <mergeCell ref="A2372:B2372"/>
    <mergeCell ref="C2370:T2372"/>
    <mergeCell ref="U2370:U2372"/>
    <mergeCell ref="A2373:A2374"/>
    <mergeCell ref="B2373:F2373"/>
    <mergeCell ref="G2373:K2373"/>
    <mergeCell ref="L2343:P2343"/>
    <mergeCell ref="Q2343:U2343"/>
    <mergeCell ref="A2351:E2351"/>
    <mergeCell ref="G2351:J2351"/>
    <mergeCell ref="L2351:O2351"/>
    <mergeCell ref="A2352:E2352"/>
    <mergeCell ref="Q2351:T2351"/>
    <mergeCell ref="G2352:J2352"/>
    <mergeCell ref="L2352:O2352"/>
    <mergeCell ref="Q2352:T2352"/>
    <mergeCell ref="Q2323:T2323"/>
    <mergeCell ref="A2324:U2324"/>
    <mergeCell ref="A2325:B2326"/>
    <mergeCell ref="A2327:B2327"/>
    <mergeCell ref="C2325:T2327"/>
    <mergeCell ref="U2325:U2327"/>
    <mergeCell ref="A2328:A2329"/>
    <mergeCell ref="B2328:F2328"/>
    <mergeCell ref="G2328:K2328"/>
    <mergeCell ref="L2328:P2328"/>
    <mergeCell ref="Q2328:U2328"/>
    <mergeCell ref="A2336:E2336"/>
    <mergeCell ref="G2336:J2336"/>
    <mergeCell ref="L2336:O2336"/>
    <mergeCell ref="A2337:E2337"/>
    <mergeCell ref="Q2336:T2336"/>
    <mergeCell ref="G2337:J2337"/>
    <mergeCell ref="L2337:O2337"/>
    <mergeCell ref="Q2337:T2337"/>
    <mergeCell ref="Q2308:T2308"/>
    <mergeCell ref="A2309:U2309"/>
    <mergeCell ref="A2310:B2311"/>
    <mergeCell ref="A2312:B2312"/>
    <mergeCell ref="C2310:T2312"/>
    <mergeCell ref="U2310:U2312"/>
    <mergeCell ref="A2313:A2314"/>
    <mergeCell ref="B2313:F2313"/>
    <mergeCell ref="G2313:K2313"/>
    <mergeCell ref="L2313:P2313"/>
    <mergeCell ref="Q2313:U2313"/>
    <mergeCell ref="A2321:E2321"/>
    <mergeCell ref="G2321:J2321"/>
    <mergeCell ref="L2321:O2321"/>
    <mergeCell ref="A2322:E2322"/>
    <mergeCell ref="Q2321:T2321"/>
    <mergeCell ref="G2322:J2322"/>
    <mergeCell ref="L2322:O2322"/>
    <mergeCell ref="Q2322:T2322"/>
    <mergeCell ref="Q2293:T2293"/>
    <mergeCell ref="A2294:U2294"/>
    <mergeCell ref="A2295:B2296"/>
    <mergeCell ref="A2297:B2297"/>
    <mergeCell ref="C2295:T2297"/>
    <mergeCell ref="U2295:U2297"/>
    <mergeCell ref="A2298:A2299"/>
    <mergeCell ref="B2298:F2298"/>
    <mergeCell ref="G2298:K2298"/>
    <mergeCell ref="L2298:P2298"/>
    <mergeCell ref="Q2298:U2298"/>
    <mergeCell ref="A2306:E2306"/>
    <mergeCell ref="G2306:J2306"/>
    <mergeCell ref="L2306:O2306"/>
    <mergeCell ref="A2307:E2307"/>
    <mergeCell ref="Q2306:T2306"/>
    <mergeCell ref="G2307:J2307"/>
    <mergeCell ref="L2307:O2307"/>
    <mergeCell ref="Q2307:T2307"/>
    <mergeCell ref="Q2278:T2278"/>
    <mergeCell ref="A2279:U2279"/>
    <mergeCell ref="A2280:B2281"/>
    <mergeCell ref="A2282:B2282"/>
    <mergeCell ref="C2280:T2282"/>
    <mergeCell ref="U2280:U2282"/>
    <mergeCell ref="A2283:A2284"/>
    <mergeCell ref="B2283:F2283"/>
    <mergeCell ref="G2283:K2283"/>
    <mergeCell ref="L2283:P2283"/>
    <mergeCell ref="Q2283:U2283"/>
    <mergeCell ref="A2291:E2291"/>
    <mergeCell ref="G2291:J2291"/>
    <mergeCell ref="L2291:O2291"/>
    <mergeCell ref="A2292:E2292"/>
    <mergeCell ref="Q2291:T2291"/>
    <mergeCell ref="G2292:J2292"/>
    <mergeCell ref="L2292:O2292"/>
    <mergeCell ref="Q2292:T2292"/>
    <mergeCell ref="Q2264:T2264"/>
    <mergeCell ref="A2265:U2265"/>
    <mergeCell ref="A2266:B2267"/>
    <mergeCell ref="A2268:B2268"/>
    <mergeCell ref="C2266:T2268"/>
    <mergeCell ref="U2266:U2268"/>
    <mergeCell ref="A2269:A2270"/>
    <mergeCell ref="B2269:F2269"/>
    <mergeCell ref="G2269:K2269"/>
    <mergeCell ref="L2269:P2269"/>
    <mergeCell ref="Q2269:U2269"/>
    <mergeCell ref="A2276:E2276"/>
    <mergeCell ref="G2276:J2276"/>
    <mergeCell ref="L2276:O2276"/>
    <mergeCell ref="A2277:E2277"/>
    <mergeCell ref="Q2276:T2276"/>
    <mergeCell ref="G2277:J2277"/>
    <mergeCell ref="L2277:O2277"/>
    <mergeCell ref="Q2277:T2277"/>
    <mergeCell ref="Q2250:T2250"/>
    <mergeCell ref="A2251:U2251"/>
    <mergeCell ref="A2252:B2253"/>
    <mergeCell ref="A2254:B2254"/>
    <mergeCell ref="C2252:T2254"/>
    <mergeCell ref="U2252:U2254"/>
    <mergeCell ref="A2255:A2256"/>
    <mergeCell ref="B2255:F2255"/>
    <mergeCell ref="G2255:K2255"/>
    <mergeCell ref="L2255:P2255"/>
    <mergeCell ref="Q2255:U2255"/>
    <mergeCell ref="A2262:E2262"/>
    <mergeCell ref="G2262:J2262"/>
    <mergeCell ref="L2262:O2262"/>
    <mergeCell ref="A2263:E2263"/>
    <mergeCell ref="Q2262:T2262"/>
    <mergeCell ref="G2263:J2263"/>
    <mergeCell ref="L2263:O2263"/>
    <mergeCell ref="Q2263:T2263"/>
    <mergeCell ref="Q2236:T2236"/>
    <mergeCell ref="A2237:U2237"/>
    <mergeCell ref="A2238:B2239"/>
    <mergeCell ref="A2240:B2240"/>
    <mergeCell ref="C2238:T2240"/>
    <mergeCell ref="U2238:U2240"/>
    <mergeCell ref="A2241:A2242"/>
    <mergeCell ref="B2241:F2241"/>
    <mergeCell ref="G2241:K2241"/>
    <mergeCell ref="L2241:P2241"/>
    <mergeCell ref="Q2241:U2241"/>
    <mergeCell ref="A2248:E2248"/>
    <mergeCell ref="G2248:J2248"/>
    <mergeCell ref="L2248:O2248"/>
    <mergeCell ref="A2249:E2249"/>
    <mergeCell ref="Q2248:T2248"/>
    <mergeCell ref="G2249:J2249"/>
    <mergeCell ref="L2249:O2249"/>
    <mergeCell ref="Q2249:T2249"/>
    <mergeCell ref="Q2220:T2220"/>
    <mergeCell ref="A2221:U2221"/>
    <mergeCell ref="A2222:B2223"/>
    <mergeCell ref="A2224:B2224"/>
    <mergeCell ref="C2222:T2224"/>
    <mergeCell ref="U2222:U2224"/>
    <mergeCell ref="A2225:A2226"/>
    <mergeCell ref="B2225:F2225"/>
    <mergeCell ref="G2225:K2225"/>
    <mergeCell ref="L2225:P2225"/>
    <mergeCell ref="Q2225:U2225"/>
    <mergeCell ref="A2234:E2234"/>
    <mergeCell ref="G2234:J2234"/>
    <mergeCell ref="L2234:O2234"/>
    <mergeCell ref="A2235:E2235"/>
    <mergeCell ref="Q2234:T2234"/>
    <mergeCell ref="G2235:J2235"/>
    <mergeCell ref="L2235:O2235"/>
    <mergeCell ref="Q2235:T2235"/>
    <mergeCell ref="Q2204:T2204"/>
    <mergeCell ref="A2205:U2205"/>
    <mergeCell ref="A2206:B2207"/>
    <mergeCell ref="A2208:B2208"/>
    <mergeCell ref="C2206:T2208"/>
    <mergeCell ref="U2206:U2208"/>
    <mergeCell ref="A2209:A2210"/>
    <mergeCell ref="B2209:F2209"/>
    <mergeCell ref="G2209:K2209"/>
    <mergeCell ref="L2209:P2209"/>
    <mergeCell ref="Q2209:U2209"/>
    <mergeCell ref="A2218:E2218"/>
    <mergeCell ref="G2218:J2218"/>
    <mergeCell ref="L2218:O2218"/>
    <mergeCell ref="A2219:E2219"/>
    <mergeCell ref="Q2218:T2218"/>
    <mergeCell ref="G2219:J2219"/>
    <mergeCell ref="L2219:O2219"/>
    <mergeCell ref="Q2219:T2219"/>
    <mergeCell ref="Q2188:T2188"/>
    <mergeCell ref="A2189:U2189"/>
    <mergeCell ref="A2190:B2191"/>
    <mergeCell ref="A2192:B2192"/>
    <mergeCell ref="C2190:T2192"/>
    <mergeCell ref="U2190:U2192"/>
    <mergeCell ref="A2193:A2194"/>
    <mergeCell ref="B2193:F2193"/>
    <mergeCell ref="G2193:K2193"/>
    <mergeCell ref="L2193:P2193"/>
    <mergeCell ref="Q2193:U2193"/>
    <mergeCell ref="A2202:E2202"/>
    <mergeCell ref="G2202:J2202"/>
    <mergeCell ref="L2202:O2202"/>
    <mergeCell ref="A2203:E2203"/>
    <mergeCell ref="Q2202:T2202"/>
    <mergeCell ref="G2203:J2203"/>
    <mergeCell ref="L2203:O2203"/>
    <mergeCell ref="Q2203:T2203"/>
    <mergeCell ref="Q2172:T2172"/>
    <mergeCell ref="A2173:U2173"/>
    <mergeCell ref="A2174:B2175"/>
    <mergeCell ref="A2176:B2176"/>
    <mergeCell ref="C2174:T2176"/>
    <mergeCell ref="U2174:U2176"/>
    <mergeCell ref="A2177:A2178"/>
    <mergeCell ref="B2177:F2177"/>
    <mergeCell ref="G2177:K2177"/>
    <mergeCell ref="L2177:P2177"/>
    <mergeCell ref="Q2177:U2177"/>
    <mergeCell ref="A2186:E2186"/>
    <mergeCell ref="G2186:J2186"/>
    <mergeCell ref="L2186:O2186"/>
    <mergeCell ref="A2187:E2187"/>
    <mergeCell ref="Q2186:T2186"/>
    <mergeCell ref="G2187:J2187"/>
    <mergeCell ref="L2187:O2187"/>
    <mergeCell ref="Q2187:T2187"/>
    <mergeCell ref="Q2156:T2156"/>
    <mergeCell ref="A2157:U2157"/>
    <mergeCell ref="A2158:B2159"/>
    <mergeCell ref="A2160:B2160"/>
    <mergeCell ref="C2158:T2160"/>
    <mergeCell ref="U2158:U2160"/>
    <mergeCell ref="A2161:A2162"/>
    <mergeCell ref="B2161:F2161"/>
    <mergeCell ref="G2161:K2161"/>
    <mergeCell ref="L2161:P2161"/>
    <mergeCell ref="Q2161:U2161"/>
    <mergeCell ref="A2170:E2170"/>
    <mergeCell ref="G2170:J2170"/>
    <mergeCell ref="L2170:O2170"/>
    <mergeCell ref="A2171:E2171"/>
    <mergeCell ref="Q2170:T2170"/>
    <mergeCell ref="G2171:J2171"/>
    <mergeCell ref="L2171:O2171"/>
    <mergeCell ref="Q2171:T2171"/>
    <mergeCell ref="Q2140:T2140"/>
    <mergeCell ref="A2141:U2141"/>
    <mergeCell ref="A2142:B2143"/>
    <mergeCell ref="A2144:B2144"/>
    <mergeCell ref="C2142:T2144"/>
    <mergeCell ref="U2142:U2144"/>
    <mergeCell ref="A2145:A2146"/>
    <mergeCell ref="B2145:F2145"/>
    <mergeCell ref="G2145:K2145"/>
    <mergeCell ref="L2145:P2145"/>
    <mergeCell ref="Q2145:U2145"/>
    <mergeCell ref="A2154:E2154"/>
    <mergeCell ref="G2154:J2154"/>
    <mergeCell ref="L2154:O2154"/>
    <mergeCell ref="A2155:E2155"/>
    <mergeCell ref="Q2154:T2154"/>
    <mergeCell ref="G2155:J2155"/>
    <mergeCell ref="L2155:O2155"/>
    <mergeCell ref="Q2155:T2155"/>
    <mergeCell ref="Q2125:T2125"/>
    <mergeCell ref="A2126:U2126"/>
    <mergeCell ref="A2127:B2128"/>
    <mergeCell ref="A2129:B2129"/>
    <mergeCell ref="C2127:T2129"/>
    <mergeCell ref="U2127:U2129"/>
    <mergeCell ref="A2130:A2131"/>
    <mergeCell ref="B2130:F2130"/>
    <mergeCell ref="G2130:K2130"/>
    <mergeCell ref="L2130:P2130"/>
    <mergeCell ref="Q2130:U2130"/>
    <mergeCell ref="A2138:E2138"/>
    <mergeCell ref="G2138:J2138"/>
    <mergeCell ref="L2138:O2138"/>
    <mergeCell ref="A2139:E2139"/>
    <mergeCell ref="Q2138:T2138"/>
    <mergeCell ref="G2139:J2139"/>
    <mergeCell ref="L2139:O2139"/>
    <mergeCell ref="Q2139:T2139"/>
    <mergeCell ref="Q2109:T2109"/>
    <mergeCell ref="A2110:U2110"/>
    <mergeCell ref="A2111:B2112"/>
    <mergeCell ref="A2113:B2113"/>
    <mergeCell ref="C2111:T2113"/>
    <mergeCell ref="U2111:U2113"/>
    <mergeCell ref="A2114:A2115"/>
    <mergeCell ref="B2114:F2114"/>
    <mergeCell ref="G2114:K2114"/>
    <mergeCell ref="L2114:P2114"/>
    <mergeCell ref="Q2114:U2114"/>
    <mergeCell ref="A2123:E2123"/>
    <mergeCell ref="G2123:J2123"/>
    <mergeCell ref="L2123:O2123"/>
    <mergeCell ref="A2124:E2124"/>
    <mergeCell ref="Q2123:T2123"/>
    <mergeCell ref="G2124:J2124"/>
    <mergeCell ref="L2124:O2124"/>
    <mergeCell ref="Q2124:T2124"/>
    <mergeCell ref="Q2094:T2094"/>
    <mergeCell ref="A2095:U2095"/>
    <mergeCell ref="A2096:B2097"/>
    <mergeCell ref="A2098:B2098"/>
    <mergeCell ref="C2096:T2098"/>
    <mergeCell ref="U2096:U2098"/>
    <mergeCell ref="A2099:A2100"/>
    <mergeCell ref="B2099:F2099"/>
    <mergeCell ref="G2099:K2099"/>
    <mergeCell ref="L2099:P2099"/>
    <mergeCell ref="Q2099:U2099"/>
    <mergeCell ref="A2107:E2107"/>
    <mergeCell ref="G2107:J2107"/>
    <mergeCell ref="L2107:O2107"/>
    <mergeCell ref="A2108:E2108"/>
    <mergeCell ref="Q2107:T2107"/>
    <mergeCell ref="G2108:J2108"/>
    <mergeCell ref="L2108:O2108"/>
    <mergeCell ref="Q2108:T2108"/>
    <mergeCell ref="Q2079:T2079"/>
    <mergeCell ref="A2080:U2080"/>
    <mergeCell ref="A2081:B2082"/>
    <mergeCell ref="A2083:B2083"/>
    <mergeCell ref="C2081:T2083"/>
    <mergeCell ref="U2081:U2083"/>
    <mergeCell ref="A2084:A2085"/>
    <mergeCell ref="B2084:F2084"/>
    <mergeCell ref="G2084:K2084"/>
    <mergeCell ref="L2084:P2084"/>
    <mergeCell ref="Q2084:U2084"/>
    <mergeCell ref="A2092:E2092"/>
    <mergeCell ref="G2092:J2092"/>
    <mergeCell ref="L2092:O2092"/>
    <mergeCell ref="A2093:E2093"/>
    <mergeCell ref="Q2092:T2092"/>
    <mergeCell ref="G2093:J2093"/>
    <mergeCell ref="L2093:O2093"/>
    <mergeCell ref="Q2093:T2093"/>
    <mergeCell ref="Q2064:T2064"/>
    <mergeCell ref="A2065:U2065"/>
    <mergeCell ref="A2066:B2067"/>
    <mergeCell ref="A2068:B2068"/>
    <mergeCell ref="C2066:T2068"/>
    <mergeCell ref="U2066:U2068"/>
    <mergeCell ref="A2069:A2070"/>
    <mergeCell ref="B2069:F2069"/>
    <mergeCell ref="G2069:K2069"/>
    <mergeCell ref="L2069:P2069"/>
    <mergeCell ref="Q2069:U2069"/>
    <mergeCell ref="A2077:E2077"/>
    <mergeCell ref="G2077:J2077"/>
    <mergeCell ref="L2077:O2077"/>
    <mergeCell ref="A2078:E2078"/>
    <mergeCell ref="Q2077:T2077"/>
    <mergeCell ref="G2078:J2078"/>
    <mergeCell ref="L2078:O2078"/>
    <mergeCell ref="Q2078:T2078"/>
    <mergeCell ref="Q2048:T2048"/>
    <mergeCell ref="A2049:U2049"/>
    <mergeCell ref="A2050:B2051"/>
    <mergeCell ref="A2052:B2052"/>
    <mergeCell ref="C2050:T2052"/>
    <mergeCell ref="U2050:U2052"/>
    <mergeCell ref="A2053:A2054"/>
    <mergeCell ref="B2053:F2053"/>
    <mergeCell ref="G2053:K2053"/>
    <mergeCell ref="L2053:P2053"/>
    <mergeCell ref="Q2053:U2053"/>
    <mergeCell ref="A2062:E2062"/>
    <mergeCell ref="G2062:J2062"/>
    <mergeCell ref="L2062:O2062"/>
    <mergeCell ref="A2063:E2063"/>
    <mergeCell ref="Q2062:T2062"/>
    <mergeCell ref="G2063:J2063"/>
    <mergeCell ref="L2063:O2063"/>
    <mergeCell ref="Q2063:T2063"/>
    <mergeCell ref="Q2034:T2034"/>
    <mergeCell ref="A2035:U2035"/>
    <mergeCell ref="A2036:B2037"/>
    <mergeCell ref="A2038:B2038"/>
    <mergeCell ref="C2036:T2038"/>
    <mergeCell ref="U2036:U2038"/>
    <mergeCell ref="A2039:A2040"/>
    <mergeCell ref="B2039:F2039"/>
    <mergeCell ref="G2039:K2039"/>
    <mergeCell ref="L2039:P2039"/>
    <mergeCell ref="Q2039:U2039"/>
    <mergeCell ref="A2046:E2046"/>
    <mergeCell ref="G2046:J2046"/>
    <mergeCell ref="L2046:O2046"/>
    <mergeCell ref="A2047:E2047"/>
    <mergeCell ref="Q2046:T2046"/>
    <mergeCell ref="G2047:J2047"/>
    <mergeCell ref="L2047:O2047"/>
    <mergeCell ref="Q2047:T2047"/>
    <mergeCell ref="Q2019:T2019"/>
    <mergeCell ref="A2020:U2020"/>
    <mergeCell ref="A2021:B2022"/>
    <mergeCell ref="A2023:B2023"/>
    <mergeCell ref="C2021:T2023"/>
    <mergeCell ref="U2021:U2023"/>
    <mergeCell ref="A2024:A2025"/>
    <mergeCell ref="B2024:F2024"/>
    <mergeCell ref="G2024:K2024"/>
    <mergeCell ref="L2024:P2024"/>
    <mergeCell ref="Q2024:U2024"/>
    <mergeCell ref="A2032:E2032"/>
    <mergeCell ref="G2032:J2032"/>
    <mergeCell ref="L2032:O2032"/>
    <mergeCell ref="A2033:E2033"/>
    <mergeCell ref="Q2032:T2032"/>
    <mergeCell ref="G2033:J2033"/>
    <mergeCell ref="L2033:O2033"/>
    <mergeCell ref="Q2033:T2033"/>
    <mergeCell ref="Q2004:T2004"/>
    <mergeCell ref="A2005:U2005"/>
    <mergeCell ref="A2006:B2007"/>
    <mergeCell ref="A2008:B2008"/>
    <mergeCell ref="C2006:T2008"/>
    <mergeCell ref="U2006:U2008"/>
    <mergeCell ref="A2009:A2010"/>
    <mergeCell ref="B2009:F2009"/>
    <mergeCell ref="G2009:K2009"/>
    <mergeCell ref="L2009:P2009"/>
    <mergeCell ref="Q2009:U2009"/>
    <mergeCell ref="A2017:E2017"/>
    <mergeCell ref="G2017:J2017"/>
    <mergeCell ref="L2017:O2017"/>
    <mergeCell ref="A2018:E2018"/>
    <mergeCell ref="Q2017:T2017"/>
    <mergeCell ref="G2018:J2018"/>
    <mergeCell ref="L2018:O2018"/>
    <mergeCell ref="Q2018:T2018"/>
    <mergeCell ref="Q1989:T1989"/>
    <mergeCell ref="A1990:U1990"/>
    <mergeCell ref="A1991:B1992"/>
    <mergeCell ref="A1993:B1993"/>
    <mergeCell ref="C1991:T1993"/>
    <mergeCell ref="U1991:U1993"/>
    <mergeCell ref="A1994:A1995"/>
    <mergeCell ref="B1994:F1994"/>
    <mergeCell ref="G1994:K1994"/>
    <mergeCell ref="L1994:P1994"/>
    <mergeCell ref="Q1994:U1994"/>
    <mergeCell ref="A2002:E2002"/>
    <mergeCell ref="G2002:J2002"/>
    <mergeCell ref="L2002:O2002"/>
    <mergeCell ref="A2003:E2003"/>
    <mergeCell ref="Q2002:T2002"/>
    <mergeCell ref="G2003:J2003"/>
    <mergeCell ref="L2003:O2003"/>
    <mergeCell ref="Q2003:T2003"/>
    <mergeCell ref="Q1976:T1976"/>
    <mergeCell ref="A1977:U1977"/>
    <mergeCell ref="A1978:B1979"/>
    <mergeCell ref="A1980:B1980"/>
    <mergeCell ref="C1978:T1980"/>
    <mergeCell ref="U1978:U1980"/>
    <mergeCell ref="A1981:A1982"/>
    <mergeCell ref="B1981:F1981"/>
    <mergeCell ref="G1981:K1981"/>
    <mergeCell ref="L1981:P1981"/>
    <mergeCell ref="Q1981:U1981"/>
    <mergeCell ref="A1987:E1987"/>
    <mergeCell ref="G1987:J1987"/>
    <mergeCell ref="L1987:O1987"/>
    <mergeCell ref="A1988:E1988"/>
    <mergeCell ref="Q1987:T1987"/>
    <mergeCell ref="G1988:J1988"/>
    <mergeCell ref="L1988:O1988"/>
    <mergeCell ref="Q1988:T1988"/>
    <mergeCell ref="Q1963:T1963"/>
    <mergeCell ref="A1964:U1964"/>
    <mergeCell ref="A1965:B1966"/>
    <mergeCell ref="A1967:B1967"/>
    <mergeCell ref="C1965:T1967"/>
    <mergeCell ref="U1965:U1967"/>
    <mergeCell ref="A1968:A1969"/>
    <mergeCell ref="B1968:F1968"/>
    <mergeCell ref="G1968:K1968"/>
    <mergeCell ref="L1968:P1968"/>
    <mergeCell ref="Q1968:U1968"/>
    <mergeCell ref="A1974:E1974"/>
    <mergeCell ref="G1974:J1974"/>
    <mergeCell ref="L1974:O1974"/>
    <mergeCell ref="A1975:E1975"/>
    <mergeCell ref="Q1974:T1974"/>
    <mergeCell ref="G1975:J1975"/>
    <mergeCell ref="L1975:O1975"/>
    <mergeCell ref="Q1975:T1975"/>
    <mergeCell ref="Q1950:T1950"/>
    <mergeCell ref="A1951:U1951"/>
    <mergeCell ref="A1952:B1953"/>
    <mergeCell ref="A1954:B1954"/>
    <mergeCell ref="C1952:T1954"/>
    <mergeCell ref="U1952:U1954"/>
    <mergeCell ref="A1955:A1956"/>
    <mergeCell ref="B1955:F1955"/>
    <mergeCell ref="G1955:K1955"/>
    <mergeCell ref="L1955:P1955"/>
    <mergeCell ref="Q1955:U1955"/>
    <mergeCell ref="A1961:E1961"/>
    <mergeCell ref="G1961:J1961"/>
    <mergeCell ref="L1961:O1961"/>
    <mergeCell ref="A1962:E1962"/>
    <mergeCell ref="Q1961:T1961"/>
    <mergeCell ref="G1962:J1962"/>
    <mergeCell ref="L1962:O1962"/>
    <mergeCell ref="Q1962:T1962"/>
    <mergeCell ref="Q1939:T1939"/>
    <mergeCell ref="A1940:U1940"/>
    <mergeCell ref="A1941:B1942"/>
    <mergeCell ref="A1943:B1943"/>
    <mergeCell ref="C1941:T1943"/>
    <mergeCell ref="U1941:U1943"/>
    <mergeCell ref="A1944:A1945"/>
    <mergeCell ref="B1944:F1944"/>
    <mergeCell ref="G1944:K1944"/>
    <mergeCell ref="L1944:P1944"/>
    <mergeCell ref="Q1944:U1944"/>
    <mergeCell ref="A1948:E1948"/>
    <mergeCell ref="G1948:J1948"/>
    <mergeCell ref="L1948:O1948"/>
    <mergeCell ref="A1949:E1949"/>
    <mergeCell ref="Q1948:T1948"/>
    <mergeCell ref="G1949:J1949"/>
    <mergeCell ref="L1949:O1949"/>
    <mergeCell ref="Q1949:T1949"/>
    <mergeCell ref="Q1928:T1928"/>
    <mergeCell ref="A1929:U1929"/>
    <mergeCell ref="A1930:B1931"/>
    <mergeCell ref="A1932:B1932"/>
    <mergeCell ref="C1930:T1932"/>
    <mergeCell ref="U1930:U1932"/>
    <mergeCell ref="A1933:A1934"/>
    <mergeCell ref="B1933:F1933"/>
    <mergeCell ref="G1933:K1933"/>
    <mergeCell ref="L1933:P1933"/>
    <mergeCell ref="Q1933:U1933"/>
    <mergeCell ref="A1937:E1937"/>
    <mergeCell ref="G1937:J1937"/>
    <mergeCell ref="L1937:O1937"/>
    <mergeCell ref="A1938:E1938"/>
    <mergeCell ref="Q1937:T1937"/>
    <mergeCell ref="G1938:J1938"/>
    <mergeCell ref="L1938:O1938"/>
    <mergeCell ref="Q1938:T1938"/>
    <mergeCell ref="Q1917:T1917"/>
    <mergeCell ref="A1918:U1918"/>
    <mergeCell ref="A1919:B1920"/>
    <mergeCell ref="A1921:B1921"/>
    <mergeCell ref="C1919:T1921"/>
    <mergeCell ref="U1919:U1921"/>
    <mergeCell ref="A1922:A1923"/>
    <mergeCell ref="B1922:F1922"/>
    <mergeCell ref="G1922:K1922"/>
    <mergeCell ref="L1922:P1922"/>
    <mergeCell ref="Q1922:U1922"/>
    <mergeCell ref="A1926:E1926"/>
    <mergeCell ref="G1926:J1926"/>
    <mergeCell ref="L1926:O1926"/>
    <mergeCell ref="A1927:E1927"/>
    <mergeCell ref="Q1926:T1926"/>
    <mergeCell ref="G1927:J1927"/>
    <mergeCell ref="L1927:O1927"/>
    <mergeCell ref="Q1927:T1927"/>
    <mergeCell ref="Q1905:T1905"/>
    <mergeCell ref="A1906:U1906"/>
    <mergeCell ref="A1907:B1908"/>
    <mergeCell ref="A1909:B1909"/>
    <mergeCell ref="C1907:T1909"/>
    <mergeCell ref="U1907:U1909"/>
    <mergeCell ref="A1910:A1911"/>
    <mergeCell ref="B1910:F1910"/>
    <mergeCell ref="G1910:K1910"/>
    <mergeCell ref="L1910:P1910"/>
    <mergeCell ref="Q1910:U1910"/>
    <mergeCell ref="A1915:E1915"/>
    <mergeCell ref="G1915:J1915"/>
    <mergeCell ref="L1915:O1915"/>
    <mergeCell ref="A1916:E1916"/>
    <mergeCell ref="Q1915:T1915"/>
    <mergeCell ref="G1916:J1916"/>
    <mergeCell ref="L1916:O1916"/>
    <mergeCell ref="Q1916:T1916"/>
    <mergeCell ref="Q1893:T1893"/>
    <mergeCell ref="A1894:U1894"/>
    <mergeCell ref="A1895:B1896"/>
    <mergeCell ref="A1897:B1897"/>
    <mergeCell ref="C1895:T1897"/>
    <mergeCell ref="U1895:U1897"/>
    <mergeCell ref="A1898:A1899"/>
    <mergeCell ref="B1898:F1898"/>
    <mergeCell ref="G1898:K1898"/>
    <mergeCell ref="L1898:P1898"/>
    <mergeCell ref="Q1898:U1898"/>
    <mergeCell ref="A1903:E1903"/>
    <mergeCell ref="G1903:J1903"/>
    <mergeCell ref="L1903:O1903"/>
    <mergeCell ref="A1904:E1904"/>
    <mergeCell ref="Q1903:T1903"/>
    <mergeCell ref="G1904:J1904"/>
    <mergeCell ref="L1904:O1904"/>
    <mergeCell ref="Q1904:T1904"/>
    <mergeCell ref="Q1882:T1882"/>
    <mergeCell ref="A1883:U1883"/>
    <mergeCell ref="A1884:B1885"/>
    <mergeCell ref="A1886:B1886"/>
    <mergeCell ref="C1884:T1886"/>
    <mergeCell ref="U1884:U1886"/>
    <mergeCell ref="A1887:A1888"/>
    <mergeCell ref="B1887:F1887"/>
    <mergeCell ref="G1887:K1887"/>
    <mergeCell ref="L1887:P1887"/>
    <mergeCell ref="Q1887:U1887"/>
    <mergeCell ref="A1891:E1891"/>
    <mergeCell ref="G1891:J1891"/>
    <mergeCell ref="L1891:O1891"/>
    <mergeCell ref="A1892:E1892"/>
    <mergeCell ref="Q1891:T1891"/>
    <mergeCell ref="G1892:J1892"/>
    <mergeCell ref="L1892:O1892"/>
    <mergeCell ref="Q1892:T1892"/>
    <mergeCell ref="Q1871:T1871"/>
    <mergeCell ref="A1872:U1872"/>
    <mergeCell ref="A1873:B1874"/>
    <mergeCell ref="A1875:B1875"/>
    <mergeCell ref="C1873:T1875"/>
    <mergeCell ref="U1873:U1875"/>
    <mergeCell ref="A1876:A1877"/>
    <mergeCell ref="B1876:F1876"/>
    <mergeCell ref="G1876:K1876"/>
    <mergeCell ref="L1876:P1876"/>
    <mergeCell ref="Q1876:U1876"/>
    <mergeCell ref="A1880:E1880"/>
    <mergeCell ref="G1880:J1880"/>
    <mergeCell ref="L1880:O1880"/>
    <mergeCell ref="A1881:E1881"/>
    <mergeCell ref="Q1880:T1880"/>
    <mergeCell ref="G1881:J1881"/>
    <mergeCell ref="L1881:O1881"/>
    <mergeCell ref="Q1881:T1881"/>
    <mergeCell ref="Q1860:T1860"/>
    <mergeCell ref="A1861:U1861"/>
    <mergeCell ref="A1862:B1863"/>
    <mergeCell ref="A1864:B1864"/>
    <mergeCell ref="C1862:T1864"/>
    <mergeCell ref="U1862:U1864"/>
    <mergeCell ref="A1865:A1866"/>
    <mergeCell ref="B1865:F1865"/>
    <mergeCell ref="G1865:K1865"/>
    <mergeCell ref="L1865:P1865"/>
    <mergeCell ref="Q1865:U1865"/>
    <mergeCell ref="A1869:E1869"/>
    <mergeCell ref="G1869:J1869"/>
    <mergeCell ref="L1869:O1869"/>
    <mergeCell ref="A1870:E1870"/>
    <mergeCell ref="Q1869:T1869"/>
    <mergeCell ref="G1870:J1870"/>
    <mergeCell ref="L1870:O1870"/>
    <mergeCell ref="Q1870:T1870"/>
    <mergeCell ref="Q1850:T1850"/>
    <mergeCell ref="A1851:U1851"/>
    <mergeCell ref="A1852:B1853"/>
    <mergeCell ref="A1854:B1854"/>
    <mergeCell ref="C1852:T1854"/>
    <mergeCell ref="U1852:U1854"/>
    <mergeCell ref="A1855:A1856"/>
    <mergeCell ref="B1855:F1855"/>
    <mergeCell ref="G1855:K1855"/>
    <mergeCell ref="L1855:P1855"/>
    <mergeCell ref="Q1855:U1855"/>
    <mergeCell ref="A1858:E1858"/>
    <mergeCell ref="G1858:J1858"/>
    <mergeCell ref="L1858:O1858"/>
    <mergeCell ref="A1859:E1859"/>
    <mergeCell ref="Q1858:T1858"/>
    <mergeCell ref="G1859:J1859"/>
    <mergeCell ref="L1859:O1859"/>
    <mergeCell ref="Q1859:T1859"/>
    <mergeCell ref="Q1838:T1838"/>
    <mergeCell ref="A1839:U1839"/>
    <mergeCell ref="A1840:B1841"/>
    <mergeCell ref="A1842:B1842"/>
    <mergeCell ref="C1840:T1842"/>
    <mergeCell ref="U1840:U1842"/>
    <mergeCell ref="A1843:A1844"/>
    <mergeCell ref="B1843:F1843"/>
    <mergeCell ref="G1843:K1843"/>
    <mergeCell ref="L1843:P1843"/>
    <mergeCell ref="Q1843:U1843"/>
    <mergeCell ref="A1848:E1848"/>
    <mergeCell ref="G1848:J1848"/>
    <mergeCell ref="L1848:O1848"/>
    <mergeCell ref="A1849:E1849"/>
    <mergeCell ref="Q1848:T1848"/>
    <mergeCell ref="G1849:J1849"/>
    <mergeCell ref="L1849:O1849"/>
    <mergeCell ref="Q1849:T1849"/>
    <mergeCell ref="Q1826:T1826"/>
    <mergeCell ref="A1827:U1827"/>
    <mergeCell ref="A1828:B1829"/>
    <mergeCell ref="A1830:B1830"/>
    <mergeCell ref="C1828:T1830"/>
    <mergeCell ref="U1828:U1830"/>
    <mergeCell ref="A1831:A1832"/>
    <mergeCell ref="B1831:F1831"/>
    <mergeCell ref="G1831:K1831"/>
    <mergeCell ref="L1831:P1831"/>
    <mergeCell ref="Q1831:U1831"/>
    <mergeCell ref="A1836:E1836"/>
    <mergeCell ref="G1836:J1836"/>
    <mergeCell ref="L1836:O1836"/>
    <mergeCell ref="A1837:E1837"/>
    <mergeCell ref="Q1836:T1836"/>
    <mergeCell ref="G1837:J1837"/>
    <mergeCell ref="L1837:O1837"/>
    <mergeCell ref="Q1837:T1837"/>
    <mergeCell ref="Q1814:T1814"/>
    <mergeCell ref="A1815:U1815"/>
    <mergeCell ref="A1816:B1817"/>
    <mergeCell ref="A1818:B1818"/>
    <mergeCell ref="C1816:T1818"/>
    <mergeCell ref="U1816:U1818"/>
    <mergeCell ref="A1819:A1820"/>
    <mergeCell ref="B1819:F1819"/>
    <mergeCell ref="G1819:K1819"/>
    <mergeCell ref="L1819:P1819"/>
    <mergeCell ref="Q1819:U1819"/>
    <mergeCell ref="A1824:E1824"/>
    <mergeCell ref="G1824:J1824"/>
    <mergeCell ref="L1824:O1824"/>
    <mergeCell ref="A1825:E1825"/>
    <mergeCell ref="Q1824:T1824"/>
    <mergeCell ref="G1825:J1825"/>
    <mergeCell ref="L1825:O1825"/>
    <mergeCell ref="Q1825:T1825"/>
    <mergeCell ref="Q1803:T1803"/>
    <mergeCell ref="A1804:U1804"/>
    <mergeCell ref="A1805:B1806"/>
    <mergeCell ref="A1807:B1807"/>
    <mergeCell ref="C1805:T1807"/>
    <mergeCell ref="U1805:U1807"/>
    <mergeCell ref="A1808:A1809"/>
    <mergeCell ref="B1808:F1808"/>
    <mergeCell ref="G1808:K1808"/>
    <mergeCell ref="L1808:P1808"/>
    <mergeCell ref="Q1808:U1808"/>
    <mergeCell ref="A1812:E1812"/>
    <mergeCell ref="G1812:J1812"/>
    <mergeCell ref="L1812:O1812"/>
    <mergeCell ref="A1813:E1813"/>
    <mergeCell ref="Q1812:T1812"/>
    <mergeCell ref="G1813:J1813"/>
    <mergeCell ref="L1813:O1813"/>
    <mergeCell ref="Q1813:T1813"/>
    <mergeCell ref="Q1792:T1792"/>
    <mergeCell ref="A1793:U1793"/>
    <mergeCell ref="A1794:B1795"/>
    <mergeCell ref="A1796:B1796"/>
    <mergeCell ref="C1794:T1796"/>
    <mergeCell ref="U1794:U1796"/>
    <mergeCell ref="A1797:A1798"/>
    <mergeCell ref="B1797:F1797"/>
    <mergeCell ref="G1797:K1797"/>
    <mergeCell ref="L1797:P1797"/>
    <mergeCell ref="Q1797:U1797"/>
    <mergeCell ref="A1801:E1801"/>
    <mergeCell ref="G1801:J1801"/>
    <mergeCell ref="L1801:O1801"/>
    <mergeCell ref="A1802:E1802"/>
    <mergeCell ref="Q1801:T1801"/>
    <mergeCell ref="G1802:J1802"/>
    <mergeCell ref="L1802:O1802"/>
    <mergeCell ref="Q1802:T1802"/>
    <mergeCell ref="Q1781:T1781"/>
    <mergeCell ref="A1782:U1782"/>
    <mergeCell ref="A1783:B1784"/>
    <mergeCell ref="A1785:B1785"/>
    <mergeCell ref="C1783:T1785"/>
    <mergeCell ref="U1783:U1785"/>
    <mergeCell ref="A1786:A1787"/>
    <mergeCell ref="B1786:F1786"/>
    <mergeCell ref="G1786:K1786"/>
    <mergeCell ref="L1786:P1786"/>
    <mergeCell ref="Q1786:U1786"/>
    <mergeCell ref="A1790:E1790"/>
    <mergeCell ref="G1790:J1790"/>
    <mergeCell ref="L1790:O1790"/>
    <mergeCell ref="A1791:E1791"/>
    <mergeCell ref="Q1790:T1790"/>
    <mergeCell ref="G1791:J1791"/>
    <mergeCell ref="L1791:O1791"/>
    <mergeCell ref="Q1791:T1791"/>
    <mergeCell ref="Q1769:T1769"/>
    <mergeCell ref="A1770:U1770"/>
    <mergeCell ref="A1771:B1772"/>
    <mergeCell ref="A1773:B1773"/>
    <mergeCell ref="C1771:T1773"/>
    <mergeCell ref="U1771:U1773"/>
    <mergeCell ref="A1774:A1775"/>
    <mergeCell ref="B1774:F1774"/>
    <mergeCell ref="G1774:K1774"/>
    <mergeCell ref="L1774:P1774"/>
    <mergeCell ref="Q1774:U1774"/>
    <mergeCell ref="A1779:E1779"/>
    <mergeCell ref="G1779:J1779"/>
    <mergeCell ref="L1779:O1779"/>
    <mergeCell ref="A1780:E1780"/>
    <mergeCell ref="Q1779:T1779"/>
    <mergeCell ref="G1780:J1780"/>
    <mergeCell ref="L1780:O1780"/>
    <mergeCell ref="Q1780:T1780"/>
    <mergeCell ref="Q1756:T1756"/>
    <mergeCell ref="A1757:U1757"/>
    <mergeCell ref="A1758:B1759"/>
    <mergeCell ref="A1760:B1760"/>
    <mergeCell ref="C1758:T1760"/>
    <mergeCell ref="U1758:U1760"/>
    <mergeCell ref="A1761:A1762"/>
    <mergeCell ref="B1761:F1761"/>
    <mergeCell ref="G1761:K1761"/>
    <mergeCell ref="L1761:P1761"/>
    <mergeCell ref="Q1761:U1761"/>
    <mergeCell ref="A1767:E1767"/>
    <mergeCell ref="G1767:J1767"/>
    <mergeCell ref="L1767:O1767"/>
    <mergeCell ref="A1768:E1768"/>
    <mergeCell ref="Q1767:T1767"/>
    <mergeCell ref="G1768:J1768"/>
    <mergeCell ref="L1768:O1768"/>
    <mergeCell ref="Q1768:T1768"/>
    <mergeCell ref="Q1745:T1745"/>
    <mergeCell ref="A1746:U1746"/>
    <mergeCell ref="A1747:B1748"/>
    <mergeCell ref="A1749:B1749"/>
    <mergeCell ref="C1747:T1749"/>
    <mergeCell ref="U1747:U1749"/>
    <mergeCell ref="A1750:A1751"/>
    <mergeCell ref="B1750:F1750"/>
    <mergeCell ref="G1750:K1750"/>
    <mergeCell ref="L1750:P1750"/>
    <mergeCell ref="Q1750:U1750"/>
    <mergeCell ref="A1754:E1754"/>
    <mergeCell ref="G1754:J1754"/>
    <mergeCell ref="L1754:O1754"/>
    <mergeCell ref="A1755:E1755"/>
    <mergeCell ref="Q1754:T1754"/>
    <mergeCell ref="G1755:J1755"/>
    <mergeCell ref="L1755:O1755"/>
    <mergeCell ref="Q1755:T1755"/>
    <mergeCell ref="Q1735:T1735"/>
    <mergeCell ref="A1736:U1736"/>
    <mergeCell ref="A1737:B1738"/>
    <mergeCell ref="A1739:B1739"/>
    <mergeCell ref="C1737:T1739"/>
    <mergeCell ref="U1737:U1739"/>
    <mergeCell ref="A1740:A1741"/>
    <mergeCell ref="B1740:F1740"/>
    <mergeCell ref="G1740:K1740"/>
    <mergeCell ref="L1740:P1740"/>
    <mergeCell ref="Q1740:U1740"/>
    <mergeCell ref="A1743:E1743"/>
    <mergeCell ref="G1743:J1743"/>
    <mergeCell ref="L1743:O1743"/>
    <mergeCell ref="A1744:E1744"/>
    <mergeCell ref="Q1743:T1743"/>
    <mergeCell ref="G1744:J1744"/>
    <mergeCell ref="L1744:O1744"/>
    <mergeCell ref="Q1744:T1744"/>
    <mergeCell ref="Q1723:T1723"/>
    <mergeCell ref="A1724:U1724"/>
    <mergeCell ref="A1725:B1726"/>
    <mergeCell ref="A1727:B1727"/>
    <mergeCell ref="C1725:T1727"/>
    <mergeCell ref="U1725:U1727"/>
    <mergeCell ref="A1728:A1729"/>
    <mergeCell ref="B1728:F1728"/>
    <mergeCell ref="G1728:K1728"/>
    <mergeCell ref="L1728:P1728"/>
    <mergeCell ref="Q1728:U1728"/>
    <mergeCell ref="A1733:E1733"/>
    <mergeCell ref="G1733:J1733"/>
    <mergeCell ref="L1733:O1733"/>
    <mergeCell ref="A1734:E1734"/>
    <mergeCell ref="Q1733:T1733"/>
    <mergeCell ref="G1734:J1734"/>
    <mergeCell ref="L1734:O1734"/>
    <mergeCell ref="Q1734:T1734"/>
    <mergeCell ref="Q1711:T1711"/>
    <mergeCell ref="A1712:U1712"/>
    <mergeCell ref="A1713:B1714"/>
    <mergeCell ref="A1715:B1715"/>
    <mergeCell ref="C1713:T1715"/>
    <mergeCell ref="U1713:U1715"/>
    <mergeCell ref="A1716:A1717"/>
    <mergeCell ref="B1716:F1716"/>
    <mergeCell ref="G1716:K1716"/>
    <mergeCell ref="L1716:P1716"/>
    <mergeCell ref="Q1716:U1716"/>
    <mergeCell ref="A1721:E1721"/>
    <mergeCell ref="G1721:J1721"/>
    <mergeCell ref="L1721:O1721"/>
    <mergeCell ref="A1722:E1722"/>
    <mergeCell ref="Q1721:T1721"/>
    <mergeCell ref="G1722:J1722"/>
    <mergeCell ref="L1722:O1722"/>
    <mergeCell ref="Q1722:T1722"/>
    <mergeCell ref="Q1699:T1699"/>
    <mergeCell ref="A1700:U1700"/>
    <mergeCell ref="A1701:B1702"/>
    <mergeCell ref="A1703:B1703"/>
    <mergeCell ref="C1701:T1703"/>
    <mergeCell ref="U1701:U1703"/>
    <mergeCell ref="A1704:A1705"/>
    <mergeCell ref="B1704:F1704"/>
    <mergeCell ref="G1704:K1704"/>
    <mergeCell ref="L1704:P1704"/>
    <mergeCell ref="Q1704:U1704"/>
    <mergeCell ref="A1709:E1709"/>
    <mergeCell ref="G1709:J1709"/>
    <mergeCell ref="L1709:O1709"/>
    <mergeCell ref="A1710:E1710"/>
    <mergeCell ref="Q1709:T1709"/>
    <mergeCell ref="G1710:J1710"/>
    <mergeCell ref="L1710:O1710"/>
    <mergeCell ref="Q1710:T1710"/>
    <mergeCell ref="Q1686:T1686"/>
    <mergeCell ref="A1687:U1687"/>
    <mergeCell ref="A1688:B1689"/>
    <mergeCell ref="A1690:B1690"/>
    <mergeCell ref="C1688:T1690"/>
    <mergeCell ref="U1688:U1690"/>
    <mergeCell ref="A1691:A1692"/>
    <mergeCell ref="B1691:F1691"/>
    <mergeCell ref="G1691:K1691"/>
    <mergeCell ref="L1691:P1691"/>
    <mergeCell ref="Q1691:U1691"/>
    <mergeCell ref="A1697:E1697"/>
    <mergeCell ref="G1697:J1697"/>
    <mergeCell ref="L1697:O1697"/>
    <mergeCell ref="A1698:E1698"/>
    <mergeCell ref="Q1697:T1697"/>
    <mergeCell ref="G1698:J1698"/>
    <mergeCell ref="L1698:O1698"/>
    <mergeCell ref="Q1698:T1698"/>
    <mergeCell ref="Q1673:T1673"/>
    <mergeCell ref="A1674:U1674"/>
    <mergeCell ref="A1675:B1676"/>
    <mergeCell ref="A1677:B1677"/>
    <mergeCell ref="C1675:T1677"/>
    <mergeCell ref="U1675:U1677"/>
    <mergeCell ref="A1678:A1679"/>
    <mergeCell ref="B1678:F1678"/>
    <mergeCell ref="G1678:K1678"/>
    <mergeCell ref="L1678:P1678"/>
    <mergeCell ref="Q1678:U1678"/>
    <mergeCell ref="A1684:E1684"/>
    <mergeCell ref="G1684:J1684"/>
    <mergeCell ref="L1684:O1684"/>
    <mergeCell ref="A1685:E1685"/>
    <mergeCell ref="Q1684:T1684"/>
    <mergeCell ref="G1685:J1685"/>
    <mergeCell ref="L1685:O1685"/>
    <mergeCell ref="Q1685:T1685"/>
    <mergeCell ref="Q1662:T1662"/>
    <mergeCell ref="A1663:U1663"/>
    <mergeCell ref="A1664:B1665"/>
    <mergeCell ref="A1666:B1666"/>
    <mergeCell ref="C1664:T1666"/>
    <mergeCell ref="U1664:U1666"/>
    <mergeCell ref="A1667:A1668"/>
    <mergeCell ref="B1667:F1667"/>
    <mergeCell ref="G1667:K1667"/>
    <mergeCell ref="L1667:P1667"/>
    <mergeCell ref="Q1667:U1667"/>
    <mergeCell ref="A1671:E1671"/>
    <mergeCell ref="G1671:J1671"/>
    <mergeCell ref="L1671:O1671"/>
    <mergeCell ref="A1672:E1672"/>
    <mergeCell ref="Q1671:T1671"/>
    <mergeCell ref="G1672:J1672"/>
    <mergeCell ref="L1672:O1672"/>
    <mergeCell ref="Q1672:T1672"/>
    <mergeCell ref="Q1650:T1650"/>
    <mergeCell ref="A1651:U1651"/>
    <mergeCell ref="A1652:B1653"/>
    <mergeCell ref="A1654:B1654"/>
    <mergeCell ref="C1652:T1654"/>
    <mergeCell ref="U1652:U1654"/>
    <mergeCell ref="A1655:A1656"/>
    <mergeCell ref="B1655:F1655"/>
    <mergeCell ref="G1655:K1655"/>
    <mergeCell ref="L1655:P1655"/>
    <mergeCell ref="Q1655:U1655"/>
    <mergeCell ref="A1660:E1660"/>
    <mergeCell ref="G1660:J1660"/>
    <mergeCell ref="L1660:O1660"/>
    <mergeCell ref="A1661:E1661"/>
    <mergeCell ref="Q1660:T1660"/>
    <mergeCell ref="G1661:J1661"/>
    <mergeCell ref="L1661:O1661"/>
    <mergeCell ref="Q1661:T1661"/>
    <mergeCell ref="Q1638:T1638"/>
    <mergeCell ref="A1639:U1639"/>
    <mergeCell ref="A1640:B1641"/>
    <mergeCell ref="A1642:B1642"/>
    <mergeCell ref="C1640:T1642"/>
    <mergeCell ref="U1640:U1642"/>
    <mergeCell ref="A1643:A1644"/>
    <mergeCell ref="B1643:F1643"/>
    <mergeCell ref="G1643:K1643"/>
    <mergeCell ref="L1643:P1643"/>
    <mergeCell ref="Q1643:U1643"/>
    <mergeCell ref="A1648:E1648"/>
    <mergeCell ref="G1648:J1648"/>
    <mergeCell ref="L1648:O1648"/>
    <mergeCell ref="A1649:E1649"/>
    <mergeCell ref="Q1648:T1648"/>
    <mergeCell ref="G1649:J1649"/>
    <mergeCell ref="L1649:O1649"/>
    <mergeCell ref="Q1649:T1649"/>
    <mergeCell ref="Q1626:T1626"/>
    <mergeCell ref="A1627:U1627"/>
    <mergeCell ref="A1628:B1629"/>
    <mergeCell ref="A1630:B1630"/>
    <mergeCell ref="C1628:T1630"/>
    <mergeCell ref="U1628:U1630"/>
    <mergeCell ref="A1631:A1632"/>
    <mergeCell ref="B1631:F1631"/>
    <mergeCell ref="G1631:K1631"/>
    <mergeCell ref="L1631:P1631"/>
    <mergeCell ref="Q1631:U1631"/>
    <mergeCell ref="A1636:E1636"/>
    <mergeCell ref="G1636:J1636"/>
    <mergeCell ref="L1636:O1636"/>
    <mergeCell ref="A1637:E1637"/>
    <mergeCell ref="Q1636:T1636"/>
    <mergeCell ref="G1637:J1637"/>
    <mergeCell ref="L1637:O1637"/>
    <mergeCell ref="Q1637:T1637"/>
    <mergeCell ref="Q1614:T1614"/>
    <mergeCell ref="A1615:U1615"/>
    <mergeCell ref="A1616:B1617"/>
    <mergeCell ref="A1618:B1618"/>
    <mergeCell ref="C1616:T1618"/>
    <mergeCell ref="U1616:U1618"/>
    <mergeCell ref="A1619:A1620"/>
    <mergeCell ref="B1619:F1619"/>
    <mergeCell ref="G1619:K1619"/>
    <mergeCell ref="L1619:P1619"/>
    <mergeCell ref="Q1619:U1619"/>
    <mergeCell ref="A1624:E1624"/>
    <mergeCell ref="G1624:J1624"/>
    <mergeCell ref="L1624:O1624"/>
    <mergeCell ref="A1625:E1625"/>
    <mergeCell ref="Q1624:T1624"/>
    <mergeCell ref="G1625:J1625"/>
    <mergeCell ref="L1625:O1625"/>
    <mergeCell ref="Q1625:T1625"/>
    <mergeCell ref="Q1602:T1602"/>
    <mergeCell ref="A1603:U1603"/>
    <mergeCell ref="A1604:B1605"/>
    <mergeCell ref="A1606:B1606"/>
    <mergeCell ref="C1604:T1606"/>
    <mergeCell ref="U1604:U1606"/>
    <mergeCell ref="A1607:A1608"/>
    <mergeCell ref="B1607:F1607"/>
    <mergeCell ref="G1607:K1607"/>
    <mergeCell ref="L1607:P1607"/>
    <mergeCell ref="Q1607:U1607"/>
    <mergeCell ref="A1612:E1612"/>
    <mergeCell ref="G1612:J1612"/>
    <mergeCell ref="L1612:O1612"/>
    <mergeCell ref="A1613:E1613"/>
    <mergeCell ref="Q1612:T1612"/>
    <mergeCell ref="G1613:J1613"/>
    <mergeCell ref="L1613:O1613"/>
    <mergeCell ref="Q1613:T1613"/>
    <mergeCell ref="Q1590:T1590"/>
    <mergeCell ref="A1591:U1591"/>
    <mergeCell ref="A1592:B1593"/>
    <mergeCell ref="A1594:B1594"/>
    <mergeCell ref="C1592:T1594"/>
    <mergeCell ref="U1592:U1594"/>
    <mergeCell ref="A1595:A1596"/>
    <mergeCell ref="B1595:F1595"/>
    <mergeCell ref="G1595:K1595"/>
    <mergeCell ref="L1595:P1595"/>
    <mergeCell ref="Q1595:U1595"/>
    <mergeCell ref="A1600:E1600"/>
    <mergeCell ref="G1600:J1600"/>
    <mergeCell ref="L1600:O1600"/>
    <mergeCell ref="A1601:E1601"/>
    <mergeCell ref="Q1600:T1600"/>
    <mergeCell ref="G1601:J1601"/>
    <mergeCell ref="L1601:O1601"/>
    <mergeCell ref="Q1601:T1601"/>
    <mergeCell ref="Q1578:T1578"/>
    <mergeCell ref="A1579:U1579"/>
    <mergeCell ref="A1580:B1581"/>
    <mergeCell ref="A1582:B1582"/>
    <mergeCell ref="C1580:T1582"/>
    <mergeCell ref="U1580:U1582"/>
    <mergeCell ref="A1583:A1584"/>
    <mergeCell ref="B1583:F1583"/>
    <mergeCell ref="G1583:K1583"/>
    <mergeCell ref="L1583:P1583"/>
    <mergeCell ref="Q1583:U1583"/>
    <mergeCell ref="A1588:E1588"/>
    <mergeCell ref="G1588:J1588"/>
    <mergeCell ref="L1588:O1588"/>
    <mergeCell ref="A1589:E1589"/>
    <mergeCell ref="Q1588:T1588"/>
    <mergeCell ref="G1589:J1589"/>
    <mergeCell ref="L1589:O1589"/>
    <mergeCell ref="Q1589:T1589"/>
    <mergeCell ref="Q1566:T1566"/>
    <mergeCell ref="A1567:U1567"/>
    <mergeCell ref="A1568:B1569"/>
    <mergeCell ref="A1570:B1570"/>
    <mergeCell ref="C1568:T1570"/>
    <mergeCell ref="U1568:U1570"/>
    <mergeCell ref="A1571:A1572"/>
    <mergeCell ref="B1571:F1571"/>
    <mergeCell ref="G1571:K1571"/>
    <mergeCell ref="L1571:P1571"/>
    <mergeCell ref="Q1571:U1571"/>
    <mergeCell ref="A1576:E1576"/>
    <mergeCell ref="G1576:J1576"/>
    <mergeCell ref="L1576:O1576"/>
    <mergeCell ref="A1577:E1577"/>
    <mergeCell ref="Q1576:T1576"/>
    <mergeCell ref="G1577:J1577"/>
    <mergeCell ref="L1577:O1577"/>
    <mergeCell ref="Q1577:T1577"/>
    <mergeCell ref="Q1554:T1554"/>
    <mergeCell ref="A1555:U1555"/>
    <mergeCell ref="A1556:B1557"/>
    <mergeCell ref="A1558:B1558"/>
    <mergeCell ref="C1556:T1558"/>
    <mergeCell ref="U1556:U1558"/>
    <mergeCell ref="A1559:A1560"/>
    <mergeCell ref="B1559:F1559"/>
    <mergeCell ref="G1559:K1559"/>
    <mergeCell ref="L1559:P1559"/>
    <mergeCell ref="Q1559:U1559"/>
    <mergeCell ref="A1564:E1564"/>
    <mergeCell ref="G1564:J1564"/>
    <mergeCell ref="L1564:O1564"/>
    <mergeCell ref="A1565:E1565"/>
    <mergeCell ref="Q1564:T1564"/>
    <mergeCell ref="G1565:J1565"/>
    <mergeCell ref="L1565:O1565"/>
    <mergeCell ref="Q1565:T1565"/>
    <mergeCell ref="Q1542:T1542"/>
    <mergeCell ref="A1543:U1543"/>
    <mergeCell ref="A1544:B1545"/>
    <mergeCell ref="A1546:B1546"/>
    <mergeCell ref="C1544:T1546"/>
    <mergeCell ref="U1544:U1546"/>
    <mergeCell ref="A1547:A1548"/>
    <mergeCell ref="B1547:F1547"/>
    <mergeCell ref="G1547:K1547"/>
    <mergeCell ref="L1547:P1547"/>
    <mergeCell ref="Q1547:U1547"/>
    <mergeCell ref="A1552:E1552"/>
    <mergeCell ref="G1552:J1552"/>
    <mergeCell ref="L1552:O1552"/>
    <mergeCell ref="A1553:E1553"/>
    <mergeCell ref="Q1552:T1552"/>
    <mergeCell ref="G1553:J1553"/>
    <mergeCell ref="L1553:O1553"/>
    <mergeCell ref="Q1553:T1553"/>
    <mergeCell ref="Q1531:T1531"/>
    <mergeCell ref="A1532:U1532"/>
    <mergeCell ref="A1533:B1534"/>
    <mergeCell ref="A1535:B1535"/>
    <mergeCell ref="C1533:T1535"/>
    <mergeCell ref="U1533:U1535"/>
    <mergeCell ref="A1536:A1537"/>
    <mergeCell ref="B1536:F1536"/>
    <mergeCell ref="G1536:K1536"/>
    <mergeCell ref="L1536:P1536"/>
    <mergeCell ref="Q1536:U1536"/>
    <mergeCell ref="A1540:E1540"/>
    <mergeCell ref="G1540:J1540"/>
    <mergeCell ref="L1540:O1540"/>
    <mergeCell ref="A1541:E1541"/>
    <mergeCell ref="Q1540:T1540"/>
    <mergeCell ref="G1541:J1541"/>
    <mergeCell ref="L1541:O1541"/>
    <mergeCell ref="Q1541:T1541"/>
    <mergeCell ref="Q1520:T1520"/>
    <mergeCell ref="A1521:U1521"/>
    <mergeCell ref="A1522:B1523"/>
    <mergeCell ref="A1524:B1524"/>
    <mergeCell ref="C1522:T1524"/>
    <mergeCell ref="U1522:U1524"/>
    <mergeCell ref="A1525:A1526"/>
    <mergeCell ref="B1525:F1525"/>
    <mergeCell ref="G1525:K1525"/>
    <mergeCell ref="L1525:P1525"/>
    <mergeCell ref="Q1525:U1525"/>
    <mergeCell ref="A1529:E1529"/>
    <mergeCell ref="G1529:J1529"/>
    <mergeCell ref="L1529:O1529"/>
    <mergeCell ref="A1530:E1530"/>
    <mergeCell ref="Q1529:T1529"/>
    <mergeCell ref="G1530:J1530"/>
    <mergeCell ref="L1530:O1530"/>
    <mergeCell ref="Q1530:T1530"/>
    <mergeCell ref="Q1504:T1504"/>
    <mergeCell ref="A1505:U1505"/>
    <mergeCell ref="A1506:B1507"/>
    <mergeCell ref="A1508:B1508"/>
    <mergeCell ref="C1506:T1508"/>
    <mergeCell ref="U1506:U1508"/>
    <mergeCell ref="A1509:A1510"/>
    <mergeCell ref="B1509:F1509"/>
    <mergeCell ref="G1509:K1509"/>
    <mergeCell ref="L1509:P1509"/>
    <mergeCell ref="Q1509:U1509"/>
    <mergeCell ref="A1518:E1518"/>
    <mergeCell ref="G1518:J1518"/>
    <mergeCell ref="L1518:O1518"/>
    <mergeCell ref="A1519:E1519"/>
    <mergeCell ref="Q1518:T1518"/>
    <mergeCell ref="G1519:J1519"/>
    <mergeCell ref="L1519:O1519"/>
    <mergeCell ref="Q1519:T1519"/>
    <mergeCell ref="Q1494:T1494"/>
    <mergeCell ref="A1495:U1495"/>
    <mergeCell ref="A1496:B1497"/>
    <mergeCell ref="A1498:B1498"/>
    <mergeCell ref="C1496:T1498"/>
    <mergeCell ref="U1496:U1498"/>
    <mergeCell ref="A1499:A1500"/>
    <mergeCell ref="B1499:F1499"/>
    <mergeCell ref="G1499:K1499"/>
    <mergeCell ref="L1499:P1499"/>
    <mergeCell ref="Q1499:U1499"/>
    <mergeCell ref="A1502:E1502"/>
    <mergeCell ref="G1502:J1502"/>
    <mergeCell ref="L1502:O1502"/>
    <mergeCell ref="A1503:E1503"/>
    <mergeCell ref="Q1502:T1502"/>
    <mergeCell ref="G1503:J1503"/>
    <mergeCell ref="L1503:O1503"/>
    <mergeCell ref="Q1503:T1503"/>
    <mergeCell ref="Q1481:T1481"/>
    <mergeCell ref="A1482:U1482"/>
    <mergeCell ref="A1483:B1484"/>
    <mergeCell ref="A1485:B1485"/>
    <mergeCell ref="C1483:T1485"/>
    <mergeCell ref="U1483:U1485"/>
    <mergeCell ref="A1486:A1487"/>
    <mergeCell ref="B1486:F1486"/>
    <mergeCell ref="G1486:K1486"/>
    <mergeCell ref="L1486:P1486"/>
    <mergeCell ref="Q1486:U1486"/>
    <mergeCell ref="A1492:E1492"/>
    <mergeCell ref="G1492:J1492"/>
    <mergeCell ref="L1492:O1492"/>
    <mergeCell ref="A1493:E1493"/>
    <mergeCell ref="Q1492:T1492"/>
    <mergeCell ref="G1493:J1493"/>
    <mergeCell ref="L1493:O1493"/>
    <mergeCell ref="Q1493:T1493"/>
    <mergeCell ref="Q1467:T1467"/>
    <mergeCell ref="A1468:U1468"/>
    <mergeCell ref="A1469:B1470"/>
    <mergeCell ref="A1471:B1471"/>
    <mergeCell ref="C1469:T1471"/>
    <mergeCell ref="U1469:U1471"/>
    <mergeCell ref="A1472:A1473"/>
    <mergeCell ref="B1472:F1472"/>
    <mergeCell ref="G1472:K1472"/>
    <mergeCell ref="L1472:P1472"/>
    <mergeCell ref="Q1472:U1472"/>
    <mergeCell ref="A1479:E1479"/>
    <mergeCell ref="G1479:J1479"/>
    <mergeCell ref="L1479:O1479"/>
    <mergeCell ref="A1480:E1480"/>
    <mergeCell ref="Q1479:T1479"/>
    <mergeCell ref="G1480:J1480"/>
    <mergeCell ref="L1480:O1480"/>
    <mergeCell ref="Q1480:T1480"/>
    <mergeCell ref="Q1450:T1450"/>
    <mergeCell ref="A1451:U1451"/>
    <mergeCell ref="A1452:B1453"/>
    <mergeCell ref="A1454:B1454"/>
    <mergeCell ref="C1452:T1454"/>
    <mergeCell ref="U1452:U1454"/>
    <mergeCell ref="A1455:A1456"/>
    <mergeCell ref="B1455:F1455"/>
    <mergeCell ref="G1455:K1455"/>
    <mergeCell ref="L1455:P1455"/>
    <mergeCell ref="Q1455:U1455"/>
    <mergeCell ref="A1465:E1465"/>
    <mergeCell ref="G1465:J1465"/>
    <mergeCell ref="L1465:O1465"/>
    <mergeCell ref="A1466:E1466"/>
    <mergeCell ref="Q1465:T1465"/>
    <mergeCell ref="G1466:J1466"/>
    <mergeCell ref="L1466:O1466"/>
    <mergeCell ref="Q1466:T1466"/>
    <mergeCell ref="Q1435:T1435"/>
    <mergeCell ref="A1436:U1436"/>
    <mergeCell ref="A1437:B1438"/>
    <mergeCell ref="A1439:B1439"/>
    <mergeCell ref="C1437:T1439"/>
    <mergeCell ref="U1437:U1439"/>
    <mergeCell ref="A1440:A1441"/>
    <mergeCell ref="B1440:F1440"/>
    <mergeCell ref="G1440:K1440"/>
    <mergeCell ref="L1440:P1440"/>
    <mergeCell ref="Q1440:U1440"/>
    <mergeCell ref="A1448:E1448"/>
    <mergeCell ref="G1448:J1448"/>
    <mergeCell ref="L1448:O1448"/>
    <mergeCell ref="A1449:E1449"/>
    <mergeCell ref="Q1448:T1448"/>
    <mergeCell ref="G1449:J1449"/>
    <mergeCell ref="L1449:O1449"/>
    <mergeCell ref="Q1449:T1449"/>
    <mergeCell ref="Q1420:T1420"/>
    <mergeCell ref="A1421:U1421"/>
    <mergeCell ref="A1422:B1423"/>
    <mergeCell ref="A1424:B1424"/>
    <mergeCell ref="C1422:T1424"/>
    <mergeCell ref="U1422:U1424"/>
    <mergeCell ref="A1425:A1426"/>
    <mergeCell ref="B1425:F1425"/>
    <mergeCell ref="G1425:K1425"/>
    <mergeCell ref="L1425:P1425"/>
    <mergeCell ref="Q1425:U1425"/>
    <mergeCell ref="A1433:E1433"/>
    <mergeCell ref="G1433:J1433"/>
    <mergeCell ref="L1433:O1433"/>
    <mergeCell ref="A1434:E1434"/>
    <mergeCell ref="Q1433:T1433"/>
    <mergeCell ref="G1434:J1434"/>
    <mergeCell ref="L1434:O1434"/>
    <mergeCell ref="Q1434:T1434"/>
    <mergeCell ref="Q1407:T1407"/>
    <mergeCell ref="A1408:U1408"/>
    <mergeCell ref="A1409:B1410"/>
    <mergeCell ref="A1411:B1411"/>
    <mergeCell ref="C1409:T1411"/>
    <mergeCell ref="U1409:U1411"/>
    <mergeCell ref="A1412:A1413"/>
    <mergeCell ref="B1412:F1412"/>
    <mergeCell ref="G1412:K1412"/>
    <mergeCell ref="L1412:P1412"/>
    <mergeCell ref="Q1412:U1412"/>
    <mergeCell ref="A1418:E1418"/>
    <mergeCell ref="G1418:J1418"/>
    <mergeCell ref="L1418:O1418"/>
    <mergeCell ref="A1419:E1419"/>
    <mergeCell ref="Q1418:T1418"/>
    <mergeCell ref="G1419:J1419"/>
    <mergeCell ref="L1419:O1419"/>
    <mergeCell ref="Q1419:T1419"/>
    <mergeCell ref="Q1393:T1393"/>
    <mergeCell ref="A1394:U1394"/>
    <mergeCell ref="A1395:B1396"/>
    <mergeCell ref="A1397:B1397"/>
    <mergeCell ref="C1395:T1397"/>
    <mergeCell ref="U1395:U1397"/>
    <mergeCell ref="A1398:A1399"/>
    <mergeCell ref="B1398:F1398"/>
    <mergeCell ref="G1398:K1398"/>
    <mergeCell ref="L1398:P1398"/>
    <mergeCell ref="Q1398:U1398"/>
    <mergeCell ref="A1405:E1405"/>
    <mergeCell ref="G1405:J1405"/>
    <mergeCell ref="L1405:O1405"/>
    <mergeCell ref="A1406:E1406"/>
    <mergeCell ref="Q1405:T1405"/>
    <mergeCell ref="G1406:J1406"/>
    <mergeCell ref="L1406:O1406"/>
    <mergeCell ref="Q1406:T1406"/>
    <mergeCell ref="Q1377:T1377"/>
    <mergeCell ref="A1378:U1378"/>
    <mergeCell ref="A1379:B1380"/>
    <mergeCell ref="A1381:B1381"/>
    <mergeCell ref="C1379:T1381"/>
    <mergeCell ref="U1379:U1381"/>
    <mergeCell ref="A1382:A1383"/>
    <mergeCell ref="B1382:F1382"/>
    <mergeCell ref="G1382:K1382"/>
    <mergeCell ref="L1382:P1382"/>
    <mergeCell ref="Q1382:U1382"/>
    <mergeCell ref="A1391:E1391"/>
    <mergeCell ref="G1391:J1391"/>
    <mergeCell ref="L1391:O1391"/>
    <mergeCell ref="A1392:E1392"/>
    <mergeCell ref="Q1391:T1391"/>
    <mergeCell ref="G1392:J1392"/>
    <mergeCell ref="L1392:O1392"/>
    <mergeCell ref="Q1392:T1392"/>
    <mergeCell ref="Q1361:T1361"/>
    <mergeCell ref="A1362:U1362"/>
    <mergeCell ref="A1363:B1364"/>
    <mergeCell ref="A1365:B1365"/>
    <mergeCell ref="C1363:T1365"/>
    <mergeCell ref="U1363:U1365"/>
    <mergeCell ref="A1366:A1367"/>
    <mergeCell ref="B1366:F1366"/>
    <mergeCell ref="G1366:K1366"/>
    <mergeCell ref="L1366:P1366"/>
    <mergeCell ref="Q1366:U1366"/>
    <mergeCell ref="A1375:E1375"/>
    <mergeCell ref="G1375:J1375"/>
    <mergeCell ref="L1375:O1375"/>
    <mergeCell ref="A1376:E1376"/>
    <mergeCell ref="Q1375:T1375"/>
    <mergeCell ref="G1376:J1376"/>
    <mergeCell ref="L1376:O1376"/>
    <mergeCell ref="Q1376:T1376"/>
    <mergeCell ref="Q1350:T1350"/>
    <mergeCell ref="A1351:U1351"/>
    <mergeCell ref="A1352:B1353"/>
    <mergeCell ref="A1354:B1354"/>
    <mergeCell ref="C1352:T1354"/>
    <mergeCell ref="U1352:U1354"/>
    <mergeCell ref="A1355:A1356"/>
    <mergeCell ref="B1355:F1355"/>
    <mergeCell ref="G1355:K1355"/>
    <mergeCell ref="L1355:P1355"/>
    <mergeCell ref="Q1355:U1355"/>
    <mergeCell ref="A1359:E1359"/>
    <mergeCell ref="G1359:J1359"/>
    <mergeCell ref="L1359:O1359"/>
    <mergeCell ref="A1360:E1360"/>
    <mergeCell ref="Q1359:T1359"/>
    <mergeCell ref="G1360:J1360"/>
    <mergeCell ref="L1360:O1360"/>
    <mergeCell ref="Q1360:T1360"/>
    <mergeCell ref="Q1339:T1339"/>
    <mergeCell ref="A1340:U1340"/>
    <mergeCell ref="A1341:B1342"/>
    <mergeCell ref="A1343:B1343"/>
    <mergeCell ref="C1341:T1343"/>
    <mergeCell ref="U1341:U1343"/>
    <mergeCell ref="A1344:A1345"/>
    <mergeCell ref="B1344:F1344"/>
    <mergeCell ref="G1344:K1344"/>
    <mergeCell ref="L1344:P1344"/>
    <mergeCell ref="Q1344:U1344"/>
    <mergeCell ref="A1348:E1348"/>
    <mergeCell ref="G1348:J1348"/>
    <mergeCell ref="L1348:O1348"/>
    <mergeCell ref="A1349:E1349"/>
    <mergeCell ref="Q1348:T1348"/>
    <mergeCell ref="G1349:J1349"/>
    <mergeCell ref="L1349:O1349"/>
    <mergeCell ref="Q1349:T1349"/>
    <mergeCell ref="Q1328:T1328"/>
    <mergeCell ref="A1329:U1329"/>
    <mergeCell ref="A1330:B1331"/>
    <mergeCell ref="A1332:B1332"/>
    <mergeCell ref="C1330:T1332"/>
    <mergeCell ref="U1330:U1332"/>
    <mergeCell ref="A1333:A1334"/>
    <mergeCell ref="B1333:F1333"/>
    <mergeCell ref="G1333:K1333"/>
    <mergeCell ref="L1333:P1333"/>
    <mergeCell ref="Q1333:U1333"/>
    <mergeCell ref="A1337:E1337"/>
    <mergeCell ref="G1337:J1337"/>
    <mergeCell ref="L1337:O1337"/>
    <mergeCell ref="A1338:E1338"/>
    <mergeCell ref="Q1337:T1337"/>
    <mergeCell ref="G1338:J1338"/>
    <mergeCell ref="L1338:O1338"/>
    <mergeCell ref="Q1338:T1338"/>
    <mergeCell ref="Q1317:T1317"/>
    <mergeCell ref="A1318:U1318"/>
    <mergeCell ref="A1319:B1320"/>
    <mergeCell ref="A1321:B1321"/>
    <mergeCell ref="C1319:T1321"/>
    <mergeCell ref="U1319:U1321"/>
    <mergeCell ref="A1322:A1323"/>
    <mergeCell ref="B1322:F1322"/>
    <mergeCell ref="G1322:K1322"/>
    <mergeCell ref="L1322:P1322"/>
    <mergeCell ref="Q1322:U1322"/>
    <mergeCell ref="A1326:E1326"/>
    <mergeCell ref="G1326:J1326"/>
    <mergeCell ref="L1326:O1326"/>
    <mergeCell ref="A1327:E1327"/>
    <mergeCell ref="Q1326:T1326"/>
    <mergeCell ref="G1327:J1327"/>
    <mergeCell ref="L1327:O1327"/>
    <mergeCell ref="Q1327:T1327"/>
    <mergeCell ref="Q1306:T1306"/>
    <mergeCell ref="A1307:U1307"/>
    <mergeCell ref="A1308:B1309"/>
    <mergeCell ref="A1310:B1310"/>
    <mergeCell ref="C1308:T1310"/>
    <mergeCell ref="U1308:U1310"/>
    <mergeCell ref="A1311:A1312"/>
    <mergeCell ref="B1311:F1311"/>
    <mergeCell ref="G1311:K1311"/>
    <mergeCell ref="L1311:P1311"/>
    <mergeCell ref="Q1311:U1311"/>
    <mergeCell ref="A1315:E1315"/>
    <mergeCell ref="G1315:J1315"/>
    <mergeCell ref="L1315:O1315"/>
    <mergeCell ref="A1316:E1316"/>
    <mergeCell ref="Q1315:T1315"/>
    <mergeCell ref="G1316:J1316"/>
    <mergeCell ref="L1316:O1316"/>
    <mergeCell ref="Q1316:T1316"/>
    <mergeCell ref="Q1295:T1295"/>
    <mergeCell ref="A1296:U1296"/>
    <mergeCell ref="A1297:B1298"/>
    <mergeCell ref="A1299:B1299"/>
    <mergeCell ref="C1297:T1299"/>
    <mergeCell ref="U1297:U1299"/>
    <mergeCell ref="A1300:A1301"/>
    <mergeCell ref="B1300:F1300"/>
    <mergeCell ref="G1300:K1300"/>
    <mergeCell ref="L1300:P1300"/>
    <mergeCell ref="Q1300:U1300"/>
    <mergeCell ref="A1304:E1304"/>
    <mergeCell ref="G1304:J1304"/>
    <mergeCell ref="L1304:O1304"/>
    <mergeCell ref="A1305:E1305"/>
    <mergeCell ref="Q1304:T1304"/>
    <mergeCell ref="G1305:J1305"/>
    <mergeCell ref="L1305:O1305"/>
    <mergeCell ref="Q1305:T1305"/>
    <mergeCell ref="Q1284:T1284"/>
    <mergeCell ref="A1285:U1285"/>
    <mergeCell ref="A1286:B1287"/>
    <mergeCell ref="A1288:B1288"/>
    <mergeCell ref="C1286:T1288"/>
    <mergeCell ref="U1286:U1288"/>
    <mergeCell ref="A1289:A1290"/>
    <mergeCell ref="B1289:F1289"/>
    <mergeCell ref="G1289:K1289"/>
    <mergeCell ref="L1289:P1289"/>
    <mergeCell ref="Q1289:U1289"/>
    <mergeCell ref="A1293:E1293"/>
    <mergeCell ref="G1293:J1293"/>
    <mergeCell ref="L1293:O1293"/>
    <mergeCell ref="A1294:E1294"/>
    <mergeCell ref="Q1293:T1293"/>
    <mergeCell ref="G1294:J1294"/>
    <mergeCell ref="L1294:O1294"/>
    <mergeCell ref="Q1294:T1294"/>
    <mergeCell ref="Q1272:T1272"/>
    <mergeCell ref="A1273:U1273"/>
    <mergeCell ref="A1274:B1275"/>
    <mergeCell ref="A1276:B1276"/>
    <mergeCell ref="C1274:T1276"/>
    <mergeCell ref="U1274:U1276"/>
    <mergeCell ref="A1277:A1278"/>
    <mergeCell ref="B1277:F1277"/>
    <mergeCell ref="G1277:K1277"/>
    <mergeCell ref="L1277:P1277"/>
    <mergeCell ref="Q1277:U1277"/>
    <mergeCell ref="A1282:E1282"/>
    <mergeCell ref="G1282:J1282"/>
    <mergeCell ref="L1282:O1282"/>
    <mergeCell ref="A1283:E1283"/>
    <mergeCell ref="Q1282:T1282"/>
    <mergeCell ref="G1283:J1283"/>
    <mergeCell ref="L1283:O1283"/>
    <mergeCell ref="Q1283:T1283"/>
    <mergeCell ref="Q1260:T1260"/>
    <mergeCell ref="A1261:U1261"/>
    <mergeCell ref="A1262:B1263"/>
    <mergeCell ref="A1264:B1264"/>
    <mergeCell ref="C1262:T1264"/>
    <mergeCell ref="U1262:U1264"/>
    <mergeCell ref="A1265:A1266"/>
    <mergeCell ref="B1265:F1265"/>
    <mergeCell ref="G1265:K1265"/>
    <mergeCell ref="L1265:P1265"/>
    <mergeCell ref="Q1265:U1265"/>
    <mergeCell ref="A1270:E1270"/>
    <mergeCell ref="G1270:J1270"/>
    <mergeCell ref="L1270:O1270"/>
    <mergeCell ref="A1271:E1271"/>
    <mergeCell ref="Q1270:T1270"/>
    <mergeCell ref="G1271:J1271"/>
    <mergeCell ref="L1271:O1271"/>
    <mergeCell ref="Q1271:T1271"/>
    <mergeCell ref="Q1248:T1248"/>
    <mergeCell ref="A1249:U1249"/>
    <mergeCell ref="A1250:B1251"/>
    <mergeCell ref="A1252:B1252"/>
    <mergeCell ref="C1250:T1252"/>
    <mergeCell ref="U1250:U1252"/>
    <mergeCell ref="A1253:A1254"/>
    <mergeCell ref="B1253:F1253"/>
    <mergeCell ref="G1253:K1253"/>
    <mergeCell ref="L1253:P1253"/>
    <mergeCell ref="Q1253:U1253"/>
    <mergeCell ref="A1258:E1258"/>
    <mergeCell ref="G1258:J1258"/>
    <mergeCell ref="L1258:O1258"/>
    <mergeCell ref="A1259:E1259"/>
    <mergeCell ref="Q1258:T1258"/>
    <mergeCell ref="G1259:J1259"/>
    <mergeCell ref="L1259:O1259"/>
    <mergeCell ref="Q1259:T1259"/>
    <mergeCell ref="Q1236:T1236"/>
    <mergeCell ref="A1237:U1237"/>
    <mergeCell ref="A1238:B1239"/>
    <mergeCell ref="A1240:B1240"/>
    <mergeCell ref="C1238:T1240"/>
    <mergeCell ref="U1238:U1240"/>
    <mergeCell ref="A1241:A1242"/>
    <mergeCell ref="B1241:F1241"/>
    <mergeCell ref="G1241:K1241"/>
    <mergeCell ref="L1241:P1241"/>
    <mergeCell ref="Q1241:U1241"/>
    <mergeCell ref="A1246:E1246"/>
    <mergeCell ref="G1246:J1246"/>
    <mergeCell ref="L1246:O1246"/>
    <mergeCell ref="A1247:E1247"/>
    <mergeCell ref="Q1246:T1246"/>
    <mergeCell ref="G1247:J1247"/>
    <mergeCell ref="L1247:O1247"/>
    <mergeCell ref="Q1247:T1247"/>
    <mergeCell ref="Q1224:T1224"/>
    <mergeCell ref="A1225:U1225"/>
    <mergeCell ref="A1226:B1227"/>
    <mergeCell ref="A1228:B1228"/>
    <mergeCell ref="C1226:T1228"/>
    <mergeCell ref="U1226:U1228"/>
    <mergeCell ref="A1229:A1230"/>
    <mergeCell ref="B1229:F1229"/>
    <mergeCell ref="G1229:K1229"/>
    <mergeCell ref="L1229:P1229"/>
    <mergeCell ref="Q1229:U1229"/>
    <mergeCell ref="A1234:E1234"/>
    <mergeCell ref="G1234:J1234"/>
    <mergeCell ref="L1234:O1234"/>
    <mergeCell ref="A1235:E1235"/>
    <mergeCell ref="Q1234:T1234"/>
    <mergeCell ref="G1235:J1235"/>
    <mergeCell ref="L1235:O1235"/>
    <mergeCell ref="Q1235:T1235"/>
    <mergeCell ref="Q1208:T1208"/>
    <mergeCell ref="A1209:U1209"/>
    <mergeCell ref="A1210:B1211"/>
    <mergeCell ref="A1212:B1212"/>
    <mergeCell ref="C1210:T1212"/>
    <mergeCell ref="U1210:U1212"/>
    <mergeCell ref="A1213:A1214"/>
    <mergeCell ref="B1213:F1213"/>
    <mergeCell ref="G1213:K1213"/>
    <mergeCell ref="L1213:P1213"/>
    <mergeCell ref="Q1213:U1213"/>
    <mergeCell ref="A1222:E1222"/>
    <mergeCell ref="G1222:J1222"/>
    <mergeCell ref="L1222:O1222"/>
    <mergeCell ref="A1223:E1223"/>
    <mergeCell ref="Q1222:T1222"/>
    <mergeCell ref="G1223:J1223"/>
    <mergeCell ref="L1223:O1223"/>
    <mergeCell ref="Q1223:T1223"/>
    <mergeCell ref="Q1192:T1192"/>
    <mergeCell ref="A1193:U1193"/>
    <mergeCell ref="A1194:B1195"/>
    <mergeCell ref="A1196:B1196"/>
    <mergeCell ref="C1194:T1196"/>
    <mergeCell ref="U1194:U1196"/>
    <mergeCell ref="A1197:A1198"/>
    <mergeCell ref="B1197:F1197"/>
    <mergeCell ref="G1197:K1197"/>
    <mergeCell ref="L1197:P1197"/>
    <mergeCell ref="Q1197:U1197"/>
    <mergeCell ref="A1206:E1206"/>
    <mergeCell ref="G1206:J1206"/>
    <mergeCell ref="L1206:O1206"/>
    <mergeCell ref="A1207:E1207"/>
    <mergeCell ref="Q1206:T1206"/>
    <mergeCell ref="G1207:J1207"/>
    <mergeCell ref="L1207:O1207"/>
    <mergeCell ref="Q1207:T1207"/>
    <mergeCell ref="Q1181:T1181"/>
    <mergeCell ref="A1182:U1182"/>
    <mergeCell ref="A1183:B1184"/>
    <mergeCell ref="A1185:B1185"/>
    <mergeCell ref="C1183:T1185"/>
    <mergeCell ref="U1183:U1185"/>
    <mergeCell ref="A1186:A1187"/>
    <mergeCell ref="B1186:F1186"/>
    <mergeCell ref="G1186:K1186"/>
    <mergeCell ref="L1186:P1186"/>
    <mergeCell ref="Q1186:U1186"/>
    <mergeCell ref="A1190:E1190"/>
    <mergeCell ref="G1190:J1190"/>
    <mergeCell ref="L1190:O1190"/>
    <mergeCell ref="A1191:E1191"/>
    <mergeCell ref="Q1190:T1190"/>
    <mergeCell ref="G1191:J1191"/>
    <mergeCell ref="L1191:O1191"/>
    <mergeCell ref="Q1191:T1191"/>
    <mergeCell ref="Q1170:T1170"/>
    <mergeCell ref="A1171:U1171"/>
    <mergeCell ref="A1172:B1173"/>
    <mergeCell ref="A1174:B1174"/>
    <mergeCell ref="C1172:T1174"/>
    <mergeCell ref="U1172:U1174"/>
    <mergeCell ref="A1175:A1176"/>
    <mergeCell ref="B1175:F1175"/>
    <mergeCell ref="G1175:K1175"/>
    <mergeCell ref="L1175:P1175"/>
    <mergeCell ref="Q1175:U1175"/>
    <mergeCell ref="A1179:E1179"/>
    <mergeCell ref="G1179:J1179"/>
    <mergeCell ref="L1179:O1179"/>
    <mergeCell ref="A1180:E1180"/>
    <mergeCell ref="Q1179:T1179"/>
    <mergeCell ref="G1180:J1180"/>
    <mergeCell ref="L1180:O1180"/>
    <mergeCell ref="Q1180:T1180"/>
    <mergeCell ref="Q1157:T1157"/>
    <mergeCell ref="A1158:U1158"/>
    <mergeCell ref="A1159:B1160"/>
    <mergeCell ref="A1161:B1161"/>
    <mergeCell ref="C1159:T1161"/>
    <mergeCell ref="U1159:U1161"/>
    <mergeCell ref="A1162:A1163"/>
    <mergeCell ref="B1162:F1162"/>
    <mergeCell ref="G1162:K1162"/>
    <mergeCell ref="L1162:P1162"/>
    <mergeCell ref="Q1162:U1162"/>
    <mergeCell ref="A1168:E1168"/>
    <mergeCell ref="G1168:J1168"/>
    <mergeCell ref="L1168:O1168"/>
    <mergeCell ref="A1169:E1169"/>
    <mergeCell ref="Q1168:T1168"/>
    <mergeCell ref="G1169:J1169"/>
    <mergeCell ref="L1169:O1169"/>
    <mergeCell ref="Q1169:T1169"/>
    <mergeCell ref="Q1144:T1144"/>
    <mergeCell ref="A1145:U1145"/>
    <mergeCell ref="A1146:B1147"/>
    <mergeCell ref="A1148:B1148"/>
    <mergeCell ref="C1146:T1148"/>
    <mergeCell ref="U1146:U1148"/>
    <mergeCell ref="A1149:A1150"/>
    <mergeCell ref="B1149:F1149"/>
    <mergeCell ref="G1149:K1149"/>
    <mergeCell ref="L1149:P1149"/>
    <mergeCell ref="Q1149:U1149"/>
    <mergeCell ref="A1155:E1155"/>
    <mergeCell ref="G1155:J1155"/>
    <mergeCell ref="L1155:O1155"/>
    <mergeCell ref="A1156:E1156"/>
    <mergeCell ref="Q1155:T1155"/>
    <mergeCell ref="G1156:J1156"/>
    <mergeCell ref="L1156:O1156"/>
    <mergeCell ref="Q1156:T1156"/>
    <mergeCell ref="Q1131:T1131"/>
    <mergeCell ref="A1132:U1132"/>
    <mergeCell ref="A1133:B1134"/>
    <mergeCell ref="A1135:B1135"/>
    <mergeCell ref="C1133:T1135"/>
    <mergeCell ref="U1133:U1135"/>
    <mergeCell ref="A1136:A1137"/>
    <mergeCell ref="B1136:F1136"/>
    <mergeCell ref="G1136:K1136"/>
    <mergeCell ref="L1136:P1136"/>
    <mergeCell ref="Q1136:U1136"/>
    <mergeCell ref="A1142:E1142"/>
    <mergeCell ref="G1142:J1142"/>
    <mergeCell ref="L1142:O1142"/>
    <mergeCell ref="A1143:E1143"/>
    <mergeCell ref="Q1142:T1142"/>
    <mergeCell ref="G1143:J1143"/>
    <mergeCell ref="L1143:O1143"/>
    <mergeCell ref="Q1143:T1143"/>
    <mergeCell ref="Q1118:T1118"/>
    <mergeCell ref="A1119:U1119"/>
    <mergeCell ref="A1120:B1121"/>
    <mergeCell ref="A1122:B1122"/>
    <mergeCell ref="C1120:T1122"/>
    <mergeCell ref="U1120:U1122"/>
    <mergeCell ref="A1123:A1124"/>
    <mergeCell ref="B1123:F1123"/>
    <mergeCell ref="G1123:K1123"/>
    <mergeCell ref="L1123:P1123"/>
    <mergeCell ref="Q1123:U1123"/>
    <mergeCell ref="A1129:E1129"/>
    <mergeCell ref="G1129:J1129"/>
    <mergeCell ref="L1129:O1129"/>
    <mergeCell ref="A1130:E1130"/>
    <mergeCell ref="Q1129:T1129"/>
    <mergeCell ref="G1130:J1130"/>
    <mergeCell ref="L1130:O1130"/>
    <mergeCell ref="Q1130:T1130"/>
    <mergeCell ref="Q1100:T1100"/>
    <mergeCell ref="A1101:U1101"/>
    <mergeCell ref="A1102:B1103"/>
    <mergeCell ref="A1104:B1104"/>
    <mergeCell ref="C1102:T1104"/>
    <mergeCell ref="U1102:U1104"/>
    <mergeCell ref="A1105:A1106"/>
    <mergeCell ref="B1105:F1105"/>
    <mergeCell ref="G1105:K1105"/>
    <mergeCell ref="L1105:P1105"/>
    <mergeCell ref="Q1105:U1105"/>
    <mergeCell ref="A1116:E1116"/>
    <mergeCell ref="G1116:J1116"/>
    <mergeCell ref="L1116:O1116"/>
    <mergeCell ref="A1117:E1117"/>
    <mergeCell ref="Q1116:T1116"/>
    <mergeCell ref="G1117:J1117"/>
    <mergeCell ref="L1117:O1117"/>
    <mergeCell ref="Q1117:T1117"/>
    <mergeCell ref="Q1089:T1089"/>
    <mergeCell ref="A1090:U1090"/>
    <mergeCell ref="A1091:B1092"/>
    <mergeCell ref="A1093:B1093"/>
    <mergeCell ref="C1091:T1093"/>
    <mergeCell ref="U1091:U1093"/>
    <mergeCell ref="A1094:A1095"/>
    <mergeCell ref="B1094:F1094"/>
    <mergeCell ref="G1094:K1094"/>
    <mergeCell ref="L1094:P1094"/>
    <mergeCell ref="Q1094:U1094"/>
    <mergeCell ref="A1098:E1098"/>
    <mergeCell ref="G1098:J1098"/>
    <mergeCell ref="L1098:O1098"/>
    <mergeCell ref="A1099:E1099"/>
    <mergeCell ref="Q1098:T1098"/>
    <mergeCell ref="G1099:J1099"/>
    <mergeCell ref="L1099:O1099"/>
    <mergeCell ref="Q1099:T1099"/>
    <mergeCell ref="Q1075:T1075"/>
    <mergeCell ref="A1076:U1076"/>
    <mergeCell ref="A1077:B1078"/>
    <mergeCell ref="A1079:B1079"/>
    <mergeCell ref="C1077:T1079"/>
    <mergeCell ref="U1077:U1079"/>
    <mergeCell ref="A1080:A1081"/>
    <mergeCell ref="B1080:F1080"/>
    <mergeCell ref="G1080:K1080"/>
    <mergeCell ref="L1080:P1080"/>
    <mergeCell ref="Q1080:U1080"/>
    <mergeCell ref="A1087:E1087"/>
    <mergeCell ref="G1087:J1087"/>
    <mergeCell ref="L1087:O1087"/>
    <mergeCell ref="A1088:E1088"/>
    <mergeCell ref="Q1087:T1087"/>
    <mergeCell ref="G1088:J1088"/>
    <mergeCell ref="L1088:O1088"/>
    <mergeCell ref="Q1088:T1088"/>
    <mergeCell ref="Q1061:T1061"/>
    <mergeCell ref="A1062:U1062"/>
    <mergeCell ref="A1063:B1064"/>
    <mergeCell ref="A1065:B1065"/>
    <mergeCell ref="C1063:T1065"/>
    <mergeCell ref="U1063:U1065"/>
    <mergeCell ref="A1066:A1067"/>
    <mergeCell ref="B1066:F1066"/>
    <mergeCell ref="G1066:K1066"/>
    <mergeCell ref="L1066:P1066"/>
    <mergeCell ref="Q1066:U1066"/>
    <mergeCell ref="A1073:E1073"/>
    <mergeCell ref="G1073:J1073"/>
    <mergeCell ref="L1073:O1073"/>
    <mergeCell ref="A1074:E1074"/>
    <mergeCell ref="Q1073:T1073"/>
    <mergeCell ref="G1074:J1074"/>
    <mergeCell ref="L1074:O1074"/>
    <mergeCell ref="Q1074:T1074"/>
    <mergeCell ref="Q1047:T1047"/>
    <mergeCell ref="A1048:U1048"/>
    <mergeCell ref="A1049:B1050"/>
    <mergeCell ref="A1051:B1051"/>
    <mergeCell ref="C1049:T1051"/>
    <mergeCell ref="U1049:U1051"/>
    <mergeCell ref="A1052:A1053"/>
    <mergeCell ref="B1052:F1052"/>
    <mergeCell ref="G1052:K1052"/>
    <mergeCell ref="L1052:P1052"/>
    <mergeCell ref="Q1052:U1052"/>
    <mergeCell ref="A1059:E1059"/>
    <mergeCell ref="G1059:J1059"/>
    <mergeCell ref="L1059:O1059"/>
    <mergeCell ref="A1060:E1060"/>
    <mergeCell ref="Q1059:T1059"/>
    <mergeCell ref="G1060:J1060"/>
    <mergeCell ref="L1060:O1060"/>
    <mergeCell ref="Q1060:T1060"/>
    <mergeCell ref="Q1033:T1033"/>
    <mergeCell ref="A1034:U1034"/>
    <mergeCell ref="A1035:B1036"/>
    <mergeCell ref="A1037:B1037"/>
    <mergeCell ref="C1035:T1037"/>
    <mergeCell ref="U1035:U1037"/>
    <mergeCell ref="A1038:A1039"/>
    <mergeCell ref="B1038:F1038"/>
    <mergeCell ref="G1038:K1038"/>
    <mergeCell ref="L1038:P1038"/>
    <mergeCell ref="Q1038:U1038"/>
    <mergeCell ref="A1045:E1045"/>
    <mergeCell ref="G1045:J1045"/>
    <mergeCell ref="L1045:O1045"/>
    <mergeCell ref="A1046:E1046"/>
    <mergeCell ref="Q1045:T1045"/>
    <mergeCell ref="G1046:J1046"/>
    <mergeCell ref="L1046:O1046"/>
    <mergeCell ref="Q1046:T1046"/>
    <mergeCell ref="Q1021:T1021"/>
    <mergeCell ref="A1022:U1022"/>
    <mergeCell ref="A1023:B1024"/>
    <mergeCell ref="A1025:B1025"/>
    <mergeCell ref="C1023:T1025"/>
    <mergeCell ref="U1023:U1025"/>
    <mergeCell ref="A1026:A1027"/>
    <mergeCell ref="B1026:F1026"/>
    <mergeCell ref="G1026:K1026"/>
    <mergeCell ref="L1026:P1026"/>
    <mergeCell ref="Q1026:U1026"/>
    <mergeCell ref="A1031:E1031"/>
    <mergeCell ref="G1031:J1031"/>
    <mergeCell ref="L1031:O1031"/>
    <mergeCell ref="A1032:E1032"/>
    <mergeCell ref="Q1031:T1031"/>
    <mergeCell ref="G1032:J1032"/>
    <mergeCell ref="L1032:O1032"/>
    <mergeCell ref="Q1032:T1032"/>
    <mergeCell ref="Q1008:T1008"/>
    <mergeCell ref="A1009:U1009"/>
    <mergeCell ref="A1010:B1011"/>
    <mergeCell ref="A1012:B1012"/>
    <mergeCell ref="C1010:T1012"/>
    <mergeCell ref="U1010:U1012"/>
    <mergeCell ref="A1013:A1014"/>
    <mergeCell ref="B1013:F1013"/>
    <mergeCell ref="G1013:K1013"/>
    <mergeCell ref="L1013:P1013"/>
    <mergeCell ref="Q1013:U1013"/>
    <mergeCell ref="A1019:E1019"/>
    <mergeCell ref="G1019:J1019"/>
    <mergeCell ref="L1019:O1019"/>
    <mergeCell ref="A1020:E1020"/>
    <mergeCell ref="Q1019:T1019"/>
    <mergeCell ref="G1020:J1020"/>
    <mergeCell ref="L1020:O1020"/>
    <mergeCell ref="Q1020:T1020"/>
    <mergeCell ref="Q995:T995"/>
    <mergeCell ref="A996:U996"/>
    <mergeCell ref="A997:B998"/>
    <mergeCell ref="A999:B999"/>
    <mergeCell ref="C997:T999"/>
    <mergeCell ref="U997:U999"/>
    <mergeCell ref="A1000:A1001"/>
    <mergeCell ref="B1000:F1000"/>
    <mergeCell ref="G1000:K1000"/>
    <mergeCell ref="L1000:P1000"/>
    <mergeCell ref="Q1000:U1000"/>
    <mergeCell ref="A1006:E1006"/>
    <mergeCell ref="G1006:J1006"/>
    <mergeCell ref="L1006:O1006"/>
    <mergeCell ref="A1007:E1007"/>
    <mergeCell ref="Q1006:T1006"/>
    <mergeCell ref="G1007:J1007"/>
    <mergeCell ref="L1007:O1007"/>
    <mergeCell ref="Q1007:T1007"/>
    <mergeCell ref="Q982:T982"/>
    <mergeCell ref="A983:U983"/>
    <mergeCell ref="A984:B985"/>
    <mergeCell ref="A986:B986"/>
    <mergeCell ref="C984:T986"/>
    <mergeCell ref="U984:U986"/>
    <mergeCell ref="A987:A988"/>
    <mergeCell ref="B987:F987"/>
    <mergeCell ref="G987:K987"/>
    <mergeCell ref="L987:P987"/>
    <mergeCell ref="Q987:U987"/>
    <mergeCell ref="A993:E993"/>
    <mergeCell ref="G993:J993"/>
    <mergeCell ref="L993:O993"/>
    <mergeCell ref="A994:E994"/>
    <mergeCell ref="Q993:T993"/>
    <mergeCell ref="G994:J994"/>
    <mergeCell ref="L994:O994"/>
    <mergeCell ref="Q994:T994"/>
    <mergeCell ref="Q969:T969"/>
    <mergeCell ref="A970:U970"/>
    <mergeCell ref="A971:B972"/>
    <mergeCell ref="A973:B973"/>
    <mergeCell ref="C971:T973"/>
    <mergeCell ref="U971:U973"/>
    <mergeCell ref="A974:A975"/>
    <mergeCell ref="B974:F974"/>
    <mergeCell ref="G974:K974"/>
    <mergeCell ref="L974:P974"/>
    <mergeCell ref="Q974:U974"/>
    <mergeCell ref="A980:E980"/>
    <mergeCell ref="G980:J980"/>
    <mergeCell ref="L980:O980"/>
    <mergeCell ref="A981:E981"/>
    <mergeCell ref="Q980:T980"/>
    <mergeCell ref="G981:J981"/>
    <mergeCell ref="L981:O981"/>
    <mergeCell ref="Q981:T981"/>
    <mergeCell ref="Q958:T958"/>
    <mergeCell ref="A959:U959"/>
    <mergeCell ref="A960:B961"/>
    <mergeCell ref="A962:B962"/>
    <mergeCell ref="C960:T962"/>
    <mergeCell ref="U960:U962"/>
    <mergeCell ref="A963:A964"/>
    <mergeCell ref="B963:F963"/>
    <mergeCell ref="G963:K963"/>
    <mergeCell ref="L963:P963"/>
    <mergeCell ref="Q963:U963"/>
    <mergeCell ref="A967:E967"/>
    <mergeCell ref="G967:J967"/>
    <mergeCell ref="L967:O967"/>
    <mergeCell ref="A968:E968"/>
    <mergeCell ref="Q967:T967"/>
    <mergeCell ref="G968:J968"/>
    <mergeCell ref="L968:O968"/>
    <mergeCell ref="Q968:T968"/>
    <mergeCell ref="Q947:T947"/>
    <mergeCell ref="A948:U948"/>
    <mergeCell ref="A949:B950"/>
    <mergeCell ref="A951:B951"/>
    <mergeCell ref="C949:T951"/>
    <mergeCell ref="U949:U951"/>
    <mergeCell ref="A952:A953"/>
    <mergeCell ref="B952:F952"/>
    <mergeCell ref="G952:K952"/>
    <mergeCell ref="L952:P952"/>
    <mergeCell ref="Q952:U952"/>
    <mergeCell ref="A956:E956"/>
    <mergeCell ref="G956:J956"/>
    <mergeCell ref="L956:O956"/>
    <mergeCell ref="A957:E957"/>
    <mergeCell ref="Q956:T956"/>
    <mergeCell ref="G957:J957"/>
    <mergeCell ref="L957:O957"/>
    <mergeCell ref="Q957:T957"/>
    <mergeCell ref="Q936:T936"/>
    <mergeCell ref="A937:U937"/>
    <mergeCell ref="A938:B939"/>
    <mergeCell ref="A940:B940"/>
    <mergeCell ref="C938:T940"/>
    <mergeCell ref="U938:U940"/>
    <mergeCell ref="A941:A942"/>
    <mergeCell ref="B941:F941"/>
    <mergeCell ref="G941:K941"/>
    <mergeCell ref="L941:P941"/>
    <mergeCell ref="Q941:U941"/>
    <mergeCell ref="A945:E945"/>
    <mergeCell ref="G945:J945"/>
    <mergeCell ref="L945:O945"/>
    <mergeCell ref="A946:E946"/>
    <mergeCell ref="Q945:T945"/>
    <mergeCell ref="G946:J946"/>
    <mergeCell ref="L946:O946"/>
    <mergeCell ref="Q946:T946"/>
    <mergeCell ref="Q925:T925"/>
    <mergeCell ref="A926:U926"/>
    <mergeCell ref="A927:B928"/>
    <mergeCell ref="A929:B929"/>
    <mergeCell ref="C927:T929"/>
    <mergeCell ref="U927:U929"/>
    <mergeCell ref="A930:A931"/>
    <mergeCell ref="B930:F930"/>
    <mergeCell ref="G930:K930"/>
    <mergeCell ref="L930:P930"/>
    <mergeCell ref="Q930:U930"/>
    <mergeCell ref="A934:E934"/>
    <mergeCell ref="G934:J934"/>
    <mergeCell ref="L934:O934"/>
    <mergeCell ref="A935:E935"/>
    <mergeCell ref="Q934:T934"/>
    <mergeCell ref="G935:J935"/>
    <mergeCell ref="L935:O935"/>
    <mergeCell ref="Q935:T935"/>
    <mergeCell ref="Q909:T909"/>
    <mergeCell ref="A910:U910"/>
    <mergeCell ref="A911:B912"/>
    <mergeCell ref="A913:B913"/>
    <mergeCell ref="C911:T913"/>
    <mergeCell ref="U911:U913"/>
    <mergeCell ref="A914:A915"/>
    <mergeCell ref="B914:F914"/>
    <mergeCell ref="G914:K914"/>
    <mergeCell ref="L914:P914"/>
    <mergeCell ref="Q914:U914"/>
    <mergeCell ref="A923:E923"/>
    <mergeCell ref="G923:J923"/>
    <mergeCell ref="L923:O923"/>
    <mergeCell ref="A924:E924"/>
    <mergeCell ref="Q923:T923"/>
    <mergeCell ref="G924:J924"/>
    <mergeCell ref="L924:O924"/>
    <mergeCell ref="Q924:T924"/>
    <mergeCell ref="Q893:T893"/>
    <mergeCell ref="A894:U894"/>
    <mergeCell ref="A895:B896"/>
    <mergeCell ref="A897:B897"/>
    <mergeCell ref="C895:T897"/>
    <mergeCell ref="U895:U897"/>
    <mergeCell ref="A898:A899"/>
    <mergeCell ref="B898:F898"/>
    <mergeCell ref="G898:K898"/>
    <mergeCell ref="L898:P898"/>
    <mergeCell ref="Q898:U898"/>
    <mergeCell ref="A907:E907"/>
    <mergeCell ref="G907:J907"/>
    <mergeCell ref="L907:O907"/>
    <mergeCell ref="A908:E908"/>
    <mergeCell ref="Q907:T907"/>
    <mergeCell ref="G908:J908"/>
    <mergeCell ref="L908:O908"/>
    <mergeCell ref="Q908:T908"/>
    <mergeCell ref="Q876:T876"/>
    <mergeCell ref="A877:U877"/>
    <mergeCell ref="A878:B879"/>
    <mergeCell ref="A880:B880"/>
    <mergeCell ref="C878:T880"/>
    <mergeCell ref="U878:U880"/>
    <mergeCell ref="A881:A882"/>
    <mergeCell ref="B881:F881"/>
    <mergeCell ref="G881:K881"/>
    <mergeCell ref="L881:P881"/>
    <mergeCell ref="Q881:U881"/>
    <mergeCell ref="A891:E891"/>
    <mergeCell ref="G891:J891"/>
    <mergeCell ref="L891:O891"/>
    <mergeCell ref="A892:E892"/>
    <mergeCell ref="Q891:T891"/>
    <mergeCell ref="G892:J892"/>
    <mergeCell ref="L892:O892"/>
    <mergeCell ref="Q892:T892"/>
    <mergeCell ref="Q859:T859"/>
    <mergeCell ref="A860:U860"/>
    <mergeCell ref="A861:B862"/>
    <mergeCell ref="A863:B863"/>
    <mergeCell ref="C861:T863"/>
    <mergeCell ref="U861:U863"/>
    <mergeCell ref="A864:A865"/>
    <mergeCell ref="B864:F864"/>
    <mergeCell ref="G864:K864"/>
    <mergeCell ref="L864:P864"/>
    <mergeCell ref="Q864:U864"/>
    <mergeCell ref="A874:E874"/>
    <mergeCell ref="G874:J874"/>
    <mergeCell ref="L874:O874"/>
    <mergeCell ref="A875:E875"/>
    <mergeCell ref="Q874:T874"/>
    <mergeCell ref="G875:J875"/>
    <mergeCell ref="L875:O875"/>
    <mergeCell ref="Q875:T875"/>
    <mergeCell ref="Q847:T847"/>
    <mergeCell ref="A848:U848"/>
    <mergeCell ref="A849:B850"/>
    <mergeCell ref="A851:B851"/>
    <mergeCell ref="C849:T851"/>
    <mergeCell ref="U849:U851"/>
    <mergeCell ref="A852:A853"/>
    <mergeCell ref="B852:F852"/>
    <mergeCell ref="G852:K852"/>
    <mergeCell ref="L852:P852"/>
    <mergeCell ref="Q852:U852"/>
    <mergeCell ref="A857:E857"/>
    <mergeCell ref="G857:J857"/>
    <mergeCell ref="L857:O857"/>
    <mergeCell ref="A858:E858"/>
    <mergeCell ref="Q857:T857"/>
    <mergeCell ref="G858:J858"/>
    <mergeCell ref="L858:O858"/>
    <mergeCell ref="Q858:T858"/>
    <mergeCell ref="Q835:T835"/>
    <mergeCell ref="A836:U836"/>
    <mergeCell ref="A837:B838"/>
    <mergeCell ref="A839:B839"/>
    <mergeCell ref="C837:T839"/>
    <mergeCell ref="U837:U839"/>
    <mergeCell ref="A840:A841"/>
    <mergeCell ref="B840:F840"/>
    <mergeCell ref="G840:K840"/>
    <mergeCell ref="L840:P840"/>
    <mergeCell ref="Q840:U840"/>
    <mergeCell ref="A845:E845"/>
    <mergeCell ref="G845:J845"/>
    <mergeCell ref="L845:O845"/>
    <mergeCell ref="A846:E846"/>
    <mergeCell ref="Q845:T845"/>
    <mergeCell ref="G846:J846"/>
    <mergeCell ref="L846:O846"/>
    <mergeCell ref="Q846:T846"/>
    <mergeCell ref="Q820:T820"/>
    <mergeCell ref="A821:U821"/>
    <mergeCell ref="A822:B823"/>
    <mergeCell ref="A824:B824"/>
    <mergeCell ref="C822:T824"/>
    <mergeCell ref="U822:U824"/>
    <mergeCell ref="A825:A826"/>
    <mergeCell ref="B825:F825"/>
    <mergeCell ref="G825:K825"/>
    <mergeCell ref="L825:P825"/>
    <mergeCell ref="Q825:U825"/>
    <mergeCell ref="A833:E833"/>
    <mergeCell ref="G833:J833"/>
    <mergeCell ref="L833:O833"/>
    <mergeCell ref="A834:E834"/>
    <mergeCell ref="Q833:T833"/>
    <mergeCell ref="G834:J834"/>
    <mergeCell ref="L834:O834"/>
    <mergeCell ref="Q834:T834"/>
    <mergeCell ref="Q805:T805"/>
    <mergeCell ref="A806:U806"/>
    <mergeCell ref="A807:B808"/>
    <mergeCell ref="A809:B809"/>
    <mergeCell ref="C807:T809"/>
    <mergeCell ref="U807:U809"/>
    <mergeCell ref="A810:A811"/>
    <mergeCell ref="B810:F810"/>
    <mergeCell ref="G810:K810"/>
    <mergeCell ref="L810:P810"/>
    <mergeCell ref="Q810:U810"/>
    <mergeCell ref="A818:E818"/>
    <mergeCell ref="G818:J818"/>
    <mergeCell ref="L818:O818"/>
    <mergeCell ref="A819:E819"/>
    <mergeCell ref="Q818:T818"/>
    <mergeCell ref="G819:J819"/>
    <mergeCell ref="L819:O819"/>
    <mergeCell ref="Q819:T819"/>
    <mergeCell ref="Q792:T792"/>
    <mergeCell ref="A793:U793"/>
    <mergeCell ref="A794:B795"/>
    <mergeCell ref="A796:B796"/>
    <mergeCell ref="C794:T796"/>
    <mergeCell ref="U794:U796"/>
    <mergeCell ref="A797:A798"/>
    <mergeCell ref="B797:F797"/>
    <mergeCell ref="G797:K797"/>
    <mergeCell ref="L797:P797"/>
    <mergeCell ref="Q797:U797"/>
    <mergeCell ref="A803:E803"/>
    <mergeCell ref="G803:J803"/>
    <mergeCell ref="L803:O803"/>
    <mergeCell ref="A804:E804"/>
    <mergeCell ref="Q803:T803"/>
    <mergeCell ref="G804:J804"/>
    <mergeCell ref="L804:O804"/>
    <mergeCell ref="Q804:T804"/>
    <mergeCell ref="Q780:T780"/>
    <mergeCell ref="A781:U781"/>
    <mergeCell ref="A782:B783"/>
    <mergeCell ref="A784:B784"/>
    <mergeCell ref="C782:T784"/>
    <mergeCell ref="U782:U784"/>
    <mergeCell ref="A785:A786"/>
    <mergeCell ref="B785:F785"/>
    <mergeCell ref="G785:K785"/>
    <mergeCell ref="L785:P785"/>
    <mergeCell ref="Q785:U785"/>
    <mergeCell ref="A790:E790"/>
    <mergeCell ref="G790:J790"/>
    <mergeCell ref="L790:O790"/>
    <mergeCell ref="A791:E791"/>
    <mergeCell ref="Q790:T790"/>
    <mergeCell ref="G791:J791"/>
    <mergeCell ref="L791:O791"/>
    <mergeCell ref="Q791:T791"/>
    <mergeCell ref="Q766:T766"/>
    <mergeCell ref="A767:U767"/>
    <mergeCell ref="A768:B769"/>
    <mergeCell ref="A770:B770"/>
    <mergeCell ref="C768:T770"/>
    <mergeCell ref="U768:U770"/>
    <mergeCell ref="A771:A772"/>
    <mergeCell ref="B771:F771"/>
    <mergeCell ref="G771:K771"/>
    <mergeCell ref="L771:P771"/>
    <mergeCell ref="Q771:U771"/>
    <mergeCell ref="A778:E778"/>
    <mergeCell ref="G778:J778"/>
    <mergeCell ref="L778:O778"/>
    <mergeCell ref="A779:E779"/>
    <mergeCell ref="Q778:T778"/>
    <mergeCell ref="G779:J779"/>
    <mergeCell ref="L779:O779"/>
    <mergeCell ref="Q779:T779"/>
    <mergeCell ref="Q755:T755"/>
    <mergeCell ref="A756:U756"/>
    <mergeCell ref="A757:B758"/>
    <mergeCell ref="A759:B759"/>
    <mergeCell ref="C757:T759"/>
    <mergeCell ref="U757:U759"/>
    <mergeCell ref="A760:A761"/>
    <mergeCell ref="B760:F760"/>
    <mergeCell ref="G760:K760"/>
    <mergeCell ref="L760:P760"/>
    <mergeCell ref="Q760:U760"/>
    <mergeCell ref="A764:E764"/>
    <mergeCell ref="G764:J764"/>
    <mergeCell ref="L764:O764"/>
    <mergeCell ref="A765:E765"/>
    <mergeCell ref="Q764:T764"/>
    <mergeCell ref="G765:J765"/>
    <mergeCell ref="L765:O765"/>
    <mergeCell ref="Q765:T765"/>
    <mergeCell ref="Q744:T744"/>
    <mergeCell ref="A745:U745"/>
    <mergeCell ref="A746:B747"/>
    <mergeCell ref="A748:B748"/>
    <mergeCell ref="C746:T748"/>
    <mergeCell ref="U746:U748"/>
    <mergeCell ref="A749:A750"/>
    <mergeCell ref="B749:F749"/>
    <mergeCell ref="G749:K749"/>
    <mergeCell ref="L749:P749"/>
    <mergeCell ref="Q749:U749"/>
    <mergeCell ref="A753:E753"/>
    <mergeCell ref="G753:J753"/>
    <mergeCell ref="L753:O753"/>
    <mergeCell ref="A754:E754"/>
    <mergeCell ref="Q753:T753"/>
    <mergeCell ref="G754:J754"/>
    <mergeCell ref="L754:O754"/>
    <mergeCell ref="Q754:T754"/>
    <mergeCell ref="Q719:T719"/>
    <mergeCell ref="A720:U720"/>
    <mergeCell ref="A721:B722"/>
    <mergeCell ref="A723:B723"/>
    <mergeCell ref="C721:T723"/>
    <mergeCell ref="U721:U723"/>
    <mergeCell ref="A724:A725"/>
    <mergeCell ref="B724:F724"/>
    <mergeCell ref="G724:K724"/>
    <mergeCell ref="L724:P724"/>
    <mergeCell ref="Q724:U724"/>
    <mergeCell ref="A742:E742"/>
    <mergeCell ref="G742:J742"/>
    <mergeCell ref="L742:O742"/>
    <mergeCell ref="A743:E743"/>
    <mergeCell ref="Q742:T742"/>
    <mergeCell ref="G743:J743"/>
    <mergeCell ref="L743:O743"/>
    <mergeCell ref="Q743:T743"/>
    <mergeCell ref="Q706:T706"/>
    <mergeCell ref="A707:U707"/>
    <mergeCell ref="A708:B709"/>
    <mergeCell ref="A710:B710"/>
    <mergeCell ref="C708:T710"/>
    <mergeCell ref="U708:U710"/>
    <mergeCell ref="A711:A712"/>
    <mergeCell ref="B711:F711"/>
    <mergeCell ref="G711:K711"/>
    <mergeCell ref="L711:P711"/>
    <mergeCell ref="Q711:U711"/>
    <mergeCell ref="A717:E717"/>
    <mergeCell ref="G717:J717"/>
    <mergeCell ref="L717:O717"/>
    <mergeCell ref="A718:E718"/>
    <mergeCell ref="Q717:T717"/>
    <mergeCell ref="G718:J718"/>
    <mergeCell ref="L718:O718"/>
    <mergeCell ref="Q718:T718"/>
    <mergeCell ref="Q693:T693"/>
    <mergeCell ref="A694:U694"/>
    <mergeCell ref="A695:B696"/>
    <mergeCell ref="A697:B697"/>
    <mergeCell ref="C695:T697"/>
    <mergeCell ref="U695:U697"/>
    <mergeCell ref="A698:A699"/>
    <mergeCell ref="B698:F698"/>
    <mergeCell ref="G698:K698"/>
    <mergeCell ref="L698:P698"/>
    <mergeCell ref="Q698:U698"/>
    <mergeCell ref="A704:E704"/>
    <mergeCell ref="G704:J704"/>
    <mergeCell ref="L704:O704"/>
    <mergeCell ref="A705:E705"/>
    <mergeCell ref="Q704:T704"/>
    <mergeCell ref="G705:J705"/>
    <mergeCell ref="L705:O705"/>
    <mergeCell ref="Q705:T705"/>
    <mergeCell ref="Q678:T678"/>
    <mergeCell ref="A679:U679"/>
    <mergeCell ref="A680:B681"/>
    <mergeCell ref="A682:B682"/>
    <mergeCell ref="C680:T682"/>
    <mergeCell ref="U680:U682"/>
    <mergeCell ref="A683:A684"/>
    <mergeCell ref="B683:F683"/>
    <mergeCell ref="G683:K683"/>
    <mergeCell ref="L683:P683"/>
    <mergeCell ref="Q683:U683"/>
    <mergeCell ref="A691:E691"/>
    <mergeCell ref="G691:J691"/>
    <mergeCell ref="L691:O691"/>
    <mergeCell ref="A692:E692"/>
    <mergeCell ref="Q691:T691"/>
    <mergeCell ref="G692:J692"/>
    <mergeCell ref="L692:O692"/>
    <mergeCell ref="Q692:T692"/>
    <mergeCell ref="Q663:T663"/>
    <mergeCell ref="A664:U664"/>
    <mergeCell ref="A665:B666"/>
    <mergeCell ref="A667:B667"/>
    <mergeCell ref="C665:T667"/>
    <mergeCell ref="U665:U667"/>
    <mergeCell ref="A668:A669"/>
    <mergeCell ref="B668:F668"/>
    <mergeCell ref="G668:K668"/>
    <mergeCell ref="L668:P668"/>
    <mergeCell ref="Q668:U668"/>
    <mergeCell ref="A676:E676"/>
    <mergeCell ref="G676:J676"/>
    <mergeCell ref="L676:O676"/>
    <mergeCell ref="A677:E677"/>
    <mergeCell ref="Q676:T676"/>
    <mergeCell ref="G677:J677"/>
    <mergeCell ref="L677:O677"/>
    <mergeCell ref="Q677:T677"/>
    <mergeCell ref="Q618:T618"/>
    <mergeCell ref="A652:U652"/>
    <mergeCell ref="A653:B654"/>
    <mergeCell ref="A655:B655"/>
    <mergeCell ref="C653:T655"/>
    <mergeCell ref="U653:U655"/>
    <mergeCell ref="A656:A657"/>
    <mergeCell ref="B656:F656"/>
    <mergeCell ref="G656:K656"/>
    <mergeCell ref="L656:P656"/>
    <mergeCell ref="Q656:U656"/>
    <mergeCell ref="A661:E661"/>
    <mergeCell ref="G661:J661"/>
    <mergeCell ref="L661:O661"/>
    <mergeCell ref="A662:E662"/>
    <mergeCell ref="Q661:T661"/>
    <mergeCell ref="G662:J662"/>
    <mergeCell ref="L662:O662"/>
    <mergeCell ref="Q662:T662"/>
    <mergeCell ref="A619:B620"/>
    <mergeCell ref="C619:T621"/>
    <mergeCell ref="U619:U621"/>
    <mergeCell ref="A621:B621"/>
    <mergeCell ref="A622:A623"/>
    <mergeCell ref="B622:F622"/>
    <mergeCell ref="G622:K622"/>
    <mergeCell ref="L622:P622"/>
    <mergeCell ref="Q622:U622"/>
    <mergeCell ref="A627:E627"/>
    <mergeCell ref="G627:J627"/>
    <mergeCell ref="L627:O627"/>
    <mergeCell ref="Q627:T627"/>
    <mergeCell ref="Q572:T572"/>
    <mergeCell ref="A607:U607"/>
    <mergeCell ref="A608:B609"/>
    <mergeCell ref="A610:B610"/>
    <mergeCell ref="C608:T610"/>
    <mergeCell ref="U608:U610"/>
    <mergeCell ref="A611:A612"/>
    <mergeCell ref="B611:F611"/>
    <mergeCell ref="G611:K611"/>
    <mergeCell ref="L611:P611"/>
    <mergeCell ref="Q611:U611"/>
    <mergeCell ref="A616:E616"/>
    <mergeCell ref="G616:J616"/>
    <mergeCell ref="L616:O616"/>
    <mergeCell ref="A617:E617"/>
    <mergeCell ref="Q616:T616"/>
    <mergeCell ref="G617:J617"/>
    <mergeCell ref="L617:O617"/>
    <mergeCell ref="Q617:T617"/>
    <mergeCell ref="A574:B575"/>
    <mergeCell ref="C574:T576"/>
    <mergeCell ref="U574:U576"/>
    <mergeCell ref="A576:B576"/>
    <mergeCell ref="A577:A578"/>
    <mergeCell ref="B577:F577"/>
    <mergeCell ref="G577:K577"/>
    <mergeCell ref="L577:P577"/>
    <mergeCell ref="Q577:U577"/>
    <mergeCell ref="A581:E581"/>
    <mergeCell ref="G581:J581"/>
    <mergeCell ref="L581:O581"/>
    <mergeCell ref="Q581:T581"/>
    <mergeCell ref="Q561:T561"/>
    <mergeCell ref="A562:U562"/>
    <mergeCell ref="A563:B564"/>
    <mergeCell ref="A565:B565"/>
    <mergeCell ref="C563:T565"/>
    <mergeCell ref="U563:U565"/>
    <mergeCell ref="A566:A567"/>
    <mergeCell ref="B566:F566"/>
    <mergeCell ref="G566:K566"/>
    <mergeCell ref="L566:P566"/>
    <mergeCell ref="Q566:U566"/>
    <mergeCell ref="A570:E570"/>
    <mergeCell ref="G570:J570"/>
    <mergeCell ref="L570:O570"/>
    <mergeCell ref="A571:E571"/>
    <mergeCell ref="Q570:T570"/>
    <mergeCell ref="G571:J571"/>
    <mergeCell ref="L571:O571"/>
    <mergeCell ref="Q571:T571"/>
    <mergeCell ref="Q549:T549"/>
    <mergeCell ref="A550:U550"/>
    <mergeCell ref="A551:B552"/>
    <mergeCell ref="A553:B553"/>
    <mergeCell ref="C551:T553"/>
    <mergeCell ref="U551:U553"/>
    <mergeCell ref="A554:A555"/>
    <mergeCell ref="B554:F554"/>
    <mergeCell ref="G554:K554"/>
    <mergeCell ref="L554:P554"/>
    <mergeCell ref="Q554:U554"/>
    <mergeCell ref="A559:E559"/>
    <mergeCell ref="G559:J559"/>
    <mergeCell ref="L559:O559"/>
    <mergeCell ref="A560:E560"/>
    <mergeCell ref="Q559:T559"/>
    <mergeCell ref="G560:J560"/>
    <mergeCell ref="L560:O560"/>
    <mergeCell ref="Q560:T560"/>
    <mergeCell ref="Q538:T538"/>
    <mergeCell ref="A539:U539"/>
    <mergeCell ref="A540:B541"/>
    <mergeCell ref="A542:B542"/>
    <mergeCell ref="C540:T542"/>
    <mergeCell ref="U540:U542"/>
    <mergeCell ref="A543:A544"/>
    <mergeCell ref="B543:F543"/>
    <mergeCell ref="G543:K543"/>
    <mergeCell ref="L543:P543"/>
    <mergeCell ref="Q543:U543"/>
    <mergeCell ref="A547:E547"/>
    <mergeCell ref="G547:J547"/>
    <mergeCell ref="L547:O547"/>
    <mergeCell ref="A548:E548"/>
    <mergeCell ref="Q547:T547"/>
    <mergeCell ref="G548:J548"/>
    <mergeCell ref="L548:O548"/>
    <mergeCell ref="Q548:T548"/>
    <mergeCell ref="Q526:T526"/>
    <mergeCell ref="A527:U527"/>
    <mergeCell ref="A528:B529"/>
    <mergeCell ref="A530:B530"/>
    <mergeCell ref="C528:T530"/>
    <mergeCell ref="U528:U530"/>
    <mergeCell ref="A531:A532"/>
    <mergeCell ref="B531:F531"/>
    <mergeCell ref="G531:K531"/>
    <mergeCell ref="L531:P531"/>
    <mergeCell ref="Q531:U531"/>
    <mergeCell ref="A536:E536"/>
    <mergeCell ref="G536:J536"/>
    <mergeCell ref="L536:O536"/>
    <mergeCell ref="A537:E537"/>
    <mergeCell ref="Q536:T536"/>
    <mergeCell ref="G537:J537"/>
    <mergeCell ref="L537:O537"/>
    <mergeCell ref="Q537:T537"/>
    <mergeCell ref="Q515:T515"/>
    <mergeCell ref="A516:U516"/>
    <mergeCell ref="A517:B518"/>
    <mergeCell ref="A519:B519"/>
    <mergeCell ref="C517:T519"/>
    <mergeCell ref="U517:U519"/>
    <mergeCell ref="A520:A521"/>
    <mergeCell ref="B520:F520"/>
    <mergeCell ref="G520:K520"/>
    <mergeCell ref="L520:P520"/>
    <mergeCell ref="Q520:U520"/>
    <mergeCell ref="A524:E524"/>
    <mergeCell ref="G524:J524"/>
    <mergeCell ref="L524:O524"/>
    <mergeCell ref="A525:E525"/>
    <mergeCell ref="Q524:T524"/>
    <mergeCell ref="G525:J525"/>
    <mergeCell ref="L525:O525"/>
    <mergeCell ref="Q525:T525"/>
    <mergeCell ref="Q503:T503"/>
    <mergeCell ref="A504:U504"/>
    <mergeCell ref="A505:B506"/>
    <mergeCell ref="A507:B507"/>
    <mergeCell ref="C505:T507"/>
    <mergeCell ref="U505:U507"/>
    <mergeCell ref="A508:A509"/>
    <mergeCell ref="B508:F508"/>
    <mergeCell ref="G508:K508"/>
    <mergeCell ref="L508:P508"/>
    <mergeCell ref="Q508:U508"/>
    <mergeCell ref="A513:E513"/>
    <mergeCell ref="G513:J513"/>
    <mergeCell ref="L513:O513"/>
    <mergeCell ref="A514:E514"/>
    <mergeCell ref="Q513:T513"/>
    <mergeCell ref="G514:J514"/>
    <mergeCell ref="L514:O514"/>
    <mergeCell ref="Q514:T514"/>
    <mergeCell ref="Q492:T492"/>
    <mergeCell ref="A493:U493"/>
    <mergeCell ref="A494:B495"/>
    <mergeCell ref="A496:B496"/>
    <mergeCell ref="C494:T496"/>
    <mergeCell ref="U494:U496"/>
    <mergeCell ref="A497:A498"/>
    <mergeCell ref="B497:F497"/>
    <mergeCell ref="G497:K497"/>
    <mergeCell ref="L497:P497"/>
    <mergeCell ref="Q497:U497"/>
    <mergeCell ref="A501:E501"/>
    <mergeCell ref="G501:J501"/>
    <mergeCell ref="L501:O501"/>
    <mergeCell ref="A502:E502"/>
    <mergeCell ref="Q501:T501"/>
    <mergeCell ref="G502:J502"/>
    <mergeCell ref="L502:O502"/>
    <mergeCell ref="Q502:T502"/>
    <mergeCell ref="Q481:T481"/>
    <mergeCell ref="A482:U482"/>
    <mergeCell ref="A483:B484"/>
    <mergeCell ref="A485:B485"/>
    <mergeCell ref="C483:T485"/>
    <mergeCell ref="U483:U485"/>
    <mergeCell ref="A486:A487"/>
    <mergeCell ref="B486:F486"/>
    <mergeCell ref="G486:K486"/>
    <mergeCell ref="L486:P486"/>
    <mergeCell ref="Q486:U486"/>
    <mergeCell ref="A490:E490"/>
    <mergeCell ref="G490:J490"/>
    <mergeCell ref="L490:O490"/>
    <mergeCell ref="A491:E491"/>
    <mergeCell ref="Q490:T490"/>
    <mergeCell ref="G491:J491"/>
    <mergeCell ref="L491:O491"/>
    <mergeCell ref="Q491:T491"/>
    <mergeCell ref="Q470:T470"/>
    <mergeCell ref="A471:U471"/>
    <mergeCell ref="A472:B473"/>
    <mergeCell ref="A474:B474"/>
    <mergeCell ref="C472:T474"/>
    <mergeCell ref="U472:U474"/>
    <mergeCell ref="A475:A476"/>
    <mergeCell ref="B475:F475"/>
    <mergeCell ref="G475:K475"/>
    <mergeCell ref="L475:P475"/>
    <mergeCell ref="Q475:U475"/>
    <mergeCell ref="A479:E479"/>
    <mergeCell ref="G479:J479"/>
    <mergeCell ref="L479:O479"/>
    <mergeCell ref="A480:E480"/>
    <mergeCell ref="Q479:T479"/>
    <mergeCell ref="G480:J480"/>
    <mergeCell ref="L480:O480"/>
    <mergeCell ref="Q480:T480"/>
    <mergeCell ref="Q459:T459"/>
    <mergeCell ref="A460:U460"/>
    <mergeCell ref="A461:B462"/>
    <mergeCell ref="A463:B463"/>
    <mergeCell ref="C461:T463"/>
    <mergeCell ref="U461:U463"/>
    <mergeCell ref="A464:A465"/>
    <mergeCell ref="B464:F464"/>
    <mergeCell ref="G464:K464"/>
    <mergeCell ref="L464:P464"/>
    <mergeCell ref="Q464:U464"/>
    <mergeCell ref="A468:E468"/>
    <mergeCell ref="G468:J468"/>
    <mergeCell ref="L468:O468"/>
    <mergeCell ref="A469:E469"/>
    <mergeCell ref="Q468:T468"/>
    <mergeCell ref="G469:J469"/>
    <mergeCell ref="L469:O469"/>
    <mergeCell ref="Q469:T469"/>
    <mergeCell ref="Q448:T448"/>
    <mergeCell ref="A449:U449"/>
    <mergeCell ref="A450:B451"/>
    <mergeCell ref="A452:B452"/>
    <mergeCell ref="C450:T452"/>
    <mergeCell ref="U450:U452"/>
    <mergeCell ref="A453:A454"/>
    <mergeCell ref="B453:F453"/>
    <mergeCell ref="G453:K453"/>
    <mergeCell ref="L453:P453"/>
    <mergeCell ref="Q453:U453"/>
    <mergeCell ref="A457:E457"/>
    <mergeCell ref="G457:J457"/>
    <mergeCell ref="L457:O457"/>
    <mergeCell ref="A458:E458"/>
    <mergeCell ref="Q457:T457"/>
    <mergeCell ref="G458:J458"/>
    <mergeCell ref="L458:O458"/>
    <mergeCell ref="Q458:T458"/>
    <mergeCell ref="Q437:T437"/>
    <mergeCell ref="A438:U438"/>
    <mergeCell ref="A439:B440"/>
    <mergeCell ref="A441:B441"/>
    <mergeCell ref="C439:T441"/>
    <mergeCell ref="U439:U441"/>
    <mergeCell ref="A442:A443"/>
    <mergeCell ref="B442:F442"/>
    <mergeCell ref="G442:K442"/>
    <mergeCell ref="L442:P442"/>
    <mergeCell ref="Q442:U442"/>
    <mergeCell ref="A446:E446"/>
    <mergeCell ref="G446:J446"/>
    <mergeCell ref="L446:O446"/>
    <mergeCell ref="A447:E447"/>
    <mergeCell ref="Q446:T446"/>
    <mergeCell ref="G447:J447"/>
    <mergeCell ref="L447:O447"/>
    <mergeCell ref="Q447:T447"/>
    <mergeCell ref="Q404:T404"/>
    <mergeCell ref="A405:U405"/>
    <mergeCell ref="A428:B429"/>
    <mergeCell ref="A430:B430"/>
    <mergeCell ref="C428:T430"/>
    <mergeCell ref="U428:U430"/>
    <mergeCell ref="A431:A432"/>
    <mergeCell ref="B431:F431"/>
    <mergeCell ref="G431:K431"/>
    <mergeCell ref="L431:P431"/>
    <mergeCell ref="Q431:U431"/>
    <mergeCell ref="A435:E435"/>
    <mergeCell ref="G435:J435"/>
    <mergeCell ref="L435:O435"/>
    <mergeCell ref="A436:E436"/>
    <mergeCell ref="Q435:T435"/>
    <mergeCell ref="G436:J436"/>
    <mergeCell ref="L436:O436"/>
    <mergeCell ref="Q436:T436"/>
    <mergeCell ref="A406:B407"/>
    <mergeCell ref="C406:T408"/>
    <mergeCell ref="U406:U408"/>
    <mergeCell ref="A408:B408"/>
    <mergeCell ref="A409:A410"/>
    <mergeCell ref="B409:F409"/>
    <mergeCell ref="G409:K409"/>
    <mergeCell ref="L409:P409"/>
    <mergeCell ref="Q409:U409"/>
    <mergeCell ref="A413:E413"/>
    <mergeCell ref="G413:J413"/>
    <mergeCell ref="L413:O413"/>
    <mergeCell ref="Q413:T413"/>
    <mergeCell ref="Q393:T393"/>
    <mergeCell ref="A394:U394"/>
    <mergeCell ref="A395:B396"/>
    <mergeCell ref="A397:B397"/>
    <mergeCell ref="C395:T397"/>
    <mergeCell ref="U395:U397"/>
    <mergeCell ref="A398:A399"/>
    <mergeCell ref="B398:F398"/>
    <mergeCell ref="G398:K398"/>
    <mergeCell ref="L398:P398"/>
    <mergeCell ref="Q398:U398"/>
    <mergeCell ref="A402:E402"/>
    <mergeCell ref="G402:J402"/>
    <mergeCell ref="L402:O402"/>
    <mergeCell ref="A403:E403"/>
    <mergeCell ref="Q402:T402"/>
    <mergeCell ref="G403:J403"/>
    <mergeCell ref="L403:O403"/>
    <mergeCell ref="Q403:T403"/>
    <mergeCell ref="Q382:T382"/>
    <mergeCell ref="A383:U383"/>
    <mergeCell ref="A384:B385"/>
    <mergeCell ref="A386:B386"/>
    <mergeCell ref="C384:T386"/>
    <mergeCell ref="U384:U386"/>
    <mergeCell ref="A387:A388"/>
    <mergeCell ref="B387:F387"/>
    <mergeCell ref="G387:K387"/>
    <mergeCell ref="L387:P387"/>
    <mergeCell ref="Q387:U387"/>
    <mergeCell ref="A391:E391"/>
    <mergeCell ref="G391:J391"/>
    <mergeCell ref="L391:O391"/>
    <mergeCell ref="A392:E392"/>
    <mergeCell ref="Q391:T391"/>
    <mergeCell ref="G392:J392"/>
    <mergeCell ref="L392:O392"/>
    <mergeCell ref="Q392:T392"/>
    <mergeCell ref="Q370:T370"/>
    <mergeCell ref="A371:U371"/>
    <mergeCell ref="A372:B373"/>
    <mergeCell ref="A374:B374"/>
    <mergeCell ref="C372:T374"/>
    <mergeCell ref="U372:U374"/>
    <mergeCell ref="A375:A376"/>
    <mergeCell ref="B375:F375"/>
    <mergeCell ref="G375:K375"/>
    <mergeCell ref="L375:P375"/>
    <mergeCell ref="Q375:U375"/>
    <mergeCell ref="A380:E380"/>
    <mergeCell ref="G380:J380"/>
    <mergeCell ref="L380:O380"/>
    <mergeCell ref="A381:E381"/>
    <mergeCell ref="Q380:T380"/>
    <mergeCell ref="G381:J381"/>
    <mergeCell ref="L381:O381"/>
    <mergeCell ref="Q381:T381"/>
    <mergeCell ref="Q356:T356"/>
    <mergeCell ref="A357:U357"/>
    <mergeCell ref="A358:B359"/>
    <mergeCell ref="A360:B360"/>
    <mergeCell ref="C358:T360"/>
    <mergeCell ref="U358:U360"/>
    <mergeCell ref="A361:A362"/>
    <mergeCell ref="B361:F361"/>
    <mergeCell ref="G361:K361"/>
    <mergeCell ref="L361:P361"/>
    <mergeCell ref="Q361:U361"/>
    <mergeCell ref="A368:E368"/>
    <mergeCell ref="G368:J368"/>
    <mergeCell ref="L368:O368"/>
    <mergeCell ref="A369:E369"/>
    <mergeCell ref="Q368:T368"/>
    <mergeCell ref="G369:J369"/>
    <mergeCell ref="L369:O369"/>
    <mergeCell ref="Q369:T369"/>
    <mergeCell ref="Q345:T345"/>
    <mergeCell ref="A346:U346"/>
    <mergeCell ref="A347:B348"/>
    <mergeCell ref="A349:B349"/>
    <mergeCell ref="C347:T349"/>
    <mergeCell ref="U347:U349"/>
    <mergeCell ref="A350:A351"/>
    <mergeCell ref="B350:F350"/>
    <mergeCell ref="G350:K350"/>
    <mergeCell ref="L350:P350"/>
    <mergeCell ref="Q350:U350"/>
    <mergeCell ref="A354:E354"/>
    <mergeCell ref="G354:J354"/>
    <mergeCell ref="L354:O354"/>
    <mergeCell ref="A355:E355"/>
    <mergeCell ref="Q354:T354"/>
    <mergeCell ref="G355:J355"/>
    <mergeCell ref="L355:O355"/>
    <mergeCell ref="Q355:T355"/>
    <mergeCell ref="Q334:T334"/>
    <mergeCell ref="A335:U335"/>
    <mergeCell ref="A336:B337"/>
    <mergeCell ref="A338:B338"/>
    <mergeCell ref="C336:T338"/>
    <mergeCell ref="U336:U338"/>
    <mergeCell ref="A339:A340"/>
    <mergeCell ref="B339:F339"/>
    <mergeCell ref="G339:K339"/>
    <mergeCell ref="L339:P339"/>
    <mergeCell ref="Q339:U339"/>
    <mergeCell ref="A343:E343"/>
    <mergeCell ref="G343:J343"/>
    <mergeCell ref="L343:O343"/>
    <mergeCell ref="A344:E344"/>
    <mergeCell ref="Q343:T343"/>
    <mergeCell ref="G344:J344"/>
    <mergeCell ref="L344:O344"/>
    <mergeCell ref="Q344:T344"/>
    <mergeCell ref="Q323:T323"/>
    <mergeCell ref="A324:U324"/>
    <mergeCell ref="A325:B326"/>
    <mergeCell ref="A327:B327"/>
    <mergeCell ref="C325:T327"/>
    <mergeCell ref="U325:U327"/>
    <mergeCell ref="A328:A329"/>
    <mergeCell ref="B328:F328"/>
    <mergeCell ref="G328:K328"/>
    <mergeCell ref="L328:P328"/>
    <mergeCell ref="Q328:U328"/>
    <mergeCell ref="A332:E332"/>
    <mergeCell ref="G332:J332"/>
    <mergeCell ref="L332:O332"/>
    <mergeCell ref="A333:E333"/>
    <mergeCell ref="Q332:T332"/>
    <mergeCell ref="G333:J333"/>
    <mergeCell ref="L333:O333"/>
    <mergeCell ref="Q333:T333"/>
    <mergeCell ref="Q312:T312"/>
    <mergeCell ref="A313:U313"/>
    <mergeCell ref="A314:B315"/>
    <mergeCell ref="A316:B316"/>
    <mergeCell ref="C314:T316"/>
    <mergeCell ref="U314:U316"/>
    <mergeCell ref="A317:A318"/>
    <mergeCell ref="B317:F317"/>
    <mergeCell ref="G317:K317"/>
    <mergeCell ref="L317:P317"/>
    <mergeCell ref="Q317:U317"/>
    <mergeCell ref="A321:E321"/>
    <mergeCell ref="G321:J321"/>
    <mergeCell ref="L321:O321"/>
    <mergeCell ref="A322:E322"/>
    <mergeCell ref="Q321:T321"/>
    <mergeCell ref="G322:J322"/>
    <mergeCell ref="L322:O322"/>
    <mergeCell ref="Q322:T322"/>
    <mergeCell ref="Q301:T301"/>
    <mergeCell ref="A302:U302"/>
    <mergeCell ref="A303:B304"/>
    <mergeCell ref="A305:B305"/>
    <mergeCell ref="C303:T305"/>
    <mergeCell ref="U303:U305"/>
    <mergeCell ref="A306:A307"/>
    <mergeCell ref="B306:F306"/>
    <mergeCell ref="G306:K306"/>
    <mergeCell ref="L306:P306"/>
    <mergeCell ref="Q306:U306"/>
    <mergeCell ref="A310:E310"/>
    <mergeCell ref="G310:J310"/>
    <mergeCell ref="L310:O310"/>
    <mergeCell ref="A311:E311"/>
    <mergeCell ref="Q310:T310"/>
    <mergeCell ref="G311:J311"/>
    <mergeCell ref="L311:O311"/>
    <mergeCell ref="Q311:T311"/>
    <mergeCell ref="Q288:T288"/>
    <mergeCell ref="A289:U289"/>
    <mergeCell ref="A290:B291"/>
    <mergeCell ref="A292:B292"/>
    <mergeCell ref="C290:T292"/>
    <mergeCell ref="U290:U292"/>
    <mergeCell ref="A293:A294"/>
    <mergeCell ref="B293:F293"/>
    <mergeCell ref="G293:K293"/>
    <mergeCell ref="L293:P293"/>
    <mergeCell ref="Q293:U293"/>
    <mergeCell ref="A299:E299"/>
    <mergeCell ref="G299:J299"/>
    <mergeCell ref="L299:O299"/>
    <mergeCell ref="A300:E300"/>
    <mergeCell ref="Q299:T299"/>
    <mergeCell ref="G300:J300"/>
    <mergeCell ref="L300:O300"/>
    <mergeCell ref="Q300:T300"/>
    <mergeCell ref="Q275:T275"/>
    <mergeCell ref="A276:U276"/>
    <mergeCell ref="A277:B278"/>
    <mergeCell ref="A279:B279"/>
    <mergeCell ref="C277:T279"/>
    <mergeCell ref="U277:U279"/>
    <mergeCell ref="A280:A281"/>
    <mergeCell ref="B280:F280"/>
    <mergeCell ref="G280:K280"/>
    <mergeCell ref="L280:P280"/>
    <mergeCell ref="Q280:U280"/>
    <mergeCell ref="A286:E286"/>
    <mergeCell ref="G286:J286"/>
    <mergeCell ref="L286:O286"/>
    <mergeCell ref="A287:E287"/>
    <mergeCell ref="Q286:T286"/>
    <mergeCell ref="G287:J287"/>
    <mergeCell ref="L287:O287"/>
    <mergeCell ref="Q287:T287"/>
    <mergeCell ref="Q264:T264"/>
    <mergeCell ref="A265:U265"/>
    <mergeCell ref="A266:B267"/>
    <mergeCell ref="A268:B268"/>
    <mergeCell ref="C266:T268"/>
    <mergeCell ref="U266:U268"/>
    <mergeCell ref="A269:A270"/>
    <mergeCell ref="B269:F269"/>
    <mergeCell ref="G269:K269"/>
    <mergeCell ref="L269:P269"/>
    <mergeCell ref="Q269:U269"/>
    <mergeCell ref="A273:E273"/>
    <mergeCell ref="G273:J273"/>
    <mergeCell ref="L273:O273"/>
    <mergeCell ref="A274:E274"/>
    <mergeCell ref="Q273:T273"/>
    <mergeCell ref="G274:J274"/>
    <mergeCell ref="L274:O274"/>
    <mergeCell ref="Q274:T274"/>
    <mergeCell ref="Q253:T253"/>
    <mergeCell ref="A254:U254"/>
    <mergeCell ref="A255:B256"/>
    <mergeCell ref="A257:B257"/>
    <mergeCell ref="C255:T257"/>
    <mergeCell ref="U255:U257"/>
    <mergeCell ref="A258:A259"/>
    <mergeCell ref="B258:F258"/>
    <mergeCell ref="G258:K258"/>
    <mergeCell ref="L258:P258"/>
    <mergeCell ref="Q258:U258"/>
    <mergeCell ref="A262:E262"/>
    <mergeCell ref="G262:J262"/>
    <mergeCell ref="L262:O262"/>
    <mergeCell ref="A263:E263"/>
    <mergeCell ref="Q262:T262"/>
    <mergeCell ref="G263:J263"/>
    <mergeCell ref="L263:O263"/>
    <mergeCell ref="Q263:T263"/>
    <mergeCell ref="Q242:T242"/>
    <mergeCell ref="A243:U243"/>
    <mergeCell ref="A244:B245"/>
    <mergeCell ref="A246:B246"/>
    <mergeCell ref="C244:T246"/>
    <mergeCell ref="U244:U246"/>
    <mergeCell ref="A247:A248"/>
    <mergeCell ref="B247:F247"/>
    <mergeCell ref="G247:K247"/>
    <mergeCell ref="L247:P247"/>
    <mergeCell ref="Q247:U247"/>
    <mergeCell ref="A251:E251"/>
    <mergeCell ref="G251:J251"/>
    <mergeCell ref="L251:O251"/>
    <mergeCell ref="A252:E252"/>
    <mergeCell ref="Q251:T251"/>
    <mergeCell ref="G252:J252"/>
    <mergeCell ref="L252:O252"/>
    <mergeCell ref="Q252:T252"/>
    <mergeCell ref="Q231:T231"/>
    <mergeCell ref="A232:U232"/>
    <mergeCell ref="A233:B234"/>
    <mergeCell ref="A235:B235"/>
    <mergeCell ref="C233:T235"/>
    <mergeCell ref="U233:U235"/>
    <mergeCell ref="A236:A237"/>
    <mergeCell ref="B236:F236"/>
    <mergeCell ref="G236:K236"/>
    <mergeCell ref="L236:P236"/>
    <mergeCell ref="Q236:U236"/>
    <mergeCell ref="A240:E240"/>
    <mergeCell ref="G240:J240"/>
    <mergeCell ref="L240:O240"/>
    <mergeCell ref="A241:E241"/>
    <mergeCell ref="Q240:T240"/>
    <mergeCell ref="G241:J241"/>
    <mergeCell ref="L241:O241"/>
    <mergeCell ref="Q241:T241"/>
    <mergeCell ref="Q218:T218"/>
    <mergeCell ref="A219:U219"/>
    <mergeCell ref="A220:B221"/>
    <mergeCell ref="A222:B222"/>
    <mergeCell ref="C220:T222"/>
    <mergeCell ref="U220:U222"/>
    <mergeCell ref="A223:A224"/>
    <mergeCell ref="B223:F223"/>
    <mergeCell ref="G223:K223"/>
    <mergeCell ref="L223:P223"/>
    <mergeCell ref="Q223:U223"/>
    <mergeCell ref="A229:E229"/>
    <mergeCell ref="G229:J229"/>
    <mergeCell ref="L229:O229"/>
    <mergeCell ref="A230:E230"/>
    <mergeCell ref="Q229:T229"/>
    <mergeCell ref="G230:J230"/>
    <mergeCell ref="L230:O230"/>
    <mergeCell ref="Q230:T230"/>
    <mergeCell ref="Q205:T205"/>
    <mergeCell ref="A206:U206"/>
    <mergeCell ref="A207:B208"/>
    <mergeCell ref="A209:B209"/>
    <mergeCell ref="C207:T209"/>
    <mergeCell ref="U207:U209"/>
    <mergeCell ref="A210:A211"/>
    <mergeCell ref="B210:F210"/>
    <mergeCell ref="G210:K210"/>
    <mergeCell ref="L210:P210"/>
    <mergeCell ref="Q210:U210"/>
    <mergeCell ref="A216:E216"/>
    <mergeCell ref="G216:J216"/>
    <mergeCell ref="L216:O216"/>
    <mergeCell ref="A217:E217"/>
    <mergeCell ref="Q216:T216"/>
    <mergeCell ref="G217:J217"/>
    <mergeCell ref="L217:O217"/>
    <mergeCell ref="Q217:T217"/>
    <mergeCell ref="Q192:T192"/>
    <mergeCell ref="A193:U193"/>
    <mergeCell ref="A194:B195"/>
    <mergeCell ref="A196:B196"/>
    <mergeCell ref="C194:T196"/>
    <mergeCell ref="U194:U196"/>
    <mergeCell ref="A197:A198"/>
    <mergeCell ref="B197:F197"/>
    <mergeCell ref="G197:K197"/>
    <mergeCell ref="L197:P197"/>
    <mergeCell ref="Q197:U197"/>
    <mergeCell ref="A203:E203"/>
    <mergeCell ref="G203:J203"/>
    <mergeCell ref="L203:O203"/>
    <mergeCell ref="A204:E204"/>
    <mergeCell ref="Q203:T203"/>
    <mergeCell ref="G204:J204"/>
    <mergeCell ref="L204:O204"/>
    <mergeCell ref="Q204:T204"/>
    <mergeCell ref="Q179:T179"/>
    <mergeCell ref="A180:U180"/>
    <mergeCell ref="A181:B182"/>
    <mergeCell ref="A183:B183"/>
    <mergeCell ref="C181:T183"/>
    <mergeCell ref="U181:U183"/>
    <mergeCell ref="A184:A185"/>
    <mergeCell ref="B184:F184"/>
    <mergeCell ref="G184:K184"/>
    <mergeCell ref="L184:P184"/>
    <mergeCell ref="Q184:U184"/>
    <mergeCell ref="A190:E190"/>
    <mergeCell ref="G190:J190"/>
    <mergeCell ref="L190:O190"/>
    <mergeCell ref="A191:E191"/>
    <mergeCell ref="Q190:T190"/>
    <mergeCell ref="G191:J191"/>
    <mergeCell ref="L191:O191"/>
    <mergeCell ref="Q191:T191"/>
    <mergeCell ref="Q166:T166"/>
    <mergeCell ref="A167:U167"/>
    <mergeCell ref="A168:B169"/>
    <mergeCell ref="A170:B170"/>
    <mergeCell ref="C168:T170"/>
    <mergeCell ref="U168:U170"/>
    <mergeCell ref="A171:A172"/>
    <mergeCell ref="B171:F171"/>
    <mergeCell ref="G171:K171"/>
    <mergeCell ref="L171:P171"/>
    <mergeCell ref="Q171:U171"/>
    <mergeCell ref="A177:E177"/>
    <mergeCell ref="G177:J177"/>
    <mergeCell ref="L177:O177"/>
    <mergeCell ref="A178:E178"/>
    <mergeCell ref="Q177:T177"/>
    <mergeCell ref="G178:J178"/>
    <mergeCell ref="L178:O178"/>
    <mergeCell ref="Q178:T178"/>
    <mergeCell ref="Q153:T153"/>
    <mergeCell ref="A154:U154"/>
    <mergeCell ref="A155:B156"/>
    <mergeCell ref="A157:B157"/>
    <mergeCell ref="C155:T157"/>
    <mergeCell ref="U155:U157"/>
    <mergeCell ref="A158:A159"/>
    <mergeCell ref="B158:F158"/>
    <mergeCell ref="G158:K158"/>
    <mergeCell ref="L158:P158"/>
    <mergeCell ref="Q158:U158"/>
    <mergeCell ref="A164:E164"/>
    <mergeCell ref="G164:J164"/>
    <mergeCell ref="L164:O164"/>
    <mergeCell ref="A165:E165"/>
    <mergeCell ref="Q164:T164"/>
    <mergeCell ref="G165:J165"/>
    <mergeCell ref="L165:O165"/>
    <mergeCell ref="Q165:T165"/>
    <mergeCell ref="Q141:T141"/>
    <mergeCell ref="A142:U142"/>
    <mergeCell ref="A143:B144"/>
    <mergeCell ref="A145:B145"/>
    <mergeCell ref="C143:T145"/>
    <mergeCell ref="U143:U145"/>
    <mergeCell ref="A146:A147"/>
    <mergeCell ref="B146:F146"/>
    <mergeCell ref="G146:K146"/>
    <mergeCell ref="L146:P146"/>
    <mergeCell ref="Q146:U146"/>
    <mergeCell ref="A151:E151"/>
    <mergeCell ref="G151:J151"/>
    <mergeCell ref="L151:O151"/>
    <mergeCell ref="A152:E152"/>
    <mergeCell ref="Q151:T151"/>
    <mergeCell ref="G152:J152"/>
    <mergeCell ref="L152:O152"/>
    <mergeCell ref="Q152:T152"/>
    <mergeCell ref="Q129:T129"/>
    <mergeCell ref="A130:U130"/>
    <mergeCell ref="A131:B132"/>
    <mergeCell ref="A133:B133"/>
    <mergeCell ref="C131:T133"/>
    <mergeCell ref="U131:U133"/>
    <mergeCell ref="A134:A135"/>
    <mergeCell ref="B134:F134"/>
    <mergeCell ref="G134:K134"/>
    <mergeCell ref="L134:P134"/>
    <mergeCell ref="Q134:U134"/>
    <mergeCell ref="A139:E139"/>
    <mergeCell ref="G139:J139"/>
    <mergeCell ref="L139:O139"/>
    <mergeCell ref="A140:E140"/>
    <mergeCell ref="Q139:T139"/>
    <mergeCell ref="G140:J140"/>
    <mergeCell ref="L140:O140"/>
    <mergeCell ref="Q140:T140"/>
    <mergeCell ref="Q117:T117"/>
    <mergeCell ref="A118:U118"/>
    <mergeCell ref="A119:B120"/>
    <mergeCell ref="A121:B121"/>
    <mergeCell ref="C119:T121"/>
    <mergeCell ref="U119:U121"/>
    <mergeCell ref="A122:A123"/>
    <mergeCell ref="B122:F122"/>
    <mergeCell ref="G122:K122"/>
    <mergeCell ref="L122:P122"/>
    <mergeCell ref="Q122:U122"/>
    <mergeCell ref="A127:E127"/>
    <mergeCell ref="G127:J127"/>
    <mergeCell ref="L127:O127"/>
    <mergeCell ref="A128:E128"/>
    <mergeCell ref="Q127:T127"/>
    <mergeCell ref="G128:J128"/>
    <mergeCell ref="L128:O128"/>
    <mergeCell ref="Q128:T128"/>
    <mergeCell ref="Q105:T105"/>
    <mergeCell ref="A106:U106"/>
    <mergeCell ref="A107:B108"/>
    <mergeCell ref="A109:B109"/>
    <mergeCell ref="C107:T109"/>
    <mergeCell ref="U107:U109"/>
    <mergeCell ref="A110:A111"/>
    <mergeCell ref="B110:F110"/>
    <mergeCell ref="G110:K110"/>
    <mergeCell ref="L110:P110"/>
    <mergeCell ref="Q110:U110"/>
    <mergeCell ref="A115:E115"/>
    <mergeCell ref="G115:J115"/>
    <mergeCell ref="L115:O115"/>
    <mergeCell ref="A116:E116"/>
    <mergeCell ref="Q115:T115"/>
    <mergeCell ref="G116:J116"/>
    <mergeCell ref="L116:O116"/>
    <mergeCell ref="Q116:T116"/>
    <mergeCell ref="Q93:T93"/>
    <mergeCell ref="A94:U94"/>
    <mergeCell ref="A95:B96"/>
    <mergeCell ref="A97:B97"/>
    <mergeCell ref="C95:T97"/>
    <mergeCell ref="U95:U97"/>
    <mergeCell ref="A98:A99"/>
    <mergeCell ref="B98:F98"/>
    <mergeCell ref="G98:K98"/>
    <mergeCell ref="L98:P98"/>
    <mergeCell ref="Q98:U98"/>
    <mergeCell ref="A103:E103"/>
    <mergeCell ref="G103:J103"/>
    <mergeCell ref="L103:O103"/>
    <mergeCell ref="A104:E104"/>
    <mergeCell ref="Q103:T103"/>
    <mergeCell ref="G104:J104"/>
    <mergeCell ref="L104:O104"/>
    <mergeCell ref="Q104:T104"/>
    <mergeCell ref="Q81:T81"/>
    <mergeCell ref="A82:U82"/>
    <mergeCell ref="A83:B84"/>
    <mergeCell ref="A85:B85"/>
    <mergeCell ref="C83:T85"/>
    <mergeCell ref="U83:U85"/>
    <mergeCell ref="A86:A87"/>
    <mergeCell ref="B86:F86"/>
    <mergeCell ref="G86:K86"/>
    <mergeCell ref="L86:P86"/>
    <mergeCell ref="Q86:U86"/>
    <mergeCell ref="A91:E91"/>
    <mergeCell ref="G91:J91"/>
    <mergeCell ref="L91:O91"/>
    <mergeCell ref="A92:E92"/>
    <mergeCell ref="Q91:T91"/>
    <mergeCell ref="G92:J92"/>
    <mergeCell ref="L92:O92"/>
    <mergeCell ref="Q92:T92"/>
    <mergeCell ref="Q68:T68"/>
    <mergeCell ref="A69:U69"/>
    <mergeCell ref="A70:B71"/>
    <mergeCell ref="A72:B72"/>
    <mergeCell ref="C70:T72"/>
    <mergeCell ref="U70:U72"/>
    <mergeCell ref="A73:A74"/>
    <mergeCell ref="B73:F73"/>
    <mergeCell ref="G73:K73"/>
    <mergeCell ref="L73:P73"/>
    <mergeCell ref="Q73:U73"/>
    <mergeCell ref="A79:E79"/>
    <mergeCell ref="G79:J79"/>
    <mergeCell ref="L79:O79"/>
    <mergeCell ref="A80:E80"/>
    <mergeCell ref="Q79:T79"/>
    <mergeCell ref="G80:J80"/>
    <mergeCell ref="L80:O80"/>
    <mergeCell ref="Q80:T80"/>
    <mergeCell ref="Q57:T57"/>
    <mergeCell ref="A58:U58"/>
    <mergeCell ref="A59:B60"/>
    <mergeCell ref="A61:B61"/>
    <mergeCell ref="C59:T61"/>
    <mergeCell ref="U59:U61"/>
    <mergeCell ref="A62:A63"/>
    <mergeCell ref="B62:F62"/>
    <mergeCell ref="G62:K62"/>
    <mergeCell ref="L62:P62"/>
    <mergeCell ref="Q62:U62"/>
    <mergeCell ref="A66:E66"/>
    <mergeCell ref="G66:J66"/>
    <mergeCell ref="L66:O66"/>
    <mergeCell ref="A67:E67"/>
    <mergeCell ref="Q66:T66"/>
    <mergeCell ref="G67:J67"/>
    <mergeCell ref="L67:O67"/>
    <mergeCell ref="Q67:T67"/>
    <mergeCell ref="L45:O45"/>
    <mergeCell ref="Q45:T45"/>
    <mergeCell ref="Q46:T46"/>
    <mergeCell ref="A47:U47"/>
    <mergeCell ref="A48:B49"/>
    <mergeCell ref="A50:B50"/>
    <mergeCell ref="C48:T50"/>
    <mergeCell ref="U48:U50"/>
    <mergeCell ref="A51:A52"/>
    <mergeCell ref="B51:F51"/>
    <mergeCell ref="G51:K51"/>
    <mergeCell ref="L51:P51"/>
    <mergeCell ref="Q51:U51"/>
    <mergeCell ref="A55:E55"/>
    <mergeCell ref="G55:J55"/>
    <mergeCell ref="L55:O55"/>
    <mergeCell ref="A56:E56"/>
    <mergeCell ref="Q55:T55"/>
    <mergeCell ref="G56:J56"/>
    <mergeCell ref="L56:O56"/>
    <mergeCell ref="Q56:T56"/>
    <mergeCell ref="G3962:J3962"/>
    <mergeCell ref="L3962:O3962"/>
    <mergeCell ref="A3963:E3963"/>
    <mergeCell ref="Q3962:T3962"/>
    <mergeCell ref="G3963:J3963"/>
    <mergeCell ref="L29:P29"/>
    <mergeCell ref="Q29:U29"/>
    <mergeCell ref="A32:E32"/>
    <mergeCell ref="G32:J32"/>
    <mergeCell ref="L32:O32"/>
    <mergeCell ref="A33:E33"/>
    <mergeCell ref="Q32:T32"/>
    <mergeCell ref="G33:J33"/>
    <mergeCell ref="L33:O33"/>
    <mergeCell ref="Q33:T33"/>
    <mergeCell ref="Q34:T34"/>
    <mergeCell ref="A35:U35"/>
    <mergeCell ref="A36:B37"/>
    <mergeCell ref="A38:B38"/>
    <mergeCell ref="C36:T38"/>
    <mergeCell ref="U36:U38"/>
    <mergeCell ref="A39:A40"/>
    <mergeCell ref="B39:F39"/>
    <mergeCell ref="G39:K39"/>
    <mergeCell ref="L39:P39"/>
    <mergeCell ref="Q39:U39"/>
    <mergeCell ref="A44:E44"/>
    <mergeCell ref="G44:J44"/>
    <mergeCell ref="L44:O44"/>
    <mergeCell ref="A45:E45"/>
    <mergeCell ref="Q44:T44"/>
    <mergeCell ref="G45:J45"/>
    <mergeCell ref="G3973:J3973"/>
    <mergeCell ref="L3973:O3973"/>
    <mergeCell ref="A3974:E3974"/>
    <mergeCell ref="Q3973:T3973"/>
    <mergeCell ref="G3974:J3974"/>
    <mergeCell ref="Q4449:T4449"/>
    <mergeCell ref="A5:B6"/>
    <mergeCell ref="A7:B7"/>
    <mergeCell ref="C5:T7"/>
    <mergeCell ref="U5:U7"/>
    <mergeCell ref="A8:A9"/>
    <mergeCell ref="B8:F8"/>
    <mergeCell ref="G8:K8"/>
    <mergeCell ref="L8:P8"/>
    <mergeCell ref="Q8:U8"/>
    <mergeCell ref="A12:E12"/>
    <mergeCell ref="G12:J12"/>
    <mergeCell ref="L12:O12"/>
    <mergeCell ref="A13:E13"/>
    <mergeCell ref="Q12:T12"/>
    <mergeCell ref="G13:J13"/>
    <mergeCell ref="L13:O13"/>
    <mergeCell ref="Q13:T13"/>
    <mergeCell ref="A4181:B4182"/>
    <mergeCell ref="C4181:T4183"/>
    <mergeCell ref="U4181:U4183"/>
    <mergeCell ref="A4183:B4183"/>
    <mergeCell ref="B3957:F3957"/>
    <mergeCell ref="G3957:K3957"/>
    <mergeCell ref="L3957:P3957"/>
    <mergeCell ref="Q3957:U3957"/>
    <mergeCell ref="A3962:E3962"/>
    <mergeCell ref="C26:T28"/>
    <mergeCell ref="U26:U28"/>
    <mergeCell ref="A29:A30"/>
    <mergeCell ref="B29:F29"/>
    <mergeCell ref="G29:K29"/>
    <mergeCell ref="A4448:E4448"/>
    <mergeCell ref="Q4447:T4447"/>
    <mergeCell ref="G4448:J4448"/>
    <mergeCell ref="L4448:O4448"/>
    <mergeCell ref="Q4448:T4448"/>
    <mergeCell ref="A3940:E3940"/>
    <mergeCell ref="G3940:J3940"/>
    <mergeCell ref="L3940:O3940"/>
    <mergeCell ref="Q3940:T3940"/>
    <mergeCell ref="Q3941:T3941"/>
    <mergeCell ref="Q3964:T3964"/>
    <mergeCell ref="A3965:U3965"/>
    <mergeCell ref="Q3952:T3952"/>
    <mergeCell ref="A3953:U3953"/>
    <mergeCell ref="A3954:B3955"/>
    <mergeCell ref="A3956:B3956"/>
    <mergeCell ref="C3954:T3956"/>
    <mergeCell ref="U3954:U3956"/>
    <mergeCell ref="A3957:A3958"/>
    <mergeCell ref="C3966:T3968"/>
    <mergeCell ref="U3966:U3968"/>
    <mergeCell ref="A3969:A3970"/>
    <mergeCell ref="B3969:F3969"/>
    <mergeCell ref="G3969:K3969"/>
    <mergeCell ref="L3969:P3969"/>
    <mergeCell ref="Q3969:U3969"/>
    <mergeCell ref="A3973:E3973"/>
    <mergeCell ref="U4440:U4442"/>
    <mergeCell ref="A4443:A4444"/>
    <mergeCell ref="B4443:F4443"/>
    <mergeCell ref="G4443:K4443"/>
    <mergeCell ref="L4443:P4443"/>
    <mergeCell ref="Q4443:U4443"/>
    <mergeCell ref="A4447:E4447"/>
    <mergeCell ref="G4447:J4447"/>
    <mergeCell ref="L4447:O4447"/>
    <mergeCell ref="Q14:T14"/>
    <mergeCell ref="A15:U15"/>
    <mergeCell ref="A16:B17"/>
    <mergeCell ref="A18:B18"/>
    <mergeCell ref="C16:T18"/>
    <mergeCell ref="U16:U18"/>
    <mergeCell ref="A19:A20"/>
    <mergeCell ref="B19:F19"/>
    <mergeCell ref="G19:K19"/>
    <mergeCell ref="L19:P19"/>
    <mergeCell ref="Q19:U19"/>
    <mergeCell ref="A22:E22"/>
    <mergeCell ref="G22:J22"/>
    <mergeCell ref="L22:O22"/>
    <mergeCell ref="A23:E23"/>
    <mergeCell ref="Q22:T22"/>
    <mergeCell ref="G23:J23"/>
    <mergeCell ref="L23:O23"/>
    <mergeCell ref="Q23:T23"/>
    <mergeCell ref="Q24:T24"/>
    <mergeCell ref="A25:U25"/>
    <mergeCell ref="A26:B27"/>
    <mergeCell ref="A28:B28"/>
    <mergeCell ref="A3900:E3900"/>
    <mergeCell ref="G3900:J3900"/>
    <mergeCell ref="L3900:O3900"/>
    <mergeCell ref="Q3900:T3900"/>
    <mergeCell ref="Q3901:T3901"/>
    <mergeCell ref="A2:U2"/>
    <mergeCell ref="Q4503:T4503"/>
    <mergeCell ref="A4494:B4495"/>
    <mergeCell ref="C4494:T4496"/>
    <mergeCell ref="U4494:U4496"/>
    <mergeCell ref="A4496:B4496"/>
    <mergeCell ref="A4497:A4498"/>
    <mergeCell ref="B4497:F4497"/>
    <mergeCell ref="G4497:K4497"/>
    <mergeCell ref="L4497:P4497"/>
    <mergeCell ref="Q4497:U4497"/>
    <mergeCell ref="A4501:E4501"/>
    <mergeCell ref="G4501:J4501"/>
    <mergeCell ref="L4501:O4501"/>
    <mergeCell ref="Q4501:T4501"/>
    <mergeCell ref="A4502:E4502"/>
    <mergeCell ref="G4502:J4502"/>
    <mergeCell ref="L4502:O4502"/>
    <mergeCell ref="Q4502:T4502"/>
    <mergeCell ref="L3963:O3963"/>
    <mergeCell ref="Q3963:T3963"/>
    <mergeCell ref="A3966:B3967"/>
    <mergeCell ref="A3968:B3968"/>
    <mergeCell ref="A3:U3"/>
    <mergeCell ref="A4440:B4441"/>
    <mergeCell ref="A4442:B4442"/>
    <mergeCell ref="C4440:T4442"/>
    <mergeCell ref="A585:B586"/>
    <mergeCell ref="C585:T587"/>
    <mergeCell ref="U585:U587"/>
    <mergeCell ref="A587:B587"/>
    <mergeCell ref="A588:A589"/>
    <mergeCell ref="B588:F588"/>
    <mergeCell ref="G588:K588"/>
    <mergeCell ref="L588:P588"/>
    <mergeCell ref="Q588:U588"/>
    <mergeCell ref="A592:E592"/>
    <mergeCell ref="G592:J592"/>
    <mergeCell ref="L592:O592"/>
    <mergeCell ref="Q592:T592"/>
    <mergeCell ref="A593:E593"/>
    <mergeCell ref="G593:J593"/>
    <mergeCell ref="L593:O593"/>
    <mergeCell ref="Q593:T593"/>
    <mergeCell ref="Q606:T606"/>
    <mergeCell ref="Q594:T594"/>
    <mergeCell ref="A597:B598"/>
    <mergeCell ref="C597:T599"/>
    <mergeCell ref="U597:U599"/>
    <mergeCell ref="A599:B599"/>
    <mergeCell ref="A600:A601"/>
    <mergeCell ref="B600:F600"/>
    <mergeCell ref="G600:K600"/>
    <mergeCell ref="L600:P600"/>
    <mergeCell ref="Q600:U600"/>
    <mergeCell ref="A604:E604"/>
    <mergeCell ref="G604:J604"/>
    <mergeCell ref="L604:O604"/>
    <mergeCell ref="Q604:T604"/>
    <mergeCell ref="A605:E605"/>
    <mergeCell ref="G605:J605"/>
    <mergeCell ref="L605:O605"/>
    <mergeCell ref="Q605:T605"/>
  </mergeCells>
  <conditionalFormatting sqref="U4192 A3943:U3952 A3954:U3964 A3966:U3975 A3977:U3987 A3989:U3999 A4001:U4011 A4013:U4022 A4024:U4033 A4035:U4046 A4048:U4057 A4059:U4069 A4071:U4081 A4083:U4094 A4096:U4107 A4109:U4121 A4123:U4132 A4134:U4143 A4145:U4178 A4179:S4179 U4179 A4195:U4208 A4210:U4222 A4224:U4236 A4238:U4248 A4250:U4260 A4262:U4272 A4274:U4284 A4286:U4296 A4298:U4308 A4310:U4320 A4322:U4332 A4334:U4344 A4346:U4360 A4362:U4375 A4377:U4386 A4388:U4397 A4399:U4408 A4410:U4424 A4426:U4438 A4181:U4191 A4192:S4192 A4440:U4449 A3303:U3314 A3316:U3327 A3329:U3340 A3342:U3353 A3355:U3366 A3368:U3379 A3381:U3389 A3391:U3399 A3401:U3409 A3411:U3419 A3421:U3429 A3431:U3439 A3441:U3450 A3452:U3461 A3463:U3468 A3479:U3483 A3495:U3499 A3511:U3515 A3527:U3536 A3538:U3549 A3551:U3562 A3564:U3575 A3577:U3588 A3590:U3601 A3603:U3614 A3616:U3627 A3629:U3640 A3642:U3654 A3656:U3668 A3670:U3682 A3684:U3696 A3698:U3710 A3712:U3724 A3726:U3738 A3740:U3752 A3754:U3764 A3766:U3776 A3778:U3788 A3790:U3800 A3802:U3812 A3814:U3824 A3826:U3836 A3838:U3849 A3851:U3862 A3864:U3875 A3903:U3914 A3916:U3927 A3930:U3941 A3301:N3301 U3301 A3289:U3300 A1091:U1100 A358:U370 A1102:U1118 A1120:U1131 A95:U105 A1133:U1144 A1146:U1157 A1159:U1170 A1172:U1181 A1183:U1192 A1194:U1208 A1210:U1224 A1226:U1236 A1238:U1248 A107:U117 A1250:U1260 A1262:U1272 A1274:U1284 A1286:U1295 A1297:U1306 A1308:U1317 A1319:U1328 A1330:U1339 A1341:U1350 A1352:U1361 A1363:U1377 A119:U129 A1379:U1393 A1395:U1407 A1409:U1420 A1422:U1435 A1437:U1450 A1452:U1467 A1469:U1481 A1483:U1494 A131:U141 A1496:U1504 A1506:U1520 A1522:U1531 A1533:U1542 A1544:U1554 A1556:U1566 A1568:U1578 A5:U14 A1580:U1590 A1592:U1602 A1604:U1614 A143:U153 A1616:U1626 A1628:U1638 A1640:U1650 A1652:U1662 A1664:U1673 A1675:U1686 A1688:U1699 A1701:U1711 A1713:U1723 A1725:U1735 A155:U166 A1737:U1745 A1747:U1756 A1758:U1769 A1771:U1781 A1783:U1792 A1794:U1803 A1805:U1814 A1816:U1826 A1828:U1838 A1840:U1850 A1852:U1860 A168:U179 A1862:U1871 A1873:U1882 A1884:U1893 A1895:U1905 A1907:U1917 A1919:U1928 A1930:U1939 A1941:U1950 A1952:U1963 A1965:U1976 A1978:U1989 A181:U192 A1991:U2004 A2021:U2034 A2036:U2048 A2050:U2064 A2066:U2079 A2081:U2094 A2096:U2109 A2111:U2125 A194:U205 A2127:U2140 A2142:U2156 A2158:U2172 A2174:U2188 A2190:U2204 A2206:U2220 A2222:U2236 A2238:U2250 A207:U218 A2252:U2264 A2266:U2278 A2280:U2293 A2295:U2308 A2310:U2323 A2325:U2338 A2340:U2353 A2355:U2368 A2370:U2383 A220:U231 A2385:U2398 A2424:U2436 A2438:U2450 A2452:U2464 A2466:U2478 A2480:U2492 A2494:U2506 A2508:U2520 A233:U242 A2522:U2535 A2537:U2550 A2552:U2565 A2567:U2580 A2582:U2595 A2597:U2610 A2612:U2625 A2627:U2640 A244:U253 A2642:U2655 A2657:U2670 A2672:U2685 A2687:U2700 A16:U24 A2702:U2715 A2717:U2730 A2732:U2745 A255:U264 A2747:U2760 A2762:U2775 A2777:U2790 A2792:U2805 A2807:U2820 A2822:U2835 A2837:U2850 A266:U275 A2852:U2862 A2864:U2881 Q2910:Q2919 Q2017:Q2019 G2894:G2900 A2940:U2957 A277:U288 L2929:L2938 L2967:L2976 L2986:L2995 L3005:L3014 A3035:U3052 A3054:U3065 A3067:U3078 A3080:U3091 A290:U301 A3093:U3104 A3159:U3170 A3172:U3183 A3185:U3196 A3198:U3209 A3211:U3222 A3224:U3235 A3237:U3248 A3250:U3261 A3263:U3274 A303:U312 A314:U323 A325:U334 A336:U345 A347:U356 A26:U34 A372:U382 A384:U393 A395:U404 A428:U437 A439:U448 A450:U459 A461:U470 A36:U46 A472:U481 A483:U492 A494:U503 A505:U515 A517:U526 A528:U538 A540:U549 A551:U561 A653:U663 A48:U57 A680:U693 A695:U706 A708:U719 A721:U744 A746:U755 A757:U766 A768:U780 A59:U68 A782:U792 A794:U805 A807:U820 A822:U835 A837:U847 A849:U859 A861:U876 A878:U893 A70:U81 A895:U909 A911:U925 A927:U936 A938:U947 A949:U958 A960:U969 A971:U982 A984:U995 A997:U1008 A83:U93 A1010:U1021 A1023:U1033 A1035:U1047 A1049:U1061 A1063:U1075 A1077:U1089 A665:U678 A406:U415 A417:U426 A2400:U2422 A2006:P2019 R2006:U2019 Q2006:Q2011 A2902:K2919 L2910:L2919 L2902:L2908 M2902:P2919 R2902:U2919 Q2902:Q2908 A2883:F2900 H2883:U2900 G2883:G2891 A2921:K2938 M2921:U2938 L2921:L2927 A2959:K2976 M2959:U2976 L2959:L2965 A2978:K2995 M2978:U2995 L2978:L2984 A2997:K3014 M2997:U3014 L2997:L3003 A3016:K3033 M3016:U3033 L3016:L3022 L3024:L3033 A3276:U3287 A4453:U4464 A4466:U4478 A4480:U4491 A3475:U3477 A3469:P3474 R3469:U3474 A3491:U3493 A3484:P3490 A3507:U3509 A3500:P3506 A3523:U3525 A3516:P3522 A608:U629 A3877:U3901 A563:U606">
    <cfRule type="containsBlanks" dxfId="14" priority="98">
      <formula>LEN(TRIM(A5))=0</formula>
    </cfRule>
  </conditionalFormatting>
  <conditionalFormatting sqref="Q3484:U3484 R3485:U3490">
    <cfRule type="containsBlanks" dxfId="13" priority="6">
      <formula>LEN(TRIM(Q3484))=0</formula>
    </cfRule>
  </conditionalFormatting>
  <conditionalFormatting sqref="Q3500:U3500 R3501:U3506">
    <cfRule type="containsBlanks" dxfId="12" priority="5">
      <formula>LEN(TRIM(Q3500))=0</formula>
    </cfRule>
  </conditionalFormatting>
  <conditionalFormatting sqref="Q3516:U3516 R3517:U3522">
    <cfRule type="containsBlanks" dxfId="11" priority="4">
      <formula>LEN(TRIM(Q3516))=0</formula>
    </cfRule>
  </conditionalFormatting>
  <conditionalFormatting sqref="A630:U640 A644:U651 A641:B643 U641:U643">
    <cfRule type="containsBlanks" dxfId="10" priority="3">
      <formula>LEN(TRIM(A630))=0</formula>
    </cfRule>
  </conditionalFormatting>
  <conditionalFormatting sqref="C641:T643">
    <cfRule type="containsBlanks" dxfId="9" priority="2">
      <formula>LEN(TRIM(C641))=0</formula>
    </cfRule>
  </conditionalFormatting>
  <conditionalFormatting sqref="A3106:U3117 A3119:U3130 A3132:U3143 A3145:U3156">
    <cfRule type="containsBlanks" dxfId="8" priority="1">
      <formula>LEN(TRIM(A3106))=0</formula>
    </cfRule>
  </conditionalFormatting>
  <pageMargins left="0.3" right="0.3" top="0.5" bottom="1" header="0.3" footer="0.5"/>
  <pageSetup paperSize="9" scale="52" orientation="landscape" useFirstPageNumber="1" r:id="rId1"/>
  <headerFooter>
    <oddHeader>&amp;C Fiscal Year: 2078/79&amp;R Page &amp;P of &amp;N</oddHeader>
  </headerFooter>
  <rowBreaks count="81" manualBreakCount="81">
    <brk id="47" max="20" man="1"/>
    <brk id="94" max="20" man="1"/>
    <brk id="130" max="20" man="1"/>
    <brk id="167" max="20" man="1"/>
    <brk id="206" max="20" man="1"/>
    <brk id="254" max="20" man="1"/>
    <brk id="302" max="20" man="1"/>
    <brk id="346" max="20" man="1"/>
    <brk id="394" max="20" man="1"/>
    <brk id="550" max="20" man="1"/>
    <brk id="664" max="20" man="1"/>
    <brk id="707" max="20" man="1"/>
    <brk id="756" max="20" man="1"/>
    <brk id="806" max="20" man="1"/>
    <brk id="959" max="20" man="1"/>
    <brk id="1009" max="20" man="1"/>
    <brk id="1101" max="20" man="1"/>
    <brk id="1145" max="20" man="1"/>
    <brk id="1193" max="20" man="1"/>
    <brk id="1237" max="20" man="1"/>
    <brk id="1273" max="20" man="1"/>
    <brk id="1318" max="20" man="1"/>
    <brk id="1362" max="20" man="1"/>
    <brk id="1408" max="20" man="1"/>
    <brk id="1451" max="20" man="1"/>
    <brk id="1495" max="20" man="1"/>
    <brk id="1591" max="20" man="1"/>
    <brk id="1639" max="20" man="1"/>
    <brk id="1687" max="20" man="1"/>
    <brk id="1736" max="20" man="1"/>
    <brk id="1782" max="20" man="1"/>
    <brk id="1827" max="20" man="1"/>
    <brk id="1872" max="20" man="1"/>
    <brk id="1918" max="20" man="1"/>
    <brk id="1951" max="20" man="1"/>
    <brk id="1990" max="20" man="1"/>
    <brk id="2035" max="20" man="1"/>
    <brk id="2080" max="20" man="1"/>
    <brk id="2157" max="20" man="1"/>
    <brk id="2221" max="20" man="1"/>
    <brk id="2251" max="20" man="1"/>
    <brk id="2279" max="20" man="1"/>
    <brk id="2309" max="20" man="1"/>
    <brk id="2339" max="20" man="1"/>
    <brk id="2369" max="20" man="1"/>
    <brk id="2399" max="20" man="1"/>
    <brk id="2493" max="20" man="1"/>
    <brk id="2536" max="20" man="1"/>
    <brk id="2581" max="20" man="1"/>
    <brk id="2626" max="20" man="1"/>
    <brk id="2671" max="20" man="1"/>
    <brk id="2716" max="20" man="1"/>
    <brk id="2761" max="20" man="1"/>
    <brk id="2806" max="20" man="1"/>
    <brk id="2851" max="20" man="1"/>
    <brk id="2882" max="20" man="1"/>
    <brk id="2920" max="20" man="1"/>
    <brk id="3034" max="20" man="1"/>
    <brk id="3288" max="20" man="1"/>
    <brk id="3390" max="20" man="1"/>
    <brk id="3430" max="20" man="1"/>
    <brk id="3478" max="20" man="1"/>
    <brk id="3526" max="20" man="1"/>
    <brk id="3576" max="20" man="1"/>
    <brk id="3628" max="20" man="1"/>
    <brk id="3669" max="20" man="1"/>
    <brk id="3711" max="20" man="1"/>
    <brk id="3753" max="20" man="1"/>
    <brk id="3801" max="20" man="1"/>
    <brk id="3850" max="20" man="1"/>
    <brk id="4000" max="20" man="1"/>
    <brk id="4047" max="20" man="1"/>
    <brk id="4095" max="20" man="1"/>
    <brk id="4133" max="20" man="1"/>
    <brk id="4180" max="20" man="1"/>
    <brk id="4223" max="20" man="1"/>
    <brk id="4309" max="20" man="1"/>
    <brk id="4345" max="20" man="1"/>
    <brk id="4376" max="20" man="1"/>
    <brk id="4425" max="20" man="1"/>
    <brk id="4478" max="20"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topLeftCell="A103" workbookViewId="0">
      <selection activeCell="K20" sqref="K20"/>
    </sheetView>
  </sheetViews>
  <sheetFormatPr defaultColWidth="9.140625" defaultRowHeight="15" x14ac:dyDescent="0.25"/>
  <cols>
    <col min="1" max="1" width="9.140625" style="259"/>
    <col min="2" max="2" width="6.140625" style="259" customWidth="1"/>
    <col min="3" max="3" width="9.140625" style="259"/>
    <col min="4" max="4" width="11.7109375" style="259" customWidth="1"/>
    <col min="5" max="7" width="9.140625" style="259"/>
    <col min="8" max="8" width="19.140625" style="259" customWidth="1"/>
    <col min="9" max="9" width="4.140625" style="259" customWidth="1"/>
    <col min="10" max="10" width="10.140625" style="259" customWidth="1"/>
    <col min="11" max="16384" width="9.140625" style="259"/>
  </cols>
  <sheetData>
    <row r="1" spans="1:13" ht="15.75" x14ac:dyDescent="0.25">
      <c r="D1" s="646" t="s">
        <v>2297</v>
      </c>
      <c r="E1" s="646"/>
      <c r="F1" s="646"/>
      <c r="G1" s="646"/>
      <c r="H1" s="646"/>
      <c r="I1" s="646"/>
      <c r="J1" s="646"/>
    </row>
    <row r="2" spans="1:13" ht="15.75" x14ac:dyDescent="0.25">
      <c r="D2" s="282"/>
      <c r="E2" s="282"/>
      <c r="F2" s="282"/>
      <c r="G2" s="282"/>
      <c r="H2" s="282"/>
      <c r="I2" s="282"/>
      <c r="J2" s="282"/>
    </row>
    <row r="3" spans="1:13" ht="15.75" x14ac:dyDescent="0.25">
      <c r="A3" s="283" t="s">
        <v>2298</v>
      </c>
      <c r="B3" s="284"/>
      <c r="C3" s="285"/>
      <c r="D3" s="282"/>
      <c r="E3" s="285" t="s">
        <v>2299</v>
      </c>
      <c r="F3" s="282"/>
      <c r="G3" s="282"/>
      <c r="H3" s="282"/>
      <c r="I3" s="282"/>
      <c r="J3" s="282"/>
      <c r="K3" s="285"/>
      <c r="L3" s="285"/>
      <c r="M3" s="285"/>
    </row>
    <row r="4" spans="1:13" ht="15.75" thickBot="1" x14ac:dyDescent="0.3">
      <c r="A4" s="285" t="s">
        <v>2300</v>
      </c>
      <c r="B4" s="285"/>
      <c r="C4" s="285"/>
      <c r="D4" s="285"/>
      <c r="E4" s="285"/>
      <c r="F4" s="285"/>
      <c r="G4" s="285"/>
      <c r="H4" s="285"/>
      <c r="I4" s="285"/>
      <c r="J4" s="285"/>
      <c r="K4" s="285"/>
      <c r="L4" s="285"/>
      <c r="M4" s="285"/>
    </row>
    <row r="5" spans="1:13" x14ac:dyDescent="0.25">
      <c r="A5" s="641" t="s">
        <v>2301</v>
      </c>
      <c r="B5" s="643" t="s">
        <v>2302</v>
      </c>
      <c r="C5" s="645" t="s">
        <v>18</v>
      </c>
      <c r="D5" s="645"/>
      <c r="E5" s="645"/>
      <c r="F5" s="645"/>
      <c r="G5" s="645"/>
      <c r="H5" s="645" t="s">
        <v>2177</v>
      </c>
      <c r="I5" s="645"/>
      <c r="J5" s="645"/>
      <c r="K5" s="645"/>
      <c r="L5" s="645"/>
      <c r="M5" s="629" t="s">
        <v>1309</v>
      </c>
    </row>
    <row r="6" spans="1:13" ht="25.5" x14ac:dyDescent="0.25">
      <c r="A6" s="642"/>
      <c r="B6" s="644"/>
      <c r="C6" s="286" t="s">
        <v>2303</v>
      </c>
      <c r="D6" s="286" t="s">
        <v>20</v>
      </c>
      <c r="E6" s="286" t="s">
        <v>2304</v>
      </c>
      <c r="F6" s="287" t="s">
        <v>2305</v>
      </c>
      <c r="G6" s="287" t="s">
        <v>2306</v>
      </c>
      <c r="H6" s="286" t="s">
        <v>19</v>
      </c>
      <c r="I6" s="286" t="s">
        <v>20</v>
      </c>
      <c r="J6" s="286" t="s">
        <v>2304</v>
      </c>
      <c r="K6" s="287" t="s">
        <v>2305</v>
      </c>
      <c r="L6" s="287" t="s">
        <v>2306</v>
      </c>
      <c r="M6" s="630"/>
    </row>
    <row r="7" spans="1:13" ht="39" x14ac:dyDescent="0.25">
      <c r="A7" s="288"/>
      <c r="B7" s="289"/>
      <c r="C7" s="290" t="s">
        <v>47</v>
      </c>
      <c r="D7" s="290" t="s">
        <v>2307</v>
      </c>
      <c r="E7" s="291">
        <v>1</v>
      </c>
      <c r="F7" s="290">
        <f>skilled_mason</f>
        <v>1245</v>
      </c>
      <c r="G7" s="290">
        <f>E7*F7</f>
        <v>1245</v>
      </c>
      <c r="H7" s="292" t="s">
        <v>2308</v>
      </c>
      <c r="I7" s="293" t="s">
        <v>463</v>
      </c>
      <c r="J7" s="290">
        <v>30</v>
      </c>
      <c r="K7" s="290">
        <f>District_Rate!D132</f>
        <v>1112</v>
      </c>
      <c r="L7" s="290">
        <f>J7*K7</f>
        <v>33360</v>
      </c>
      <c r="M7" s="294"/>
    </row>
    <row r="8" spans="1:13" x14ac:dyDescent="0.25">
      <c r="A8" s="295"/>
      <c r="B8" s="286"/>
      <c r="C8" s="290" t="s">
        <v>29</v>
      </c>
      <c r="D8" s="290" t="s">
        <v>2307</v>
      </c>
      <c r="E8" s="290">
        <v>1</v>
      </c>
      <c r="F8" s="290">
        <f>unskilled</f>
        <v>935</v>
      </c>
      <c r="G8" s="290">
        <f>E8*F8</f>
        <v>935</v>
      </c>
      <c r="H8" s="292" t="s">
        <v>2309</v>
      </c>
      <c r="I8" s="290" t="s">
        <v>2310</v>
      </c>
      <c r="J8" s="631" t="s">
        <v>2311</v>
      </c>
      <c r="K8" s="632"/>
      <c r="L8" s="290">
        <f>G9*3%</f>
        <v>65.399999999999991</v>
      </c>
      <c r="M8" s="294"/>
    </row>
    <row r="9" spans="1:13" ht="15.75" thickBot="1" x14ac:dyDescent="0.3">
      <c r="A9" s="296"/>
      <c r="B9" s="297"/>
      <c r="C9" s="633" t="s">
        <v>2312</v>
      </c>
      <c r="D9" s="634"/>
      <c r="E9" s="634"/>
      <c r="F9" s="635"/>
      <c r="G9" s="298">
        <f>SUM(G7:G8)</f>
        <v>2180</v>
      </c>
      <c r="H9" s="636" t="s">
        <v>2313</v>
      </c>
      <c r="I9" s="637"/>
      <c r="J9" s="637"/>
      <c r="K9" s="638"/>
      <c r="L9" s="298">
        <f>SUM(L7:L8)</f>
        <v>33425.4</v>
      </c>
      <c r="M9" s="299"/>
    </row>
    <row r="10" spans="1:13" ht="15.75" thickBot="1" x14ac:dyDescent="0.3">
      <c r="A10" s="285"/>
      <c r="B10" s="285"/>
      <c r="C10" s="300"/>
      <c r="D10" s="300"/>
      <c r="E10" s="300"/>
      <c r="F10" s="300"/>
      <c r="G10" s="301" t="s">
        <v>2314</v>
      </c>
      <c r="H10" s="302"/>
      <c r="I10" s="303" t="s">
        <v>2315</v>
      </c>
      <c r="J10" s="304">
        <f>G9+L9</f>
        <v>35605.4</v>
      </c>
      <c r="K10" s="305"/>
      <c r="L10" s="305"/>
      <c r="M10" s="306"/>
    </row>
    <row r="11" spans="1:13" ht="15.75" thickBot="1" x14ac:dyDescent="0.3">
      <c r="A11" s="285"/>
      <c r="B11" s="285"/>
      <c r="C11" s="639" t="s">
        <v>2316</v>
      </c>
      <c r="D11" s="639"/>
      <c r="E11" s="639"/>
      <c r="F11" s="639"/>
      <c r="G11" s="639"/>
      <c r="H11" s="639"/>
      <c r="I11" s="305" t="s">
        <v>2315</v>
      </c>
      <c r="J11" s="305">
        <f>J10*0.15</f>
        <v>5340.81</v>
      </c>
      <c r="K11" s="305"/>
      <c r="L11" s="305"/>
      <c r="M11" s="306"/>
    </row>
    <row r="12" spans="1:13" ht="15.75" thickBot="1" x14ac:dyDescent="0.3">
      <c r="A12" s="285"/>
      <c r="B12" s="285"/>
      <c r="C12" s="307"/>
      <c r="D12" s="308"/>
      <c r="E12" s="308"/>
      <c r="F12" s="308"/>
      <c r="G12" s="309"/>
      <c r="H12" s="310" t="s">
        <v>2317</v>
      </c>
      <c r="I12" s="311" t="s">
        <v>2315</v>
      </c>
      <c r="J12" s="312">
        <f>SUM(J10:J11)</f>
        <v>40946.21</v>
      </c>
      <c r="K12" s="313"/>
      <c r="L12" s="314"/>
      <c r="M12" s="285"/>
    </row>
    <row r="13" spans="1:13" x14ac:dyDescent="0.25">
      <c r="G13" s="640" t="s">
        <v>2318</v>
      </c>
      <c r="H13" s="640"/>
      <c r="I13" s="270"/>
      <c r="J13" s="270">
        <f>ROUND(J12/30,2)</f>
        <v>1364.87</v>
      </c>
    </row>
    <row r="14" spans="1:13" x14ac:dyDescent="0.25">
      <c r="G14" s="628" t="s">
        <v>2319</v>
      </c>
      <c r="H14" s="628"/>
      <c r="I14" s="315"/>
      <c r="J14" s="315">
        <f>ROUND(J13/1.15,2)</f>
        <v>1186.8399999999999</v>
      </c>
    </row>
    <row r="15" spans="1:13" ht="15.75" x14ac:dyDescent="0.25">
      <c r="D15" s="282"/>
      <c r="E15" s="282"/>
      <c r="F15" s="282"/>
      <c r="G15" s="282"/>
      <c r="H15" s="282"/>
      <c r="I15" s="282"/>
      <c r="J15" s="282"/>
    </row>
    <row r="16" spans="1:13" ht="15.75" x14ac:dyDescent="0.25">
      <c r="A16" s="283" t="s">
        <v>2320</v>
      </c>
      <c r="B16" s="284"/>
      <c r="C16" s="285"/>
      <c r="D16" s="282"/>
      <c r="E16" s="285" t="s">
        <v>2299</v>
      </c>
      <c r="F16" s="282"/>
      <c r="G16" s="282"/>
      <c r="H16" s="282"/>
      <c r="I16" s="282"/>
      <c r="J16" s="282"/>
      <c r="K16" s="285"/>
      <c r="L16" s="285"/>
      <c r="M16" s="285"/>
    </row>
    <row r="17" spans="1:13" ht="15.75" thickBot="1" x14ac:dyDescent="0.3">
      <c r="A17" s="285" t="s">
        <v>2300</v>
      </c>
      <c r="B17" s="285"/>
      <c r="C17" s="285"/>
      <c r="D17" s="285"/>
      <c r="E17" s="285"/>
      <c r="F17" s="285"/>
      <c r="G17" s="285"/>
      <c r="H17" s="285"/>
      <c r="I17" s="285"/>
      <c r="J17" s="285"/>
      <c r="K17" s="285"/>
      <c r="L17" s="285"/>
      <c r="M17" s="285"/>
    </row>
    <row r="18" spans="1:13" x14ac:dyDescent="0.25">
      <c r="A18" s="641" t="s">
        <v>2301</v>
      </c>
      <c r="B18" s="643" t="s">
        <v>2302</v>
      </c>
      <c r="C18" s="645" t="s">
        <v>18</v>
      </c>
      <c r="D18" s="645"/>
      <c r="E18" s="645"/>
      <c r="F18" s="645"/>
      <c r="G18" s="645"/>
      <c r="H18" s="645" t="s">
        <v>2177</v>
      </c>
      <c r="I18" s="645"/>
      <c r="J18" s="645"/>
      <c r="K18" s="645"/>
      <c r="L18" s="645"/>
      <c r="M18" s="629" t="s">
        <v>1309</v>
      </c>
    </row>
    <row r="19" spans="1:13" ht="25.5" x14ac:dyDescent="0.25">
      <c r="A19" s="642"/>
      <c r="B19" s="644"/>
      <c r="C19" s="286" t="s">
        <v>2303</v>
      </c>
      <c r="D19" s="286" t="s">
        <v>20</v>
      </c>
      <c r="E19" s="286" t="s">
        <v>2304</v>
      </c>
      <c r="F19" s="287" t="s">
        <v>2305</v>
      </c>
      <c r="G19" s="287" t="s">
        <v>2306</v>
      </c>
      <c r="H19" s="286" t="s">
        <v>19</v>
      </c>
      <c r="I19" s="286" t="s">
        <v>20</v>
      </c>
      <c r="J19" s="286" t="s">
        <v>2304</v>
      </c>
      <c r="K19" s="287" t="s">
        <v>2305</v>
      </c>
      <c r="L19" s="287" t="s">
        <v>2306</v>
      </c>
      <c r="M19" s="630"/>
    </row>
    <row r="20" spans="1:13" ht="39" x14ac:dyDescent="0.25">
      <c r="A20" s="288"/>
      <c r="B20" s="289"/>
      <c r="C20" s="290" t="s">
        <v>47</v>
      </c>
      <c r="D20" s="290" t="s">
        <v>2307</v>
      </c>
      <c r="E20" s="291">
        <v>1</v>
      </c>
      <c r="F20" s="290">
        <f>skilled_mason</f>
        <v>1245</v>
      </c>
      <c r="G20" s="290">
        <f>E20*F20</f>
        <v>1245</v>
      </c>
      <c r="H20" s="292" t="s">
        <v>2321</v>
      </c>
      <c r="I20" s="293" t="s">
        <v>463</v>
      </c>
      <c r="J20" s="290">
        <v>30</v>
      </c>
      <c r="K20" s="290">
        <f>District_Rate!D133</f>
        <v>1668</v>
      </c>
      <c r="L20" s="290">
        <f>J20*K20</f>
        <v>50040</v>
      </c>
      <c r="M20" s="294"/>
    </row>
    <row r="21" spans="1:13" x14ac:dyDescent="0.25">
      <c r="A21" s="295"/>
      <c r="B21" s="286"/>
      <c r="C21" s="290" t="s">
        <v>29</v>
      </c>
      <c r="D21" s="290" t="s">
        <v>2307</v>
      </c>
      <c r="E21" s="290">
        <v>2</v>
      </c>
      <c r="F21" s="290">
        <f>unskilled</f>
        <v>935</v>
      </c>
      <c r="G21" s="290">
        <f>E21*F21</f>
        <v>1870</v>
      </c>
      <c r="H21" s="292" t="s">
        <v>2309</v>
      </c>
      <c r="I21" s="290" t="s">
        <v>2310</v>
      </c>
      <c r="J21" s="631" t="s">
        <v>2311</v>
      </c>
      <c r="K21" s="632"/>
      <c r="L21" s="290">
        <f>G22*3%</f>
        <v>93.45</v>
      </c>
      <c r="M21" s="294"/>
    </row>
    <row r="22" spans="1:13" ht="15.75" thickBot="1" x14ac:dyDescent="0.3">
      <c r="A22" s="296"/>
      <c r="B22" s="297"/>
      <c r="C22" s="633" t="s">
        <v>2312</v>
      </c>
      <c r="D22" s="634"/>
      <c r="E22" s="634"/>
      <c r="F22" s="635"/>
      <c r="G22" s="298">
        <f>SUM(G20:G21)</f>
        <v>3115</v>
      </c>
      <c r="H22" s="636" t="s">
        <v>2313</v>
      </c>
      <c r="I22" s="637"/>
      <c r="J22" s="637"/>
      <c r="K22" s="638"/>
      <c r="L22" s="298">
        <f>SUM(L20:L21)</f>
        <v>50133.45</v>
      </c>
      <c r="M22" s="299"/>
    </row>
    <row r="23" spans="1:13" ht="15.75" thickBot="1" x14ac:dyDescent="0.3">
      <c r="A23" s="285"/>
      <c r="B23" s="285"/>
      <c r="C23" s="300"/>
      <c r="D23" s="300"/>
      <c r="E23" s="300"/>
      <c r="F23" s="300"/>
      <c r="G23" s="301" t="s">
        <v>2314</v>
      </c>
      <c r="H23" s="302"/>
      <c r="I23" s="303" t="s">
        <v>2315</v>
      </c>
      <c r="J23" s="304">
        <f>G22+L22</f>
        <v>53248.45</v>
      </c>
      <c r="K23" s="305"/>
      <c r="L23" s="305"/>
      <c r="M23" s="306"/>
    </row>
    <row r="24" spans="1:13" ht="15.75" thickBot="1" x14ac:dyDescent="0.3">
      <c r="A24" s="285"/>
      <c r="B24" s="285"/>
      <c r="C24" s="639" t="s">
        <v>2316</v>
      </c>
      <c r="D24" s="639"/>
      <c r="E24" s="639"/>
      <c r="F24" s="639"/>
      <c r="G24" s="639"/>
      <c r="H24" s="639"/>
      <c r="I24" s="305" t="s">
        <v>2315</v>
      </c>
      <c r="J24" s="305">
        <f>J23*0.15</f>
        <v>7987.267499999999</v>
      </c>
      <c r="K24" s="305"/>
      <c r="L24" s="305"/>
      <c r="M24" s="306"/>
    </row>
    <row r="25" spans="1:13" ht="15.75" thickBot="1" x14ac:dyDescent="0.3">
      <c r="A25" s="285"/>
      <c r="B25" s="285"/>
      <c r="C25" s="307"/>
      <c r="D25" s="308"/>
      <c r="E25" s="308"/>
      <c r="F25" s="308"/>
      <c r="G25" s="309"/>
      <c r="H25" s="310" t="s">
        <v>2317</v>
      </c>
      <c r="I25" s="311" t="s">
        <v>2315</v>
      </c>
      <c r="J25" s="312">
        <f>SUM(J23:J24)</f>
        <v>61235.717499999999</v>
      </c>
      <c r="K25" s="313"/>
      <c r="L25" s="314"/>
      <c r="M25" s="285"/>
    </row>
    <row r="26" spans="1:13" x14ac:dyDescent="0.25">
      <c r="G26" s="640" t="s">
        <v>2318</v>
      </c>
      <c r="H26" s="640"/>
      <c r="I26" s="270"/>
      <c r="J26" s="270">
        <f>ROUND(J25/30,2)</f>
        <v>2041.19</v>
      </c>
    </row>
    <row r="27" spans="1:13" x14ac:dyDescent="0.25">
      <c r="G27" s="628" t="s">
        <v>2319</v>
      </c>
      <c r="H27" s="628"/>
      <c r="I27" s="315"/>
      <c r="J27" s="315">
        <f>ROUND(J26/1.15,2)</f>
        <v>1774.95</v>
      </c>
    </row>
    <row r="28" spans="1:13" x14ac:dyDescent="0.25">
      <c r="G28" s="316"/>
      <c r="H28" s="316"/>
      <c r="I28" s="317"/>
      <c r="J28" s="317"/>
    </row>
    <row r="29" spans="1:13" ht="15.75" x14ac:dyDescent="0.25">
      <c r="A29" s="283" t="s">
        <v>2322</v>
      </c>
      <c r="B29" s="284"/>
      <c r="C29" s="285"/>
      <c r="D29" s="282"/>
      <c r="E29" s="285" t="s">
        <v>2299</v>
      </c>
      <c r="F29" s="282"/>
      <c r="G29" s="282"/>
      <c r="H29" s="282"/>
      <c r="I29" s="282"/>
      <c r="J29" s="282"/>
      <c r="K29" s="285"/>
      <c r="L29" s="285"/>
      <c r="M29" s="285"/>
    </row>
    <row r="30" spans="1:13" ht="15.75" thickBot="1" x14ac:dyDescent="0.3">
      <c r="A30" s="285" t="s">
        <v>2300</v>
      </c>
      <c r="B30" s="285"/>
      <c r="C30" s="285"/>
      <c r="D30" s="285"/>
      <c r="E30" s="285"/>
      <c r="F30" s="285"/>
      <c r="G30" s="285"/>
      <c r="H30" s="285"/>
      <c r="I30" s="285"/>
      <c r="J30" s="285"/>
      <c r="K30" s="285"/>
      <c r="L30" s="285"/>
      <c r="M30" s="285"/>
    </row>
    <row r="31" spans="1:13" x14ac:dyDescent="0.25">
      <c r="A31" s="641" t="s">
        <v>2301</v>
      </c>
      <c r="B31" s="643" t="s">
        <v>2302</v>
      </c>
      <c r="C31" s="645" t="s">
        <v>18</v>
      </c>
      <c r="D31" s="645"/>
      <c r="E31" s="645"/>
      <c r="F31" s="645"/>
      <c r="G31" s="645"/>
      <c r="H31" s="645" t="s">
        <v>2177</v>
      </c>
      <c r="I31" s="645"/>
      <c r="J31" s="645"/>
      <c r="K31" s="645"/>
      <c r="L31" s="645"/>
      <c r="M31" s="629" t="s">
        <v>1309</v>
      </c>
    </row>
    <row r="32" spans="1:13" ht="25.5" x14ac:dyDescent="0.25">
      <c r="A32" s="642"/>
      <c r="B32" s="644"/>
      <c r="C32" s="286" t="s">
        <v>2303</v>
      </c>
      <c r="D32" s="286" t="s">
        <v>20</v>
      </c>
      <c r="E32" s="286" t="s">
        <v>2304</v>
      </c>
      <c r="F32" s="287" t="s">
        <v>2305</v>
      </c>
      <c r="G32" s="287" t="s">
        <v>2306</v>
      </c>
      <c r="H32" s="286" t="s">
        <v>19</v>
      </c>
      <c r="I32" s="286" t="s">
        <v>20</v>
      </c>
      <c r="J32" s="286" t="s">
        <v>2304</v>
      </c>
      <c r="K32" s="287" t="s">
        <v>2305</v>
      </c>
      <c r="L32" s="287" t="s">
        <v>2306</v>
      </c>
      <c r="M32" s="630"/>
    </row>
    <row r="33" spans="1:13" ht="39" x14ac:dyDescent="0.25">
      <c r="A33" s="288"/>
      <c r="B33" s="289"/>
      <c r="C33" s="290" t="s">
        <v>47</v>
      </c>
      <c r="D33" s="290" t="s">
        <v>2307</v>
      </c>
      <c r="E33" s="291">
        <v>1</v>
      </c>
      <c r="F33" s="290">
        <f>skilled_mason</f>
        <v>1245</v>
      </c>
      <c r="G33" s="290">
        <f>E33*F33</f>
        <v>1245</v>
      </c>
      <c r="H33" s="292" t="s">
        <v>2323</v>
      </c>
      <c r="I33" s="293" t="s">
        <v>463</v>
      </c>
      <c r="J33" s="290">
        <v>30</v>
      </c>
      <c r="K33" s="290">
        <f>District_Rate!D134</f>
        <v>2113</v>
      </c>
      <c r="L33" s="290">
        <f>J33*K33</f>
        <v>63390</v>
      </c>
      <c r="M33" s="294"/>
    </row>
    <row r="34" spans="1:13" x14ac:dyDescent="0.25">
      <c r="A34" s="295"/>
      <c r="B34" s="286"/>
      <c r="C34" s="290" t="s">
        <v>29</v>
      </c>
      <c r="D34" s="290" t="s">
        <v>2307</v>
      </c>
      <c r="E34" s="290">
        <v>3</v>
      </c>
      <c r="F34" s="290">
        <f>unskilled</f>
        <v>935</v>
      </c>
      <c r="G34" s="290">
        <f>E34*F34</f>
        <v>2805</v>
      </c>
      <c r="H34" s="292" t="s">
        <v>2309</v>
      </c>
      <c r="I34" s="290" t="s">
        <v>2310</v>
      </c>
      <c r="J34" s="631" t="s">
        <v>2311</v>
      </c>
      <c r="K34" s="632"/>
      <c r="L34" s="290">
        <f>G35*3%</f>
        <v>121.5</v>
      </c>
      <c r="M34" s="294"/>
    </row>
    <row r="35" spans="1:13" ht="15.75" thickBot="1" x14ac:dyDescent="0.3">
      <c r="A35" s="296"/>
      <c r="B35" s="297"/>
      <c r="C35" s="633" t="s">
        <v>2312</v>
      </c>
      <c r="D35" s="634"/>
      <c r="E35" s="634"/>
      <c r="F35" s="635"/>
      <c r="G35" s="298">
        <f>SUM(G33:G34)</f>
        <v>4050</v>
      </c>
      <c r="H35" s="636" t="s">
        <v>2313</v>
      </c>
      <c r="I35" s="637"/>
      <c r="J35" s="637"/>
      <c r="K35" s="638"/>
      <c r="L35" s="298">
        <f>SUM(L33:L34)</f>
        <v>63511.5</v>
      </c>
      <c r="M35" s="299"/>
    </row>
    <row r="36" spans="1:13" ht="15.75" thickBot="1" x14ac:dyDescent="0.3">
      <c r="A36" s="285"/>
      <c r="B36" s="285"/>
      <c r="C36" s="300"/>
      <c r="D36" s="300"/>
      <c r="E36" s="300"/>
      <c r="F36" s="300"/>
      <c r="G36" s="301" t="s">
        <v>2314</v>
      </c>
      <c r="H36" s="302"/>
      <c r="I36" s="303" t="s">
        <v>2315</v>
      </c>
      <c r="J36" s="304">
        <f>G35+L35</f>
        <v>67561.5</v>
      </c>
      <c r="K36" s="305"/>
      <c r="L36" s="305"/>
      <c r="M36" s="306"/>
    </row>
    <row r="37" spans="1:13" ht="15.75" thickBot="1" x14ac:dyDescent="0.3">
      <c r="A37" s="285"/>
      <c r="B37" s="285"/>
      <c r="C37" s="639" t="s">
        <v>2316</v>
      </c>
      <c r="D37" s="639"/>
      <c r="E37" s="639"/>
      <c r="F37" s="639"/>
      <c r="G37" s="639"/>
      <c r="H37" s="639"/>
      <c r="I37" s="305" t="s">
        <v>2315</v>
      </c>
      <c r="J37" s="305">
        <f>J36*0.15</f>
        <v>10134.225</v>
      </c>
      <c r="K37" s="305"/>
      <c r="L37" s="305"/>
      <c r="M37" s="306"/>
    </row>
    <row r="38" spans="1:13" ht="15.75" thickBot="1" x14ac:dyDescent="0.3">
      <c r="A38" s="285"/>
      <c r="B38" s="285"/>
      <c r="C38" s="307"/>
      <c r="D38" s="308"/>
      <c r="E38" s="308"/>
      <c r="F38" s="308"/>
      <c r="G38" s="309"/>
      <c r="H38" s="310" t="s">
        <v>2317</v>
      </c>
      <c r="I38" s="311" t="s">
        <v>2315</v>
      </c>
      <c r="J38" s="312">
        <f>SUM(J36:J37)</f>
        <v>77695.725000000006</v>
      </c>
      <c r="K38" s="313"/>
      <c r="L38" s="314"/>
      <c r="M38" s="285"/>
    </row>
    <row r="39" spans="1:13" x14ac:dyDescent="0.25">
      <c r="G39" s="640" t="s">
        <v>2318</v>
      </c>
      <c r="H39" s="640"/>
      <c r="I39" s="270"/>
      <c r="J39" s="270">
        <f>ROUND(J38/30,2)</f>
        <v>2589.86</v>
      </c>
    </row>
    <row r="40" spans="1:13" x14ac:dyDescent="0.25">
      <c r="G40" s="628" t="s">
        <v>2319</v>
      </c>
      <c r="H40" s="628"/>
      <c r="I40" s="315"/>
      <c r="J40" s="315">
        <f>ROUND(J39/1.15,2)</f>
        <v>2252.0500000000002</v>
      </c>
    </row>
    <row r="42" spans="1:13" ht="15.75" x14ac:dyDescent="0.25">
      <c r="A42" s="283" t="s">
        <v>2324</v>
      </c>
      <c r="B42" s="284"/>
      <c r="C42" s="285"/>
      <c r="D42" s="282"/>
      <c r="E42" s="285" t="s">
        <v>2299</v>
      </c>
      <c r="F42" s="282"/>
      <c r="G42" s="282"/>
      <c r="H42" s="282"/>
      <c r="I42" s="282"/>
      <c r="J42" s="282"/>
      <c r="K42" s="285"/>
      <c r="L42" s="285"/>
      <c r="M42" s="285"/>
    </row>
    <row r="43" spans="1:13" ht="15.75" thickBot="1" x14ac:dyDescent="0.3">
      <c r="A43" s="285" t="s">
        <v>2300</v>
      </c>
      <c r="B43" s="285"/>
      <c r="C43" s="285"/>
      <c r="D43" s="285"/>
      <c r="E43" s="285"/>
      <c r="F43" s="285"/>
      <c r="G43" s="285"/>
      <c r="H43" s="285"/>
      <c r="I43" s="285"/>
      <c r="J43" s="285"/>
      <c r="K43" s="285"/>
      <c r="L43" s="285"/>
      <c r="M43" s="285"/>
    </row>
    <row r="44" spans="1:13" x14ac:dyDescent="0.25">
      <c r="A44" s="641" t="s">
        <v>2301</v>
      </c>
      <c r="B44" s="643" t="s">
        <v>2302</v>
      </c>
      <c r="C44" s="645" t="s">
        <v>18</v>
      </c>
      <c r="D44" s="645"/>
      <c r="E44" s="645"/>
      <c r="F44" s="645"/>
      <c r="G44" s="645"/>
      <c r="H44" s="645" t="s">
        <v>2177</v>
      </c>
      <c r="I44" s="645"/>
      <c r="J44" s="645"/>
      <c r="K44" s="645"/>
      <c r="L44" s="645"/>
      <c r="M44" s="629" t="s">
        <v>1309</v>
      </c>
    </row>
    <row r="45" spans="1:13" ht="25.5" x14ac:dyDescent="0.25">
      <c r="A45" s="642"/>
      <c r="B45" s="644"/>
      <c r="C45" s="286" t="s">
        <v>2303</v>
      </c>
      <c r="D45" s="286" t="s">
        <v>20</v>
      </c>
      <c r="E45" s="286" t="s">
        <v>2304</v>
      </c>
      <c r="F45" s="287" t="s">
        <v>2305</v>
      </c>
      <c r="G45" s="287" t="s">
        <v>2306</v>
      </c>
      <c r="H45" s="286" t="s">
        <v>19</v>
      </c>
      <c r="I45" s="286" t="s">
        <v>20</v>
      </c>
      <c r="J45" s="286" t="s">
        <v>2304</v>
      </c>
      <c r="K45" s="287" t="s">
        <v>2305</v>
      </c>
      <c r="L45" s="287" t="s">
        <v>2306</v>
      </c>
      <c r="M45" s="630"/>
    </row>
    <row r="46" spans="1:13" ht="39" x14ac:dyDescent="0.25">
      <c r="A46" s="288"/>
      <c r="B46" s="289"/>
      <c r="C46" s="290" t="s">
        <v>47</v>
      </c>
      <c r="D46" s="290" t="s">
        <v>2307</v>
      </c>
      <c r="E46" s="291">
        <v>1</v>
      </c>
      <c r="F46" s="290">
        <f>skilled_mason</f>
        <v>1245</v>
      </c>
      <c r="G46" s="290">
        <f>E46*F46</f>
        <v>1245</v>
      </c>
      <c r="H46" s="292" t="s">
        <v>2325</v>
      </c>
      <c r="I46" s="293" t="s">
        <v>463</v>
      </c>
      <c r="J46" s="290">
        <v>30</v>
      </c>
      <c r="K46" s="290">
        <f>District_Rate!D135</f>
        <v>3515</v>
      </c>
      <c r="L46" s="290">
        <f>J46*K46</f>
        <v>105450</v>
      </c>
      <c r="M46" s="294"/>
    </row>
    <row r="47" spans="1:13" x14ac:dyDescent="0.25">
      <c r="A47" s="295"/>
      <c r="B47" s="286"/>
      <c r="C47" s="290" t="s">
        <v>29</v>
      </c>
      <c r="D47" s="290" t="s">
        <v>2307</v>
      </c>
      <c r="E47" s="290">
        <v>4</v>
      </c>
      <c r="F47" s="290">
        <f>unskilled</f>
        <v>935</v>
      </c>
      <c r="G47" s="290">
        <f>E47*F47</f>
        <v>3740</v>
      </c>
      <c r="H47" s="292" t="s">
        <v>2309</v>
      </c>
      <c r="I47" s="290" t="s">
        <v>2310</v>
      </c>
      <c r="J47" s="631" t="s">
        <v>2311</v>
      </c>
      <c r="K47" s="632"/>
      <c r="L47" s="290">
        <f>G48*3%</f>
        <v>149.54999999999998</v>
      </c>
      <c r="M47" s="294"/>
    </row>
    <row r="48" spans="1:13" ht="15.75" thickBot="1" x14ac:dyDescent="0.3">
      <c r="A48" s="296"/>
      <c r="B48" s="297"/>
      <c r="C48" s="633" t="s">
        <v>2312</v>
      </c>
      <c r="D48" s="634"/>
      <c r="E48" s="634"/>
      <c r="F48" s="635"/>
      <c r="G48" s="298">
        <f>SUM(G46:G47)</f>
        <v>4985</v>
      </c>
      <c r="H48" s="636" t="s">
        <v>2313</v>
      </c>
      <c r="I48" s="637"/>
      <c r="J48" s="637"/>
      <c r="K48" s="638"/>
      <c r="L48" s="298">
        <f>SUM(L46:L47)</f>
        <v>105599.55</v>
      </c>
      <c r="M48" s="299"/>
    </row>
    <row r="49" spans="1:13" ht="15.75" thickBot="1" x14ac:dyDescent="0.3">
      <c r="A49" s="285"/>
      <c r="B49" s="285"/>
      <c r="C49" s="300"/>
      <c r="D49" s="300"/>
      <c r="E49" s="300"/>
      <c r="F49" s="300"/>
      <c r="G49" s="301" t="s">
        <v>2314</v>
      </c>
      <c r="H49" s="302"/>
      <c r="I49" s="303" t="s">
        <v>2315</v>
      </c>
      <c r="J49" s="304">
        <f>G48+L48</f>
        <v>110584.55</v>
      </c>
      <c r="K49" s="305"/>
      <c r="L49" s="305"/>
      <c r="M49" s="306"/>
    </row>
    <row r="50" spans="1:13" ht="15.75" thickBot="1" x14ac:dyDescent="0.3">
      <c r="A50" s="285"/>
      <c r="B50" s="285"/>
      <c r="C50" s="639" t="s">
        <v>2316</v>
      </c>
      <c r="D50" s="639"/>
      <c r="E50" s="639"/>
      <c r="F50" s="639"/>
      <c r="G50" s="639"/>
      <c r="H50" s="639"/>
      <c r="I50" s="305" t="s">
        <v>2315</v>
      </c>
      <c r="J50" s="305">
        <f>J49*0.15</f>
        <v>16587.682499999999</v>
      </c>
      <c r="K50" s="305"/>
      <c r="L50" s="305"/>
      <c r="M50" s="306"/>
    </row>
    <row r="51" spans="1:13" ht="15.75" thickBot="1" x14ac:dyDescent="0.3">
      <c r="A51" s="285"/>
      <c r="B51" s="285"/>
      <c r="C51" s="307"/>
      <c r="D51" s="308"/>
      <c r="E51" s="308"/>
      <c r="F51" s="308"/>
      <c r="G51" s="309"/>
      <c r="H51" s="310" t="s">
        <v>2317</v>
      </c>
      <c r="I51" s="311" t="s">
        <v>2315</v>
      </c>
      <c r="J51" s="312">
        <f>SUM(J49:J50)</f>
        <v>127172.2325</v>
      </c>
      <c r="K51" s="313"/>
      <c r="L51" s="314"/>
      <c r="M51" s="285"/>
    </row>
    <row r="52" spans="1:13" x14ac:dyDescent="0.25">
      <c r="G52" s="640" t="s">
        <v>2318</v>
      </c>
      <c r="H52" s="640"/>
      <c r="I52" s="270"/>
      <c r="J52" s="270">
        <f>ROUND(J51/30,2)</f>
        <v>4239.07</v>
      </c>
    </row>
    <row r="53" spans="1:13" x14ac:dyDescent="0.25">
      <c r="G53" s="628" t="s">
        <v>2319</v>
      </c>
      <c r="H53" s="628"/>
      <c r="I53" s="315"/>
      <c r="J53" s="315">
        <f>ROUND(J52/1.15,2)</f>
        <v>3686.15</v>
      </c>
    </row>
    <row r="55" spans="1:13" ht="15.75" x14ac:dyDescent="0.25">
      <c r="A55" s="283" t="s">
        <v>2326</v>
      </c>
      <c r="B55" s="284"/>
      <c r="C55" s="285"/>
      <c r="D55" s="282"/>
      <c r="E55" s="285" t="s">
        <v>2299</v>
      </c>
      <c r="F55" s="282"/>
      <c r="G55" s="282"/>
      <c r="H55" s="282"/>
      <c r="I55" s="282"/>
      <c r="J55" s="282"/>
      <c r="K55" s="285"/>
      <c r="L55" s="285"/>
      <c r="M55" s="285"/>
    </row>
    <row r="56" spans="1:13" ht="15.75" thickBot="1" x14ac:dyDescent="0.3">
      <c r="A56" s="285" t="s">
        <v>2300</v>
      </c>
      <c r="B56" s="285"/>
      <c r="C56" s="285"/>
      <c r="D56" s="285"/>
      <c r="E56" s="285"/>
      <c r="F56" s="285"/>
      <c r="G56" s="285"/>
      <c r="H56" s="285"/>
      <c r="I56" s="285"/>
      <c r="J56" s="285"/>
      <c r="K56" s="285"/>
      <c r="L56" s="285"/>
      <c r="M56" s="285"/>
    </row>
    <row r="57" spans="1:13" x14ac:dyDescent="0.25">
      <c r="A57" s="641" t="s">
        <v>2301</v>
      </c>
      <c r="B57" s="643" t="s">
        <v>2302</v>
      </c>
      <c r="C57" s="645" t="s">
        <v>18</v>
      </c>
      <c r="D57" s="645"/>
      <c r="E57" s="645"/>
      <c r="F57" s="645"/>
      <c r="G57" s="645"/>
      <c r="H57" s="645" t="s">
        <v>2177</v>
      </c>
      <c r="I57" s="645"/>
      <c r="J57" s="645"/>
      <c r="K57" s="645"/>
      <c r="L57" s="645"/>
      <c r="M57" s="629" t="s">
        <v>1309</v>
      </c>
    </row>
    <row r="58" spans="1:13" ht="25.5" x14ac:dyDescent="0.25">
      <c r="A58" s="642"/>
      <c r="B58" s="644"/>
      <c r="C58" s="286" t="s">
        <v>2303</v>
      </c>
      <c r="D58" s="286" t="s">
        <v>20</v>
      </c>
      <c r="E58" s="286" t="s">
        <v>2304</v>
      </c>
      <c r="F58" s="287" t="s">
        <v>2305</v>
      </c>
      <c r="G58" s="287" t="s">
        <v>2306</v>
      </c>
      <c r="H58" s="286" t="s">
        <v>19</v>
      </c>
      <c r="I58" s="286" t="s">
        <v>20</v>
      </c>
      <c r="J58" s="286" t="s">
        <v>2304</v>
      </c>
      <c r="K58" s="287" t="s">
        <v>2305</v>
      </c>
      <c r="L58" s="287" t="s">
        <v>2306</v>
      </c>
      <c r="M58" s="630"/>
    </row>
    <row r="59" spans="1:13" ht="39" x14ac:dyDescent="0.25">
      <c r="A59" s="288"/>
      <c r="B59" s="289"/>
      <c r="C59" s="290" t="s">
        <v>47</v>
      </c>
      <c r="D59" s="290" t="s">
        <v>2307</v>
      </c>
      <c r="E59" s="291">
        <v>1</v>
      </c>
      <c r="F59" s="290">
        <f>skilled_mason</f>
        <v>1245</v>
      </c>
      <c r="G59" s="290">
        <f>E59*F59</f>
        <v>1245</v>
      </c>
      <c r="H59" s="292" t="s">
        <v>2327</v>
      </c>
      <c r="I59" s="293" t="s">
        <v>463</v>
      </c>
      <c r="J59" s="290">
        <v>30</v>
      </c>
      <c r="K59" s="290">
        <f>District_Rate!D136</f>
        <v>4527</v>
      </c>
      <c r="L59" s="290">
        <f>J59*K59</f>
        <v>135810</v>
      </c>
      <c r="M59" s="294"/>
    </row>
    <row r="60" spans="1:13" x14ac:dyDescent="0.25">
      <c r="A60" s="295"/>
      <c r="B60" s="286"/>
      <c r="C60" s="290" t="s">
        <v>29</v>
      </c>
      <c r="D60" s="290" t="s">
        <v>2307</v>
      </c>
      <c r="E60" s="290">
        <v>6</v>
      </c>
      <c r="F60" s="290">
        <f>unskilled</f>
        <v>935</v>
      </c>
      <c r="G60" s="290">
        <f>E60*F60</f>
        <v>5610</v>
      </c>
      <c r="H60" s="292" t="s">
        <v>2309</v>
      </c>
      <c r="I60" s="290" t="s">
        <v>2310</v>
      </c>
      <c r="J60" s="631" t="s">
        <v>2311</v>
      </c>
      <c r="K60" s="632"/>
      <c r="L60" s="290">
        <f>G61*3%</f>
        <v>205.65</v>
      </c>
      <c r="M60" s="294"/>
    </row>
    <row r="61" spans="1:13" ht="15.75" thickBot="1" x14ac:dyDescent="0.3">
      <c r="A61" s="296"/>
      <c r="B61" s="297"/>
      <c r="C61" s="633" t="s">
        <v>2312</v>
      </c>
      <c r="D61" s="634"/>
      <c r="E61" s="634"/>
      <c r="F61" s="635"/>
      <c r="G61" s="298">
        <f>SUM(G59:G60)</f>
        <v>6855</v>
      </c>
      <c r="H61" s="636" t="s">
        <v>2313</v>
      </c>
      <c r="I61" s="637"/>
      <c r="J61" s="637"/>
      <c r="K61" s="638"/>
      <c r="L61" s="298">
        <f>SUM(L59:L60)</f>
        <v>136015.65</v>
      </c>
      <c r="M61" s="299"/>
    </row>
    <row r="62" spans="1:13" ht="15.75" thickBot="1" x14ac:dyDescent="0.3">
      <c r="A62" s="285"/>
      <c r="B62" s="285"/>
      <c r="C62" s="300"/>
      <c r="D62" s="300"/>
      <c r="E62" s="300"/>
      <c r="F62" s="300"/>
      <c r="G62" s="301" t="s">
        <v>2314</v>
      </c>
      <c r="H62" s="302"/>
      <c r="I62" s="303" t="s">
        <v>2315</v>
      </c>
      <c r="J62" s="304">
        <f>G61+L61</f>
        <v>142870.65</v>
      </c>
      <c r="K62" s="305"/>
      <c r="L62" s="305"/>
      <c r="M62" s="306"/>
    </row>
    <row r="63" spans="1:13" ht="15.75" thickBot="1" x14ac:dyDescent="0.3">
      <c r="A63" s="285"/>
      <c r="B63" s="285"/>
      <c r="C63" s="639" t="s">
        <v>2316</v>
      </c>
      <c r="D63" s="639"/>
      <c r="E63" s="639"/>
      <c r="F63" s="639"/>
      <c r="G63" s="639"/>
      <c r="H63" s="639"/>
      <c r="I63" s="305" t="s">
        <v>2315</v>
      </c>
      <c r="J63" s="305">
        <f>J62*0.15</f>
        <v>21430.5975</v>
      </c>
      <c r="K63" s="305"/>
      <c r="L63" s="305"/>
      <c r="M63" s="306"/>
    </row>
    <row r="64" spans="1:13" ht="15.75" thickBot="1" x14ac:dyDescent="0.3">
      <c r="A64" s="285"/>
      <c r="B64" s="285"/>
      <c r="C64" s="307"/>
      <c r="D64" s="308"/>
      <c r="E64" s="308"/>
      <c r="F64" s="308"/>
      <c r="G64" s="309"/>
      <c r="H64" s="310" t="s">
        <v>2317</v>
      </c>
      <c r="I64" s="311" t="s">
        <v>2315</v>
      </c>
      <c r="J64" s="312">
        <f>SUM(J62:J63)</f>
        <v>164301.2475</v>
      </c>
      <c r="K64" s="313"/>
      <c r="L64" s="314"/>
      <c r="M64" s="285"/>
    </row>
    <row r="65" spans="1:13" x14ac:dyDescent="0.25">
      <c r="G65" s="640" t="s">
        <v>2318</v>
      </c>
      <c r="H65" s="640"/>
      <c r="I65" s="270"/>
      <c r="J65" s="270">
        <f>ROUND(J64/30,2)</f>
        <v>5476.71</v>
      </c>
    </row>
    <row r="66" spans="1:13" x14ac:dyDescent="0.25">
      <c r="G66" s="628" t="s">
        <v>2319</v>
      </c>
      <c r="H66" s="628"/>
      <c r="I66" s="315"/>
      <c r="J66" s="315">
        <f>ROUND(J65/1.15,2)</f>
        <v>4762.3599999999997</v>
      </c>
    </row>
    <row r="68" spans="1:13" ht="15.75" x14ac:dyDescent="0.25">
      <c r="A68" s="283" t="s">
        <v>2328</v>
      </c>
      <c r="B68" s="284"/>
      <c r="C68" s="285"/>
      <c r="D68" s="282"/>
      <c r="E68" s="285" t="s">
        <v>2299</v>
      </c>
      <c r="F68" s="282"/>
      <c r="G68" s="282"/>
      <c r="H68" s="282"/>
      <c r="I68" s="282"/>
      <c r="J68" s="282"/>
      <c r="K68" s="285"/>
      <c r="L68" s="285"/>
      <c r="M68" s="285"/>
    </row>
    <row r="69" spans="1:13" ht="15.75" thickBot="1" x14ac:dyDescent="0.3">
      <c r="A69" s="285" t="s">
        <v>2300</v>
      </c>
      <c r="B69" s="285"/>
      <c r="C69" s="285"/>
      <c r="D69" s="285"/>
      <c r="E69" s="285"/>
      <c r="F69" s="285"/>
      <c r="G69" s="285"/>
      <c r="H69" s="285"/>
      <c r="I69" s="285"/>
      <c r="J69" s="285"/>
      <c r="K69" s="285"/>
      <c r="L69" s="285"/>
      <c r="M69" s="285"/>
    </row>
    <row r="70" spans="1:13" x14ac:dyDescent="0.25">
      <c r="A70" s="641" t="s">
        <v>2301</v>
      </c>
      <c r="B70" s="643" t="s">
        <v>2302</v>
      </c>
      <c r="C70" s="645" t="s">
        <v>18</v>
      </c>
      <c r="D70" s="645"/>
      <c r="E70" s="645"/>
      <c r="F70" s="645"/>
      <c r="G70" s="645"/>
      <c r="H70" s="645" t="s">
        <v>2177</v>
      </c>
      <c r="I70" s="645"/>
      <c r="J70" s="645"/>
      <c r="K70" s="645"/>
      <c r="L70" s="645"/>
      <c r="M70" s="629" t="s">
        <v>1309</v>
      </c>
    </row>
    <row r="71" spans="1:13" ht="25.5" x14ac:dyDescent="0.25">
      <c r="A71" s="642"/>
      <c r="B71" s="644"/>
      <c r="C71" s="286" t="s">
        <v>2303</v>
      </c>
      <c r="D71" s="286" t="s">
        <v>20</v>
      </c>
      <c r="E71" s="286" t="s">
        <v>2304</v>
      </c>
      <c r="F71" s="287" t="s">
        <v>2305</v>
      </c>
      <c r="G71" s="287" t="s">
        <v>2306</v>
      </c>
      <c r="H71" s="286" t="s">
        <v>19</v>
      </c>
      <c r="I71" s="286" t="s">
        <v>20</v>
      </c>
      <c r="J71" s="286" t="s">
        <v>2304</v>
      </c>
      <c r="K71" s="287" t="s">
        <v>2305</v>
      </c>
      <c r="L71" s="287" t="s">
        <v>2306</v>
      </c>
      <c r="M71" s="630"/>
    </row>
    <row r="72" spans="1:13" ht="39" x14ac:dyDescent="0.25">
      <c r="A72" s="288"/>
      <c r="B72" s="289"/>
      <c r="C72" s="290" t="s">
        <v>47</v>
      </c>
      <c r="D72" s="290" t="s">
        <v>2307</v>
      </c>
      <c r="E72" s="291">
        <v>2</v>
      </c>
      <c r="F72" s="290">
        <f>skilled_mason</f>
        <v>1245</v>
      </c>
      <c r="G72" s="290">
        <f>E72*F72</f>
        <v>2490</v>
      </c>
      <c r="H72" s="292" t="s">
        <v>2329</v>
      </c>
      <c r="I72" s="293" t="s">
        <v>463</v>
      </c>
      <c r="J72" s="290">
        <v>30</v>
      </c>
      <c r="K72" s="290">
        <f>District_Rate!D137</f>
        <v>5406</v>
      </c>
      <c r="L72" s="290">
        <f>J72*K72</f>
        <v>162180</v>
      </c>
      <c r="M72" s="294"/>
    </row>
    <row r="73" spans="1:13" x14ac:dyDescent="0.25">
      <c r="A73" s="295"/>
      <c r="B73" s="286"/>
      <c r="C73" s="290" t="s">
        <v>29</v>
      </c>
      <c r="D73" s="290" t="s">
        <v>2307</v>
      </c>
      <c r="E73" s="290">
        <v>7</v>
      </c>
      <c r="F73" s="290">
        <f>unskilled</f>
        <v>935</v>
      </c>
      <c r="G73" s="290">
        <f>E73*F73</f>
        <v>6545</v>
      </c>
      <c r="H73" s="292" t="s">
        <v>2309</v>
      </c>
      <c r="I73" s="290" t="s">
        <v>2310</v>
      </c>
      <c r="J73" s="631" t="s">
        <v>2311</v>
      </c>
      <c r="K73" s="632"/>
      <c r="L73" s="290">
        <f>G74*3%</f>
        <v>271.05</v>
      </c>
      <c r="M73" s="294"/>
    </row>
    <row r="74" spans="1:13" ht="15.75" thickBot="1" x14ac:dyDescent="0.3">
      <c r="A74" s="296"/>
      <c r="B74" s="297"/>
      <c r="C74" s="633" t="s">
        <v>2312</v>
      </c>
      <c r="D74" s="634"/>
      <c r="E74" s="634"/>
      <c r="F74" s="635"/>
      <c r="G74" s="298">
        <f>SUM(G72:G73)</f>
        <v>9035</v>
      </c>
      <c r="H74" s="636" t="s">
        <v>2313</v>
      </c>
      <c r="I74" s="637"/>
      <c r="J74" s="637"/>
      <c r="K74" s="638"/>
      <c r="L74" s="298">
        <f>SUM(L72:L73)</f>
        <v>162451.04999999999</v>
      </c>
      <c r="M74" s="299"/>
    </row>
    <row r="75" spans="1:13" ht="15.75" thickBot="1" x14ac:dyDescent="0.3">
      <c r="A75" s="285"/>
      <c r="B75" s="285"/>
      <c r="C75" s="300"/>
      <c r="D75" s="300"/>
      <c r="E75" s="300"/>
      <c r="F75" s="300"/>
      <c r="G75" s="301" t="s">
        <v>2314</v>
      </c>
      <c r="H75" s="302"/>
      <c r="I75" s="303" t="s">
        <v>2315</v>
      </c>
      <c r="J75" s="304">
        <f>G74+L74</f>
        <v>171486.05</v>
      </c>
      <c r="K75" s="305"/>
      <c r="L75" s="305"/>
      <c r="M75" s="306"/>
    </row>
    <row r="76" spans="1:13" ht="15.75" thickBot="1" x14ac:dyDescent="0.3">
      <c r="A76" s="285"/>
      <c r="B76" s="285"/>
      <c r="C76" s="639" t="s">
        <v>2316</v>
      </c>
      <c r="D76" s="639"/>
      <c r="E76" s="639"/>
      <c r="F76" s="639"/>
      <c r="G76" s="639"/>
      <c r="H76" s="639"/>
      <c r="I76" s="305" t="s">
        <v>2315</v>
      </c>
      <c r="J76" s="305">
        <f>J75*0.15</f>
        <v>25722.907499999998</v>
      </c>
      <c r="K76" s="305"/>
      <c r="L76" s="305"/>
      <c r="M76" s="306"/>
    </row>
    <row r="77" spans="1:13" ht="15.75" thickBot="1" x14ac:dyDescent="0.3">
      <c r="A77" s="285"/>
      <c r="B77" s="285"/>
      <c r="C77" s="307"/>
      <c r="D77" s="308"/>
      <c r="E77" s="308"/>
      <c r="F77" s="308"/>
      <c r="G77" s="309"/>
      <c r="H77" s="310" t="s">
        <v>2317</v>
      </c>
      <c r="I77" s="311" t="s">
        <v>2315</v>
      </c>
      <c r="J77" s="312">
        <f>SUM(J75:J76)</f>
        <v>197208.95749999999</v>
      </c>
      <c r="K77" s="313"/>
      <c r="L77" s="314"/>
      <c r="M77" s="285"/>
    </row>
    <row r="78" spans="1:13" x14ac:dyDescent="0.25">
      <c r="G78" s="640" t="s">
        <v>2318</v>
      </c>
      <c r="H78" s="640"/>
      <c r="I78" s="270"/>
      <c r="J78" s="270">
        <f>ROUND(J77/30,2)</f>
        <v>6573.63</v>
      </c>
    </row>
    <row r="79" spans="1:13" x14ac:dyDescent="0.25">
      <c r="G79" s="628" t="s">
        <v>2319</v>
      </c>
      <c r="H79" s="628"/>
      <c r="I79" s="315"/>
      <c r="J79" s="315">
        <f>ROUND(J78/1.15,2)</f>
        <v>5716.2</v>
      </c>
    </row>
    <row r="81" spans="1:13" ht="15.75" x14ac:dyDescent="0.25">
      <c r="A81" s="283" t="s">
        <v>2330</v>
      </c>
      <c r="B81" s="284"/>
      <c r="C81" s="285"/>
      <c r="D81" s="282"/>
      <c r="E81" s="285" t="s">
        <v>2299</v>
      </c>
      <c r="F81" s="282"/>
      <c r="G81" s="282"/>
      <c r="H81" s="282"/>
      <c r="I81" s="282"/>
      <c r="J81" s="282"/>
      <c r="K81" s="285"/>
      <c r="L81" s="285"/>
      <c r="M81" s="285"/>
    </row>
    <row r="82" spans="1:13" ht="15.75" thickBot="1" x14ac:dyDescent="0.3">
      <c r="A82" s="285" t="s">
        <v>2300</v>
      </c>
      <c r="B82" s="285"/>
      <c r="C82" s="285"/>
      <c r="D82" s="285"/>
      <c r="E82" s="285"/>
      <c r="F82" s="285"/>
      <c r="G82" s="285"/>
      <c r="H82" s="285"/>
      <c r="I82" s="285"/>
      <c r="J82" s="285"/>
      <c r="K82" s="285"/>
      <c r="L82" s="285"/>
      <c r="M82" s="285"/>
    </row>
    <row r="83" spans="1:13" x14ac:dyDescent="0.25">
      <c r="A83" s="641" t="s">
        <v>2301</v>
      </c>
      <c r="B83" s="643" t="s">
        <v>2302</v>
      </c>
      <c r="C83" s="645" t="s">
        <v>18</v>
      </c>
      <c r="D83" s="645"/>
      <c r="E83" s="645"/>
      <c r="F83" s="645"/>
      <c r="G83" s="645"/>
      <c r="H83" s="645" t="s">
        <v>2177</v>
      </c>
      <c r="I83" s="645"/>
      <c r="J83" s="645"/>
      <c r="K83" s="645"/>
      <c r="L83" s="645"/>
      <c r="M83" s="629" t="s">
        <v>1309</v>
      </c>
    </row>
    <row r="84" spans="1:13" ht="25.5" x14ac:dyDescent="0.25">
      <c r="A84" s="642"/>
      <c r="B84" s="644"/>
      <c r="C84" s="286" t="s">
        <v>2303</v>
      </c>
      <c r="D84" s="286" t="s">
        <v>20</v>
      </c>
      <c r="E84" s="286" t="s">
        <v>2304</v>
      </c>
      <c r="F84" s="287" t="s">
        <v>2305</v>
      </c>
      <c r="G84" s="287" t="s">
        <v>2306</v>
      </c>
      <c r="H84" s="286" t="s">
        <v>19</v>
      </c>
      <c r="I84" s="286" t="s">
        <v>20</v>
      </c>
      <c r="J84" s="286" t="s">
        <v>2304</v>
      </c>
      <c r="K84" s="287" t="s">
        <v>2305</v>
      </c>
      <c r="L84" s="287" t="s">
        <v>2306</v>
      </c>
      <c r="M84" s="630"/>
    </row>
    <row r="85" spans="1:13" ht="39" x14ac:dyDescent="0.25">
      <c r="A85" s="288"/>
      <c r="B85" s="289"/>
      <c r="C85" s="290" t="s">
        <v>47</v>
      </c>
      <c r="D85" s="290" t="s">
        <v>2307</v>
      </c>
      <c r="E85" s="291">
        <v>2</v>
      </c>
      <c r="F85" s="290">
        <f>skilled_mason</f>
        <v>1245</v>
      </c>
      <c r="G85" s="290">
        <f>E85*F85</f>
        <v>2490</v>
      </c>
      <c r="H85" s="292" t="s">
        <v>2331</v>
      </c>
      <c r="I85" s="293" t="s">
        <v>463</v>
      </c>
      <c r="J85" s="290">
        <v>30</v>
      </c>
      <c r="K85" s="290">
        <f>District_Rate!D138</f>
        <v>9310</v>
      </c>
      <c r="L85" s="290">
        <f>J85*K85</f>
        <v>279300</v>
      </c>
      <c r="M85" s="294"/>
    </row>
    <row r="86" spans="1:13" x14ac:dyDescent="0.25">
      <c r="A86" s="295"/>
      <c r="B86" s="286"/>
      <c r="C86" s="290" t="s">
        <v>29</v>
      </c>
      <c r="D86" s="290" t="s">
        <v>2307</v>
      </c>
      <c r="E86" s="290">
        <v>8</v>
      </c>
      <c r="F86" s="290">
        <f>unskilled</f>
        <v>935</v>
      </c>
      <c r="G86" s="290">
        <f>E86*F86</f>
        <v>7480</v>
      </c>
      <c r="H86" s="292" t="s">
        <v>2309</v>
      </c>
      <c r="I86" s="290" t="s">
        <v>2310</v>
      </c>
      <c r="J86" s="631" t="s">
        <v>2332</v>
      </c>
      <c r="K86" s="632"/>
      <c r="L86" s="290">
        <f>G87*5%</f>
        <v>498.5</v>
      </c>
      <c r="M86" s="294"/>
    </row>
    <row r="87" spans="1:13" ht="15.75" thickBot="1" x14ac:dyDescent="0.3">
      <c r="A87" s="296"/>
      <c r="B87" s="297"/>
      <c r="C87" s="633" t="s">
        <v>2312</v>
      </c>
      <c r="D87" s="634"/>
      <c r="E87" s="634"/>
      <c r="F87" s="635"/>
      <c r="G87" s="298">
        <f>SUM(G85:G86)</f>
        <v>9970</v>
      </c>
      <c r="H87" s="636" t="s">
        <v>2313</v>
      </c>
      <c r="I87" s="637"/>
      <c r="J87" s="637"/>
      <c r="K87" s="638"/>
      <c r="L87" s="298">
        <f>SUM(L85:L86)</f>
        <v>279798.5</v>
      </c>
      <c r="M87" s="299"/>
    </row>
    <row r="88" spans="1:13" ht="15.75" thickBot="1" x14ac:dyDescent="0.3">
      <c r="A88" s="285"/>
      <c r="B88" s="285"/>
      <c r="C88" s="300"/>
      <c r="D88" s="300"/>
      <c r="E88" s="300"/>
      <c r="F88" s="300"/>
      <c r="G88" s="301" t="s">
        <v>2314</v>
      </c>
      <c r="H88" s="302"/>
      <c r="I88" s="303" t="s">
        <v>2315</v>
      </c>
      <c r="J88" s="304">
        <f>G87+L87</f>
        <v>289768.5</v>
      </c>
      <c r="K88" s="305"/>
      <c r="L88" s="305"/>
      <c r="M88" s="306"/>
    </row>
    <row r="89" spans="1:13" ht="15.75" thickBot="1" x14ac:dyDescent="0.3">
      <c r="A89" s="285"/>
      <c r="B89" s="285"/>
      <c r="C89" s="639" t="s">
        <v>2316</v>
      </c>
      <c r="D89" s="639"/>
      <c r="E89" s="639"/>
      <c r="F89" s="639"/>
      <c r="G89" s="639"/>
      <c r="H89" s="639"/>
      <c r="I89" s="305" t="s">
        <v>2315</v>
      </c>
      <c r="J89" s="305">
        <f>J88*0.15</f>
        <v>43465.275000000001</v>
      </c>
      <c r="K89" s="305"/>
      <c r="L89" s="305"/>
      <c r="M89" s="306"/>
    </row>
    <row r="90" spans="1:13" ht="15.75" thickBot="1" x14ac:dyDescent="0.3">
      <c r="A90" s="285"/>
      <c r="B90" s="285"/>
      <c r="C90" s="307"/>
      <c r="D90" s="308"/>
      <c r="E90" s="308"/>
      <c r="F90" s="308"/>
      <c r="G90" s="309"/>
      <c r="H90" s="310" t="s">
        <v>2317</v>
      </c>
      <c r="I90" s="311" t="s">
        <v>2315</v>
      </c>
      <c r="J90" s="312">
        <f>SUM(J88:J89)</f>
        <v>333233.77500000002</v>
      </c>
      <c r="K90" s="313"/>
      <c r="L90" s="314"/>
      <c r="M90" s="285"/>
    </row>
    <row r="91" spans="1:13" x14ac:dyDescent="0.25">
      <c r="G91" s="640" t="s">
        <v>2318</v>
      </c>
      <c r="H91" s="640"/>
      <c r="I91" s="270"/>
      <c r="J91" s="270">
        <f>ROUND(J90/30,2)</f>
        <v>11107.79</v>
      </c>
    </row>
    <row r="92" spans="1:13" x14ac:dyDescent="0.25">
      <c r="G92" s="628" t="s">
        <v>2319</v>
      </c>
      <c r="H92" s="628"/>
      <c r="I92" s="315"/>
      <c r="J92" s="315">
        <f>ROUND(J91/1.15,2)</f>
        <v>9658.9500000000007</v>
      </c>
    </row>
    <row r="94" spans="1:13" ht="15.75" x14ac:dyDescent="0.25">
      <c r="A94" s="283" t="s">
        <v>2333</v>
      </c>
      <c r="B94" s="284"/>
      <c r="C94" s="285"/>
      <c r="D94" s="282"/>
      <c r="E94" s="285" t="s">
        <v>2299</v>
      </c>
      <c r="F94" s="282"/>
      <c r="G94" s="282"/>
      <c r="H94" s="282"/>
      <c r="I94" s="282"/>
      <c r="J94" s="282"/>
      <c r="K94" s="285"/>
      <c r="L94" s="285"/>
      <c r="M94" s="285"/>
    </row>
    <row r="95" spans="1:13" ht="15.75" thickBot="1" x14ac:dyDescent="0.3">
      <c r="A95" s="285" t="s">
        <v>2300</v>
      </c>
      <c r="B95" s="285"/>
      <c r="C95" s="285"/>
      <c r="D95" s="285"/>
      <c r="E95" s="285"/>
      <c r="F95" s="285"/>
      <c r="G95" s="285"/>
      <c r="H95" s="285"/>
      <c r="I95" s="285"/>
      <c r="J95" s="285"/>
      <c r="K95" s="285"/>
      <c r="L95" s="285"/>
      <c r="M95" s="285"/>
    </row>
    <row r="96" spans="1:13" x14ac:dyDescent="0.25">
      <c r="A96" s="641" t="s">
        <v>2301</v>
      </c>
      <c r="B96" s="643" t="s">
        <v>2302</v>
      </c>
      <c r="C96" s="645" t="s">
        <v>18</v>
      </c>
      <c r="D96" s="645"/>
      <c r="E96" s="645"/>
      <c r="F96" s="645"/>
      <c r="G96" s="645"/>
      <c r="H96" s="645" t="s">
        <v>2177</v>
      </c>
      <c r="I96" s="645"/>
      <c r="J96" s="645"/>
      <c r="K96" s="645"/>
      <c r="L96" s="645"/>
      <c r="M96" s="629" t="s">
        <v>1309</v>
      </c>
    </row>
    <row r="97" spans="1:13" ht="25.5" x14ac:dyDescent="0.25">
      <c r="A97" s="642"/>
      <c r="B97" s="644"/>
      <c r="C97" s="286" t="s">
        <v>2303</v>
      </c>
      <c r="D97" s="286" t="s">
        <v>20</v>
      </c>
      <c r="E97" s="286" t="s">
        <v>2304</v>
      </c>
      <c r="F97" s="287" t="s">
        <v>2305</v>
      </c>
      <c r="G97" s="287" t="s">
        <v>2306</v>
      </c>
      <c r="H97" s="286" t="s">
        <v>19</v>
      </c>
      <c r="I97" s="286" t="s">
        <v>20</v>
      </c>
      <c r="J97" s="286" t="s">
        <v>2304</v>
      </c>
      <c r="K97" s="287" t="s">
        <v>2305</v>
      </c>
      <c r="L97" s="287" t="s">
        <v>2306</v>
      </c>
      <c r="M97" s="630"/>
    </row>
    <row r="98" spans="1:13" ht="39" x14ac:dyDescent="0.25">
      <c r="A98" s="288"/>
      <c r="B98" s="289"/>
      <c r="C98" s="290" t="s">
        <v>47</v>
      </c>
      <c r="D98" s="290" t="s">
        <v>2307</v>
      </c>
      <c r="E98" s="291">
        <v>3</v>
      </c>
      <c r="F98" s="290">
        <f>skilled_mason</f>
        <v>1245</v>
      </c>
      <c r="G98" s="290">
        <f>E98*F98</f>
        <v>3735</v>
      </c>
      <c r="H98" s="292" t="s">
        <v>2334</v>
      </c>
      <c r="I98" s="293" t="s">
        <v>463</v>
      </c>
      <c r="J98" s="290">
        <v>30</v>
      </c>
      <c r="K98" s="290">
        <f>District_Rate!D139</f>
        <v>14985</v>
      </c>
      <c r="L98" s="290">
        <f>J98*K98</f>
        <v>449550</v>
      </c>
      <c r="M98" s="294"/>
    </row>
    <row r="99" spans="1:13" x14ac:dyDescent="0.25">
      <c r="A99" s="295"/>
      <c r="B99" s="286"/>
      <c r="C99" s="290" t="s">
        <v>29</v>
      </c>
      <c r="D99" s="290" t="s">
        <v>2307</v>
      </c>
      <c r="E99" s="290">
        <v>11</v>
      </c>
      <c r="F99" s="290">
        <f>unskilled</f>
        <v>935</v>
      </c>
      <c r="G99" s="290">
        <f>E99*F99</f>
        <v>10285</v>
      </c>
      <c r="H99" s="292" t="s">
        <v>2309</v>
      </c>
      <c r="I99" s="290" t="s">
        <v>2310</v>
      </c>
      <c r="J99" s="631" t="s">
        <v>2332</v>
      </c>
      <c r="K99" s="632"/>
      <c r="L99" s="290">
        <f>G100*5%</f>
        <v>701</v>
      </c>
      <c r="M99" s="294"/>
    </row>
    <row r="100" spans="1:13" ht="15.75" thickBot="1" x14ac:dyDescent="0.3">
      <c r="A100" s="296"/>
      <c r="B100" s="297"/>
      <c r="C100" s="633" t="s">
        <v>2312</v>
      </c>
      <c r="D100" s="634"/>
      <c r="E100" s="634"/>
      <c r="F100" s="635"/>
      <c r="G100" s="298">
        <f>SUM(G98:G99)</f>
        <v>14020</v>
      </c>
      <c r="H100" s="636" t="s">
        <v>2313</v>
      </c>
      <c r="I100" s="637"/>
      <c r="J100" s="637"/>
      <c r="K100" s="638"/>
      <c r="L100" s="298">
        <f>SUM(L98:L99)</f>
        <v>450251</v>
      </c>
      <c r="M100" s="299"/>
    </row>
    <row r="101" spans="1:13" ht="15.75" thickBot="1" x14ac:dyDescent="0.3">
      <c r="A101" s="285"/>
      <c r="B101" s="285"/>
      <c r="C101" s="300"/>
      <c r="D101" s="300"/>
      <c r="E101" s="300"/>
      <c r="F101" s="300"/>
      <c r="G101" s="301" t="s">
        <v>2314</v>
      </c>
      <c r="H101" s="302"/>
      <c r="I101" s="303" t="s">
        <v>2315</v>
      </c>
      <c r="J101" s="304">
        <f>G100+L100</f>
        <v>464271</v>
      </c>
      <c r="K101" s="305"/>
      <c r="L101" s="305"/>
      <c r="M101" s="306"/>
    </row>
    <row r="102" spans="1:13" ht="15.75" thickBot="1" x14ac:dyDescent="0.3">
      <c r="A102" s="285"/>
      <c r="B102" s="285"/>
      <c r="C102" s="639" t="s">
        <v>2316</v>
      </c>
      <c r="D102" s="639"/>
      <c r="E102" s="639"/>
      <c r="F102" s="639"/>
      <c r="G102" s="639"/>
      <c r="H102" s="639"/>
      <c r="I102" s="305" t="s">
        <v>2315</v>
      </c>
      <c r="J102" s="305">
        <f>J101*0.15</f>
        <v>69640.649999999994</v>
      </c>
      <c r="K102" s="305"/>
      <c r="L102" s="305"/>
      <c r="M102" s="306"/>
    </row>
    <row r="103" spans="1:13" ht="15.75" thickBot="1" x14ac:dyDescent="0.3">
      <c r="A103" s="285"/>
      <c r="B103" s="285"/>
      <c r="C103" s="307"/>
      <c r="D103" s="308"/>
      <c r="E103" s="308"/>
      <c r="F103" s="308"/>
      <c r="G103" s="309"/>
      <c r="H103" s="310" t="s">
        <v>2317</v>
      </c>
      <c r="I103" s="311" t="s">
        <v>2315</v>
      </c>
      <c r="J103" s="312">
        <f>SUM(J101:J102)</f>
        <v>533911.65</v>
      </c>
      <c r="K103" s="313"/>
      <c r="L103" s="314"/>
      <c r="M103" s="285"/>
    </row>
    <row r="104" spans="1:13" x14ac:dyDescent="0.25">
      <c r="G104" s="640" t="s">
        <v>2318</v>
      </c>
      <c r="H104" s="640"/>
      <c r="I104" s="270"/>
      <c r="J104" s="270">
        <f>ROUND(J103/30,2)</f>
        <v>17797.060000000001</v>
      </c>
    </row>
    <row r="105" spans="1:13" x14ac:dyDescent="0.25">
      <c r="G105" s="628" t="s">
        <v>2319</v>
      </c>
      <c r="H105" s="628"/>
      <c r="I105" s="315"/>
      <c r="J105" s="315">
        <f>ROUND(J104/1.15,2)</f>
        <v>15475.7</v>
      </c>
    </row>
    <row r="107" spans="1:13" ht="15.75" x14ac:dyDescent="0.25">
      <c r="A107" s="283" t="s">
        <v>2335</v>
      </c>
      <c r="B107" s="284"/>
      <c r="C107" s="285"/>
      <c r="D107" s="282"/>
      <c r="E107" s="285" t="s">
        <v>2299</v>
      </c>
      <c r="F107" s="282"/>
      <c r="G107" s="282"/>
      <c r="H107" s="282"/>
      <c r="I107" s="282"/>
      <c r="J107" s="282"/>
      <c r="K107" s="285"/>
      <c r="L107" s="285"/>
      <c r="M107" s="285"/>
    </row>
    <row r="108" spans="1:13" ht="15.75" thickBot="1" x14ac:dyDescent="0.3">
      <c r="A108" s="285" t="s">
        <v>2300</v>
      </c>
      <c r="B108" s="285"/>
      <c r="C108" s="285"/>
      <c r="D108" s="285"/>
      <c r="E108" s="285"/>
      <c r="F108" s="285"/>
      <c r="G108" s="285"/>
      <c r="H108" s="285"/>
      <c r="I108" s="285"/>
      <c r="J108" s="285"/>
      <c r="K108" s="285"/>
      <c r="L108" s="285"/>
      <c r="M108" s="285"/>
    </row>
    <row r="109" spans="1:13" x14ac:dyDescent="0.25">
      <c r="A109" s="641" t="s">
        <v>2301</v>
      </c>
      <c r="B109" s="643" t="s">
        <v>2302</v>
      </c>
      <c r="C109" s="645" t="s">
        <v>18</v>
      </c>
      <c r="D109" s="645"/>
      <c r="E109" s="645"/>
      <c r="F109" s="645"/>
      <c r="G109" s="645"/>
      <c r="H109" s="645" t="s">
        <v>2177</v>
      </c>
      <c r="I109" s="645"/>
      <c r="J109" s="645"/>
      <c r="K109" s="645"/>
      <c r="L109" s="645"/>
      <c r="M109" s="629" t="s">
        <v>1309</v>
      </c>
    </row>
    <row r="110" spans="1:13" ht="25.5" x14ac:dyDescent="0.25">
      <c r="A110" s="642"/>
      <c r="B110" s="644"/>
      <c r="C110" s="286" t="s">
        <v>2303</v>
      </c>
      <c r="D110" s="286" t="s">
        <v>20</v>
      </c>
      <c r="E110" s="286" t="s">
        <v>2304</v>
      </c>
      <c r="F110" s="287" t="s">
        <v>2305</v>
      </c>
      <c r="G110" s="287" t="s">
        <v>2306</v>
      </c>
      <c r="H110" s="286" t="s">
        <v>19</v>
      </c>
      <c r="I110" s="286" t="s">
        <v>20</v>
      </c>
      <c r="J110" s="286" t="s">
        <v>2304</v>
      </c>
      <c r="K110" s="287" t="s">
        <v>2305</v>
      </c>
      <c r="L110" s="287" t="s">
        <v>2306</v>
      </c>
      <c r="M110" s="630"/>
    </row>
    <row r="111" spans="1:13" ht="39" x14ac:dyDescent="0.25">
      <c r="A111" s="288"/>
      <c r="B111" s="289"/>
      <c r="C111" s="290" t="s">
        <v>47</v>
      </c>
      <c r="D111" s="290" t="s">
        <v>2307</v>
      </c>
      <c r="E111" s="291">
        <v>3</v>
      </c>
      <c r="F111" s="290">
        <f>skilled_mason</f>
        <v>1245</v>
      </c>
      <c r="G111" s="290">
        <f>E111*F111</f>
        <v>3735</v>
      </c>
      <c r="H111" s="292" t="s">
        <v>2336</v>
      </c>
      <c r="I111" s="293" t="s">
        <v>463</v>
      </c>
      <c r="J111" s="290">
        <v>30</v>
      </c>
      <c r="K111" s="290">
        <f>District_Rate!D140</f>
        <v>22572</v>
      </c>
      <c r="L111" s="290">
        <f>J111*K111</f>
        <v>677160</v>
      </c>
      <c r="M111" s="294"/>
    </row>
    <row r="112" spans="1:13" x14ac:dyDescent="0.25">
      <c r="A112" s="295"/>
      <c r="B112" s="286"/>
      <c r="C112" s="290" t="s">
        <v>29</v>
      </c>
      <c r="D112" s="290" t="s">
        <v>2307</v>
      </c>
      <c r="E112" s="290">
        <v>12</v>
      </c>
      <c r="F112" s="290">
        <f>unskilled</f>
        <v>935</v>
      </c>
      <c r="G112" s="290">
        <f>E112*F112</f>
        <v>11220</v>
      </c>
      <c r="H112" s="292" t="s">
        <v>2309</v>
      </c>
      <c r="I112" s="290" t="s">
        <v>2310</v>
      </c>
      <c r="J112" s="631" t="s">
        <v>2332</v>
      </c>
      <c r="K112" s="632"/>
      <c r="L112" s="290">
        <f>G113*5%</f>
        <v>747.75</v>
      </c>
      <c r="M112" s="294"/>
    </row>
    <row r="113" spans="1:13" ht="15.75" thickBot="1" x14ac:dyDescent="0.3">
      <c r="A113" s="296"/>
      <c r="B113" s="297"/>
      <c r="C113" s="633" t="s">
        <v>2312</v>
      </c>
      <c r="D113" s="634"/>
      <c r="E113" s="634"/>
      <c r="F113" s="635"/>
      <c r="G113" s="298">
        <f>SUM(G111:G112)</f>
        <v>14955</v>
      </c>
      <c r="H113" s="636" t="s">
        <v>2313</v>
      </c>
      <c r="I113" s="637"/>
      <c r="J113" s="637"/>
      <c r="K113" s="638"/>
      <c r="L113" s="298">
        <f>SUM(L111:L112)</f>
        <v>677907.75</v>
      </c>
      <c r="M113" s="299"/>
    </row>
    <row r="114" spans="1:13" ht="15.75" thickBot="1" x14ac:dyDescent="0.3">
      <c r="A114" s="285"/>
      <c r="B114" s="285"/>
      <c r="C114" s="300"/>
      <c r="D114" s="300"/>
      <c r="E114" s="300"/>
      <c r="F114" s="300"/>
      <c r="G114" s="301" t="s">
        <v>2314</v>
      </c>
      <c r="H114" s="302"/>
      <c r="I114" s="303" t="s">
        <v>2315</v>
      </c>
      <c r="J114" s="304">
        <f>G113+L113</f>
        <v>692862.75</v>
      </c>
      <c r="K114" s="305"/>
      <c r="L114" s="305"/>
      <c r="M114" s="306"/>
    </row>
    <row r="115" spans="1:13" ht="15.75" thickBot="1" x14ac:dyDescent="0.3">
      <c r="A115" s="285"/>
      <c r="B115" s="285"/>
      <c r="C115" s="639" t="s">
        <v>2316</v>
      </c>
      <c r="D115" s="639"/>
      <c r="E115" s="639"/>
      <c r="F115" s="639"/>
      <c r="G115" s="639"/>
      <c r="H115" s="639"/>
      <c r="I115" s="305" t="s">
        <v>2315</v>
      </c>
      <c r="J115" s="305">
        <f>J114*0.15</f>
        <v>103929.41249999999</v>
      </c>
      <c r="K115" s="305"/>
      <c r="L115" s="305"/>
      <c r="M115" s="306"/>
    </row>
    <row r="116" spans="1:13" ht="15.75" thickBot="1" x14ac:dyDescent="0.3">
      <c r="A116" s="285"/>
      <c r="B116" s="285"/>
      <c r="C116" s="307"/>
      <c r="D116" s="308"/>
      <c r="E116" s="308"/>
      <c r="F116" s="308"/>
      <c r="G116" s="309"/>
      <c r="H116" s="310" t="s">
        <v>2317</v>
      </c>
      <c r="I116" s="311" t="s">
        <v>2315</v>
      </c>
      <c r="J116" s="312">
        <f>SUM(J114:J115)</f>
        <v>796792.16249999998</v>
      </c>
      <c r="K116" s="313"/>
      <c r="L116" s="314"/>
      <c r="M116" s="285"/>
    </row>
    <row r="117" spans="1:13" x14ac:dyDescent="0.25">
      <c r="G117" s="640" t="s">
        <v>2318</v>
      </c>
      <c r="H117" s="640"/>
      <c r="I117" s="270"/>
      <c r="J117" s="270">
        <f>ROUND(J116/30,2)</f>
        <v>26559.74</v>
      </c>
    </row>
    <row r="118" spans="1:13" x14ac:dyDescent="0.25">
      <c r="G118" s="628" t="s">
        <v>2319</v>
      </c>
      <c r="H118" s="628"/>
      <c r="I118" s="315"/>
      <c r="J118" s="315">
        <f>ROUND(J117/1.15,2)</f>
        <v>23095.43</v>
      </c>
    </row>
  </sheetData>
  <mergeCells count="100">
    <mergeCell ref="M5:M6"/>
    <mergeCell ref="D1:J1"/>
    <mergeCell ref="A5:A6"/>
    <mergeCell ref="B5:B6"/>
    <mergeCell ref="C5:G5"/>
    <mergeCell ref="H5:L5"/>
    <mergeCell ref="M18:M19"/>
    <mergeCell ref="J21:K21"/>
    <mergeCell ref="J8:K8"/>
    <mergeCell ref="C9:F9"/>
    <mergeCell ref="H9:K9"/>
    <mergeCell ref="C11:H11"/>
    <mergeCell ref="G13:H13"/>
    <mergeCell ref="G14:H14"/>
    <mergeCell ref="A31:A32"/>
    <mergeCell ref="B31:B32"/>
    <mergeCell ref="C31:G31"/>
    <mergeCell ref="H31:L31"/>
    <mergeCell ref="A18:A19"/>
    <mergeCell ref="B18:B19"/>
    <mergeCell ref="C18:G18"/>
    <mergeCell ref="H18:L18"/>
    <mergeCell ref="C22:F22"/>
    <mergeCell ref="H22:K22"/>
    <mergeCell ref="C24:H24"/>
    <mergeCell ref="G26:H26"/>
    <mergeCell ref="G27:H27"/>
    <mergeCell ref="M57:M58"/>
    <mergeCell ref="M44:M45"/>
    <mergeCell ref="M31:M32"/>
    <mergeCell ref="J34:K34"/>
    <mergeCell ref="C35:F35"/>
    <mergeCell ref="H35:K35"/>
    <mergeCell ref="C37:H37"/>
    <mergeCell ref="G39:H39"/>
    <mergeCell ref="G40:H40"/>
    <mergeCell ref="G53:H53"/>
    <mergeCell ref="C48:F48"/>
    <mergeCell ref="H48:K48"/>
    <mergeCell ref="C50:H50"/>
    <mergeCell ref="G52:H52"/>
    <mergeCell ref="A44:A45"/>
    <mergeCell ref="B44:B45"/>
    <mergeCell ref="C44:G44"/>
    <mergeCell ref="H44:L44"/>
    <mergeCell ref="J47:K47"/>
    <mergeCell ref="A70:A71"/>
    <mergeCell ref="B70:B71"/>
    <mergeCell ref="C70:G70"/>
    <mergeCell ref="H70:L70"/>
    <mergeCell ref="A57:A58"/>
    <mergeCell ref="B57:B58"/>
    <mergeCell ref="C57:G57"/>
    <mergeCell ref="H57:L57"/>
    <mergeCell ref="C61:F61"/>
    <mergeCell ref="H61:K61"/>
    <mergeCell ref="C63:H63"/>
    <mergeCell ref="G65:H65"/>
    <mergeCell ref="G66:H66"/>
    <mergeCell ref="J60:K60"/>
    <mergeCell ref="M96:M97"/>
    <mergeCell ref="M83:M84"/>
    <mergeCell ref="M70:M71"/>
    <mergeCell ref="J73:K73"/>
    <mergeCell ref="C74:F74"/>
    <mergeCell ref="H74:K74"/>
    <mergeCell ref="C76:H76"/>
    <mergeCell ref="G78:H78"/>
    <mergeCell ref="G79:H79"/>
    <mergeCell ref="G92:H92"/>
    <mergeCell ref="C87:F87"/>
    <mergeCell ref="H87:K87"/>
    <mergeCell ref="C89:H89"/>
    <mergeCell ref="G91:H91"/>
    <mergeCell ref="A83:A84"/>
    <mergeCell ref="B83:B84"/>
    <mergeCell ref="C83:G83"/>
    <mergeCell ref="H83:L83"/>
    <mergeCell ref="J86:K86"/>
    <mergeCell ref="A109:A110"/>
    <mergeCell ref="B109:B110"/>
    <mergeCell ref="C109:G109"/>
    <mergeCell ref="H109:L109"/>
    <mergeCell ref="A96:A97"/>
    <mergeCell ref="B96:B97"/>
    <mergeCell ref="C96:G96"/>
    <mergeCell ref="H96:L96"/>
    <mergeCell ref="C100:F100"/>
    <mergeCell ref="H100:K100"/>
    <mergeCell ref="C102:H102"/>
    <mergeCell ref="G104:H104"/>
    <mergeCell ref="G105:H105"/>
    <mergeCell ref="J99:K99"/>
    <mergeCell ref="G118:H118"/>
    <mergeCell ref="M109:M110"/>
    <mergeCell ref="J112:K112"/>
    <mergeCell ref="C113:F113"/>
    <mergeCell ref="H113:K113"/>
    <mergeCell ref="C115:H115"/>
    <mergeCell ref="G117:H1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view="pageBreakPreview" topLeftCell="A13" zoomScale="90" zoomScaleNormal="47" zoomScaleSheetLayoutView="90" workbookViewId="0">
      <selection activeCell="U27" sqref="U27"/>
    </sheetView>
  </sheetViews>
  <sheetFormatPr defaultRowHeight="15" x14ac:dyDescent="0.25"/>
  <cols>
    <col min="4" max="5" width="8.85546875" bestFit="1" customWidth="1"/>
    <col min="6" max="6" width="10.42578125" bestFit="1" customWidth="1"/>
    <col min="9" max="10" width="8.85546875" bestFit="1" customWidth="1"/>
    <col min="11" max="11" width="12.5703125" bestFit="1" customWidth="1"/>
    <col min="14" max="15" width="8.85546875" bestFit="1" customWidth="1"/>
    <col min="16" max="16" width="10" bestFit="1" customWidth="1"/>
    <col min="21" max="21" width="11.140625" bestFit="1" customWidth="1"/>
  </cols>
  <sheetData>
    <row r="1" spans="1:21" x14ac:dyDescent="0.25">
      <c r="A1" s="417" t="s">
        <v>12</v>
      </c>
      <c r="B1" s="417"/>
      <c r="C1" s="647" t="s">
        <v>338</v>
      </c>
      <c r="D1" s="647"/>
      <c r="E1" s="647"/>
      <c r="F1" s="647"/>
      <c r="G1" s="647"/>
      <c r="H1" s="647"/>
      <c r="I1" s="647"/>
      <c r="J1" s="647"/>
      <c r="K1" s="647"/>
      <c r="L1" s="647"/>
      <c r="M1" s="647"/>
      <c r="N1" s="647"/>
      <c r="O1" s="647"/>
      <c r="P1" s="647"/>
      <c r="Q1" s="647"/>
      <c r="R1" s="647"/>
      <c r="S1" s="647"/>
      <c r="T1" s="647"/>
      <c r="U1" s="648" t="s">
        <v>339</v>
      </c>
    </row>
    <row r="2" spans="1:21" x14ac:dyDescent="0.25">
      <c r="A2" s="417"/>
      <c r="B2" s="417"/>
      <c r="C2" s="647"/>
      <c r="D2" s="647"/>
      <c r="E2" s="647"/>
      <c r="F2" s="647"/>
      <c r="G2" s="647"/>
      <c r="H2" s="647"/>
      <c r="I2" s="647"/>
      <c r="J2" s="647"/>
      <c r="K2" s="647"/>
      <c r="L2" s="647"/>
      <c r="M2" s="647"/>
      <c r="N2" s="647"/>
      <c r="O2" s="647"/>
      <c r="P2" s="647"/>
      <c r="Q2" s="647"/>
      <c r="R2" s="647"/>
      <c r="S2" s="647"/>
      <c r="T2" s="647"/>
      <c r="U2" s="648"/>
    </row>
    <row r="3" spans="1:21" ht="15.75" x14ac:dyDescent="0.25">
      <c r="A3" s="649" t="s">
        <v>337</v>
      </c>
      <c r="B3" s="649"/>
      <c r="C3" s="647"/>
      <c r="D3" s="647"/>
      <c r="E3" s="647"/>
      <c r="F3" s="647"/>
      <c r="G3" s="647"/>
      <c r="H3" s="647"/>
      <c r="I3" s="647"/>
      <c r="J3" s="647"/>
      <c r="K3" s="647"/>
      <c r="L3" s="647"/>
      <c r="M3" s="647"/>
      <c r="N3" s="647"/>
      <c r="O3" s="647"/>
      <c r="P3" s="647"/>
      <c r="Q3" s="647"/>
      <c r="R3" s="647"/>
      <c r="S3" s="647"/>
      <c r="T3" s="647"/>
      <c r="U3" s="648"/>
    </row>
    <row r="4" spans="1:21" ht="15.75" x14ac:dyDescent="0.25">
      <c r="A4" s="418" t="s">
        <v>16</v>
      </c>
      <c r="B4" s="650" t="s">
        <v>18</v>
      </c>
      <c r="C4" s="650"/>
      <c r="D4" s="650"/>
      <c r="E4" s="650"/>
      <c r="F4" s="650"/>
      <c r="G4" s="650" t="s">
        <v>24</v>
      </c>
      <c r="H4" s="650"/>
      <c r="I4" s="650"/>
      <c r="J4" s="650"/>
      <c r="K4" s="650"/>
      <c r="L4" s="650" t="s">
        <v>25</v>
      </c>
      <c r="M4" s="650"/>
      <c r="N4" s="650"/>
      <c r="O4" s="650"/>
      <c r="P4" s="650"/>
      <c r="Q4" s="650" t="s">
        <v>26</v>
      </c>
      <c r="R4" s="650"/>
      <c r="S4" s="650"/>
      <c r="T4" s="650"/>
      <c r="U4" s="650"/>
    </row>
    <row r="5" spans="1:21" ht="15.75" x14ac:dyDescent="0.25">
      <c r="A5" s="418"/>
      <c r="B5" s="180" t="s">
        <v>19</v>
      </c>
      <c r="C5" s="180" t="s">
        <v>20</v>
      </c>
      <c r="D5" s="180" t="s">
        <v>21</v>
      </c>
      <c r="E5" s="180" t="s">
        <v>22</v>
      </c>
      <c r="F5" s="180" t="s">
        <v>23</v>
      </c>
      <c r="G5" s="180" t="s">
        <v>19</v>
      </c>
      <c r="H5" s="180" t="s">
        <v>20</v>
      </c>
      <c r="I5" s="180" t="s">
        <v>21</v>
      </c>
      <c r="J5" s="180" t="s">
        <v>22</v>
      </c>
      <c r="K5" s="180" t="s">
        <v>23</v>
      </c>
      <c r="L5" s="180" t="s">
        <v>19</v>
      </c>
      <c r="M5" s="180" t="s">
        <v>20</v>
      </c>
      <c r="N5" s="180" t="s">
        <v>21</v>
      </c>
      <c r="O5" s="180" t="s">
        <v>22</v>
      </c>
      <c r="P5" s="180" t="s">
        <v>23</v>
      </c>
      <c r="Q5" s="180" t="s">
        <v>19</v>
      </c>
      <c r="R5" s="180" t="s">
        <v>20</v>
      </c>
      <c r="S5" s="180" t="s">
        <v>21</v>
      </c>
      <c r="T5" s="180" t="s">
        <v>22</v>
      </c>
      <c r="U5" s="180" t="s">
        <v>23</v>
      </c>
    </row>
    <row r="6" spans="1:21" ht="47.25" x14ac:dyDescent="0.25">
      <c r="A6" s="179" t="s">
        <v>340</v>
      </c>
      <c r="B6" s="180" t="s">
        <v>29</v>
      </c>
      <c r="C6" s="180" t="s">
        <v>28</v>
      </c>
      <c r="D6" s="180">
        <v>15</v>
      </c>
      <c r="E6" s="180">
        <f>unskilled</f>
        <v>935</v>
      </c>
      <c r="F6" s="10">
        <f>(D6*E6)</f>
        <v>14025</v>
      </c>
      <c r="G6" s="180" t="s">
        <v>297</v>
      </c>
      <c r="H6" s="180" t="s">
        <v>35</v>
      </c>
      <c r="I6" s="180">
        <v>12.94</v>
      </c>
      <c r="J6" s="180">
        <f>adopted_rate_bitumen</f>
        <v>108000</v>
      </c>
      <c r="K6" s="180">
        <f>(I6*J6)</f>
        <v>1397520</v>
      </c>
      <c r="L6" s="180" t="s">
        <v>307</v>
      </c>
      <c r="M6" s="180" t="s">
        <v>58</v>
      </c>
      <c r="N6" s="180">
        <v>6</v>
      </c>
      <c r="O6" s="180">
        <v>64921</v>
      </c>
      <c r="P6" s="10">
        <f t="shared" ref="P6:P11" si="0">(N6*O6)</f>
        <v>389526</v>
      </c>
    </row>
    <row r="7" spans="1:21" ht="31.5" x14ac:dyDescent="0.25">
      <c r="B7" s="180" t="s">
        <v>47</v>
      </c>
      <c r="C7" s="180" t="s">
        <v>28</v>
      </c>
      <c r="D7" s="180">
        <v>5</v>
      </c>
      <c r="E7" s="180">
        <f>skilled</f>
        <v>1245</v>
      </c>
      <c r="F7" s="10">
        <f>(D7*E7)</f>
        <v>6225</v>
      </c>
      <c r="G7" s="180" t="s">
        <v>327</v>
      </c>
      <c r="H7" s="180"/>
      <c r="L7" s="180" t="s">
        <v>258</v>
      </c>
      <c r="M7" s="180" t="s">
        <v>58</v>
      </c>
      <c r="N7" s="180">
        <v>6</v>
      </c>
      <c r="O7" s="180">
        <f>paver_finisher</f>
        <v>2374</v>
      </c>
      <c r="P7" s="10">
        <f t="shared" si="0"/>
        <v>14244</v>
      </c>
    </row>
    <row r="8" spans="1:21" ht="63" x14ac:dyDescent="0.25">
      <c r="G8" s="180" t="s">
        <v>341</v>
      </c>
      <c r="H8" s="180"/>
      <c r="L8" s="180" t="s">
        <v>76</v>
      </c>
      <c r="M8" s="180" t="s">
        <v>58</v>
      </c>
      <c r="N8" s="180">
        <v>6</v>
      </c>
      <c r="O8" s="180">
        <f>generator</f>
        <v>855</v>
      </c>
      <c r="P8" s="10">
        <f t="shared" si="0"/>
        <v>5130</v>
      </c>
    </row>
    <row r="9" spans="1:21" ht="47.25" x14ac:dyDescent="0.25">
      <c r="G9" s="180" t="s">
        <v>342</v>
      </c>
      <c r="H9" s="180" t="s">
        <v>84</v>
      </c>
      <c r="I9" s="180">
        <v>49.48</v>
      </c>
      <c r="J9" s="180">
        <f>adopted_rate_aggregate_10_20_mm</f>
        <v>3351.6</v>
      </c>
      <c r="K9" s="180">
        <f>(I9*J9)</f>
        <v>165837.16799999998</v>
      </c>
      <c r="L9" s="180" t="s">
        <v>332</v>
      </c>
      <c r="M9" s="180" t="s">
        <v>58</v>
      </c>
      <c r="N9" s="180">
        <v>12</v>
      </c>
      <c r="O9" s="180">
        <f>smooth_wheel_roller</f>
        <v>1089</v>
      </c>
      <c r="P9" s="10">
        <f t="shared" si="0"/>
        <v>13068</v>
      </c>
    </row>
    <row r="10" spans="1:21" ht="47.25" x14ac:dyDescent="0.25">
      <c r="G10" s="180" t="s">
        <v>305</v>
      </c>
      <c r="H10" s="180" t="s">
        <v>84</v>
      </c>
      <c r="I10" s="180">
        <v>32.520000000000003</v>
      </c>
      <c r="J10" s="180">
        <f>Rate_Analysis!J904</f>
        <v>3175.2000000000003</v>
      </c>
      <c r="K10" s="180">
        <f>(I10*J10)</f>
        <v>103257.50400000002</v>
      </c>
      <c r="L10" s="180" t="s">
        <v>308</v>
      </c>
      <c r="M10" s="180" t="s">
        <v>58</v>
      </c>
      <c r="N10" s="180">
        <v>6</v>
      </c>
      <c r="O10" s="180">
        <f>pneumatic_roller</f>
        <v>2121</v>
      </c>
      <c r="P10" s="10">
        <f t="shared" si="0"/>
        <v>12726</v>
      </c>
    </row>
    <row r="11" spans="1:21" ht="63" x14ac:dyDescent="0.25">
      <c r="G11" s="180" t="s">
        <v>306</v>
      </c>
      <c r="H11" s="180" t="s">
        <v>84</v>
      </c>
      <c r="I11" s="180">
        <v>56.55</v>
      </c>
      <c r="J11" s="180">
        <f>adopted_rate_sand</f>
        <v>3175.2000000000003</v>
      </c>
      <c r="K11" s="180">
        <f>(I11*J11)</f>
        <v>179557.56</v>
      </c>
      <c r="L11" s="180" t="s">
        <v>288</v>
      </c>
      <c r="M11" s="180" t="s">
        <v>58</v>
      </c>
      <c r="N11" s="180">
        <v>0</v>
      </c>
      <c r="O11" s="180">
        <f>mechanical_broom</f>
        <v>1393</v>
      </c>
      <c r="P11" s="10">
        <f t="shared" si="0"/>
        <v>0</v>
      </c>
    </row>
    <row r="12" spans="1:21" ht="15.75" x14ac:dyDescent="0.25">
      <c r="G12" s="14" t="s">
        <v>331</v>
      </c>
      <c r="H12" s="180" t="s">
        <v>35</v>
      </c>
      <c r="I12" s="180">
        <v>2.83</v>
      </c>
      <c r="J12" s="180">
        <f>adopted_rate_stone_dust</f>
        <v>1234.8</v>
      </c>
      <c r="K12" s="180">
        <f>(I12*J12)</f>
        <v>3494.4839999999999</v>
      </c>
    </row>
    <row r="13" spans="1:21" ht="15.75" x14ac:dyDescent="0.25">
      <c r="A13" s="651" t="s">
        <v>30</v>
      </c>
      <c r="B13" s="651"/>
      <c r="C13" s="651"/>
      <c r="D13" s="651"/>
      <c r="E13" s="651"/>
      <c r="F13" s="10">
        <f>SUM(F5:F12)</f>
        <v>20250</v>
      </c>
      <c r="G13" s="651" t="s">
        <v>31</v>
      </c>
      <c r="H13" s="651"/>
      <c r="I13" s="651"/>
      <c r="J13" s="651"/>
      <c r="K13" s="10">
        <f>SUM(K5:K12)</f>
        <v>1849666.716</v>
      </c>
      <c r="L13" s="651" t="s">
        <v>32</v>
      </c>
      <c r="M13" s="651"/>
      <c r="N13" s="651"/>
      <c r="O13" s="651"/>
      <c r="P13" s="10">
        <f>SUM(P5:P12)</f>
        <v>434694</v>
      </c>
      <c r="Q13" s="651" t="s">
        <v>38</v>
      </c>
      <c r="R13" s="651"/>
      <c r="S13" s="651"/>
      <c r="T13" s="651"/>
      <c r="U13" s="10">
        <f>SUM(U5:U12)</f>
        <v>0</v>
      </c>
    </row>
    <row r="14" spans="1:21" ht="15.75" x14ac:dyDescent="0.25">
      <c r="A14" s="651" t="s">
        <v>33</v>
      </c>
      <c r="B14" s="651"/>
      <c r="C14" s="651"/>
      <c r="D14" s="651"/>
      <c r="E14" s="651"/>
      <c r="F14" s="10">
        <f>SUM(F13+K13+P13)</f>
        <v>2304610.716</v>
      </c>
      <c r="G14" s="651" t="s">
        <v>39</v>
      </c>
      <c r="H14" s="651"/>
      <c r="I14" s="651"/>
      <c r="J14" s="651"/>
      <c r="K14" s="10">
        <f>SUM(F13+K13+P13+U13)</f>
        <v>2304610.716</v>
      </c>
      <c r="L14" s="651" t="s">
        <v>40</v>
      </c>
      <c r="M14" s="651"/>
      <c r="N14" s="651"/>
      <c r="O14" s="651"/>
      <c r="P14" s="10">
        <f>SUM(K14*0.15)</f>
        <v>345691.60739999998</v>
      </c>
      <c r="Q14" s="651" t="s">
        <v>41</v>
      </c>
      <c r="R14" s="651"/>
      <c r="S14" s="651"/>
      <c r="T14" s="651"/>
      <c r="U14" s="10">
        <f>SUM(K14+P14)</f>
        <v>2650302.3234000001</v>
      </c>
    </row>
    <row r="15" spans="1:21" ht="15.75" x14ac:dyDescent="0.25">
      <c r="Q15" s="651" t="s">
        <v>42</v>
      </c>
      <c r="R15" s="651"/>
      <c r="S15" s="651"/>
      <c r="T15" s="651"/>
      <c r="U15" s="181">
        <f>ROUND((U14/95.5),2)</f>
        <v>27751.86</v>
      </c>
    </row>
    <row r="16" spans="1:21" ht="15.75" x14ac:dyDescent="0.25">
      <c r="A16" s="652"/>
      <c r="B16" s="652"/>
      <c r="C16" s="652"/>
      <c r="D16" s="652"/>
      <c r="E16" s="652"/>
      <c r="F16" s="652"/>
      <c r="G16" s="652"/>
      <c r="H16" s="652"/>
      <c r="I16" s="652"/>
      <c r="J16" s="652"/>
      <c r="K16" s="652"/>
      <c r="L16" s="652"/>
      <c r="M16" s="652"/>
      <c r="N16" s="652"/>
      <c r="O16" s="652"/>
      <c r="P16" s="652"/>
      <c r="Q16" s="652"/>
      <c r="R16" s="652"/>
      <c r="S16" s="652"/>
      <c r="T16" s="652"/>
      <c r="U16" s="652"/>
    </row>
    <row r="19" spans="1:21" x14ac:dyDescent="0.25">
      <c r="A19" s="417" t="s">
        <v>12</v>
      </c>
      <c r="B19" s="417"/>
      <c r="C19" s="647" t="s">
        <v>338</v>
      </c>
      <c r="D19" s="647"/>
      <c r="E19" s="647"/>
      <c r="F19" s="647"/>
      <c r="G19" s="647"/>
      <c r="H19" s="647"/>
      <c r="I19" s="647"/>
      <c r="J19" s="647"/>
      <c r="K19" s="647"/>
      <c r="L19" s="647"/>
      <c r="M19" s="647"/>
      <c r="N19" s="647"/>
      <c r="O19" s="647"/>
      <c r="P19" s="647"/>
      <c r="Q19" s="647"/>
      <c r="R19" s="647"/>
      <c r="S19" s="647"/>
      <c r="T19" s="647"/>
      <c r="U19" s="648" t="s">
        <v>339</v>
      </c>
    </row>
    <row r="20" spans="1:21" x14ac:dyDescent="0.25">
      <c r="A20" s="417"/>
      <c r="B20" s="417"/>
      <c r="C20" s="647"/>
      <c r="D20" s="647"/>
      <c r="E20" s="647"/>
      <c r="F20" s="647"/>
      <c r="G20" s="647"/>
      <c r="H20" s="647"/>
      <c r="I20" s="647"/>
      <c r="J20" s="647"/>
      <c r="K20" s="647"/>
      <c r="L20" s="647"/>
      <c r="M20" s="647"/>
      <c r="N20" s="647"/>
      <c r="O20" s="647"/>
      <c r="P20" s="647"/>
      <c r="Q20" s="647"/>
      <c r="R20" s="647"/>
      <c r="S20" s="647"/>
      <c r="T20" s="647"/>
      <c r="U20" s="648"/>
    </row>
    <row r="21" spans="1:21" ht="15.75" x14ac:dyDescent="0.25">
      <c r="A21" s="649" t="s">
        <v>337</v>
      </c>
      <c r="B21" s="649"/>
      <c r="C21" s="647"/>
      <c r="D21" s="647"/>
      <c r="E21" s="647"/>
      <c r="F21" s="647"/>
      <c r="G21" s="647"/>
      <c r="H21" s="647"/>
      <c r="I21" s="647"/>
      <c r="J21" s="647"/>
      <c r="K21" s="647"/>
      <c r="L21" s="647"/>
      <c r="M21" s="647"/>
      <c r="N21" s="647"/>
      <c r="O21" s="647"/>
      <c r="P21" s="647"/>
      <c r="Q21" s="647"/>
      <c r="R21" s="647"/>
      <c r="S21" s="647"/>
      <c r="T21" s="647"/>
      <c r="U21" s="648"/>
    </row>
    <row r="22" spans="1:21" ht="15.75" x14ac:dyDescent="0.25">
      <c r="A22" s="418" t="s">
        <v>16</v>
      </c>
      <c r="B22" s="650" t="s">
        <v>18</v>
      </c>
      <c r="C22" s="650"/>
      <c r="D22" s="650"/>
      <c r="E22" s="650"/>
      <c r="F22" s="650"/>
      <c r="G22" s="650" t="s">
        <v>24</v>
      </c>
      <c r="H22" s="650"/>
      <c r="I22" s="650"/>
      <c r="J22" s="650"/>
      <c r="K22" s="650"/>
      <c r="L22" s="650" t="s">
        <v>25</v>
      </c>
      <c r="M22" s="650"/>
      <c r="N22" s="650"/>
      <c r="O22" s="650"/>
      <c r="P22" s="650"/>
      <c r="Q22" s="650" t="s">
        <v>26</v>
      </c>
      <c r="R22" s="650"/>
      <c r="S22" s="650"/>
      <c r="T22" s="650"/>
      <c r="U22" s="650"/>
    </row>
    <row r="23" spans="1:21" ht="15.75" x14ac:dyDescent="0.25">
      <c r="A23" s="418"/>
      <c r="B23" s="180" t="s">
        <v>19</v>
      </c>
      <c r="C23" s="180" t="s">
        <v>20</v>
      </c>
      <c r="D23" s="180" t="s">
        <v>21</v>
      </c>
      <c r="E23" s="180" t="s">
        <v>22</v>
      </c>
      <c r="F23" s="180" t="s">
        <v>23</v>
      </c>
      <c r="G23" s="180" t="s">
        <v>19</v>
      </c>
      <c r="H23" s="180" t="s">
        <v>20</v>
      </c>
      <c r="I23" s="180" t="s">
        <v>21</v>
      </c>
      <c r="J23" s="180" t="s">
        <v>22</v>
      </c>
      <c r="K23" s="180" t="s">
        <v>23</v>
      </c>
      <c r="L23" s="180" t="s">
        <v>19</v>
      </c>
      <c r="M23" s="180" t="s">
        <v>20</v>
      </c>
      <c r="N23" s="180" t="s">
        <v>21</v>
      </c>
      <c r="O23" s="180" t="s">
        <v>22</v>
      </c>
      <c r="P23" s="180" t="s">
        <v>23</v>
      </c>
      <c r="Q23" s="180" t="s">
        <v>19</v>
      </c>
      <c r="R23" s="180" t="s">
        <v>20</v>
      </c>
      <c r="S23" s="180" t="s">
        <v>21</v>
      </c>
      <c r="T23" s="180" t="s">
        <v>22</v>
      </c>
      <c r="U23" s="180" t="s">
        <v>23</v>
      </c>
    </row>
    <row r="24" spans="1:21" ht="47.25" x14ac:dyDescent="0.25">
      <c r="A24" s="179" t="s">
        <v>340</v>
      </c>
      <c r="B24" s="180" t="s">
        <v>29</v>
      </c>
      <c r="C24" s="180" t="s">
        <v>28</v>
      </c>
      <c r="D24" s="180">
        <v>15</v>
      </c>
      <c r="E24" s="180">
        <f>unskilled</f>
        <v>935</v>
      </c>
      <c r="F24" s="10">
        <f>(D24*E24)</f>
        <v>14025</v>
      </c>
      <c r="G24" s="180" t="s">
        <v>297</v>
      </c>
      <c r="H24" s="180" t="s">
        <v>35</v>
      </c>
      <c r="I24" s="180">
        <v>12.94</v>
      </c>
      <c r="J24" s="180">
        <f>adopted_rate_bitumen</f>
        <v>108000</v>
      </c>
      <c r="K24" s="180">
        <f>(I24*J24)</f>
        <v>1397520</v>
      </c>
      <c r="L24" s="180" t="s">
        <v>307</v>
      </c>
      <c r="M24" s="180" t="s">
        <v>58</v>
      </c>
      <c r="N24" s="180">
        <v>6</v>
      </c>
      <c r="O24" s="180">
        <v>78247</v>
      </c>
      <c r="P24" s="10">
        <f t="shared" ref="P24:P29" si="1">(N24*O24)</f>
        <v>469482</v>
      </c>
    </row>
    <row r="25" spans="1:21" ht="31.5" x14ac:dyDescent="0.25">
      <c r="B25" s="180" t="s">
        <v>47</v>
      </c>
      <c r="C25" s="180" t="s">
        <v>28</v>
      </c>
      <c r="D25" s="180">
        <v>5</v>
      </c>
      <c r="E25" s="180">
        <f>skilled</f>
        <v>1245</v>
      </c>
      <c r="F25" s="10">
        <f>(D25*E25)</f>
        <v>6225</v>
      </c>
      <c r="G25" s="180" t="s">
        <v>327</v>
      </c>
      <c r="H25" s="180"/>
      <c r="L25" s="180" t="s">
        <v>258</v>
      </c>
      <c r="M25" s="180" t="s">
        <v>58</v>
      </c>
      <c r="N25" s="180">
        <v>6</v>
      </c>
      <c r="O25" s="180">
        <f>paver_finisher</f>
        <v>2374</v>
      </c>
      <c r="P25" s="10">
        <f t="shared" si="1"/>
        <v>14244</v>
      </c>
    </row>
    <row r="26" spans="1:21" ht="63" x14ac:dyDescent="0.25">
      <c r="G26" s="180" t="s">
        <v>341</v>
      </c>
      <c r="H26" s="180"/>
      <c r="L26" s="180" t="s">
        <v>76</v>
      </c>
      <c r="M26" s="180" t="s">
        <v>58</v>
      </c>
      <c r="N26" s="180">
        <v>6</v>
      </c>
      <c r="O26" s="180">
        <f>generator</f>
        <v>855</v>
      </c>
      <c r="P26" s="10">
        <f t="shared" si="1"/>
        <v>5130</v>
      </c>
    </row>
    <row r="27" spans="1:21" ht="47.25" x14ac:dyDescent="0.25">
      <c r="G27" s="180" t="s">
        <v>342</v>
      </c>
      <c r="H27" s="180" t="s">
        <v>84</v>
      </c>
      <c r="I27" s="180">
        <v>49.48</v>
      </c>
      <c r="J27" s="180">
        <f>adopted_rate_aggregate_10_20_mm</f>
        <v>3351.6</v>
      </c>
      <c r="K27" s="180">
        <f>(I27*J27)</f>
        <v>165837.16799999998</v>
      </c>
      <c r="L27" s="180" t="s">
        <v>332</v>
      </c>
      <c r="M27" s="180" t="s">
        <v>58</v>
      </c>
      <c r="N27" s="180">
        <v>12</v>
      </c>
      <c r="O27" s="180">
        <f>smooth_wheel_roller</f>
        <v>1089</v>
      </c>
      <c r="P27" s="10">
        <f t="shared" si="1"/>
        <v>13068</v>
      </c>
    </row>
    <row r="28" spans="1:21" ht="47.25" x14ac:dyDescent="0.25">
      <c r="G28" s="180" t="s">
        <v>305</v>
      </c>
      <c r="H28" s="180" t="s">
        <v>84</v>
      </c>
      <c r="I28" s="180">
        <v>32.520000000000003</v>
      </c>
      <c r="J28" s="180">
        <f>Rate_Analysis!J922</f>
        <v>1234.8</v>
      </c>
      <c r="K28" s="180">
        <f>(I28*J28)</f>
        <v>40155.696000000004</v>
      </c>
      <c r="L28" s="180" t="s">
        <v>308</v>
      </c>
      <c r="M28" s="180" t="s">
        <v>58</v>
      </c>
      <c r="N28" s="180">
        <v>6</v>
      </c>
      <c r="O28" s="180">
        <f>pneumatic_roller</f>
        <v>2121</v>
      </c>
      <c r="P28" s="10">
        <f t="shared" si="1"/>
        <v>12726</v>
      </c>
    </row>
    <row r="29" spans="1:21" ht="63" x14ac:dyDescent="0.25">
      <c r="G29" s="180" t="s">
        <v>306</v>
      </c>
      <c r="H29" s="180" t="s">
        <v>84</v>
      </c>
      <c r="I29" s="180">
        <v>56.55</v>
      </c>
      <c r="J29" s="180">
        <f>adopted_rate_sand</f>
        <v>3175.2000000000003</v>
      </c>
      <c r="K29" s="180">
        <f>(I29*J29)</f>
        <v>179557.56</v>
      </c>
      <c r="L29" s="180" t="s">
        <v>288</v>
      </c>
      <c r="M29" s="180" t="s">
        <v>58</v>
      </c>
      <c r="N29" s="180">
        <v>0</v>
      </c>
      <c r="O29" s="180">
        <f>mechanical_broom</f>
        <v>1393</v>
      </c>
      <c r="P29" s="10">
        <f t="shared" si="1"/>
        <v>0</v>
      </c>
    </row>
    <row r="30" spans="1:21" ht="15.75" x14ac:dyDescent="0.25">
      <c r="G30" s="14" t="s">
        <v>331</v>
      </c>
      <c r="H30" s="180" t="s">
        <v>35</v>
      </c>
      <c r="I30" s="180">
        <v>2.83</v>
      </c>
      <c r="J30" s="180">
        <f>adopted_rate_stone_dust</f>
        <v>1234.8</v>
      </c>
      <c r="K30" s="180">
        <f>(I30*J30)</f>
        <v>3494.4839999999999</v>
      </c>
    </row>
    <row r="31" spans="1:21" ht="15.75" x14ac:dyDescent="0.25">
      <c r="A31" s="651" t="s">
        <v>30</v>
      </c>
      <c r="B31" s="651"/>
      <c r="C31" s="651"/>
      <c r="D31" s="651"/>
      <c r="E31" s="651"/>
      <c r="F31" s="10">
        <f>SUM(F23:F30)</f>
        <v>20250</v>
      </c>
      <c r="G31" s="651" t="s">
        <v>31</v>
      </c>
      <c r="H31" s="651"/>
      <c r="I31" s="651"/>
      <c r="J31" s="651"/>
      <c r="K31" s="10">
        <f>SUM(K23:K30)</f>
        <v>1786564.9080000001</v>
      </c>
      <c r="L31" s="651" t="s">
        <v>32</v>
      </c>
      <c r="M31" s="651"/>
      <c r="N31" s="651"/>
      <c r="O31" s="651"/>
      <c r="P31" s="10">
        <f>SUM(P23:P30)</f>
        <v>514650</v>
      </c>
      <c r="Q31" s="651" t="s">
        <v>38</v>
      </c>
      <c r="R31" s="651"/>
      <c r="S31" s="651"/>
      <c r="T31" s="651"/>
      <c r="U31" s="10">
        <f>SUM(U23:U30)</f>
        <v>0</v>
      </c>
    </row>
    <row r="32" spans="1:21" ht="15.75" x14ac:dyDescent="0.25">
      <c r="A32" s="651" t="s">
        <v>33</v>
      </c>
      <c r="B32" s="651"/>
      <c r="C32" s="651"/>
      <c r="D32" s="651"/>
      <c r="E32" s="651"/>
      <c r="F32" s="10">
        <f>SUM(F31+K31+P31)</f>
        <v>2321464.9079999998</v>
      </c>
      <c r="G32" s="651" t="s">
        <v>39</v>
      </c>
      <c r="H32" s="651"/>
      <c r="I32" s="651"/>
      <c r="J32" s="651"/>
      <c r="K32" s="10">
        <f>SUM(F31+K31+P31+U31)</f>
        <v>2321464.9079999998</v>
      </c>
      <c r="L32" s="651" t="s">
        <v>40</v>
      </c>
      <c r="M32" s="651"/>
      <c r="N32" s="651"/>
      <c r="O32" s="651"/>
      <c r="P32" s="10">
        <f>SUM(K32*0.15)</f>
        <v>348219.73619999998</v>
      </c>
      <c r="Q32" s="651" t="s">
        <v>41</v>
      </c>
      <c r="R32" s="651"/>
      <c r="S32" s="651"/>
      <c r="T32" s="651"/>
      <c r="U32" s="10">
        <f>SUM(K32+P32)</f>
        <v>2669684.6442</v>
      </c>
    </row>
    <row r="33" spans="17:21" ht="15.75" x14ac:dyDescent="0.25">
      <c r="Q33" s="651" t="s">
        <v>42</v>
      </c>
      <c r="R33" s="651"/>
      <c r="S33" s="651"/>
      <c r="T33" s="651"/>
      <c r="U33" s="181">
        <f>ROUND((U32/95.5),2)</f>
        <v>27954.81</v>
      </c>
    </row>
  </sheetData>
  <mergeCells count="37">
    <mergeCell ref="A32:E32"/>
    <mergeCell ref="G32:J32"/>
    <mergeCell ref="L32:O32"/>
    <mergeCell ref="Q32:T32"/>
    <mergeCell ref="Q33:T33"/>
    <mergeCell ref="A31:E31"/>
    <mergeCell ref="G31:J31"/>
    <mergeCell ref="L31:O31"/>
    <mergeCell ref="Q31:T31"/>
    <mergeCell ref="Q15:T15"/>
    <mergeCell ref="A16:U16"/>
    <mergeCell ref="A19:B20"/>
    <mergeCell ref="C19:T21"/>
    <mergeCell ref="U19:U21"/>
    <mergeCell ref="A21:B21"/>
    <mergeCell ref="A22:A23"/>
    <mergeCell ref="B22:F22"/>
    <mergeCell ref="G22:K22"/>
    <mergeCell ref="L22:P22"/>
    <mergeCell ref="Q22:U22"/>
    <mergeCell ref="A13:E13"/>
    <mergeCell ref="G13:J13"/>
    <mergeCell ref="L13:O13"/>
    <mergeCell ref="Q13:T13"/>
    <mergeCell ref="A14:E14"/>
    <mergeCell ref="G14:J14"/>
    <mergeCell ref="L14:O14"/>
    <mergeCell ref="Q14:T14"/>
    <mergeCell ref="A1:B2"/>
    <mergeCell ref="C1:T3"/>
    <mergeCell ref="U1:U3"/>
    <mergeCell ref="A3:B3"/>
    <mergeCell ref="A4:A5"/>
    <mergeCell ref="B4:F4"/>
    <mergeCell ref="G4:K4"/>
    <mergeCell ref="L4:P4"/>
    <mergeCell ref="Q4:U4"/>
  </mergeCells>
  <conditionalFormatting sqref="A1:U15">
    <cfRule type="containsBlanks" dxfId="7" priority="2">
      <formula>LEN(TRIM(A1))=0</formula>
    </cfRule>
  </conditionalFormatting>
  <conditionalFormatting sqref="A19:U33">
    <cfRule type="containsBlanks" dxfId="6" priority="1">
      <formula>LEN(TRIM(A19))=0</formula>
    </cfRule>
  </conditionalFormatting>
  <pageMargins left="0.7" right="0.7" top="0.75" bottom="0.75" header="0.3" footer="0.3"/>
  <pageSetup paperSize="9"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
  <sheetViews>
    <sheetView workbookViewId="0">
      <selection activeCell="K10" sqref="K10"/>
    </sheetView>
  </sheetViews>
  <sheetFormatPr defaultRowHeight="15" x14ac:dyDescent="0.25"/>
  <sheetData>
    <row r="1" spans="1:21" x14ac:dyDescent="0.25">
      <c r="A1" t="s">
        <v>12</v>
      </c>
      <c r="C1" t="s">
        <v>338</v>
      </c>
      <c r="U1" t="s">
        <v>339</v>
      </c>
    </row>
    <row r="3" spans="1:21" x14ac:dyDescent="0.25">
      <c r="A3" t="s">
        <v>337</v>
      </c>
    </row>
    <row r="4" spans="1:21" x14ac:dyDescent="0.25">
      <c r="A4" t="s">
        <v>16</v>
      </c>
      <c r="B4" t="s">
        <v>18</v>
      </c>
      <c r="G4" t="s">
        <v>24</v>
      </c>
      <c r="L4" t="s">
        <v>25</v>
      </c>
      <c r="Q4" t="s">
        <v>26</v>
      </c>
    </row>
    <row r="5" spans="1:21" x14ac:dyDescent="0.25">
      <c r="B5" t="s">
        <v>19</v>
      </c>
      <c r="C5" t="s">
        <v>20</v>
      </c>
      <c r="D5" t="s">
        <v>21</v>
      </c>
      <c r="E5" t="s">
        <v>22</v>
      </c>
      <c r="F5" t="s">
        <v>23</v>
      </c>
      <c r="G5" t="s">
        <v>19</v>
      </c>
      <c r="H5" t="s">
        <v>20</v>
      </c>
      <c r="I5" t="s">
        <v>21</v>
      </c>
      <c r="J5" t="s">
        <v>22</v>
      </c>
      <c r="K5" t="s">
        <v>23</v>
      </c>
      <c r="L5" t="s">
        <v>19</v>
      </c>
      <c r="M5" t="s">
        <v>20</v>
      </c>
      <c r="N5" t="s">
        <v>21</v>
      </c>
      <c r="O5" t="s">
        <v>22</v>
      </c>
      <c r="P5" t="s">
        <v>23</v>
      </c>
      <c r="Q5" t="s">
        <v>19</v>
      </c>
      <c r="R5" t="s">
        <v>20</v>
      </c>
      <c r="S5" t="s">
        <v>21</v>
      </c>
      <c r="T5" t="s">
        <v>22</v>
      </c>
      <c r="U5" t="s">
        <v>23</v>
      </c>
    </row>
    <row r="6" spans="1:21" x14ac:dyDescent="0.25">
      <c r="A6" t="s">
        <v>340</v>
      </c>
      <c r="B6" t="s">
        <v>29</v>
      </c>
      <c r="C6" t="s">
        <v>28</v>
      </c>
      <c r="D6">
        <v>15</v>
      </c>
      <c r="F6">
        <f>(D6*E6)</f>
        <v>0</v>
      </c>
      <c r="G6" t="s">
        <v>297</v>
      </c>
      <c r="H6" t="s">
        <v>35</v>
      </c>
      <c r="I6">
        <v>12.94</v>
      </c>
      <c r="J6">
        <f>adopted_rate_bitumen</f>
        <v>108000</v>
      </c>
      <c r="K6">
        <f>(I6*J6)</f>
        <v>1397520</v>
      </c>
      <c r="L6" t="s">
        <v>307</v>
      </c>
      <c r="M6" t="s">
        <v>58</v>
      </c>
      <c r="N6">
        <v>6</v>
      </c>
      <c r="O6">
        <f>hot_mix_plant</f>
        <v>28602</v>
      </c>
      <c r="P6">
        <f t="shared" ref="P6:P11" si="0">(N6*O6)</f>
        <v>171612</v>
      </c>
    </row>
    <row r="7" spans="1:21" x14ac:dyDescent="0.25">
      <c r="B7" t="s">
        <v>47</v>
      </c>
      <c r="C7" t="s">
        <v>28</v>
      </c>
      <c r="D7">
        <v>5</v>
      </c>
      <c r="F7">
        <f>(D7*E7)</f>
        <v>0</v>
      </c>
      <c r="G7" t="s">
        <v>327</v>
      </c>
      <c r="L7" t="s">
        <v>258</v>
      </c>
      <c r="M7" t="s">
        <v>58</v>
      </c>
      <c r="N7">
        <v>6</v>
      </c>
      <c r="O7">
        <f>paver_finisher</f>
        <v>2374</v>
      </c>
      <c r="P7">
        <f t="shared" si="0"/>
        <v>14244</v>
      </c>
    </row>
    <row r="8" spans="1:21" x14ac:dyDescent="0.25">
      <c r="G8" t="s">
        <v>341</v>
      </c>
      <c r="L8" t="s">
        <v>76</v>
      </c>
      <c r="M8" t="s">
        <v>58</v>
      </c>
      <c r="N8">
        <v>6</v>
      </c>
      <c r="O8">
        <f>generator</f>
        <v>855</v>
      </c>
      <c r="P8">
        <f t="shared" si="0"/>
        <v>5130</v>
      </c>
    </row>
    <row r="9" spans="1:21" x14ac:dyDescent="0.25">
      <c r="G9" t="s">
        <v>342</v>
      </c>
      <c r="H9" t="s">
        <v>84</v>
      </c>
      <c r="I9">
        <v>49.48</v>
      </c>
      <c r="J9">
        <f>adopted_rate_aggregate_10_20_mm</f>
        <v>3351.6</v>
      </c>
      <c r="K9">
        <f>(I9*J9)</f>
        <v>165837.16799999998</v>
      </c>
      <c r="L9" t="s">
        <v>332</v>
      </c>
      <c r="M9" t="s">
        <v>58</v>
      </c>
      <c r="N9">
        <v>12</v>
      </c>
      <c r="O9">
        <f>smooth_wheel_roller</f>
        <v>1089</v>
      </c>
      <c r="P9">
        <f t="shared" si="0"/>
        <v>13068</v>
      </c>
    </row>
    <row r="10" spans="1:21" x14ac:dyDescent="0.25">
      <c r="G10" t="s">
        <v>305</v>
      </c>
      <c r="H10" t="s">
        <v>84</v>
      </c>
      <c r="I10">
        <v>32.520000000000003</v>
      </c>
      <c r="J10" t="e">
        <f>District_Rate!#REF!</f>
        <v>#REF!</v>
      </c>
      <c r="K10" t="e">
        <f>(I10*J10)</f>
        <v>#REF!</v>
      </c>
      <c r="L10" t="s">
        <v>308</v>
      </c>
      <c r="M10" t="s">
        <v>58</v>
      </c>
      <c r="N10">
        <v>6</v>
      </c>
      <c r="O10">
        <f>pneumatic_roller</f>
        <v>2121</v>
      </c>
      <c r="P10">
        <f t="shared" si="0"/>
        <v>12726</v>
      </c>
    </row>
    <row r="11" spans="1:21" x14ac:dyDescent="0.25">
      <c r="G11" t="s">
        <v>306</v>
      </c>
      <c r="H11" t="s">
        <v>84</v>
      </c>
      <c r="I11">
        <v>56.55</v>
      </c>
      <c r="J11">
        <f>adopted_rate_sand</f>
        <v>3175.2000000000003</v>
      </c>
      <c r="K11">
        <f>(I11*J11)</f>
        <v>179557.56</v>
      </c>
      <c r="L11" t="s">
        <v>288</v>
      </c>
      <c r="M11" t="s">
        <v>58</v>
      </c>
      <c r="N11">
        <v>0</v>
      </c>
      <c r="O11">
        <f>mechanical_broom</f>
        <v>1393</v>
      </c>
      <c r="P11">
        <f t="shared" si="0"/>
        <v>0</v>
      </c>
    </row>
    <row r="12" spans="1:21" x14ac:dyDescent="0.25">
      <c r="G12" t="s">
        <v>331</v>
      </c>
      <c r="H12" t="s">
        <v>35</v>
      </c>
      <c r="I12">
        <v>2.83</v>
      </c>
      <c r="J12">
        <f>adopted_rate_stone_dust</f>
        <v>1234.8</v>
      </c>
      <c r="K12">
        <f>(I12*J12)</f>
        <v>3494.4839999999999</v>
      </c>
    </row>
    <row r="13" spans="1:21" x14ac:dyDescent="0.25">
      <c r="A13" t="s">
        <v>30</v>
      </c>
      <c r="F13">
        <f>SUM(F5:F12)</f>
        <v>0</v>
      </c>
      <c r="G13" t="s">
        <v>31</v>
      </c>
      <c r="K13" t="e">
        <f>SUM(K5:K12)</f>
        <v>#REF!</v>
      </c>
      <c r="L13" t="s">
        <v>32</v>
      </c>
      <c r="P13">
        <f>SUM(P5:P12)</f>
        <v>216780</v>
      </c>
      <c r="Q13" t="s">
        <v>38</v>
      </c>
      <c r="U13">
        <f>SUM(U5:U12)</f>
        <v>0</v>
      </c>
    </row>
    <row r="14" spans="1:21" x14ac:dyDescent="0.25">
      <c r="A14" t="s">
        <v>33</v>
      </c>
      <c r="F14" t="e">
        <f>SUM(F13+K13+P13)</f>
        <v>#REF!</v>
      </c>
      <c r="G14" t="s">
        <v>39</v>
      </c>
      <c r="K14" t="e">
        <f>SUM(F13+K13+P13+U13)</f>
        <v>#REF!</v>
      </c>
      <c r="L14" t="s">
        <v>40</v>
      </c>
      <c r="P14" t="e">
        <f>SUM(K14*0.15)</f>
        <v>#REF!</v>
      </c>
      <c r="Q14" t="s">
        <v>41</v>
      </c>
      <c r="U14" t="e">
        <f>SUM(K14+P14)</f>
        <v>#REF!</v>
      </c>
    </row>
    <row r="15" spans="1:21" x14ac:dyDescent="0.25">
      <c r="Q15" t="s">
        <v>42</v>
      </c>
      <c r="U15" t="e">
        <f>ROUND((U14/95.5),2)</f>
        <v>#REF!</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
  <sheetViews>
    <sheetView view="pageBreakPreview" zoomScale="90" zoomScaleNormal="72" zoomScaleSheetLayoutView="90" workbookViewId="0">
      <selection activeCell="U18" sqref="U18"/>
    </sheetView>
  </sheetViews>
  <sheetFormatPr defaultRowHeight="15" x14ac:dyDescent="0.25"/>
  <cols>
    <col min="5" max="5" width="8.85546875" bestFit="1" customWidth="1"/>
    <col min="6" max="6" width="10.140625" bestFit="1" customWidth="1"/>
    <col min="9" max="10" width="8.85546875" bestFit="1" customWidth="1"/>
    <col min="11" max="11" width="12.28515625" bestFit="1" customWidth="1"/>
    <col min="14" max="15" width="8.85546875" bestFit="1" customWidth="1"/>
    <col min="16" max="16" width="9" bestFit="1" customWidth="1"/>
    <col min="21" max="21" width="10.140625" bestFit="1" customWidth="1"/>
  </cols>
  <sheetData>
    <row r="1" spans="1:21" x14ac:dyDescent="0.25">
      <c r="A1" s="417" t="s">
        <v>12</v>
      </c>
      <c r="B1" s="417"/>
      <c r="C1" s="647" t="s">
        <v>338</v>
      </c>
      <c r="D1" s="647"/>
      <c r="E1" s="647"/>
      <c r="F1" s="647"/>
      <c r="G1" s="647"/>
      <c r="H1" s="647"/>
      <c r="I1" s="647"/>
      <c r="J1" s="647"/>
      <c r="K1" s="647"/>
      <c r="L1" s="647"/>
      <c r="M1" s="647"/>
      <c r="N1" s="647"/>
      <c r="O1" s="647"/>
      <c r="P1" s="647"/>
      <c r="Q1" s="647"/>
      <c r="R1" s="647"/>
      <c r="S1" s="647"/>
      <c r="T1" s="647"/>
      <c r="U1" s="648" t="s">
        <v>339</v>
      </c>
    </row>
    <row r="2" spans="1:21" x14ac:dyDescent="0.25">
      <c r="A2" s="417"/>
      <c r="B2" s="417"/>
      <c r="C2" s="647"/>
      <c r="D2" s="647"/>
      <c r="E2" s="647"/>
      <c r="F2" s="647"/>
      <c r="G2" s="647"/>
      <c r="H2" s="647"/>
      <c r="I2" s="647"/>
      <c r="J2" s="647"/>
      <c r="K2" s="647"/>
      <c r="L2" s="647"/>
      <c r="M2" s="647"/>
      <c r="N2" s="647"/>
      <c r="O2" s="647"/>
      <c r="P2" s="647"/>
      <c r="Q2" s="647"/>
      <c r="R2" s="647"/>
      <c r="S2" s="647"/>
      <c r="T2" s="647"/>
      <c r="U2" s="648"/>
    </row>
    <row r="3" spans="1:21" ht="15.75" x14ac:dyDescent="0.25">
      <c r="A3" s="649" t="s">
        <v>337</v>
      </c>
      <c r="B3" s="649"/>
      <c r="C3" s="647"/>
      <c r="D3" s="647"/>
      <c r="E3" s="647"/>
      <c r="F3" s="647"/>
      <c r="G3" s="647"/>
      <c r="H3" s="647"/>
      <c r="I3" s="647"/>
      <c r="J3" s="647"/>
      <c r="K3" s="647"/>
      <c r="L3" s="647"/>
      <c r="M3" s="647"/>
      <c r="N3" s="647"/>
      <c r="O3" s="647"/>
      <c r="P3" s="647"/>
      <c r="Q3" s="647"/>
      <c r="R3" s="647"/>
      <c r="S3" s="647"/>
      <c r="T3" s="647"/>
      <c r="U3" s="648"/>
    </row>
    <row r="4" spans="1:21" ht="15.75" x14ac:dyDescent="0.25">
      <c r="A4" s="418" t="s">
        <v>16</v>
      </c>
      <c r="B4" s="650" t="s">
        <v>18</v>
      </c>
      <c r="C4" s="650"/>
      <c r="D4" s="650"/>
      <c r="E4" s="650"/>
      <c r="F4" s="650"/>
      <c r="G4" s="650" t="s">
        <v>24</v>
      </c>
      <c r="H4" s="650"/>
      <c r="I4" s="650"/>
      <c r="J4" s="650"/>
      <c r="K4" s="650"/>
      <c r="L4" s="650" t="s">
        <v>25</v>
      </c>
      <c r="M4" s="650"/>
      <c r="N4" s="650"/>
      <c r="O4" s="650"/>
      <c r="P4" s="650"/>
      <c r="Q4" s="650" t="s">
        <v>26</v>
      </c>
      <c r="R4" s="650"/>
      <c r="S4" s="650"/>
      <c r="T4" s="650"/>
      <c r="U4" s="650"/>
    </row>
    <row r="5" spans="1:21" ht="15.75" x14ac:dyDescent="0.25">
      <c r="A5" s="418"/>
      <c r="B5" s="22" t="s">
        <v>19</v>
      </c>
      <c r="C5" s="22" t="s">
        <v>20</v>
      </c>
      <c r="D5" s="22" t="s">
        <v>21</v>
      </c>
      <c r="E5" s="22" t="s">
        <v>22</v>
      </c>
      <c r="F5" s="22" t="s">
        <v>23</v>
      </c>
      <c r="G5" s="22" t="s">
        <v>19</v>
      </c>
      <c r="H5" s="22" t="s">
        <v>20</v>
      </c>
      <c r="I5" s="22" t="s">
        <v>21</v>
      </c>
      <c r="J5" s="22" t="s">
        <v>22</v>
      </c>
      <c r="K5" s="22" t="s">
        <v>23</v>
      </c>
      <c r="L5" s="22" t="s">
        <v>19</v>
      </c>
      <c r="M5" s="22" t="s">
        <v>20</v>
      </c>
      <c r="N5" s="22" t="s">
        <v>21</v>
      </c>
      <c r="O5" s="22" t="s">
        <v>22</v>
      </c>
      <c r="P5" s="22" t="s">
        <v>23</v>
      </c>
      <c r="Q5" s="22" t="s">
        <v>19</v>
      </c>
      <c r="R5" s="22" t="s">
        <v>20</v>
      </c>
      <c r="S5" s="22" t="s">
        <v>21</v>
      </c>
      <c r="T5" s="22" t="s">
        <v>22</v>
      </c>
      <c r="U5" s="22" t="s">
        <v>23</v>
      </c>
    </row>
    <row r="6" spans="1:21" ht="47.25" x14ac:dyDescent="0.25">
      <c r="A6" s="21" t="s">
        <v>340</v>
      </c>
      <c r="B6" s="22" t="s">
        <v>29</v>
      </c>
      <c r="C6" s="22" t="s">
        <v>28</v>
      </c>
      <c r="D6" s="22"/>
      <c r="E6" s="22">
        <f>unskilled</f>
        <v>935</v>
      </c>
      <c r="F6" s="10">
        <f>(D6*E6)</f>
        <v>0</v>
      </c>
      <c r="G6" s="22" t="s">
        <v>297</v>
      </c>
      <c r="H6" s="22" t="s">
        <v>35</v>
      </c>
      <c r="I6" s="22">
        <v>12.94</v>
      </c>
      <c r="J6" s="22">
        <f>adopted_rate_bitumen</f>
        <v>108000</v>
      </c>
      <c r="K6" s="22">
        <f>(I6*J6)</f>
        <v>1397520</v>
      </c>
      <c r="L6" s="22" t="s">
        <v>307</v>
      </c>
      <c r="M6" s="22" t="s">
        <v>58</v>
      </c>
      <c r="N6" s="22">
        <v>6</v>
      </c>
      <c r="O6" s="22">
        <f>hot_mix_plant</f>
        <v>28602</v>
      </c>
      <c r="P6" s="10">
        <f t="shared" ref="P6:P11" si="0">(N6*O6)</f>
        <v>171612</v>
      </c>
    </row>
    <row r="7" spans="1:21" ht="31.5" x14ac:dyDescent="0.25">
      <c r="B7" s="22" t="s">
        <v>47</v>
      </c>
      <c r="C7" s="22" t="s">
        <v>28</v>
      </c>
      <c r="D7" s="22"/>
      <c r="E7" s="22">
        <f>skilled</f>
        <v>1245</v>
      </c>
      <c r="F7" s="10">
        <f>(D7*E7)</f>
        <v>0</v>
      </c>
      <c r="G7" s="22" t="s">
        <v>327</v>
      </c>
      <c r="H7" s="22"/>
      <c r="L7" s="22" t="s">
        <v>258</v>
      </c>
      <c r="M7" s="22" t="s">
        <v>58</v>
      </c>
      <c r="N7" s="22"/>
      <c r="O7" s="22">
        <f>paver_finisher</f>
        <v>2374</v>
      </c>
      <c r="P7" s="10">
        <f t="shared" si="0"/>
        <v>0</v>
      </c>
    </row>
    <row r="8" spans="1:21" ht="63" x14ac:dyDescent="0.25">
      <c r="G8" s="22" t="s">
        <v>341</v>
      </c>
      <c r="H8" s="22"/>
      <c r="L8" s="22" t="s">
        <v>76</v>
      </c>
      <c r="M8" s="22" t="s">
        <v>58</v>
      </c>
      <c r="N8" s="22"/>
      <c r="O8" s="22">
        <f>generator</f>
        <v>855</v>
      </c>
      <c r="P8" s="10">
        <f t="shared" si="0"/>
        <v>0</v>
      </c>
    </row>
    <row r="9" spans="1:21" ht="47.25" x14ac:dyDescent="0.25">
      <c r="G9" s="22" t="s">
        <v>342</v>
      </c>
      <c r="H9" s="22" t="s">
        <v>84</v>
      </c>
      <c r="I9" s="22">
        <v>49.48</v>
      </c>
      <c r="J9" s="22">
        <f>adopted_rate_aggregate_10_20_mm</f>
        <v>3351.6</v>
      </c>
      <c r="K9" s="22">
        <f>(I9*J9)</f>
        <v>165837.16799999998</v>
      </c>
      <c r="L9" s="22" t="s">
        <v>332</v>
      </c>
      <c r="M9" s="22" t="s">
        <v>58</v>
      </c>
      <c r="N9" s="22"/>
      <c r="O9" s="22">
        <f>smooth_wheel_roller</f>
        <v>1089</v>
      </c>
      <c r="P9" s="10">
        <f t="shared" si="0"/>
        <v>0</v>
      </c>
    </row>
    <row r="10" spans="1:21" ht="47.25" x14ac:dyDescent="0.25">
      <c r="G10" s="22" t="s">
        <v>305</v>
      </c>
      <c r="H10" s="22" t="s">
        <v>84</v>
      </c>
      <c r="I10" s="22">
        <v>32.520000000000003</v>
      </c>
      <c r="J10" s="22">
        <v>2857.68</v>
      </c>
      <c r="K10" s="22">
        <f>(I10*J10)</f>
        <v>92931.753599999996</v>
      </c>
      <c r="L10" s="22" t="s">
        <v>308</v>
      </c>
      <c r="M10" s="22" t="s">
        <v>58</v>
      </c>
      <c r="N10" s="22"/>
      <c r="O10" s="22">
        <f>pneumatic_roller</f>
        <v>2121</v>
      </c>
      <c r="P10" s="10">
        <f t="shared" si="0"/>
        <v>0</v>
      </c>
    </row>
    <row r="11" spans="1:21" ht="63" x14ac:dyDescent="0.25">
      <c r="G11" s="22" t="s">
        <v>306</v>
      </c>
      <c r="H11" s="22" t="s">
        <v>84</v>
      </c>
      <c r="I11" s="22">
        <v>56.55</v>
      </c>
      <c r="J11" s="22">
        <f>adopted_rate_sand</f>
        <v>3175.2000000000003</v>
      </c>
      <c r="K11" s="22">
        <f>(I11*J11)</f>
        <v>179557.56</v>
      </c>
      <c r="L11" s="22" t="s">
        <v>288</v>
      </c>
      <c r="M11" s="22" t="s">
        <v>58</v>
      </c>
      <c r="N11" s="22"/>
      <c r="O11" s="22">
        <f>mechanical_broom</f>
        <v>1393</v>
      </c>
      <c r="P11" s="10">
        <f t="shared" si="0"/>
        <v>0</v>
      </c>
    </row>
    <row r="12" spans="1:21" ht="15.75" x14ac:dyDescent="0.25">
      <c r="G12" s="14" t="s">
        <v>331</v>
      </c>
      <c r="H12" s="22" t="s">
        <v>35</v>
      </c>
      <c r="I12" s="22">
        <v>2.83</v>
      </c>
      <c r="J12" s="22">
        <f>adopted_rate_stone_dust</f>
        <v>1234.8</v>
      </c>
      <c r="K12" s="22">
        <f>(I12*J12)</f>
        <v>3494.4839999999999</v>
      </c>
    </row>
    <row r="13" spans="1:21" ht="15.75" x14ac:dyDescent="0.25">
      <c r="A13" s="651" t="s">
        <v>30</v>
      </c>
      <c r="B13" s="651"/>
      <c r="C13" s="651"/>
      <c r="D13" s="651"/>
      <c r="E13" s="651"/>
      <c r="F13" s="10">
        <f>SUM(F5:F12)</f>
        <v>0</v>
      </c>
      <c r="G13" s="651" t="s">
        <v>31</v>
      </c>
      <c r="H13" s="651"/>
      <c r="I13" s="651"/>
      <c r="J13" s="651"/>
      <c r="K13" s="10">
        <f>SUM(K5:K12)</f>
        <v>1839340.9656</v>
      </c>
      <c r="L13" s="651" t="s">
        <v>32</v>
      </c>
      <c r="M13" s="651"/>
      <c r="N13" s="651"/>
      <c r="O13" s="651"/>
      <c r="P13" s="10">
        <f>SUM(P5:P12)</f>
        <v>171612</v>
      </c>
      <c r="Q13" s="651" t="s">
        <v>38</v>
      </c>
      <c r="R13" s="651"/>
      <c r="S13" s="651"/>
      <c r="T13" s="651"/>
      <c r="U13" s="10">
        <f>SUM(U5:U12)</f>
        <v>0</v>
      </c>
    </row>
    <row r="14" spans="1:21" ht="15.75" x14ac:dyDescent="0.25">
      <c r="A14" s="651" t="s">
        <v>33</v>
      </c>
      <c r="B14" s="651"/>
      <c r="C14" s="651"/>
      <c r="D14" s="651"/>
      <c r="E14" s="651"/>
      <c r="F14" s="10">
        <f>F13+K13+P13</f>
        <v>2010952.9656</v>
      </c>
      <c r="G14" s="651" t="s">
        <v>39</v>
      </c>
      <c r="H14" s="651"/>
      <c r="I14" s="651"/>
      <c r="J14" s="651"/>
      <c r="K14" s="10">
        <f>F14+U13</f>
        <v>2010952.9656</v>
      </c>
      <c r="L14" s="651" t="s">
        <v>40</v>
      </c>
      <c r="M14" s="651"/>
      <c r="N14" s="651"/>
      <c r="O14" s="651"/>
      <c r="P14" s="10">
        <f>SUM(K14*0.15)</f>
        <v>301642.94484000001</v>
      </c>
      <c r="Q14" s="651" t="s">
        <v>41</v>
      </c>
      <c r="R14" s="651"/>
      <c r="S14" s="651"/>
      <c r="T14" s="651"/>
      <c r="U14" s="10">
        <f>SUM(K14+P14)</f>
        <v>2312595.9104399998</v>
      </c>
    </row>
    <row r="15" spans="1:21" ht="15.75" x14ac:dyDescent="0.25">
      <c r="Q15" s="651" t="s">
        <v>42</v>
      </c>
      <c r="R15" s="651"/>
      <c r="S15" s="651"/>
      <c r="T15" s="651"/>
      <c r="U15" s="23">
        <f>ROUND((U14/95.5),2)</f>
        <v>24215.66</v>
      </c>
    </row>
  </sheetData>
  <mergeCells count="18">
    <mergeCell ref="Q15:T15"/>
    <mergeCell ref="A14:E14"/>
    <mergeCell ref="G14:J14"/>
    <mergeCell ref="L14:O14"/>
    <mergeCell ref="Q14:T14"/>
    <mergeCell ref="U1:U3"/>
    <mergeCell ref="A13:E13"/>
    <mergeCell ref="G13:J13"/>
    <mergeCell ref="L13:O13"/>
    <mergeCell ref="Q13:T13"/>
    <mergeCell ref="A1:B2"/>
    <mergeCell ref="C1:T3"/>
    <mergeCell ref="A3:B3"/>
    <mergeCell ref="A4:A5"/>
    <mergeCell ref="B4:F4"/>
    <mergeCell ref="G4:K4"/>
    <mergeCell ref="L4:P4"/>
    <mergeCell ref="Q4:U4"/>
  </mergeCells>
  <conditionalFormatting sqref="A1:T3">
    <cfRule type="containsBlanks" dxfId="5" priority="3">
      <formula>LEN(TRIM(A1))=0</formula>
    </cfRule>
  </conditionalFormatting>
  <conditionalFormatting sqref="A4:U15">
    <cfRule type="containsBlanks" dxfId="4" priority="2">
      <formula>LEN(TRIM(A4))=0</formula>
    </cfRule>
  </conditionalFormatting>
  <conditionalFormatting sqref="U1:U3">
    <cfRule type="containsBlanks" dxfId="3" priority="1">
      <formula>LEN(TRIM(U1))=0</formula>
    </cfRule>
  </conditionalFormatting>
  <pageMargins left="0.7" right="0.7" top="0.75" bottom="0.75" header="0.3" footer="0.3"/>
  <pageSetup paperSize="9" scale="45"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view="pageBreakPreview" zoomScale="60" zoomScaleNormal="62" workbookViewId="0">
      <selection activeCell="O7" sqref="O7"/>
    </sheetView>
  </sheetViews>
  <sheetFormatPr defaultRowHeight="15" x14ac:dyDescent="0.25"/>
  <cols>
    <col min="4" max="5" width="8.85546875" bestFit="1" customWidth="1"/>
    <col min="6" max="6" width="10.140625" bestFit="1" customWidth="1"/>
    <col min="7" max="7" width="16.85546875" bestFit="1" customWidth="1"/>
    <col min="9" max="10" width="8.85546875" bestFit="1" customWidth="1"/>
    <col min="11" max="11" width="11.140625" bestFit="1" customWidth="1"/>
    <col min="14" max="15" width="8.85546875" bestFit="1" customWidth="1"/>
    <col min="16" max="16" width="9" bestFit="1" customWidth="1"/>
    <col min="21" max="21" width="10.140625" bestFit="1" customWidth="1"/>
  </cols>
  <sheetData>
    <row r="1" spans="1:21" x14ac:dyDescent="0.25">
      <c r="A1" s="417" t="s">
        <v>12</v>
      </c>
      <c r="B1" s="417"/>
      <c r="C1" s="647" t="s">
        <v>324</v>
      </c>
      <c r="D1" s="647"/>
      <c r="E1" s="647"/>
      <c r="F1" s="647"/>
      <c r="G1" s="647"/>
      <c r="H1" s="647"/>
      <c r="I1" s="647"/>
      <c r="J1" s="647"/>
      <c r="K1" s="647"/>
      <c r="L1" s="647"/>
      <c r="M1" s="647"/>
      <c r="N1" s="647"/>
      <c r="O1" s="647"/>
      <c r="P1" s="647"/>
      <c r="Q1" s="647"/>
      <c r="R1" s="647"/>
      <c r="S1" s="647"/>
      <c r="T1" s="647"/>
      <c r="U1" s="648" t="s">
        <v>325</v>
      </c>
    </row>
    <row r="2" spans="1:21" x14ac:dyDescent="0.25">
      <c r="A2" s="417"/>
      <c r="B2" s="417"/>
      <c r="C2" s="647"/>
      <c r="D2" s="647"/>
      <c r="E2" s="647"/>
      <c r="F2" s="647"/>
      <c r="G2" s="647"/>
      <c r="H2" s="647"/>
      <c r="I2" s="647"/>
      <c r="J2" s="647"/>
      <c r="K2" s="647"/>
      <c r="L2" s="647"/>
      <c r="M2" s="647"/>
      <c r="N2" s="647"/>
      <c r="O2" s="647"/>
      <c r="P2" s="647"/>
      <c r="Q2" s="647"/>
      <c r="R2" s="647"/>
      <c r="S2" s="647"/>
      <c r="T2" s="647"/>
      <c r="U2" s="648"/>
    </row>
    <row r="3" spans="1:21" ht="15.75" x14ac:dyDescent="0.25">
      <c r="A3" s="649" t="s">
        <v>323</v>
      </c>
      <c r="B3" s="649"/>
      <c r="C3" s="647"/>
      <c r="D3" s="647"/>
      <c r="E3" s="647"/>
      <c r="F3" s="647"/>
      <c r="G3" s="647"/>
      <c r="H3" s="647"/>
      <c r="I3" s="647"/>
      <c r="J3" s="647"/>
      <c r="K3" s="647"/>
      <c r="L3" s="647"/>
      <c r="M3" s="647"/>
      <c r="N3" s="647"/>
      <c r="O3" s="647"/>
      <c r="P3" s="647"/>
      <c r="Q3" s="647"/>
      <c r="R3" s="647"/>
      <c r="S3" s="647"/>
      <c r="T3" s="647"/>
      <c r="U3" s="648"/>
    </row>
    <row r="4" spans="1:21" ht="15.75" x14ac:dyDescent="0.25">
      <c r="A4" s="418" t="s">
        <v>16</v>
      </c>
      <c r="B4" s="650" t="s">
        <v>18</v>
      </c>
      <c r="C4" s="650"/>
      <c r="D4" s="650"/>
      <c r="E4" s="650"/>
      <c r="F4" s="650"/>
      <c r="G4" s="650" t="s">
        <v>24</v>
      </c>
      <c r="H4" s="650"/>
      <c r="I4" s="650"/>
      <c r="J4" s="650"/>
      <c r="K4" s="650"/>
      <c r="L4" s="650" t="s">
        <v>25</v>
      </c>
      <c r="M4" s="650"/>
      <c r="N4" s="650"/>
      <c r="O4" s="650"/>
      <c r="P4" s="650"/>
      <c r="Q4" s="650" t="s">
        <v>26</v>
      </c>
      <c r="R4" s="650"/>
      <c r="S4" s="650"/>
      <c r="T4" s="650"/>
      <c r="U4" s="650"/>
    </row>
    <row r="5" spans="1:21" ht="15.75" x14ac:dyDescent="0.25">
      <c r="A5" s="418"/>
      <c r="B5" s="180" t="s">
        <v>19</v>
      </c>
      <c r="C5" s="180" t="s">
        <v>20</v>
      </c>
      <c r="D5" s="180" t="s">
        <v>21</v>
      </c>
      <c r="E5" s="180" t="s">
        <v>22</v>
      </c>
      <c r="F5" s="180" t="s">
        <v>23</v>
      </c>
      <c r="G5" s="180" t="s">
        <v>19</v>
      </c>
      <c r="H5" s="180" t="s">
        <v>20</v>
      </c>
      <c r="I5" s="180" t="s">
        <v>21</v>
      </c>
      <c r="J5" s="180" t="s">
        <v>22</v>
      </c>
      <c r="K5" s="180" t="s">
        <v>23</v>
      </c>
      <c r="L5" s="180" t="s">
        <v>19</v>
      </c>
      <c r="M5" s="180" t="s">
        <v>20</v>
      </c>
      <c r="N5" s="180" t="s">
        <v>21</v>
      </c>
      <c r="O5" s="180" t="s">
        <v>22</v>
      </c>
      <c r="P5" s="180" t="s">
        <v>23</v>
      </c>
      <c r="Q5" s="180" t="s">
        <v>19</v>
      </c>
      <c r="R5" s="180" t="s">
        <v>20</v>
      </c>
      <c r="S5" s="180" t="s">
        <v>21</v>
      </c>
      <c r="T5" s="180" t="s">
        <v>22</v>
      </c>
      <c r="U5" s="180" t="s">
        <v>23</v>
      </c>
    </row>
    <row r="6" spans="1:21" ht="47.25" x14ac:dyDescent="0.25">
      <c r="A6" s="179" t="s">
        <v>326</v>
      </c>
      <c r="B6" s="180" t="s">
        <v>29</v>
      </c>
      <c r="C6" s="180" t="s">
        <v>28</v>
      </c>
      <c r="D6" s="180">
        <v>16</v>
      </c>
      <c r="E6" s="180">
        <f>unskilled</f>
        <v>935</v>
      </c>
      <c r="F6" s="10">
        <f>(D6*E6)</f>
        <v>14960</v>
      </c>
      <c r="G6" s="180" t="s">
        <v>297</v>
      </c>
      <c r="H6" s="180" t="s">
        <v>35</v>
      </c>
      <c r="I6" s="180">
        <v>9.56</v>
      </c>
      <c r="J6" s="180">
        <f>adopted_rate_bitumen</f>
        <v>108000</v>
      </c>
      <c r="K6" s="180">
        <f>(I6*J6)</f>
        <v>1032480</v>
      </c>
      <c r="L6" s="180" t="s">
        <v>307</v>
      </c>
      <c r="M6" s="180" t="s">
        <v>58</v>
      </c>
      <c r="N6" s="180">
        <v>6</v>
      </c>
      <c r="O6" s="180">
        <v>64921</v>
      </c>
      <c r="P6" s="10">
        <f t="shared" ref="P6:P12" si="0">(N6*O6)</f>
        <v>389526</v>
      </c>
    </row>
    <row r="7" spans="1:21" ht="31.5" x14ac:dyDescent="0.25">
      <c r="B7" s="180" t="s">
        <v>47</v>
      </c>
      <c r="C7" s="180" t="s">
        <v>28</v>
      </c>
      <c r="D7" s="180">
        <v>5</v>
      </c>
      <c r="E7" s="180">
        <f>skilled</f>
        <v>1245</v>
      </c>
      <c r="F7" s="10">
        <f>(D7*E7)</f>
        <v>6225</v>
      </c>
      <c r="G7" s="180" t="s">
        <v>327</v>
      </c>
      <c r="H7" s="180"/>
      <c r="L7" s="180" t="s">
        <v>258</v>
      </c>
      <c r="M7" s="180" t="s">
        <v>58</v>
      </c>
      <c r="N7" s="180">
        <v>6</v>
      </c>
      <c r="O7" s="180">
        <f>paver_finisher</f>
        <v>2374</v>
      </c>
      <c r="P7" s="10">
        <f t="shared" si="0"/>
        <v>14244</v>
      </c>
    </row>
    <row r="8" spans="1:21" ht="47.25" x14ac:dyDescent="0.25">
      <c r="G8" s="180" t="s">
        <v>328</v>
      </c>
      <c r="H8" s="180"/>
      <c r="L8" s="180" t="s">
        <v>76</v>
      </c>
      <c r="M8" s="180" t="s">
        <v>58</v>
      </c>
      <c r="N8" s="180">
        <v>6</v>
      </c>
      <c r="O8" s="180">
        <f>generator</f>
        <v>855</v>
      </c>
      <c r="P8" s="10">
        <f t="shared" si="0"/>
        <v>5130</v>
      </c>
    </row>
    <row r="9" spans="1:21" ht="31.5" x14ac:dyDescent="0.25">
      <c r="G9" s="180" t="s">
        <v>303</v>
      </c>
      <c r="H9" s="180" t="s">
        <v>84</v>
      </c>
      <c r="I9" s="180">
        <v>31.6</v>
      </c>
      <c r="J9" s="180">
        <f>adopted_rate_aggregate_20_40_mm</f>
        <v>3175.2000000000003</v>
      </c>
      <c r="K9" s="180">
        <f>(I9*J9)</f>
        <v>100336.32000000001</v>
      </c>
      <c r="L9" s="180" t="s">
        <v>308</v>
      </c>
      <c r="M9" s="180" t="s">
        <v>58</v>
      </c>
      <c r="N9" s="180">
        <v>6</v>
      </c>
      <c r="O9" s="180">
        <f>pneumatic_roller</f>
        <v>2121</v>
      </c>
      <c r="P9" s="10">
        <f t="shared" si="0"/>
        <v>12726</v>
      </c>
    </row>
    <row r="10" spans="1:21" ht="47.25" x14ac:dyDescent="0.25">
      <c r="G10" s="180" t="s">
        <v>304</v>
      </c>
      <c r="H10" s="180" t="s">
        <v>84</v>
      </c>
      <c r="I10" s="180">
        <v>18.670000000000002</v>
      </c>
      <c r="J10" s="180">
        <f>adopted_rate_aggregate_10_20_mm</f>
        <v>3351.6</v>
      </c>
      <c r="K10" s="180">
        <f>(I10*J10)</f>
        <v>62574.372000000003</v>
      </c>
      <c r="L10" s="180" t="s">
        <v>176</v>
      </c>
      <c r="M10" s="180" t="s">
        <v>58</v>
      </c>
      <c r="N10" s="180">
        <v>6</v>
      </c>
      <c r="O10" s="180">
        <f>water_tanker</f>
        <v>1618</v>
      </c>
      <c r="P10" s="10">
        <f t="shared" si="0"/>
        <v>9708</v>
      </c>
    </row>
    <row r="11" spans="1:21" ht="47.25" x14ac:dyDescent="0.25">
      <c r="G11" s="180" t="s">
        <v>329</v>
      </c>
      <c r="H11" s="180" t="s">
        <v>84</v>
      </c>
      <c r="I11" s="180">
        <v>27.29</v>
      </c>
      <c r="J11" s="180">
        <f>adopted_rate_aggregate_10_mm</f>
        <v>3175.2000000000003</v>
      </c>
      <c r="K11" s="180">
        <f>(I11*J11)</f>
        <v>86651.207999999999</v>
      </c>
      <c r="L11" s="180" t="s">
        <v>332</v>
      </c>
      <c r="M11" s="180" t="s">
        <v>58</v>
      </c>
      <c r="N11" s="180">
        <v>6</v>
      </c>
      <c r="O11" s="180">
        <f>smooth_wheel_roller</f>
        <v>1089</v>
      </c>
      <c r="P11" s="10">
        <f t="shared" si="0"/>
        <v>6534</v>
      </c>
    </row>
    <row r="12" spans="1:21" ht="47.25" x14ac:dyDescent="0.25">
      <c r="G12" s="180" t="s">
        <v>330</v>
      </c>
      <c r="H12" s="180" t="s">
        <v>84</v>
      </c>
      <c r="I12" s="180">
        <v>63.2</v>
      </c>
      <c r="J12" s="180">
        <f>adopted_rate_sand</f>
        <v>3175.2000000000003</v>
      </c>
      <c r="K12" s="180">
        <f>(I12*J12)</f>
        <v>200672.64000000001</v>
      </c>
      <c r="L12" s="180" t="s">
        <v>288</v>
      </c>
      <c r="M12" s="180" t="s">
        <v>58</v>
      </c>
      <c r="N12" s="180">
        <v>0</v>
      </c>
      <c r="O12" s="180">
        <f>mechanical_broom</f>
        <v>1393</v>
      </c>
      <c r="P12" s="10">
        <f t="shared" si="0"/>
        <v>0</v>
      </c>
    </row>
    <row r="13" spans="1:21" ht="15.75" x14ac:dyDescent="0.25">
      <c r="G13" s="14" t="s">
        <v>331</v>
      </c>
      <c r="H13" s="180" t="s">
        <v>35</v>
      </c>
      <c r="I13" s="180">
        <v>4.3099999999999996</v>
      </c>
      <c r="J13" s="180">
        <f>adopted_rate_stone_dust</f>
        <v>1234.8</v>
      </c>
      <c r="K13" s="180">
        <f>(I13*J13)</f>
        <v>5321.9879999999994</v>
      </c>
    </row>
    <row r="14" spans="1:21" ht="15.75" x14ac:dyDescent="0.25">
      <c r="A14" s="651" t="s">
        <v>30</v>
      </c>
      <c r="B14" s="651"/>
      <c r="C14" s="651"/>
      <c r="D14" s="651"/>
      <c r="E14" s="651"/>
      <c r="F14" s="10">
        <f>SUM(F5:F13)</f>
        <v>21185</v>
      </c>
      <c r="G14" s="651" t="s">
        <v>31</v>
      </c>
      <c r="H14" s="651"/>
      <c r="I14" s="651"/>
      <c r="J14" s="651"/>
      <c r="K14" s="10">
        <f>SUM(K5:K13)</f>
        <v>1488036.5279999999</v>
      </c>
      <c r="L14" s="651" t="s">
        <v>32</v>
      </c>
      <c r="M14" s="651"/>
      <c r="N14" s="651"/>
      <c r="O14" s="651"/>
      <c r="P14" s="10">
        <f>SUM(P5:P13)</f>
        <v>437868</v>
      </c>
      <c r="Q14" s="651" t="s">
        <v>38</v>
      </c>
      <c r="R14" s="651"/>
      <c r="S14" s="651"/>
      <c r="T14" s="651"/>
      <c r="U14" s="10">
        <f>SUM(U5:U13)</f>
        <v>0</v>
      </c>
    </row>
    <row r="15" spans="1:21" ht="15.75" x14ac:dyDescent="0.25">
      <c r="A15" s="651" t="s">
        <v>33</v>
      </c>
      <c r="B15" s="651"/>
      <c r="C15" s="651"/>
      <c r="D15" s="651"/>
      <c r="E15" s="651"/>
      <c r="F15" s="10">
        <f>SUM(F14+K14+P14)</f>
        <v>1947089.5279999999</v>
      </c>
      <c r="G15" s="651" t="s">
        <v>39</v>
      </c>
      <c r="H15" s="651"/>
      <c r="I15" s="651"/>
      <c r="J15" s="651"/>
      <c r="K15" s="10">
        <f>SUM(F14+K14+P14+U14)</f>
        <v>1947089.5279999999</v>
      </c>
      <c r="L15" s="651" t="s">
        <v>40</v>
      </c>
      <c r="M15" s="651"/>
      <c r="N15" s="651"/>
      <c r="O15" s="651"/>
      <c r="P15" s="10">
        <f>SUM(K15*0.15)</f>
        <v>292063.42919999996</v>
      </c>
      <c r="Q15" s="651" t="s">
        <v>41</v>
      </c>
      <c r="R15" s="651"/>
      <c r="S15" s="651"/>
      <c r="T15" s="651"/>
      <c r="U15" s="10">
        <f>SUM(K15+P15)</f>
        <v>2239152.9572000001</v>
      </c>
    </row>
    <row r="16" spans="1:21" ht="15.75" x14ac:dyDescent="0.25">
      <c r="Q16" s="651" t="s">
        <v>42</v>
      </c>
      <c r="R16" s="651"/>
      <c r="S16" s="651"/>
      <c r="T16" s="651"/>
      <c r="U16" s="181">
        <f>ROUND((U15/97.5),2)</f>
        <v>22965.67</v>
      </c>
    </row>
  </sheetData>
  <mergeCells count="18">
    <mergeCell ref="Q16:T16"/>
    <mergeCell ref="A14:E14"/>
    <mergeCell ref="G14:J14"/>
    <mergeCell ref="L14:O14"/>
    <mergeCell ref="Q14:T14"/>
    <mergeCell ref="A15:E15"/>
    <mergeCell ref="G15:J15"/>
    <mergeCell ref="L15:O15"/>
    <mergeCell ref="Q15:T15"/>
    <mergeCell ref="A1:B2"/>
    <mergeCell ref="C1:T3"/>
    <mergeCell ref="U1:U3"/>
    <mergeCell ref="A3:B3"/>
    <mergeCell ref="A4:A5"/>
    <mergeCell ref="B4:F4"/>
    <mergeCell ref="G4:K4"/>
    <mergeCell ref="L4:P4"/>
    <mergeCell ref="Q4:U4"/>
  </mergeCells>
  <conditionalFormatting sqref="A1:U16">
    <cfRule type="containsBlanks" dxfId="2" priority="1">
      <formula>LEN(TRIM(A1))=0</formula>
    </cfRule>
  </conditionalFormatting>
  <pageMargins left="0.7" right="0.7" top="0.75" bottom="0.75" header="0.3" footer="0.3"/>
  <pageSetup paperSize="9" scale="65"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2"/>
  <sheetViews>
    <sheetView view="pageBreakPreview" zoomScaleSheetLayoutView="100" workbookViewId="0">
      <selection sqref="A1:H1"/>
    </sheetView>
  </sheetViews>
  <sheetFormatPr defaultRowHeight="15" x14ac:dyDescent="0.25"/>
  <cols>
    <col min="1" max="1" width="9.28515625" bestFit="1" customWidth="1"/>
    <col min="2" max="2" width="25.7109375" customWidth="1"/>
    <col min="4" max="7" width="9.28515625" bestFit="1" customWidth="1"/>
    <col min="8" max="8" width="9.7109375" bestFit="1" customWidth="1"/>
  </cols>
  <sheetData>
    <row r="1" spans="1:8" ht="15.75" x14ac:dyDescent="0.25">
      <c r="A1" s="416" t="s">
        <v>1270</v>
      </c>
      <c r="B1" s="416"/>
      <c r="C1" s="416"/>
      <c r="D1" s="416"/>
      <c r="E1" s="416"/>
      <c r="F1" s="416"/>
      <c r="G1" s="416"/>
      <c r="H1" s="416"/>
    </row>
    <row r="3" spans="1:8" ht="15.75" x14ac:dyDescent="0.25">
      <c r="A3" s="418" t="s">
        <v>1271</v>
      </c>
      <c r="B3" s="418"/>
      <c r="C3" s="418"/>
      <c r="D3" s="418"/>
      <c r="E3" s="418"/>
      <c r="F3" s="418"/>
    </row>
    <row r="4" spans="1:8" ht="15.75" x14ac:dyDescent="0.25">
      <c r="A4" s="4" t="s">
        <v>1272</v>
      </c>
      <c r="B4" s="4" t="s">
        <v>1273</v>
      </c>
      <c r="C4" s="4" t="s">
        <v>20</v>
      </c>
      <c r="D4" s="4" t="s">
        <v>213</v>
      </c>
      <c r="E4" s="4" t="s">
        <v>193</v>
      </c>
      <c r="F4" s="4" t="s">
        <v>1274</v>
      </c>
    </row>
    <row r="5" spans="1:8" ht="15.75" x14ac:dyDescent="0.25">
      <c r="A5" s="7">
        <v>1</v>
      </c>
      <c r="B5" s="7" t="s">
        <v>1275</v>
      </c>
      <c r="C5" s="7" t="s">
        <v>84</v>
      </c>
      <c r="D5" s="11">
        <v>0.06</v>
      </c>
      <c r="E5" s="11">
        <v>0.06</v>
      </c>
      <c r="F5" s="15">
        <f>D5 * loader + E5 * tipper</f>
        <v>223.67999999999998</v>
      </c>
    </row>
    <row r="6" spans="1:8" ht="15.75" x14ac:dyDescent="0.25">
      <c r="A6" s="7">
        <v>2</v>
      </c>
      <c r="B6" s="7" t="s">
        <v>83</v>
      </c>
      <c r="C6" s="7" t="s">
        <v>84</v>
      </c>
      <c r="D6" s="11">
        <v>0.06</v>
      </c>
      <c r="E6" s="11">
        <v>0.06</v>
      </c>
      <c r="F6" s="15">
        <f>D6 * loader + E6 * tipper</f>
        <v>223.67999999999998</v>
      </c>
    </row>
    <row r="7" spans="1:8" ht="15.75" x14ac:dyDescent="0.25">
      <c r="A7" s="7">
        <v>3</v>
      </c>
      <c r="B7" s="7" t="s">
        <v>1276</v>
      </c>
      <c r="C7" s="7" t="s">
        <v>84</v>
      </c>
      <c r="D7" s="11">
        <v>0.14000000000000001</v>
      </c>
      <c r="E7" s="11">
        <v>0.14000000000000001</v>
      </c>
      <c r="F7" s="15">
        <f>D7 * loader + E7 * tipper</f>
        <v>521.92000000000007</v>
      </c>
    </row>
    <row r="8" spans="1:8" ht="15.75" x14ac:dyDescent="0.25">
      <c r="A8" s="7">
        <v>4</v>
      </c>
      <c r="B8" s="7" t="s">
        <v>327</v>
      </c>
      <c r="C8" s="7" t="s">
        <v>84</v>
      </c>
      <c r="D8" s="11">
        <v>0.14000000000000001</v>
      </c>
      <c r="E8" s="11">
        <v>0.14000000000000001</v>
      </c>
      <c r="F8" s="15">
        <f>D8 * loader + E8 * tipper</f>
        <v>521.92000000000007</v>
      </c>
    </row>
    <row r="10" spans="1:8" ht="15.75" x14ac:dyDescent="0.25">
      <c r="A10" s="418" t="s">
        <v>1277</v>
      </c>
      <c r="B10" s="418"/>
      <c r="C10" s="418"/>
      <c r="D10" s="418"/>
      <c r="E10" s="418"/>
      <c r="F10" s="418"/>
      <c r="G10" s="418"/>
      <c r="H10" s="418"/>
    </row>
    <row r="11" spans="1:8" ht="31.5" x14ac:dyDescent="0.25">
      <c r="A11" s="4" t="s">
        <v>1272</v>
      </c>
      <c r="B11" s="4" t="s">
        <v>1273</v>
      </c>
      <c r="C11" s="4" t="s">
        <v>20</v>
      </c>
      <c r="D11" s="4" t="s">
        <v>29</v>
      </c>
      <c r="E11" s="4" t="s">
        <v>47</v>
      </c>
      <c r="F11" s="4" t="s">
        <v>478</v>
      </c>
      <c r="G11" s="4" t="s">
        <v>193</v>
      </c>
      <c r="H11" s="4" t="s">
        <v>1274</v>
      </c>
    </row>
    <row r="12" spans="1:8" ht="15.75" x14ac:dyDescent="0.25">
      <c r="A12" s="7">
        <v>1</v>
      </c>
      <c r="B12" s="7" t="s">
        <v>85</v>
      </c>
      <c r="C12" s="7" t="s">
        <v>35</v>
      </c>
      <c r="D12" s="11">
        <v>0.2</v>
      </c>
      <c r="E12" s="11">
        <v>0</v>
      </c>
      <c r="F12" s="11">
        <v>0.2</v>
      </c>
      <c r="G12" s="11">
        <v>0</v>
      </c>
      <c r="H12" s="15">
        <f t="shared" ref="H12:H21" si="0">SUM(D12 * unskilled, E12 * skilled, F12* truck, G12* tipper)</f>
        <v>669</v>
      </c>
    </row>
    <row r="13" spans="1:8" ht="31.5" x14ac:dyDescent="0.25">
      <c r="A13" s="7">
        <v>2</v>
      </c>
      <c r="B13" s="7" t="s">
        <v>451</v>
      </c>
      <c r="C13" s="7" t="s">
        <v>1278</v>
      </c>
      <c r="D13" s="11">
        <v>1.875E-4</v>
      </c>
      <c r="E13" s="11">
        <v>0</v>
      </c>
      <c r="F13" s="11">
        <v>3.7500000000000001E-4</v>
      </c>
      <c r="G13" s="11">
        <v>0</v>
      </c>
      <c r="H13" s="15">
        <f t="shared" si="0"/>
        <v>1.0790625</v>
      </c>
    </row>
    <row r="14" spans="1:8" ht="15.75" x14ac:dyDescent="0.25">
      <c r="A14" s="7">
        <v>3</v>
      </c>
      <c r="B14" s="7" t="s">
        <v>1279</v>
      </c>
      <c r="C14" s="7" t="s">
        <v>35</v>
      </c>
      <c r="D14" s="11">
        <v>0.15</v>
      </c>
      <c r="E14" s="11">
        <v>0</v>
      </c>
      <c r="F14" s="11">
        <v>0.15</v>
      </c>
      <c r="G14" s="11">
        <v>0</v>
      </c>
      <c r="H14" s="15">
        <f t="shared" si="0"/>
        <v>501.75</v>
      </c>
    </row>
    <row r="15" spans="1:8" ht="15.75" x14ac:dyDescent="0.25">
      <c r="A15" s="7">
        <v>4</v>
      </c>
      <c r="B15" s="7" t="s">
        <v>678</v>
      </c>
      <c r="C15" s="7" t="s">
        <v>35</v>
      </c>
      <c r="D15" s="11">
        <v>0.27</v>
      </c>
      <c r="E15" s="11">
        <v>3.333333E-3</v>
      </c>
      <c r="F15" s="11">
        <v>0.2</v>
      </c>
      <c r="G15" s="11">
        <v>0</v>
      </c>
      <c r="H15" s="15">
        <f t="shared" si="0"/>
        <v>738.59999958499998</v>
      </c>
    </row>
    <row r="16" spans="1:8" ht="15.75" x14ac:dyDescent="0.25">
      <c r="A16" s="7">
        <v>5</v>
      </c>
      <c r="B16" s="7" t="s">
        <v>1280</v>
      </c>
      <c r="C16" s="7" t="s">
        <v>84</v>
      </c>
      <c r="D16" s="11">
        <v>0.4</v>
      </c>
      <c r="E16" s="11">
        <v>0.05</v>
      </c>
      <c r="F16" s="11">
        <v>0.3</v>
      </c>
      <c r="G16" s="11">
        <v>0</v>
      </c>
      <c r="H16" s="15">
        <f t="shared" si="0"/>
        <v>1159.25</v>
      </c>
    </row>
    <row r="17" spans="1:8" ht="15.75" x14ac:dyDescent="0.25">
      <c r="A17" s="7">
        <v>6</v>
      </c>
      <c r="B17" s="7" t="s">
        <v>1281</v>
      </c>
      <c r="C17" s="7" t="s">
        <v>35</v>
      </c>
      <c r="D17" s="11">
        <v>0.2</v>
      </c>
      <c r="E17" s="11">
        <v>0</v>
      </c>
      <c r="F17" s="11">
        <v>0.2</v>
      </c>
      <c r="G17" s="11">
        <v>0</v>
      </c>
      <c r="H17" s="15">
        <f t="shared" si="0"/>
        <v>669</v>
      </c>
    </row>
    <row r="18" spans="1:8" ht="15.75" x14ac:dyDescent="0.25">
      <c r="A18" s="7">
        <v>7</v>
      </c>
      <c r="B18" s="7" t="s">
        <v>1275</v>
      </c>
      <c r="C18" s="7" t="s">
        <v>84</v>
      </c>
      <c r="D18" s="11">
        <v>0.1363636</v>
      </c>
      <c r="E18" s="11">
        <v>0</v>
      </c>
      <c r="F18" s="11">
        <v>0</v>
      </c>
      <c r="G18" s="11">
        <v>0.1363636</v>
      </c>
      <c r="H18" s="15">
        <f t="shared" si="0"/>
        <v>316.22718839999999</v>
      </c>
    </row>
    <row r="19" spans="1:8" ht="15.75" x14ac:dyDescent="0.25">
      <c r="A19" s="7">
        <v>8</v>
      </c>
      <c r="B19" s="7" t="s">
        <v>83</v>
      </c>
      <c r="C19" s="7" t="s">
        <v>84</v>
      </c>
      <c r="D19" s="11">
        <v>0.1363636</v>
      </c>
      <c r="E19" s="11">
        <v>0</v>
      </c>
      <c r="F19" s="11">
        <v>0</v>
      </c>
      <c r="G19" s="11">
        <v>0.1363636</v>
      </c>
      <c r="H19" s="15">
        <f t="shared" si="0"/>
        <v>316.22718839999999</v>
      </c>
    </row>
    <row r="20" spans="1:8" ht="15.75" x14ac:dyDescent="0.25">
      <c r="A20" s="7">
        <v>9</v>
      </c>
      <c r="B20" s="7" t="s">
        <v>1276</v>
      </c>
      <c r="C20" s="7" t="s">
        <v>84</v>
      </c>
      <c r="D20" s="11">
        <v>0.1363636</v>
      </c>
      <c r="E20" s="11">
        <v>0</v>
      </c>
      <c r="F20" s="11">
        <v>0</v>
      </c>
      <c r="G20" s="11">
        <v>0.1363636</v>
      </c>
      <c r="H20" s="15">
        <f t="shared" si="0"/>
        <v>316.22718839999999</v>
      </c>
    </row>
    <row r="21" spans="1:8" ht="15.75" x14ac:dyDescent="0.25">
      <c r="A21" s="7">
        <v>10</v>
      </c>
      <c r="B21" s="7" t="s">
        <v>327</v>
      </c>
      <c r="C21" s="7" t="s">
        <v>84</v>
      </c>
      <c r="D21" s="11">
        <v>0.1363636</v>
      </c>
      <c r="E21" s="11">
        <v>0</v>
      </c>
      <c r="F21" s="11">
        <v>0</v>
      </c>
      <c r="G21" s="11">
        <v>0.1363636</v>
      </c>
      <c r="H21" s="15">
        <f t="shared" si="0"/>
        <v>316.22718839999999</v>
      </c>
    </row>
    <row r="23" spans="1:8" ht="15.75" x14ac:dyDescent="0.25">
      <c r="A23" s="418" t="s">
        <v>1282</v>
      </c>
      <c r="B23" s="418"/>
      <c r="C23" s="418"/>
      <c r="D23" s="418"/>
      <c r="E23" s="418"/>
      <c r="F23" s="418"/>
      <c r="G23" s="418"/>
      <c r="H23" s="418"/>
    </row>
    <row r="24" spans="1:8" ht="31.5" x14ac:dyDescent="0.25">
      <c r="A24" s="4" t="s">
        <v>1272</v>
      </c>
      <c r="B24" s="4" t="s">
        <v>1273</v>
      </c>
      <c r="C24" s="4" t="s">
        <v>20</v>
      </c>
      <c r="D24" s="4" t="s">
        <v>29</v>
      </c>
      <c r="E24" s="4" t="s">
        <v>47</v>
      </c>
      <c r="F24" s="4" t="s">
        <v>478</v>
      </c>
      <c r="G24" s="4" t="s">
        <v>477</v>
      </c>
      <c r="H24" s="4" t="s">
        <v>1274</v>
      </c>
    </row>
    <row r="25" spans="1:8" ht="15.75" x14ac:dyDescent="0.25">
      <c r="A25" s="418" t="s">
        <v>1283</v>
      </c>
      <c r="B25" s="418"/>
      <c r="C25" s="418"/>
      <c r="D25" s="418"/>
      <c r="E25" s="418"/>
      <c r="F25" s="418"/>
      <c r="G25" s="418"/>
      <c r="H25" s="418"/>
    </row>
    <row r="26" spans="1:8" ht="31.5" x14ac:dyDescent="0.25">
      <c r="A26" s="7" t="s">
        <v>1284</v>
      </c>
      <c r="B26" s="7" t="s">
        <v>1285</v>
      </c>
      <c r="C26" s="7" t="s">
        <v>75</v>
      </c>
      <c r="D26" s="11">
        <v>0.1333333333</v>
      </c>
      <c r="E26" s="11">
        <v>3.3333333299999997E-2</v>
      </c>
      <c r="F26" s="11">
        <v>6.6666666700000002E-2</v>
      </c>
      <c r="G26" s="11">
        <v>6.6666666700000002E-2</v>
      </c>
      <c r="H26" s="15">
        <f t="shared" ref="H26:H33" si="1">SUM(D26 * unskilled,E26 * skilled, F26 * truck, G26 * crane)</f>
        <v>520.36666677109997</v>
      </c>
    </row>
    <row r="27" spans="1:8" ht="31.5" x14ac:dyDescent="0.25">
      <c r="A27" s="7" t="s">
        <v>1286</v>
      </c>
      <c r="B27" s="7" t="s">
        <v>1287</v>
      </c>
      <c r="C27" s="7" t="s">
        <v>75</v>
      </c>
      <c r="D27" s="11">
        <v>0.1333333333</v>
      </c>
      <c r="E27" s="11">
        <v>3.3333333299999997E-2</v>
      </c>
      <c r="F27" s="11">
        <v>6.6666666700000002E-2</v>
      </c>
      <c r="G27" s="11">
        <v>6.6666666700000002E-2</v>
      </c>
      <c r="H27" s="15">
        <f t="shared" si="1"/>
        <v>520.36666677109997</v>
      </c>
    </row>
    <row r="28" spans="1:8" ht="31.5" x14ac:dyDescent="0.25">
      <c r="A28" s="7" t="s">
        <v>1288</v>
      </c>
      <c r="B28" s="7" t="s">
        <v>1289</v>
      </c>
      <c r="C28" s="7" t="s">
        <v>75</v>
      </c>
      <c r="D28" s="11">
        <v>0.1333333333</v>
      </c>
      <c r="E28" s="11">
        <v>3.3333333299999997E-2</v>
      </c>
      <c r="F28" s="11">
        <v>6.6666666700000002E-2</v>
      </c>
      <c r="G28" s="11">
        <v>6.6666666700000002E-2</v>
      </c>
      <c r="H28" s="15">
        <f t="shared" si="1"/>
        <v>520.36666677109997</v>
      </c>
    </row>
    <row r="29" spans="1:8" ht="31.5" x14ac:dyDescent="0.25">
      <c r="A29" s="7" t="s">
        <v>1290</v>
      </c>
      <c r="B29" s="7" t="s">
        <v>1291</v>
      </c>
      <c r="C29" s="7" t="s">
        <v>75</v>
      </c>
      <c r="D29" s="11">
        <v>0.08</v>
      </c>
      <c r="E29" s="11">
        <v>0.02</v>
      </c>
      <c r="F29" s="11">
        <v>0.04</v>
      </c>
      <c r="G29" s="11">
        <v>0.04</v>
      </c>
      <c r="H29" s="15">
        <f t="shared" si="1"/>
        <v>312.22000000000003</v>
      </c>
    </row>
    <row r="30" spans="1:8" ht="31.5" x14ac:dyDescent="0.25">
      <c r="A30" s="7" t="s">
        <v>1292</v>
      </c>
      <c r="B30" s="7" t="s">
        <v>1293</v>
      </c>
      <c r="C30" s="7" t="s">
        <v>75</v>
      </c>
      <c r="D30" s="11">
        <v>0.08</v>
      </c>
      <c r="E30" s="11">
        <v>0.02</v>
      </c>
      <c r="F30" s="11">
        <v>0.04</v>
      </c>
      <c r="G30" s="11">
        <v>0.04</v>
      </c>
      <c r="H30" s="15">
        <f t="shared" si="1"/>
        <v>312.22000000000003</v>
      </c>
    </row>
    <row r="31" spans="1:8" ht="31.5" x14ac:dyDescent="0.25">
      <c r="A31" s="7" t="s">
        <v>1294</v>
      </c>
      <c r="B31" s="7" t="s">
        <v>1295</v>
      </c>
      <c r="C31" s="7" t="s">
        <v>75</v>
      </c>
      <c r="D31" s="11">
        <v>0.08</v>
      </c>
      <c r="E31" s="11">
        <v>0.02</v>
      </c>
      <c r="F31" s="11">
        <v>0.04</v>
      </c>
      <c r="G31" s="11">
        <v>0.04</v>
      </c>
      <c r="H31" s="15">
        <f t="shared" si="1"/>
        <v>312.22000000000003</v>
      </c>
    </row>
    <row r="32" spans="1:8" ht="31.5" x14ac:dyDescent="0.25">
      <c r="A32" s="7" t="s">
        <v>1296</v>
      </c>
      <c r="B32" s="7" t="s">
        <v>1297</v>
      </c>
      <c r="C32" s="7" t="s">
        <v>75</v>
      </c>
      <c r="D32" s="11">
        <v>5.3333333300000001E-2</v>
      </c>
      <c r="E32" s="11">
        <v>1.33333333E-2</v>
      </c>
      <c r="F32" s="11">
        <v>2.6666666700000001E-2</v>
      </c>
      <c r="G32" s="11">
        <v>2.6666666700000001E-2</v>
      </c>
      <c r="H32" s="15">
        <f t="shared" si="1"/>
        <v>208.1466667711</v>
      </c>
    </row>
    <row r="33" spans="1:8" ht="31.5" x14ac:dyDescent="0.25">
      <c r="A33" s="7" t="s">
        <v>1298</v>
      </c>
      <c r="B33" s="7" t="s">
        <v>1299</v>
      </c>
      <c r="C33" s="7" t="s">
        <v>75</v>
      </c>
      <c r="D33" s="11">
        <v>5.3333333300000001E-2</v>
      </c>
      <c r="E33" s="11">
        <v>1.33333333E-2</v>
      </c>
      <c r="F33" s="11">
        <v>2.6666666700000001E-2</v>
      </c>
      <c r="G33" s="11">
        <v>2.6666666700000001E-2</v>
      </c>
      <c r="H33" s="15">
        <f t="shared" si="1"/>
        <v>208.1466667711</v>
      </c>
    </row>
    <row r="35" spans="1:8" ht="15.75" x14ac:dyDescent="0.25">
      <c r="A35" s="418" t="s">
        <v>1300</v>
      </c>
      <c r="B35" s="418"/>
      <c r="C35" s="418"/>
      <c r="D35" s="418"/>
      <c r="E35" s="418"/>
      <c r="F35" s="418"/>
      <c r="G35" s="418"/>
      <c r="H35" s="418"/>
    </row>
    <row r="36" spans="1:8" ht="31.5" x14ac:dyDescent="0.25">
      <c r="A36" s="7" t="s">
        <v>1284</v>
      </c>
      <c r="B36" s="7" t="s">
        <v>1285</v>
      </c>
      <c r="C36" s="7" t="s">
        <v>75</v>
      </c>
      <c r="D36" s="11">
        <v>6.6666666700000002E-2</v>
      </c>
      <c r="E36" s="11">
        <v>6.6666666999999997E-3</v>
      </c>
      <c r="F36" s="11">
        <v>3.3333333299999997E-2</v>
      </c>
      <c r="G36" s="11">
        <v>3.3333333299999997E-2</v>
      </c>
      <c r="H36" s="15">
        <f t="shared" ref="H36:H43" si="2">SUM(D36 * unskilled,E36 * skilled, F36 * truck, G36 * crane)</f>
        <v>247.73333322889999</v>
      </c>
    </row>
    <row r="37" spans="1:8" ht="31.5" x14ac:dyDescent="0.25">
      <c r="A37" s="7" t="s">
        <v>1286</v>
      </c>
      <c r="B37" s="7" t="s">
        <v>1287</v>
      </c>
      <c r="C37" s="7" t="s">
        <v>75</v>
      </c>
      <c r="D37" s="11">
        <v>6.6666666700000002E-2</v>
      </c>
      <c r="E37" s="11">
        <v>6.6666666999999997E-3</v>
      </c>
      <c r="F37" s="11">
        <v>3.3333333299999997E-2</v>
      </c>
      <c r="G37" s="11">
        <v>3.3333333299999997E-2</v>
      </c>
      <c r="H37" s="15">
        <f t="shared" si="2"/>
        <v>247.73333322889999</v>
      </c>
    </row>
    <row r="38" spans="1:8" ht="31.5" x14ac:dyDescent="0.25">
      <c r="A38" s="7" t="s">
        <v>1288</v>
      </c>
      <c r="B38" s="7" t="s">
        <v>1289</v>
      </c>
      <c r="C38" s="7" t="s">
        <v>75</v>
      </c>
      <c r="D38" s="11">
        <v>6.6666666700000002E-2</v>
      </c>
      <c r="E38" s="11">
        <v>6.6666666999999997E-3</v>
      </c>
      <c r="F38" s="11">
        <v>3.3333333299999997E-2</v>
      </c>
      <c r="G38" s="11">
        <v>3.3333333299999997E-2</v>
      </c>
      <c r="H38" s="15">
        <f t="shared" si="2"/>
        <v>247.73333322889999</v>
      </c>
    </row>
    <row r="39" spans="1:8" ht="31.5" x14ac:dyDescent="0.25">
      <c r="A39" s="7" t="s">
        <v>1290</v>
      </c>
      <c r="B39" s="7" t="s">
        <v>1291</v>
      </c>
      <c r="C39" s="7" t="s">
        <v>75</v>
      </c>
      <c r="D39" s="11">
        <v>0.04</v>
      </c>
      <c r="E39" s="11">
        <v>0.02</v>
      </c>
      <c r="F39" s="11">
        <v>0.02</v>
      </c>
      <c r="G39" s="11">
        <v>0.02</v>
      </c>
      <c r="H39" s="15">
        <f t="shared" si="2"/>
        <v>168.56</v>
      </c>
    </row>
    <row r="40" spans="1:8" ht="31.5" x14ac:dyDescent="0.25">
      <c r="A40" s="7" t="s">
        <v>1292</v>
      </c>
      <c r="B40" s="7" t="s">
        <v>1293</v>
      </c>
      <c r="C40" s="7" t="s">
        <v>75</v>
      </c>
      <c r="D40" s="11">
        <v>0.04</v>
      </c>
      <c r="E40" s="11">
        <v>0.02</v>
      </c>
      <c r="F40" s="11">
        <v>0.02</v>
      </c>
      <c r="G40" s="11">
        <v>0.02</v>
      </c>
      <c r="H40" s="15">
        <f t="shared" si="2"/>
        <v>168.56</v>
      </c>
    </row>
    <row r="41" spans="1:8" ht="31.5" x14ac:dyDescent="0.25">
      <c r="A41" s="7" t="s">
        <v>1294</v>
      </c>
      <c r="B41" s="7" t="s">
        <v>1295</v>
      </c>
      <c r="C41" s="7" t="s">
        <v>75</v>
      </c>
      <c r="D41" s="11">
        <v>0.04</v>
      </c>
      <c r="E41" s="11">
        <v>0.02</v>
      </c>
      <c r="F41" s="11">
        <v>0.02</v>
      </c>
      <c r="G41" s="11">
        <v>0.02</v>
      </c>
      <c r="H41" s="15">
        <f t="shared" si="2"/>
        <v>168.56</v>
      </c>
    </row>
    <row r="42" spans="1:8" ht="31.5" x14ac:dyDescent="0.25">
      <c r="A42" s="7" t="s">
        <v>1296</v>
      </c>
      <c r="B42" s="7" t="s">
        <v>1297</v>
      </c>
      <c r="C42" s="7" t="s">
        <v>75</v>
      </c>
      <c r="D42" s="11">
        <v>2.6666666700000001E-2</v>
      </c>
      <c r="E42" s="11">
        <v>2.6666667000000001E-3</v>
      </c>
      <c r="F42" s="11">
        <v>1.33333333E-2</v>
      </c>
      <c r="G42" s="11">
        <v>1.33333333E-2</v>
      </c>
      <c r="H42" s="15">
        <f t="shared" si="2"/>
        <v>99.093333228900008</v>
      </c>
    </row>
    <row r="43" spans="1:8" ht="31.5" x14ac:dyDescent="0.25">
      <c r="A43" s="7" t="s">
        <v>1298</v>
      </c>
      <c r="B43" s="7" t="s">
        <v>1299</v>
      </c>
      <c r="C43" s="7" t="s">
        <v>75</v>
      </c>
      <c r="D43" s="11">
        <v>2.6666666700000001E-2</v>
      </c>
      <c r="E43" s="11">
        <v>2.6666667000000001E-3</v>
      </c>
      <c r="F43" s="11">
        <v>1.33333333E-2</v>
      </c>
      <c r="G43" s="11">
        <v>1.33333333E-2</v>
      </c>
      <c r="H43" s="15">
        <f t="shared" si="2"/>
        <v>99.093333228900008</v>
      </c>
    </row>
    <row r="45" spans="1:8" ht="15.75" x14ac:dyDescent="0.25">
      <c r="A45" s="418" t="s">
        <v>1301</v>
      </c>
      <c r="B45" s="418"/>
      <c r="C45" s="418"/>
      <c r="D45" s="418"/>
      <c r="E45" s="418"/>
      <c r="F45" s="418"/>
      <c r="G45" s="418"/>
      <c r="H45" s="418"/>
    </row>
    <row r="46" spans="1:8" ht="31.5" x14ac:dyDescent="0.25">
      <c r="A46" s="7" t="s">
        <v>1284</v>
      </c>
      <c r="B46" s="7" t="s">
        <v>1285</v>
      </c>
      <c r="C46" s="7" t="s">
        <v>75</v>
      </c>
      <c r="D46" s="11">
        <v>0.20599999999999999</v>
      </c>
      <c r="E46" s="11">
        <v>2.0666666699999999E-2</v>
      </c>
      <c r="F46" s="11">
        <v>0.2666666667</v>
      </c>
      <c r="G46" s="11"/>
      <c r="H46" s="15">
        <f t="shared" ref="H46:H52" si="3">SUM(D46 * unskilled,E46 * skilled, F46 * truck)</f>
        <v>861.00666678850007</v>
      </c>
    </row>
    <row r="47" spans="1:8" ht="31.5" x14ac:dyDescent="0.25">
      <c r="A47" s="7" t="s">
        <v>1286</v>
      </c>
      <c r="B47" s="7" t="s">
        <v>1287</v>
      </c>
      <c r="C47" s="7" t="s">
        <v>75</v>
      </c>
      <c r="D47" s="11">
        <v>0.20599999999999999</v>
      </c>
      <c r="E47" s="11">
        <v>2.0666666699999999E-2</v>
      </c>
      <c r="F47" s="11">
        <v>0.2666666667</v>
      </c>
      <c r="G47" s="11"/>
      <c r="H47" s="15">
        <f t="shared" si="3"/>
        <v>861.00666678850007</v>
      </c>
    </row>
    <row r="48" spans="1:8" ht="31.5" x14ac:dyDescent="0.25">
      <c r="A48" s="7" t="s">
        <v>1288</v>
      </c>
      <c r="B48" s="7" t="s">
        <v>1289</v>
      </c>
      <c r="C48" s="7" t="s">
        <v>75</v>
      </c>
      <c r="D48" s="11">
        <v>0.20599999999999999</v>
      </c>
      <c r="E48" s="11">
        <v>2.0666666699999999E-2</v>
      </c>
      <c r="F48" s="11">
        <v>0.2666666667</v>
      </c>
      <c r="G48" s="11"/>
      <c r="H48" s="15">
        <f t="shared" si="3"/>
        <v>861.00666678850007</v>
      </c>
    </row>
    <row r="49" spans="1:8" ht="31.5" x14ac:dyDescent="0.25">
      <c r="A49" s="7" t="s">
        <v>1290</v>
      </c>
      <c r="B49" s="7" t="s">
        <v>1302</v>
      </c>
      <c r="C49" s="7" t="s">
        <v>75</v>
      </c>
      <c r="D49" s="11">
        <v>0.1648</v>
      </c>
      <c r="E49" s="11">
        <v>1.24E-2</v>
      </c>
      <c r="F49" s="11">
        <v>0.16</v>
      </c>
      <c r="G49" s="11"/>
      <c r="H49" s="15">
        <f t="shared" si="3"/>
        <v>555.12599999999998</v>
      </c>
    </row>
    <row r="50" spans="1:8" ht="31.5" x14ac:dyDescent="0.25">
      <c r="A50" s="7" t="s">
        <v>1292</v>
      </c>
      <c r="B50" s="7" t="s">
        <v>1303</v>
      </c>
      <c r="C50" s="7" t="s">
        <v>75</v>
      </c>
      <c r="D50" s="11">
        <v>0.1648</v>
      </c>
      <c r="E50" s="11">
        <v>1.24E-2</v>
      </c>
      <c r="F50" s="11">
        <v>0.16</v>
      </c>
      <c r="G50" s="11"/>
      <c r="H50" s="15">
        <f t="shared" si="3"/>
        <v>555.12599999999998</v>
      </c>
    </row>
    <row r="51" spans="1:8" ht="31.5" x14ac:dyDescent="0.25">
      <c r="A51" s="7" t="s">
        <v>1294</v>
      </c>
      <c r="B51" s="7" t="s">
        <v>1304</v>
      </c>
      <c r="C51" s="7" t="s">
        <v>75</v>
      </c>
      <c r="D51" s="11">
        <v>0.1373333333</v>
      </c>
      <c r="E51" s="11">
        <v>8.2666666999999996E-3</v>
      </c>
      <c r="F51" s="11">
        <v>0.1066666667</v>
      </c>
      <c r="G51" s="11"/>
      <c r="H51" s="15">
        <f t="shared" si="3"/>
        <v>395.765333424</v>
      </c>
    </row>
    <row r="52" spans="1:8" ht="31.5" x14ac:dyDescent="0.25">
      <c r="A52" s="7" t="s">
        <v>1296</v>
      </c>
      <c r="B52" s="7" t="s">
        <v>1305</v>
      </c>
      <c r="C52" s="7" t="s">
        <v>75</v>
      </c>
      <c r="D52" s="11">
        <v>0.1373333333</v>
      </c>
      <c r="E52" s="11">
        <v>8.2666666999999996E-3</v>
      </c>
      <c r="F52" s="11">
        <v>0.1066666667</v>
      </c>
      <c r="G52" s="11"/>
      <c r="H52" s="15">
        <f t="shared" si="3"/>
        <v>395.765333424</v>
      </c>
    </row>
  </sheetData>
  <mergeCells count="7">
    <mergeCell ref="A35:H35"/>
    <mergeCell ref="A45:H45"/>
    <mergeCell ref="A1:H1"/>
    <mergeCell ref="A3:F3"/>
    <mergeCell ref="A10:H10"/>
    <mergeCell ref="A23:H23"/>
    <mergeCell ref="A25:H25"/>
  </mergeCells>
  <pageMargins left="0.5" right="0.5" top="0.5" bottom="0.5" header="0.3" footer="0.3"/>
  <pageSetup paperSize="9" fitToHeight="0" orientation="portrait" useFirstPageNumber="1" r:id="rId1"/>
  <headerFooter>
    <oddHeader>&amp;L Loading/Unloading of Materials &amp;R Page &amp;P of &amp;N</oddHeader>
    <oddFooter>&amp;L Prepared By:________________ &amp;C Checked By:________________ &amp;R Approved By:________________</oddFooter>
  </headerFooter>
  <rowBreaks count="1" manualBreakCount="1">
    <brk id="22"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9"/>
  <sheetViews>
    <sheetView workbookViewId="0">
      <selection activeCell="D7" sqref="D7"/>
    </sheetView>
  </sheetViews>
  <sheetFormatPr defaultRowHeight="15" x14ac:dyDescent="0.25"/>
  <cols>
    <col min="2" max="2" width="30.7109375" customWidth="1"/>
    <col min="5" max="5" width="9.5703125" bestFit="1" customWidth="1"/>
    <col min="6" max="8" width="15.7109375" customWidth="1"/>
  </cols>
  <sheetData>
    <row r="1" spans="1:10" ht="15.75" x14ac:dyDescent="0.25">
      <c r="A1" s="416" t="s">
        <v>1306</v>
      </c>
      <c r="B1" s="416"/>
      <c r="C1" s="416"/>
      <c r="D1" s="416"/>
      <c r="E1" s="416"/>
      <c r="F1" s="416"/>
      <c r="G1" s="416"/>
      <c r="H1" s="416"/>
      <c r="I1" s="416"/>
      <c r="J1" s="416"/>
    </row>
    <row r="3" spans="1:10" ht="31.5" x14ac:dyDescent="0.25">
      <c r="A3" s="4" t="s">
        <v>1272</v>
      </c>
      <c r="B3" s="4" t="s">
        <v>1273</v>
      </c>
      <c r="C3" s="4" t="s">
        <v>20</v>
      </c>
      <c r="D3" s="4" t="s">
        <v>1307</v>
      </c>
      <c r="E3" s="4" t="s">
        <v>1308</v>
      </c>
      <c r="F3" s="4" t="s">
        <v>23</v>
      </c>
      <c r="G3" s="4" t="s">
        <v>1309</v>
      </c>
      <c r="H3" s="12" t="s">
        <v>1308</v>
      </c>
    </row>
    <row r="4" spans="1:10" ht="15.75" x14ac:dyDescent="0.25">
      <c r="B4" s="2" t="s">
        <v>1275</v>
      </c>
    </row>
    <row r="5" spans="1:10" ht="15.75" x14ac:dyDescent="0.25">
      <c r="A5" s="7" t="s">
        <v>1284</v>
      </c>
      <c r="B5" s="7" t="s">
        <v>1310</v>
      </c>
      <c r="C5" s="7" t="s">
        <v>84</v>
      </c>
      <c r="D5" s="7">
        <f>collection_gravel_5_70_mm</f>
        <v>1926.1000000000001</v>
      </c>
      <c r="E5" s="7">
        <f t="shared" ref="E5:E10" si="0">IF(H5="With Washing",washing_gravel,0)</f>
        <v>0</v>
      </c>
      <c r="F5" s="10">
        <f t="shared" ref="F5:F10" si="1">SUM(D5,E5)</f>
        <v>1926.1000000000001</v>
      </c>
      <c r="G5" s="9"/>
      <c r="H5" s="1" t="s">
        <v>1311</v>
      </c>
    </row>
    <row r="6" spans="1:10" ht="15.75" x14ac:dyDescent="0.25">
      <c r="A6" s="7" t="s">
        <v>1286</v>
      </c>
      <c r="B6" s="7" t="s">
        <v>1312</v>
      </c>
      <c r="C6" s="7" t="s">
        <v>84</v>
      </c>
      <c r="D6" s="7">
        <f>collection_gravel_40_mm</f>
        <v>2889.15</v>
      </c>
      <c r="E6" s="7">
        <f t="shared" si="0"/>
        <v>0</v>
      </c>
      <c r="F6" s="10">
        <f t="shared" si="1"/>
        <v>2889.15</v>
      </c>
      <c r="G6" s="9"/>
      <c r="H6" s="1" t="s">
        <v>1311</v>
      </c>
    </row>
    <row r="7" spans="1:10" ht="15.75" x14ac:dyDescent="0.25">
      <c r="A7" s="7" t="s">
        <v>1288</v>
      </c>
      <c r="B7" s="7" t="s">
        <v>1313</v>
      </c>
      <c r="C7" s="7" t="s">
        <v>84</v>
      </c>
      <c r="D7" s="7">
        <f>collection_gravel_20_mm</f>
        <v>3852.2000000000003</v>
      </c>
      <c r="E7" s="7">
        <f t="shared" si="0"/>
        <v>0</v>
      </c>
      <c r="F7" s="10">
        <f t="shared" si="1"/>
        <v>3852.2000000000003</v>
      </c>
      <c r="G7" s="9"/>
      <c r="H7" s="1" t="s">
        <v>1311</v>
      </c>
    </row>
    <row r="8" spans="1:10" ht="15.75" x14ac:dyDescent="0.25">
      <c r="A8" s="7" t="s">
        <v>1290</v>
      </c>
      <c r="B8" s="7" t="s">
        <v>1314</v>
      </c>
      <c r="C8" s="7" t="s">
        <v>84</v>
      </c>
      <c r="D8" s="7">
        <f>collection_gravel_8_mm</f>
        <v>5778.3</v>
      </c>
      <c r="E8" s="7">
        <f t="shared" si="0"/>
        <v>0</v>
      </c>
      <c r="F8" s="10">
        <f t="shared" si="1"/>
        <v>5778.3</v>
      </c>
      <c r="G8" s="9"/>
      <c r="H8" s="1" t="s">
        <v>1311</v>
      </c>
    </row>
    <row r="9" spans="1:10" ht="15.75" x14ac:dyDescent="0.25">
      <c r="A9" s="7" t="s">
        <v>1292</v>
      </c>
      <c r="B9" s="7" t="s">
        <v>1315</v>
      </c>
      <c r="C9" s="7" t="s">
        <v>84</v>
      </c>
      <c r="D9" s="7">
        <f>collection_gravel_40_70_mm</f>
        <v>3852.2000000000003</v>
      </c>
      <c r="E9" s="7">
        <f t="shared" si="0"/>
        <v>0</v>
      </c>
      <c r="F9" s="10">
        <f t="shared" si="1"/>
        <v>3852.2000000000003</v>
      </c>
      <c r="G9" s="9"/>
      <c r="H9" s="1" t="s">
        <v>1311</v>
      </c>
    </row>
    <row r="10" spans="1:10" ht="15.75" x14ac:dyDescent="0.25">
      <c r="A10" s="7" t="s">
        <v>1294</v>
      </c>
      <c r="B10" s="7" t="s">
        <v>1316</v>
      </c>
      <c r="C10" s="7" t="s">
        <v>84</v>
      </c>
      <c r="D10" s="7">
        <f>collection_gravel_70_100_mm</f>
        <v>2889.15</v>
      </c>
      <c r="E10" s="7">
        <f t="shared" si="0"/>
        <v>0</v>
      </c>
      <c r="F10" s="10">
        <f t="shared" si="1"/>
        <v>2889.15</v>
      </c>
      <c r="G10" s="9"/>
      <c r="H10" s="1" t="s">
        <v>1311</v>
      </c>
    </row>
    <row r="11" spans="1:10" ht="15.75" x14ac:dyDescent="0.25">
      <c r="B11" s="2" t="s">
        <v>83</v>
      </c>
    </row>
    <row r="12" spans="1:10" ht="15.75" x14ac:dyDescent="0.25">
      <c r="A12" s="7" t="s">
        <v>1284</v>
      </c>
      <c r="B12" s="7" t="s">
        <v>1317</v>
      </c>
      <c r="C12" s="7" t="s">
        <v>84</v>
      </c>
      <c r="D12" s="7">
        <f>collection_quarry_output_less_than_33_per</f>
        <v>3852.2000000000003</v>
      </c>
      <c r="E12" s="7">
        <f>IF(H12="With Washing",washing_sand,0)</f>
        <v>0</v>
      </c>
      <c r="F12" s="10">
        <f t="shared" ref="F12:F22" si="2">SUM(D12,E12)</f>
        <v>3852.2000000000003</v>
      </c>
      <c r="G12" s="9"/>
      <c r="H12" s="1" t="s">
        <v>1311</v>
      </c>
    </row>
    <row r="13" spans="1:10" ht="15.75" x14ac:dyDescent="0.25">
      <c r="A13" s="7" t="s">
        <v>1286</v>
      </c>
      <c r="B13" s="7" t="s">
        <v>1318</v>
      </c>
      <c r="C13" s="7" t="s">
        <v>84</v>
      </c>
      <c r="D13" s="7">
        <f>collection_quarry_output_33_to_66_per</f>
        <v>2889.15</v>
      </c>
      <c r="E13" s="7">
        <f>IF(H13="With Washing",washing_sand,0)</f>
        <v>0</v>
      </c>
      <c r="F13" s="10">
        <f t="shared" si="2"/>
        <v>2889.15</v>
      </c>
      <c r="G13" s="9"/>
      <c r="H13" s="1" t="s">
        <v>1311</v>
      </c>
    </row>
    <row r="14" spans="1:10" ht="15.75" x14ac:dyDescent="0.25">
      <c r="A14" s="7" t="s">
        <v>1288</v>
      </c>
      <c r="B14" s="7" t="s">
        <v>1319</v>
      </c>
      <c r="C14" s="7" t="s">
        <v>84</v>
      </c>
      <c r="D14" s="7">
        <f>collection_quarry_output_more_than_66_per</f>
        <v>1444.575</v>
      </c>
      <c r="E14" s="7">
        <f>IF(H14="With Washing",washing_sand,0)</f>
        <v>0</v>
      </c>
      <c r="F14" s="10">
        <f t="shared" si="2"/>
        <v>1444.575</v>
      </c>
      <c r="G14" s="9"/>
      <c r="H14" s="1" t="s">
        <v>1311</v>
      </c>
    </row>
    <row r="15" spans="1:10" ht="31.5" x14ac:dyDescent="0.25">
      <c r="A15" s="7" t="s">
        <v>1290</v>
      </c>
      <c r="B15" s="7" t="s">
        <v>1320</v>
      </c>
      <c r="C15" s="7" t="s">
        <v>84</v>
      </c>
      <c r="D15" s="7">
        <f>collection_sand</f>
        <v>1444.575</v>
      </c>
      <c r="E15" s="7">
        <f>IF(H15="With Washing",washing_sand,0)</f>
        <v>0</v>
      </c>
      <c r="F15" s="10">
        <f t="shared" si="2"/>
        <v>1444.575</v>
      </c>
      <c r="G15" s="9"/>
      <c r="H15" s="1" t="s">
        <v>1311</v>
      </c>
    </row>
    <row r="16" spans="1:10" ht="15.75" x14ac:dyDescent="0.25">
      <c r="A16" s="7">
        <v>3</v>
      </c>
      <c r="B16" s="7" t="s">
        <v>1276</v>
      </c>
      <c r="C16" s="7" t="s">
        <v>84</v>
      </c>
      <c r="D16" s="7">
        <f>collection_rubble</f>
        <v>1348.27</v>
      </c>
      <c r="E16" s="7">
        <f>IF(H16="With Washing",washing_rubble,0)</f>
        <v>0</v>
      </c>
      <c r="F16" s="10">
        <f t="shared" si="2"/>
        <v>1348.27</v>
      </c>
      <c r="G16" s="9"/>
      <c r="H16" s="1" t="s">
        <v>1311</v>
      </c>
    </row>
    <row r="17" spans="1:8" ht="15.75" x14ac:dyDescent="0.25">
      <c r="A17" s="7">
        <v>4</v>
      </c>
      <c r="B17" s="7" t="s">
        <v>327</v>
      </c>
      <c r="C17" s="7" t="s">
        <v>84</v>
      </c>
      <c r="D17" s="7">
        <f t="shared" ref="D17:D22" si="3">collection_aggregate</f>
        <v>1348.27</v>
      </c>
      <c r="E17" s="7">
        <f t="shared" ref="E17:E22" si="4">IF(H17="With Washing",washing_aggregate,0)</f>
        <v>0</v>
      </c>
      <c r="F17" s="10">
        <f t="shared" si="2"/>
        <v>1348.27</v>
      </c>
      <c r="G17" s="9"/>
      <c r="H17" s="1" t="s">
        <v>1311</v>
      </c>
    </row>
    <row r="18" spans="1:8" ht="15.75" x14ac:dyDescent="0.25">
      <c r="A18" s="7" t="s">
        <v>1284</v>
      </c>
      <c r="B18" s="7" t="s">
        <v>1316</v>
      </c>
      <c r="C18" s="7" t="s">
        <v>84</v>
      </c>
      <c r="D18" s="7">
        <f t="shared" si="3"/>
        <v>1348.27</v>
      </c>
      <c r="E18" s="7">
        <f t="shared" si="4"/>
        <v>0</v>
      </c>
      <c r="F18" s="10">
        <f t="shared" si="2"/>
        <v>1348.27</v>
      </c>
      <c r="G18" s="9"/>
      <c r="H18" s="1" t="s">
        <v>1311</v>
      </c>
    </row>
    <row r="19" spans="1:8" ht="15.75" x14ac:dyDescent="0.25">
      <c r="A19" s="7" t="s">
        <v>1286</v>
      </c>
      <c r="B19" s="7" t="s">
        <v>1315</v>
      </c>
      <c r="C19" s="7" t="s">
        <v>84</v>
      </c>
      <c r="D19" s="7">
        <f t="shared" si="3"/>
        <v>1348.27</v>
      </c>
      <c r="E19" s="7">
        <f t="shared" si="4"/>
        <v>0</v>
      </c>
      <c r="F19" s="10">
        <f t="shared" si="2"/>
        <v>1348.27</v>
      </c>
      <c r="G19" s="9"/>
      <c r="H19" s="1" t="s">
        <v>1311</v>
      </c>
    </row>
    <row r="20" spans="1:8" ht="15.75" x14ac:dyDescent="0.25">
      <c r="A20" s="7" t="s">
        <v>1288</v>
      </c>
      <c r="B20" s="7" t="s">
        <v>1321</v>
      </c>
      <c r="C20" s="7" t="s">
        <v>84</v>
      </c>
      <c r="D20" s="7">
        <f t="shared" si="3"/>
        <v>1348.27</v>
      </c>
      <c r="E20" s="7">
        <f t="shared" si="4"/>
        <v>0</v>
      </c>
      <c r="F20" s="10">
        <f t="shared" si="2"/>
        <v>1348.27</v>
      </c>
      <c r="G20" s="9"/>
      <c r="H20" s="1" t="s">
        <v>1311</v>
      </c>
    </row>
    <row r="21" spans="1:8" ht="15.75" x14ac:dyDescent="0.25">
      <c r="A21" s="7" t="s">
        <v>1290</v>
      </c>
      <c r="B21" s="7" t="s">
        <v>1322</v>
      </c>
      <c r="C21" s="7" t="s">
        <v>84</v>
      </c>
      <c r="D21" s="7">
        <f t="shared" si="3"/>
        <v>1348.27</v>
      </c>
      <c r="E21" s="7">
        <f t="shared" si="4"/>
        <v>0</v>
      </c>
      <c r="F21" s="10">
        <f t="shared" si="2"/>
        <v>1348.27</v>
      </c>
      <c r="G21" s="9"/>
      <c r="H21" s="1" t="s">
        <v>1311</v>
      </c>
    </row>
    <row r="22" spans="1:8" ht="15.75" x14ac:dyDescent="0.25">
      <c r="A22" s="7" t="s">
        <v>1292</v>
      </c>
      <c r="B22" s="7" t="s">
        <v>1323</v>
      </c>
      <c r="C22" s="7" t="s">
        <v>84</v>
      </c>
      <c r="D22" s="7">
        <f t="shared" si="3"/>
        <v>1348.27</v>
      </c>
      <c r="E22" s="7">
        <f t="shared" si="4"/>
        <v>0</v>
      </c>
      <c r="F22" s="10">
        <f t="shared" si="2"/>
        <v>1348.27</v>
      </c>
      <c r="G22" s="9"/>
      <c r="H22" s="1" t="s">
        <v>1311</v>
      </c>
    </row>
    <row r="23" spans="1:8" ht="15.75" x14ac:dyDescent="0.25">
      <c r="B23" s="2" t="s">
        <v>1324</v>
      </c>
    </row>
    <row r="24" spans="1:8" ht="15.75" x14ac:dyDescent="0.25">
      <c r="A24" s="7" t="s">
        <v>1284</v>
      </c>
      <c r="B24" s="7" t="s">
        <v>1325</v>
      </c>
      <c r="C24" s="7" t="s">
        <v>84</v>
      </c>
      <c r="D24" s="7">
        <f>mech_crush_aggregate_13.2_mm</f>
        <v>1973.0390995849998</v>
      </c>
      <c r="E24" s="7">
        <f>IF(H24="With Washing",washing_aggregate,0)</f>
        <v>0</v>
      </c>
      <c r="F24" s="10">
        <f>SUM(D24,E24)</f>
        <v>1973.0390995849998</v>
      </c>
      <c r="G24" s="9"/>
      <c r="H24" s="1" t="s">
        <v>1311</v>
      </c>
    </row>
    <row r="25" spans="1:8" ht="15.75" x14ac:dyDescent="0.25">
      <c r="A25" s="7" t="s">
        <v>1286</v>
      </c>
      <c r="B25" s="7" t="s">
        <v>1313</v>
      </c>
      <c r="C25" s="7" t="s">
        <v>84</v>
      </c>
      <c r="D25" s="7">
        <f>mech_crush_aggregate_20_mm</f>
        <v>1770.9253985233001</v>
      </c>
      <c r="E25" s="7">
        <f>IF(H25="With Washing",washing_aggregate,0)</f>
        <v>0</v>
      </c>
      <c r="F25" s="10">
        <f>SUM(D25,E25)</f>
        <v>1770.9253985233001</v>
      </c>
      <c r="G25" s="9"/>
      <c r="H25" s="1" t="s">
        <v>1311</v>
      </c>
    </row>
    <row r="26" spans="1:8" ht="15.75" x14ac:dyDescent="0.25">
      <c r="A26" s="7" t="s">
        <v>1288</v>
      </c>
      <c r="B26" s="7" t="s">
        <v>1312</v>
      </c>
      <c r="C26" s="7" t="s">
        <v>84</v>
      </c>
      <c r="D26" s="7">
        <f>mech_crush_aggregate_40_mm</f>
        <v>1576.4014106185</v>
      </c>
      <c r="E26" s="7">
        <f>IF(H26="With Washing",washing_aggregate,0)</f>
        <v>0</v>
      </c>
      <c r="F26" s="10">
        <f>SUM(D26,E26)</f>
        <v>1576.4014106185</v>
      </c>
      <c r="G26" s="9"/>
      <c r="H26" s="1" t="s">
        <v>1311</v>
      </c>
    </row>
    <row r="28" spans="1:8" ht="15.75" x14ac:dyDescent="0.25">
      <c r="A28" s="418" t="s">
        <v>1307</v>
      </c>
      <c r="B28" s="418"/>
      <c r="C28" s="418"/>
      <c r="D28" s="418"/>
      <c r="E28" s="418"/>
      <c r="F28" s="418"/>
    </row>
    <row r="29" spans="1:8" ht="31.5" x14ac:dyDescent="0.25">
      <c r="A29" s="4" t="s">
        <v>1272</v>
      </c>
      <c r="B29" s="4" t="s">
        <v>1273</v>
      </c>
      <c r="C29" s="4" t="s">
        <v>20</v>
      </c>
      <c r="D29" s="4" t="s">
        <v>29</v>
      </c>
      <c r="E29" s="4" t="s">
        <v>22</v>
      </c>
      <c r="F29" s="4" t="s">
        <v>23</v>
      </c>
    </row>
    <row r="30" spans="1:8" ht="15.75" x14ac:dyDescent="0.25">
      <c r="B30" s="2"/>
    </row>
    <row r="31" spans="1:8" ht="15.75" x14ac:dyDescent="0.25">
      <c r="B31" s="2" t="s">
        <v>1275</v>
      </c>
    </row>
    <row r="32" spans="1:8" ht="15.75" x14ac:dyDescent="0.25">
      <c r="A32" s="7" t="s">
        <v>1284</v>
      </c>
      <c r="B32" s="7" t="s">
        <v>1310</v>
      </c>
      <c r="C32" s="7" t="s">
        <v>84</v>
      </c>
      <c r="D32" s="11">
        <v>2.06</v>
      </c>
      <c r="E32" s="7">
        <f t="shared" ref="E32:E37" si="5">unskilled</f>
        <v>935</v>
      </c>
      <c r="F32" s="10">
        <f t="shared" ref="F32:F37" si="6">D32 * unskilled</f>
        <v>1926.1000000000001</v>
      </c>
    </row>
    <row r="33" spans="1:6" ht="15.75" x14ac:dyDescent="0.25">
      <c r="A33" s="7" t="s">
        <v>1286</v>
      </c>
      <c r="B33" s="7" t="s">
        <v>1312</v>
      </c>
      <c r="C33" s="7" t="s">
        <v>84</v>
      </c>
      <c r="D33" s="11">
        <v>3.09</v>
      </c>
      <c r="E33" s="7">
        <f t="shared" si="5"/>
        <v>935</v>
      </c>
      <c r="F33" s="10">
        <f t="shared" si="6"/>
        <v>2889.15</v>
      </c>
    </row>
    <row r="34" spans="1:6" ht="15.75" x14ac:dyDescent="0.25">
      <c r="A34" s="7" t="s">
        <v>1288</v>
      </c>
      <c r="B34" s="7" t="s">
        <v>1313</v>
      </c>
      <c r="C34" s="7" t="s">
        <v>84</v>
      </c>
      <c r="D34" s="11">
        <v>4.12</v>
      </c>
      <c r="E34" s="7">
        <f t="shared" si="5"/>
        <v>935</v>
      </c>
      <c r="F34" s="10">
        <f t="shared" si="6"/>
        <v>3852.2000000000003</v>
      </c>
    </row>
    <row r="35" spans="1:6" ht="15.75" x14ac:dyDescent="0.25">
      <c r="A35" s="7" t="s">
        <v>1290</v>
      </c>
      <c r="B35" s="7" t="s">
        <v>1314</v>
      </c>
      <c r="C35" s="7" t="s">
        <v>84</v>
      </c>
      <c r="D35" s="11">
        <v>6.18</v>
      </c>
      <c r="E35" s="7">
        <f t="shared" si="5"/>
        <v>935</v>
      </c>
      <c r="F35" s="10">
        <f t="shared" si="6"/>
        <v>5778.3</v>
      </c>
    </row>
    <row r="36" spans="1:6" ht="15.75" x14ac:dyDescent="0.25">
      <c r="A36" s="7" t="s">
        <v>1292</v>
      </c>
      <c r="B36" s="7" t="s">
        <v>1315</v>
      </c>
      <c r="C36" s="7" t="s">
        <v>84</v>
      </c>
      <c r="D36" s="11">
        <v>4.12</v>
      </c>
      <c r="E36" s="7">
        <f t="shared" si="5"/>
        <v>935</v>
      </c>
      <c r="F36" s="10">
        <f t="shared" si="6"/>
        <v>3852.2000000000003</v>
      </c>
    </row>
    <row r="37" spans="1:6" ht="15.75" x14ac:dyDescent="0.25">
      <c r="A37" s="7" t="s">
        <v>1294</v>
      </c>
      <c r="B37" s="7" t="s">
        <v>1316</v>
      </c>
      <c r="C37" s="7" t="s">
        <v>84</v>
      </c>
      <c r="D37" s="11">
        <v>3.09</v>
      </c>
      <c r="E37" s="7">
        <f t="shared" si="5"/>
        <v>935</v>
      </c>
      <c r="F37" s="10">
        <f t="shared" si="6"/>
        <v>2889.15</v>
      </c>
    </row>
    <row r="38" spans="1:6" ht="15.75" x14ac:dyDescent="0.25">
      <c r="B38" s="2" t="s">
        <v>83</v>
      </c>
    </row>
    <row r="39" spans="1:6" ht="15.75" x14ac:dyDescent="0.25">
      <c r="A39" s="7" t="s">
        <v>1284</v>
      </c>
      <c r="B39" s="7" t="s">
        <v>1317</v>
      </c>
      <c r="C39" s="7" t="s">
        <v>84</v>
      </c>
      <c r="D39" s="11">
        <v>4.12</v>
      </c>
      <c r="E39" s="7">
        <f>unskilled</f>
        <v>935</v>
      </c>
      <c r="F39" s="10">
        <f>D39 * unskilled</f>
        <v>3852.2000000000003</v>
      </c>
    </row>
    <row r="40" spans="1:6" ht="15.75" x14ac:dyDescent="0.25">
      <c r="A40" s="7" t="s">
        <v>1286</v>
      </c>
      <c r="B40" s="7" t="s">
        <v>1318</v>
      </c>
      <c r="C40" s="7" t="s">
        <v>84</v>
      </c>
      <c r="D40" s="11">
        <v>3.09</v>
      </c>
      <c r="E40" s="7">
        <f>unskilled</f>
        <v>935</v>
      </c>
      <c r="F40" s="10">
        <f>D40 * unskilled</f>
        <v>2889.15</v>
      </c>
    </row>
    <row r="41" spans="1:6" ht="15.75" x14ac:dyDescent="0.25">
      <c r="A41" s="7" t="s">
        <v>1288</v>
      </c>
      <c r="B41" s="7" t="s">
        <v>1326</v>
      </c>
      <c r="C41" s="7" t="s">
        <v>84</v>
      </c>
      <c r="D41" s="11">
        <v>1.5449999999999999</v>
      </c>
      <c r="E41" s="7">
        <f>unskilled</f>
        <v>935</v>
      </c>
      <c r="F41" s="10">
        <f>D41 * unskilled</f>
        <v>1444.575</v>
      </c>
    </row>
    <row r="42" spans="1:6" ht="31.5" x14ac:dyDescent="0.25">
      <c r="A42" s="7" t="s">
        <v>1290</v>
      </c>
      <c r="B42" s="7" t="s">
        <v>1320</v>
      </c>
      <c r="C42" s="7" t="s">
        <v>84</v>
      </c>
      <c r="D42" s="11">
        <v>1.5449999999999999</v>
      </c>
      <c r="E42" s="7">
        <f>unskilled</f>
        <v>935</v>
      </c>
      <c r="F42" s="10">
        <f>D42 * unskilled</f>
        <v>1444.575</v>
      </c>
    </row>
    <row r="43" spans="1:6" ht="15.75" x14ac:dyDescent="0.25">
      <c r="B43" s="2"/>
    </row>
    <row r="44" spans="1:6" ht="15.75" x14ac:dyDescent="0.25">
      <c r="A44" s="7">
        <v>3</v>
      </c>
      <c r="B44" s="7" t="s">
        <v>1276</v>
      </c>
      <c r="C44" s="7" t="s">
        <v>84</v>
      </c>
      <c r="D44" s="11">
        <v>1.4419999999999999</v>
      </c>
      <c r="E44" s="7">
        <f>unskilled</f>
        <v>935</v>
      </c>
      <c r="F44" s="10">
        <f>D44 * unskilled</f>
        <v>1348.27</v>
      </c>
    </row>
    <row r="45" spans="1:6" ht="15.75" x14ac:dyDescent="0.25">
      <c r="A45" s="7">
        <v>4</v>
      </c>
      <c r="B45" s="7" t="s">
        <v>327</v>
      </c>
      <c r="C45" s="7" t="s">
        <v>84</v>
      </c>
      <c r="D45" s="11">
        <v>1.4419999999999999</v>
      </c>
      <c r="E45" s="7">
        <f>unskilled</f>
        <v>935</v>
      </c>
      <c r="F45" s="10">
        <f>D45 * unskilled</f>
        <v>1348.27</v>
      </c>
    </row>
    <row r="47" spans="1:6" ht="15.75" x14ac:dyDescent="0.25">
      <c r="A47" s="418" t="s">
        <v>1308</v>
      </c>
      <c r="B47" s="418"/>
      <c r="C47" s="418"/>
      <c r="D47" s="418"/>
      <c r="E47" s="418"/>
      <c r="F47" s="418"/>
    </row>
    <row r="48" spans="1:6" ht="31.5" x14ac:dyDescent="0.25">
      <c r="A48" s="4" t="s">
        <v>1272</v>
      </c>
      <c r="B48" s="4" t="s">
        <v>1273</v>
      </c>
      <c r="C48" s="4" t="s">
        <v>20</v>
      </c>
      <c r="D48" s="4" t="s">
        <v>29</v>
      </c>
      <c r="E48" s="4" t="s">
        <v>22</v>
      </c>
      <c r="F48" s="4" t="s">
        <v>23</v>
      </c>
    </row>
    <row r="49" spans="1:6" ht="15.75" x14ac:dyDescent="0.25">
      <c r="A49" s="7">
        <v>1</v>
      </c>
      <c r="B49" s="7" t="s">
        <v>1275</v>
      </c>
      <c r="C49" s="7" t="s">
        <v>84</v>
      </c>
      <c r="D49" s="11">
        <v>0.51500000000000001</v>
      </c>
      <c r="E49" s="7">
        <f>unskilled</f>
        <v>935</v>
      </c>
      <c r="F49" s="11">
        <f>D49 * unskilled</f>
        <v>481.52500000000003</v>
      </c>
    </row>
    <row r="50" spans="1:6" ht="15.75" x14ac:dyDescent="0.25">
      <c r="A50" s="7">
        <v>2</v>
      </c>
      <c r="B50" s="7" t="s">
        <v>83</v>
      </c>
      <c r="C50" s="7" t="s">
        <v>84</v>
      </c>
      <c r="D50" s="11">
        <v>0.51500000000000001</v>
      </c>
      <c r="E50" s="7">
        <f>unskilled</f>
        <v>935</v>
      </c>
      <c r="F50" s="11">
        <f>D50 * unskilled</f>
        <v>481.52500000000003</v>
      </c>
    </row>
    <row r="51" spans="1:6" ht="15.75" x14ac:dyDescent="0.25">
      <c r="A51" s="7">
        <v>3</v>
      </c>
      <c r="B51" s="7" t="s">
        <v>1276</v>
      </c>
      <c r="C51" s="7" t="s">
        <v>84</v>
      </c>
      <c r="D51" s="11">
        <v>0.20599999999999999</v>
      </c>
      <c r="E51" s="7">
        <f>unskilled</f>
        <v>935</v>
      </c>
      <c r="F51" s="11">
        <f>D51 * unskilled</f>
        <v>192.60999999999999</v>
      </c>
    </row>
    <row r="52" spans="1:6" ht="15.75" x14ac:dyDescent="0.25">
      <c r="A52" s="7">
        <v>4</v>
      </c>
      <c r="B52" s="7" t="s">
        <v>327</v>
      </c>
      <c r="C52" s="7" t="s">
        <v>84</v>
      </c>
      <c r="D52" s="11">
        <v>0.21</v>
      </c>
      <c r="E52" s="7">
        <f>unskilled</f>
        <v>935</v>
      </c>
      <c r="F52" s="11">
        <f>D52 * unskilled</f>
        <v>196.35</v>
      </c>
    </row>
    <row r="54" spans="1:6" ht="15.75" x14ac:dyDescent="0.25">
      <c r="A54" s="418" t="s">
        <v>1327</v>
      </c>
      <c r="B54" s="418"/>
      <c r="C54" s="418"/>
      <c r="D54" s="418"/>
      <c r="E54" s="418"/>
    </row>
    <row r="55" spans="1:6" ht="31.5" x14ac:dyDescent="0.25">
      <c r="A55" s="4" t="s">
        <v>1272</v>
      </c>
      <c r="B55" s="4" t="s">
        <v>1273</v>
      </c>
      <c r="C55" s="4" t="s">
        <v>20</v>
      </c>
      <c r="D55" s="4" t="s">
        <v>29</v>
      </c>
      <c r="E55" s="4" t="s">
        <v>1274</v>
      </c>
    </row>
    <row r="56" spans="1:6" ht="15.75" x14ac:dyDescent="0.25">
      <c r="B56" s="2" t="s">
        <v>327</v>
      </c>
    </row>
    <row r="57" spans="1:6" ht="15.75" x14ac:dyDescent="0.25">
      <c r="A57" s="7" t="s">
        <v>1284</v>
      </c>
      <c r="B57" s="7" t="s">
        <v>1316</v>
      </c>
      <c r="C57" s="7" t="s">
        <v>84</v>
      </c>
      <c r="D57" s="11">
        <v>1.5449999999999999</v>
      </c>
      <c r="E57" s="11">
        <f>D57 * unskilled</f>
        <v>1444.575</v>
      </c>
    </row>
    <row r="58" spans="1:6" ht="15.75" x14ac:dyDescent="0.25">
      <c r="A58" s="7" t="s">
        <v>1286</v>
      </c>
      <c r="B58" s="7" t="s">
        <v>1315</v>
      </c>
      <c r="C58" s="7" t="s">
        <v>84</v>
      </c>
      <c r="D58" s="11">
        <v>2.06</v>
      </c>
      <c r="E58" s="11">
        <f>D58 * unskilled</f>
        <v>1926.1000000000001</v>
      </c>
    </row>
    <row r="59" spans="1:6" ht="15.75" x14ac:dyDescent="0.25">
      <c r="A59" s="7" t="s">
        <v>1288</v>
      </c>
      <c r="B59" s="7" t="s">
        <v>1321</v>
      </c>
      <c r="C59" s="7" t="s">
        <v>84</v>
      </c>
      <c r="D59" s="11">
        <v>3.09</v>
      </c>
      <c r="E59" s="11">
        <f>D59 * unskilled</f>
        <v>2889.15</v>
      </c>
    </row>
    <row r="60" spans="1:6" ht="15.75" x14ac:dyDescent="0.25">
      <c r="A60" s="7" t="s">
        <v>1290</v>
      </c>
      <c r="B60" s="7" t="s">
        <v>1322</v>
      </c>
      <c r="C60" s="7" t="s">
        <v>84</v>
      </c>
      <c r="D60" s="11">
        <v>4.12</v>
      </c>
      <c r="E60" s="11">
        <f>D60 * unskilled</f>
        <v>3852.2000000000003</v>
      </c>
    </row>
    <row r="61" spans="1:6" ht="15.75" x14ac:dyDescent="0.25">
      <c r="A61" s="7" t="s">
        <v>1292</v>
      </c>
      <c r="B61" s="7" t="s">
        <v>1323</v>
      </c>
      <c r="C61" s="7" t="s">
        <v>84</v>
      </c>
      <c r="D61" s="11">
        <v>6.18</v>
      </c>
      <c r="E61" s="11">
        <f>D61 * unskilled</f>
        <v>5778.3</v>
      </c>
    </row>
    <row r="62" spans="1:6" ht="15.75" x14ac:dyDescent="0.25">
      <c r="B62" s="2" t="s">
        <v>1324</v>
      </c>
    </row>
    <row r="63" spans="1:6" ht="15.75" x14ac:dyDescent="0.25">
      <c r="A63" s="7" t="s">
        <v>1294</v>
      </c>
      <c r="B63" s="7" t="s">
        <v>1325</v>
      </c>
      <c r="C63" s="7" t="s">
        <v>84</v>
      </c>
      <c r="D63" s="11">
        <v>1.5449999999999999</v>
      </c>
      <c r="E63" s="11">
        <f>D63 * unskilled</f>
        <v>1444.575</v>
      </c>
    </row>
    <row r="64" spans="1:6" ht="15.75" x14ac:dyDescent="0.25">
      <c r="A64" s="7" t="s">
        <v>1296</v>
      </c>
      <c r="B64" s="7" t="s">
        <v>1313</v>
      </c>
      <c r="C64" s="7" t="s">
        <v>84</v>
      </c>
      <c r="D64" s="11">
        <v>2.06</v>
      </c>
      <c r="E64" s="11">
        <f>D64 * unskilled</f>
        <v>1926.1000000000001</v>
      </c>
    </row>
    <row r="66" spans="1:10" ht="15.75" x14ac:dyDescent="0.25">
      <c r="A66" s="418" t="s">
        <v>1328</v>
      </c>
      <c r="B66" s="418"/>
      <c r="C66" s="418"/>
      <c r="D66" s="418"/>
      <c r="E66" s="418"/>
      <c r="F66" s="418"/>
    </row>
    <row r="67" spans="1:10" ht="31.5" x14ac:dyDescent="0.25">
      <c r="A67" s="4" t="s">
        <v>1272</v>
      </c>
      <c r="B67" s="4" t="s">
        <v>1273</v>
      </c>
      <c r="C67" s="4" t="s">
        <v>20</v>
      </c>
      <c r="D67" s="4" t="s">
        <v>29</v>
      </c>
      <c r="E67" s="4" t="s">
        <v>47</v>
      </c>
      <c r="F67" s="4" t="s">
        <v>1274</v>
      </c>
    </row>
    <row r="68" spans="1:10" ht="15.75" x14ac:dyDescent="0.25">
      <c r="A68" s="7">
        <v>1</v>
      </c>
      <c r="B68" s="7" t="s">
        <v>1329</v>
      </c>
      <c r="C68" s="7" t="s">
        <v>84</v>
      </c>
      <c r="D68" s="11">
        <v>4.12</v>
      </c>
      <c r="E68" s="11">
        <v>0.10299999999999999</v>
      </c>
      <c r="F68" s="10">
        <f>SUM(D68 * unskilled, E68 * skilled)</f>
        <v>3980.4350000000004</v>
      </c>
    </row>
    <row r="70" spans="1:10" ht="15.75" x14ac:dyDescent="0.25">
      <c r="A70" s="418" t="s">
        <v>1330</v>
      </c>
      <c r="B70" s="418"/>
      <c r="C70" s="418"/>
      <c r="D70" s="418"/>
      <c r="E70" s="418"/>
      <c r="F70" s="418"/>
      <c r="G70" s="418"/>
      <c r="H70" s="418"/>
      <c r="I70" s="418"/>
    </row>
    <row r="71" spans="1:10" ht="31.5" x14ac:dyDescent="0.25">
      <c r="A71" s="4" t="s">
        <v>1272</v>
      </c>
      <c r="B71" s="4" t="s">
        <v>1273</v>
      </c>
      <c r="C71" s="4" t="s">
        <v>20</v>
      </c>
      <c r="D71" s="4" t="s">
        <v>29</v>
      </c>
      <c r="E71" s="4" t="s">
        <v>47</v>
      </c>
      <c r="F71" s="4" t="s">
        <v>143</v>
      </c>
      <c r="G71" s="4" t="s">
        <v>1331</v>
      </c>
      <c r="H71" s="4" t="s">
        <v>146</v>
      </c>
      <c r="I71" s="4" t="s">
        <v>1274</v>
      </c>
    </row>
    <row r="72" spans="1:10" ht="15.75" x14ac:dyDescent="0.25">
      <c r="A72" s="7">
        <v>1</v>
      </c>
      <c r="B72" s="7" t="s">
        <v>1329</v>
      </c>
      <c r="C72" s="7" t="s">
        <v>84</v>
      </c>
      <c r="D72" s="7" t="s">
        <v>1332</v>
      </c>
      <c r="E72" s="11">
        <v>0.10299999999999999</v>
      </c>
      <c r="F72" s="11">
        <v>0.25</v>
      </c>
      <c r="G72" s="11">
        <v>2</v>
      </c>
      <c r="H72" s="11">
        <v>2</v>
      </c>
      <c r="I72" s="10">
        <f>SUM(D72 * unskilled, E72 * skilled, F72 * gelatin, G72 * fuse_wire_blasting, H72 * electric_detonator)</f>
        <v>2535.86</v>
      </c>
    </row>
    <row r="74" spans="1:10" ht="15.75" x14ac:dyDescent="0.25">
      <c r="A74" s="418" t="s">
        <v>1333</v>
      </c>
      <c r="B74" s="418"/>
      <c r="C74" s="418"/>
      <c r="D74" s="418"/>
      <c r="E74" s="418"/>
      <c r="F74" s="418"/>
      <c r="G74" s="418"/>
      <c r="H74" s="418"/>
      <c r="I74" s="418"/>
      <c r="J74" s="418"/>
    </row>
    <row r="75" spans="1:10" ht="47.25" x14ac:dyDescent="0.25">
      <c r="A75" s="4" t="s">
        <v>1272</v>
      </c>
      <c r="B75" s="4" t="s">
        <v>1273</v>
      </c>
      <c r="C75" s="4" t="s">
        <v>20</v>
      </c>
      <c r="D75" s="4" t="s">
        <v>29</v>
      </c>
      <c r="E75" s="4" t="s">
        <v>47</v>
      </c>
      <c r="F75" s="4" t="s">
        <v>1334</v>
      </c>
      <c r="G75" s="4" t="s">
        <v>1335</v>
      </c>
      <c r="H75" s="4" t="s">
        <v>213</v>
      </c>
      <c r="I75" s="4" t="s">
        <v>193</v>
      </c>
      <c r="J75" s="4" t="s">
        <v>1274</v>
      </c>
    </row>
    <row r="76" spans="1:10" ht="15.75" x14ac:dyDescent="0.25">
      <c r="B76" s="2" t="s">
        <v>1336</v>
      </c>
    </row>
    <row r="77" spans="1:10" ht="15.75" x14ac:dyDescent="0.25">
      <c r="A77" s="7" t="s">
        <v>1284</v>
      </c>
      <c r="B77" s="7" t="s">
        <v>1325</v>
      </c>
      <c r="C77" s="7" t="s">
        <v>84</v>
      </c>
      <c r="D77" s="11">
        <v>0.03</v>
      </c>
      <c r="E77" s="11">
        <v>3.333333E-3</v>
      </c>
      <c r="F77" s="10">
        <v>1.33</v>
      </c>
      <c r="G77" s="11">
        <v>0.02</v>
      </c>
      <c r="H77" s="11">
        <v>0.03</v>
      </c>
      <c r="I77" s="11">
        <v>0.03</v>
      </c>
      <c r="J77" s="10">
        <f>SUM(D77 * unskilled,E77 * skilled, F77 * collection_rubble, G77 * stone_crusher_with_screen, H77 * loader, I77 * tipper)</f>
        <v>1973.0390995849998</v>
      </c>
    </row>
    <row r="78" spans="1:10" ht="15.75" x14ac:dyDescent="0.25">
      <c r="A78" s="7" t="s">
        <v>1286</v>
      </c>
      <c r="B78" s="7" t="s">
        <v>1313</v>
      </c>
      <c r="C78" s="7" t="s">
        <v>84</v>
      </c>
      <c r="D78" s="11">
        <v>2.6865699999999999E-2</v>
      </c>
      <c r="E78" s="11">
        <v>2.9850746000000001E-3</v>
      </c>
      <c r="F78" s="10">
        <v>1.1940298499999999</v>
      </c>
      <c r="G78" s="11">
        <v>1.79104478E-2</v>
      </c>
      <c r="H78" s="11">
        <v>2.6865671599999998E-2</v>
      </c>
      <c r="I78" s="11">
        <v>2.6865671599999998E-2</v>
      </c>
      <c r="J78" s="10">
        <f>SUM(D78 * unskilled,E78 * skilled, F78 * collection_rubble, G78 * stone_crusher_with_screen, H78 * loader, I78 * tipper)</f>
        <v>1770.9253985233001</v>
      </c>
    </row>
    <row r="79" spans="1:10" ht="15.75" x14ac:dyDescent="0.25">
      <c r="A79" s="7" t="s">
        <v>1288</v>
      </c>
      <c r="B79" s="7" t="s">
        <v>1312</v>
      </c>
      <c r="C79" s="7" t="s">
        <v>84</v>
      </c>
      <c r="D79" s="11">
        <v>2.2666700000000001E-2</v>
      </c>
      <c r="E79" s="11">
        <v>2.6667000000000001E-3</v>
      </c>
      <c r="F79" s="10">
        <v>1.06666667</v>
      </c>
      <c r="G79" s="11">
        <v>8.0000000000000002E-3</v>
      </c>
      <c r="H79" s="11">
        <v>2.6666666700000001E-2</v>
      </c>
      <c r="I79" s="11">
        <v>2.6666666700000001E-2</v>
      </c>
      <c r="J79" s="10">
        <f>SUM(D79 * unskilled,E79 * skilled, F79 * collection_rubble, G79 * stone_crusher_with_screen, H79 * loader, I79 * tipper)</f>
        <v>1576.4014106185</v>
      </c>
    </row>
  </sheetData>
  <mergeCells count="7">
    <mergeCell ref="A70:I70"/>
    <mergeCell ref="A74:J74"/>
    <mergeCell ref="A1:J1"/>
    <mergeCell ref="A28:F28"/>
    <mergeCell ref="A47:F47"/>
    <mergeCell ref="A54:E54"/>
    <mergeCell ref="A66:F66"/>
  </mergeCells>
  <dataValidations count="20">
    <dataValidation type="list" allowBlank="1" showInputMessage="1" showErrorMessage="1" sqref="H5">
      <formula1>"With Washing,Without Washing"</formula1>
    </dataValidation>
    <dataValidation type="list" allowBlank="1" showInputMessage="1" showErrorMessage="1" sqref="H6">
      <formula1>"With Washing,Without Washing"</formula1>
    </dataValidation>
    <dataValidation type="list" allowBlank="1" showInputMessage="1" showErrorMessage="1" sqref="H7">
      <formula1>"With Washing,Without Washing"</formula1>
    </dataValidation>
    <dataValidation type="list" allowBlank="1" showInputMessage="1" showErrorMessage="1" sqref="H8">
      <formula1>"With Washing,Without Washing"</formula1>
    </dataValidation>
    <dataValidation type="list" allowBlank="1" showInputMessage="1" showErrorMessage="1" sqref="H9">
      <formula1>"With Washing,Without Washing"</formula1>
    </dataValidation>
    <dataValidation type="list" allowBlank="1" showInputMessage="1" showErrorMessage="1" sqref="H10">
      <formula1>"With Washing,Without Washing"</formula1>
    </dataValidation>
    <dataValidation type="list" allowBlank="1" showInputMessage="1" showErrorMessage="1" sqref="H12">
      <formula1>"With Washing,Without Washing"</formula1>
    </dataValidation>
    <dataValidation type="list" allowBlank="1" showInputMessage="1" showErrorMessage="1" sqref="H13">
      <formula1>"With Washing,Without Washing"</formula1>
    </dataValidation>
    <dataValidation type="list" allowBlank="1" showInputMessage="1" showErrorMessage="1" sqref="H14">
      <formula1>"With Washing,Without Washing"</formula1>
    </dataValidation>
    <dataValidation type="list" allowBlank="1" showInputMessage="1" showErrorMessage="1" sqref="H15">
      <formula1>"With Washing,Without Washing"</formula1>
    </dataValidation>
    <dataValidation type="list" allowBlank="1" showInputMessage="1" showErrorMessage="1" sqref="H16">
      <formula1>"With Washing,Without Washing"</formula1>
    </dataValidation>
    <dataValidation type="list" allowBlank="1" showInputMessage="1" showErrorMessage="1" sqref="H17">
      <formula1>"With Washing,Without Washing"</formula1>
    </dataValidation>
    <dataValidation type="list" allowBlank="1" showInputMessage="1" showErrorMessage="1" sqref="H18">
      <formula1>"With Washing,Without Washing"</formula1>
    </dataValidation>
    <dataValidation type="list" allowBlank="1" showInputMessage="1" showErrorMessage="1" sqref="H19">
      <formula1>"With Washing,Without Washing"</formula1>
    </dataValidation>
    <dataValidation type="list" allowBlank="1" showInputMessage="1" showErrorMessage="1" sqref="H20">
      <formula1>"With Washing,Without Washing"</formula1>
    </dataValidation>
    <dataValidation type="list" allowBlank="1" showInputMessage="1" showErrorMessage="1" sqref="H21">
      <formula1>"With Washing,Without Washing"</formula1>
    </dataValidation>
    <dataValidation type="list" allowBlank="1" showInputMessage="1" showErrorMessage="1" sqref="H22">
      <formula1>"With Washing,Without Washing"</formula1>
    </dataValidation>
    <dataValidation type="list" allowBlank="1" showInputMessage="1" showErrorMessage="1" sqref="H24">
      <formula1>"With Washing,Without Washing"</formula1>
    </dataValidation>
    <dataValidation type="list" allowBlank="1" showInputMessage="1" showErrorMessage="1" sqref="H25">
      <formula1>"With Washing,Without Washing"</formula1>
    </dataValidation>
    <dataValidation type="list" allowBlank="1" showInputMessage="1" showErrorMessage="1" sqref="H26">
      <formula1>"With Washing,Without Washing"</formula1>
    </dataValidation>
  </dataValidations>
  <pageMargins left="0.5" right="0.5" top="0.5" bottom="0.5" header="0.3" footer="0.3"/>
  <pageSetup paperSize="9" scale="69" fitToHeight="0" orientation="portrait" useFirstPageNumber="1" r:id="rId1"/>
  <headerFooter>
    <oddHeader>&amp;L Collection of Materials &amp;R Page &amp;P of &amp;N</oddHeader>
    <oddFooter>&amp;L Prepared By:________________ &amp;C Checked By:________________ &amp;R Approved By:________________</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48"/>
  <sheetViews>
    <sheetView workbookViewId="0">
      <selection activeCell="J162" sqref="J162"/>
    </sheetView>
  </sheetViews>
  <sheetFormatPr defaultRowHeight="15" x14ac:dyDescent="0.25"/>
  <cols>
    <col min="2" max="2" width="35.7109375" customWidth="1"/>
    <col min="10" max="10" width="10.7109375" customWidth="1"/>
    <col min="13" max="13" width="20.7109375" customWidth="1"/>
  </cols>
  <sheetData>
    <row r="1" spans="1:13" ht="15.75" x14ac:dyDescent="0.25">
      <c r="A1" s="416" t="s">
        <v>1634</v>
      </c>
      <c r="B1" s="416"/>
      <c r="C1" s="416"/>
      <c r="D1" s="416"/>
      <c r="E1" s="416"/>
      <c r="F1" s="416"/>
      <c r="G1" s="416"/>
      <c r="H1" s="416"/>
      <c r="I1" s="416"/>
      <c r="J1" s="416"/>
      <c r="K1" s="416"/>
      <c r="L1" s="416"/>
      <c r="M1" s="416"/>
    </row>
    <row r="2" spans="1:13" ht="15.75" x14ac:dyDescent="0.25">
      <c r="A2" s="648" t="s">
        <v>1635</v>
      </c>
      <c r="B2" s="648"/>
      <c r="C2" s="648"/>
      <c r="D2" s="648"/>
      <c r="F2" s="423" t="s">
        <v>1641</v>
      </c>
      <c r="G2" s="423"/>
      <c r="H2" s="423"/>
      <c r="I2" s="423"/>
      <c r="J2" s="423"/>
      <c r="K2" s="423"/>
      <c r="L2" s="423"/>
      <c r="M2" s="423"/>
    </row>
    <row r="3" spans="1:13" ht="15.75" x14ac:dyDescent="0.25">
      <c r="A3" s="4"/>
      <c r="B3" s="4" t="s">
        <v>1638</v>
      </c>
      <c r="C3" s="4" t="s">
        <v>1639</v>
      </c>
      <c r="D3" s="4" t="s">
        <v>1640</v>
      </c>
      <c r="F3" s="423"/>
      <c r="G3" s="423"/>
      <c r="H3" s="423"/>
      <c r="I3" s="423"/>
      <c r="J3" s="423"/>
      <c r="K3" s="423"/>
      <c r="L3" s="423"/>
      <c r="M3" s="423"/>
    </row>
    <row r="4" spans="1:13" ht="15.75" x14ac:dyDescent="0.25">
      <c r="A4" s="4" t="s">
        <v>1636</v>
      </c>
      <c r="B4" s="12">
        <v>20</v>
      </c>
      <c r="C4" s="12">
        <v>30</v>
      </c>
      <c r="D4" s="12">
        <v>40</v>
      </c>
      <c r="F4" s="423"/>
      <c r="G4" s="423"/>
      <c r="H4" s="423"/>
      <c r="I4" s="423"/>
      <c r="J4" s="423"/>
      <c r="K4" s="423"/>
      <c r="L4" s="423"/>
      <c r="M4" s="423"/>
    </row>
    <row r="5" spans="1:13" ht="31.5" x14ac:dyDescent="0.25">
      <c r="A5" s="4" t="s">
        <v>1637</v>
      </c>
      <c r="B5" s="12">
        <v>10</v>
      </c>
      <c r="C5" s="12">
        <v>15</v>
      </c>
      <c r="D5" s="12">
        <v>20</v>
      </c>
      <c r="F5" s="423"/>
      <c r="G5" s="423"/>
      <c r="H5" s="423"/>
      <c r="I5" s="423"/>
      <c r="J5" s="423"/>
      <c r="K5" s="423"/>
      <c r="L5" s="423"/>
      <c r="M5" s="423"/>
    </row>
    <row r="6" spans="1:13" x14ac:dyDescent="0.25">
      <c r="F6" s="423"/>
      <c r="G6" s="423"/>
      <c r="H6" s="423"/>
      <c r="I6" s="423"/>
      <c r="J6" s="423"/>
      <c r="K6" s="423"/>
      <c r="L6" s="423"/>
      <c r="M6" s="423"/>
    </row>
    <row r="9" spans="1:13" ht="31.5" x14ac:dyDescent="0.25">
      <c r="B9" s="4"/>
      <c r="C9" s="4"/>
      <c r="D9" s="12" t="s">
        <v>1638</v>
      </c>
      <c r="E9" s="12" t="s">
        <v>1639</v>
      </c>
      <c r="F9" s="12" t="s">
        <v>1640</v>
      </c>
      <c r="G9" s="12" t="s">
        <v>1638</v>
      </c>
      <c r="H9" s="12" t="s">
        <v>1639</v>
      </c>
      <c r="I9" s="12" t="s">
        <v>1640</v>
      </c>
      <c r="K9" s="2" t="s">
        <v>1642</v>
      </c>
      <c r="L9" s="2">
        <f>tipper</f>
        <v>1384</v>
      </c>
    </row>
    <row r="10" spans="1:13" ht="15.75" x14ac:dyDescent="0.25">
      <c r="B10" s="418" t="s">
        <v>1643</v>
      </c>
      <c r="C10" s="418"/>
      <c r="D10" s="3" t="s">
        <v>1644</v>
      </c>
      <c r="E10" s="3" t="s">
        <v>1645</v>
      </c>
      <c r="F10" s="3" t="s">
        <v>1646</v>
      </c>
      <c r="G10" s="3" t="s">
        <v>1647</v>
      </c>
      <c r="H10" s="3" t="s">
        <v>1648</v>
      </c>
      <c r="I10" s="3" t="s">
        <v>1644</v>
      </c>
    </row>
    <row r="12" spans="1:13" ht="31.5" x14ac:dyDescent="0.25">
      <c r="A12" s="4" t="s">
        <v>1272</v>
      </c>
      <c r="B12" s="4" t="s">
        <v>1273</v>
      </c>
      <c r="C12" s="4" t="s">
        <v>20</v>
      </c>
      <c r="D12" s="648" t="s">
        <v>1636</v>
      </c>
      <c r="E12" s="648"/>
      <c r="F12" s="648"/>
      <c r="G12" s="648" t="s">
        <v>1649</v>
      </c>
      <c r="H12" s="648"/>
      <c r="I12" s="648"/>
      <c r="J12" s="4" t="s">
        <v>1650</v>
      </c>
      <c r="K12" s="4" t="s">
        <v>1651</v>
      </c>
      <c r="L12" s="4" t="s">
        <v>1652</v>
      </c>
      <c r="M12" s="4" t="s">
        <v>1309</v>
      </c>
    </row>
    <row r="13" spans="1:13" ht="15.75" x14ac:dyDescent="0.25">
      <c r="A13" s="4"/>
      <c r="B13" s="4" t="s">
        <v>1653</v>
      </c>
      <c r="C13" s="4"/>
      <c r="D13" s="12" t="s">
        <v>1638</v>
      </c>
      <c r="E13" s="12" t="s">
        <v>1639</v>
      </c>
      <c r="F13" s="12" t="s">
        <v>1640</v>
      </c>
      <c r="G13" s="12" t="s">
        <v>1638</v>
      </c>
      <c r="H13" s="12" t="s">
        <v>1639</v>
      </c>
      <c r="I13" s="12" t="s">
        <v>1640</v>
      </c>
      <c r="J13" s="4"/>
      <c r="K13" s="4"/>
      <c r="L13" s="4"/>
      <c r="M13" s="4"/>
    </row>
    <row r="14" spans="1:13" ht="15.75" x14ac:dyDescent="0.25">
      <c r="A14" s="7">
        <v>1</v>
      </c>
      <c r="B14" s="7" t="s">
        <v>466</v>
      </c>
      <c r="C14" s="7" t="s">
        <v>438</v>
      </c>
      <c r="D14" s="16"/>
      <c r="E14" s="16"/>
      <c r="F14" s="16"/>
      <c r="G14" s="16"/>
      <c r="H14" s="16"/>
      <c r="I14" s="16"/>
      <c r="J14" s="16"/>
      <c r="K14" s="7">
        <f t="shared" ref="K14:K45" si="0">($D$10*D14+$E$10*E14+$F$10*F14+$G$10*G14+$H$10*H14+$I$10*I14)/8*J14</f>
        <v>0</v>
      </c>
      <c r="L14" s="7">
        <f>K14*L9</f>
        <v>0</v>
      </c>
      <c r="M14" s="7" t="s">
        <v>1654</v>
      </c>
    </row>
    <row r="15" spans="1:13" ht="15.75" x14ac:dyDescent="0.25">
      <c r="A15" s="7">
        <v>2</v>
      </c>
      <c r="B15" s="7" t="s">
        <v>1062</v>
      </c>
      <c r="C15" s="7" t="s">
        <v>75</v>
      </c>
      <c r="D15" s="16"/>
      <c r="E15" s="16"/>
      <c r="F15" s="16"/>
      <c r="G15" s="16"/>
      <c r="H15" s="16"/>
      <c r="I15" s="16"/>
      <c r="J15" s="16"/>
      <c r="K15" s="7">
        <f t="shared" si="0"/>
        <v>0</v>
      </c>
      <c r="L15" s="7">
        <f>K15*L9</f>
        <v>0</v>
      </c>
      <c r="M15" s="7" t="s">
        <v>1654</v>
      </c>
    </row>
    <row r="16" spans="1:13" ht="15.75" x14ac:dyDescent="0.25">
      <c r="A16" s="7">
        <v>3</v>
      </c>
      <c r="B16" s="7" t="s">
        <v>410</v>
      </c>
      <c r="C16" s="7" t="s">
        <v>144</v>
      </c>
      <c r="D16" s="16"/>
      <c r="E16" s="16"/>
      <c r="F16" s="16"/>
      <c r="G16" s="16"/>
      <c r="H16" s="16"/>
      <c r="I16" s="16"/>
      <c r="J16" s="11">
        <v>1E-3</v>
      </c>
      <c r="K16" s="7">
        <f t="shared" si="0"/>
        <v>0</v>
      </c>
      <c r="L16" s="7">
        <f>K16*L9</f>
        <v>0</v>
      </c>
      <c r="M16" s="7" t="s">
        <v>1654</v>
      </c>
    </row>
    <row r="17" spans="1:13" ht="15.75" x14ac:dyDescent="0.25">
      <c r="A17" s="7">
        <v>4</v>
      </c>
      <c r="B17" s="7" t="s">
        <v>745</v>
      </c>
      <c r="C17" s="7" t="s">
        <v>37</v>
      </c>
      <c r="D17" s="16"/>
      <c r="E17" s="16"/>
      <c r="F17" s="16"/>
      <c r="G17" s="16"/>
      <c r="H17" s="16"/>
      <c r="I17" s="16"/>
      <c r="J17" s="16"/>
      <c r="K17" s="7">
        <f t="shared" si="0"/>
        <v>0</v>
      </c>
      <c r="L17" s="7">
        <f>K17*L9</f>
        <v>0</v>
      </c>
      <c r="M17" s="7" t="s">
        <v>1654</v>
      </c>
    </row>
    <row r="18" spans="1:13" ht="15.75" x14ac:dyDescent="0.25">
      <c r="A18" s="423">
        <v>5</v>
      </c>
      <c r="B18" s="423" t="s">
        <v>306</v>
      </c>
      <c r="C18" s="423" t="s">
        <v>84</v>
      </c>
      <c r="D18" s="16"/>
      <c r="E18" s="16"/>
      <c r="F18" s="16"/>
      <c r="G18" s="16"/>
      <c r="H18" s="16"/>
      <c r="I18" s="16"/>
      <c r="J18" s="16"/>
      <c r="K18" s="7">
        <f t="shared" si="0"/>
        <v>0</v>
      </c>
      <c r="L18" s="7">
        <f>K18*L9</f>
        <v>0</v>
      </c>
      <c r="M18" s="7" t="s">
        <v>1655</v>
      </c>
    </row>
    <row r="19" spans="1:13" ht="15.75" x14ac:dyDescent="0.25">
      <c r="A19" s="423"/>
      <c r="B19" s="423"/>
      <c r="C19" s="423"/>
      <c r="D19" s="16"/>
      <c r="E19" s="16"/>
      <c r="F19" s="16"/>
      <c r="G19" s="16"/>
      <c r="H19" s="16"/>
      <c r="I19" s="16"/>
      <c r="J19" s="16"/>
      <c r="K19" s="7">
        <f t="shared" si="0"/>
        <v>0</v>
      </c>
      <c r="L19" s="7">
        <f>K19*L9</f>
        <v>0</v>
      </c>
      <c r="M19" s="7" t="s">
        <v>1654</v>
      </c>
    </row>
    <row r="20" spans="1:13" ht="15.75" x14ac:dyDescent="0.25">
      <c r="A20" s="7">
        <v>6</v>
      </c>
      <c r="B20" s="7" t="s">
        <v>481</v>
      </c>
      <c r="C20" s="7" t="s">
        <v>438</v>
      </c>
      <c r="D20" s="16"/>
      <c r="E20" s="16"/>
      <c r="F20" s="16"/>
      <c r="G20" s="16"/>
      <c r="H20" s="16"/>
      <c r="I20" s="16"/>
      <c r="J20" s="16"/>
      <c r="K20" s="7">
        <f t="shared" si="0"/>
        <v>0</v>
      </c>
      <c r="L20" s="7">
        <f>K20*L9</f>
        <v>0</v>
      </c>
      <c r="M20" s="7" t="s">
        <v>1654</v>
      </c>
    </row>
    <row r="21" spans="1:13" ht="15.75" x14ac:dyDescent="0.25">
      <c r="A21" s="7">
        <v>7</v>
      </c>
      <c r="B21" s="7" t="s">
        <v>474</v>
      </c>
      <c r="C21" s="7" t="s">
        <v>35</v>
      </c>
      <c r="D21" s="16"/>
      <c r="E21" s="16"/>
      <c r="F21" s="16"/>
      <c r="G21" s="16"/>
      <c r="H21" s="16"/>
      <c r="I21" s="16"/>
      <c r="J21" s="11">
        <v>1</v>
      </c>
      <c r="K21" s="7">
        <f t="shared" si="0"/>
        <v>0</v>
      </c>
      <c r="L21" s="7">
        <f>K21*L9</f>
        <v>0</v>
      </c>
      <c r="M21" s="7" t="s">
        <v>1654</v>
      </c>
    </row>
    <row r="22" spans="1:13" ht="15.75" x14ac:dyDescent="0.25">
      <c r="A22" s="7">
        <v>8</v>
      </c>
      <c r="B22" s="7" t="s">
        <v>464</v>
      </c>
      <c r="C22" s="7" t="s">
        <v>144</v>
      </c>
      <c r="D22" s="16"/>
      <c r="E22" s="16"/>
      <c r="F22" s="16"/>
      <c r="G22" s="16"/>
      <c r="H22" s="16"/>
      <c r="I22" s="16"/>
      <c r="J22" s="11">
        <v>1E-3</v>
      </c>
      <c r="K22" s="7">
        <f t="shared" si="0"/>
        <v>0</v>
      </c>
      <c r="L22" s="7">
        <f>K22*L9</f>
        <v>0</v>
      </c>
      <c r="M22" s="7" t="s">
        <v>1654</v>
      </c>
    </row>
    <row r="23" spans="1:13" ht="15.75" x14ac:dyDescent="0.25">
      <c r="A23" s="7">
        <v>9</v>
      </c>
      <c r="B23" s="7" t="s">
        <v>612</v>
      </c>
      <c r="C23" s="7" t="s">
        <v>144</v>
      </c>
      <c r="D23" s="16"/>
      <c r="E23" s="16"/>
      <c r="F23" s="16"/>
      <c r="G23" s="16"/>
      <c r="H23" s="16"/>
      <c r="I23" s="16"/>
      <c r="J23" s="11">
        <v>1E-3</v>
      </c>
      <c r="K23" s="7">
        <f t="shared" si="0"/>
        <v>0</v>
      </c>
      <c r="L23" s="7">
        <f>K23*L9</f>
        <v>0</v>
      </c>
      <c r="M23" s="7" t="s">
        <v>1654</v>
      </c>
    </row>
    <row r="24" spans="1:13" ht="15.75" x14ac:dyDescent="0.25">
      <c r="A24" s="7">
        <v>10</v>
      </c>
      <c r="B24" s="7" t="s">
        <v>36</v>
      </c>
      <c r="C24" s="7" t="s">
        <v>37</v>
      </c>
      <c r="D24" s="16"/>
      <c r="E24" s="16"/>
      <c r="F24" s="16"/>
      <c r="G24" s="16"/>
      <c r="H24" s="16"/>
      <c r="I24" s="16"/>
      <c r="J24" s="16"/>
      <c r="K24" s="7">
        <f t="shared" si="0"/>
        <v>0</v>
      </c>
      <c r="L24" s="7">
        <f>K24*L9</f>
        <v>0</v>
      </c>
      <c r="M24" s="7" t="s">
        <v>1654</v>
      </c>
    </row>
    <row r="25" spans="1:13" ht="15.75" x14ac:dyDescent="0.25">
      <c r="A25" s="7">
        <v>11</v>
      </c>
      <c r="B25" s="7" t="s">
        <v>297</v>
      </c>
      <c r="C25" s="7" t="s">
        <v>35</v>
      </c>
      <c r="D25" s="16"/>
      <c r="E25" s="16"/>
      <c r="F25" s="16"/>
      <c r="G25" s="16"/>
      <c r="H25" s="16"/>
      <c r="I25" s="16"/>
      <c r="J25" s="11">
        <v>1</v>
      </c>
      <c r="K25" s="7">
        <f t="shared" si="0"/>
        <v>0</v>
      </c>
      <c r="L25" s="7">
        <f>K25*L9</f>
        <v>0</v>
      </c>
      <c r="M25" s="7" t="s">
        <v>1654</v>
      </c>
    </row>
    <row r="26" spans="1:13" ht="15.75" x14ac:dyDescent="0.25">
      <c r="A26" s="7">
        <v>12</v>
      </c>
      <c r="B26" s="7" t="s">
        <v>293</v>
      </c>
      <c r="C26" s="7" t="s">
        <v>35</v>
      </c>
      <c r="D26" s="16"/>
      <c r="E26" s="16"/>
      <c r="F26" s="16"/>
      <c r="G26" s="16"/>
      <c r="H26" s="16"/>
      <c r="I26" s="16"/>
      <c r="J26" s="11">
        <v>1</v>
      </c>
      <c r="K26" s="7">
        <f t="shared" si="0"/>
        <v>0</v>
      </c>
      <c r="L26" s="7">
        <f>K26*L9</f>
        <v>0</v>
      </c>
      <c r="M26" s="7" t="s">
        <v>1654</v>
      </c>
    </row>
    <row r="27" spans="1:13" ht="15.75" x14ac:dyDescent="0.25">
      <c r="A27" s="7">
        <v>13</v>
      </c>
      <c r="B27" s="7" t="s">
        <v>1156</v>
      </c>
      <c r="C27" s="7" t="s">
        <v>35</v>
      </c>
      <c r="D27" s="16"/>
      <c r="E27" s="16"/>
      <c r="F27" s="16"/>
      <c r="G27" s="16"/>
      <c r="H27" s="16"/>
      <c r="I27" s="16"/>
      <c r="J27" s="11">
        <v>1</v>
      </c>
      <c r="K27" s="7">
        <f t="shared" si="0"/>
        <v>0</v>
      </c>
      <c r="L27" s="7">
        <f>K27*L9</f>
        <v>0</v>
      </c>
      <c r="M27" s="7" t="s">
        <v>1654</v>
      </c>
    </row>
    <row r="28" spans="1:13" ht="15.75" x14ac:dyDescent="0.25">
      <c r="A28" s="7">
        <v>14</v>
      </c>
      <c r="B28" s="7" t="s">
        <v>173</v>
      </c>
      <c r="C28" s="7" t="s">
        <v>84</v>
      </c>
      <c r="D28" s="16"/>
      <c r="E28" s="16"/>
      <c r="F28" s="16"/>
      <c r="G28" s="16"/>
      <c r="H28" s="16"/>
      <c r="I28" s="16"/>
      <c r="J28" s="16"/>
      <c r="K28" s="7">
        <f t="shared" si="0"/>
        <v>0</v>
      </c>
      <c r="L28" s="7">
        <f>K28*L9</f>
        <v>0</v>
      </c>
      <c r="M28" s="7" t="s">
        <v>1654</v>
      </c>
    </row>
    <row r="29" spans="1:13" ht="15.75" x14ac:dyDescent="0.25">
      <c r="A29" s="7">
        <v>15</v>
      </c>
      <c r="B29" s="7" t="s">
        <v>451</v>
      </c>
      <c r="C29" s="7" t="s">
        <v>49</v>
      </c>
      <c r="D29" s="16"/>
      <c r="E29" s="16"/>
      <c r="F29" s="16"/>
      <c r="G29" s="16"/>
      <c r="H29" s="16"/>
      <c r="I29" s="16"/>
      <c r="J29" s="16"/>
      <c r="K29" s="7">
        <f t="shared" si="0"/>
        <v>0</v>
      </c>
      <c r="L29" s="7">
        <f>K29*L9</f>
        <v>0</v>
      </c>
      <c r="M29" s="7" t="s">
        <v>1654</v>
      </c>
    </row>
    <row r="30" spans="1:13" ht="15.75" x14ac:dyDescent="0.25">
      <c r="A30" s="7">
        <v>16</v>
      </c>
      <c r="B30" s="7" t="s">
        <v>1020</v>
      </c>
      <c r="C30" s="7" t="s">
        <v>49</v>
      </c>
      <c r="D30" s="16"/>
      <c r="E30" s="16"/>
      <c r="F30" s="16"/>
      <c r="G30" s="16"/>
      <c r="H30" s="16"/>
      <c r="I30" s="16"/>
      <c r="J30" s="16"/>
      <c r="K30" s="7">
        <f t="shared" si="0"/>
        <v>0</v>
      </c>
      <c r="L30" s="7">
        <f>K30*L9</f>
        <v>0</v>
      </c>
      <c r="M30" s="7" t="s">
        <v>1654</v>
      </c>
    </row>
    <row r="31" spans="1:13" ht="15.75" x14ac:dyDescent="0.25">
      <c r="A31" s="7">
        <v>17</v>
      </c>
      <c r="B31" s="7" t="s">
        <v>217</v>
      </c>
      <c r="C31" s="7" t="s">
        <v>84</v>
      </c>
      <c r="D31" s="16"/>
      <c r="E31" s="16"/>
      <c r="F31" s="16"/>
      <c r="G31" s="16"/>
      <c r="H31" s="16"/>
      <c r="I31" s="16"/>
      <c r="J31" s="16"/>
      <c r="K31" s="7">
        <f t="shared" si="0"/>
        <v>0</v>
      </c>
      <c r="L31" s="7">
        <f>K31*L9</f>
        <v>0</v>
      </c>
      <c r="M31" s="7" t="s">
        <v>1654</v>
      </c>
    </row>
    <row r="32" spans="1:13" ht="15.75" x14ac:dyDescent="0.25">
      <c r="A32" s="7">
        <v>18</v>
      </c>
      <c r="B32" s="7" t="s">
        <v>522</v>
      </c>
      <c r="C32" s="7" t="s">
        <v>106</v>
      </c>
      <c r="D32" s="16"/>
      <c r="E32" s="16"/>
      <c r="F32" s="16"/>
      <c r="G32" s="16"/>
      <c r="H32" s="16"/>
      <c r="I32" s="16"/>
      <c r="J32" s="16"/>
      <c r="K32" s="7">
        <f t="shared" si="0"/>
        <v>0</v>
      </c>
      <c r="L32" s="7">
        <f>K32*L9</f>
        <v>0</v>
      </c>
      <c r="M32" s="7" t="s">
        <v>1654</v>
      </c>
    </row>
    <row r="33" spans="1:13" ht="15.75" x14ac:dyDescent="0.25">
      <c r="A33" s="7">
        <v>19</v>
      </c>
      <c r="B33" s="7" t="s">
        <v>85</v>
      </c>
      <c r="C33" s="7" t="s">
        <v>35</v>
      </c>
      <c r="D33" s="16"/>
      <c r="E33" s="16"/>
      <c r="F33" s="16"/>
      <c r="G33" s="16"/>
      <c r="H33" s="16"/>
      <c r="I33" s="16"/>
      <c r="J33" s="11">
        <v>1</v>
      </c>
      <c r="K33" s="7">
        <f t="shared" si="0"/>
        <v>0</v>
      </c>
      <c r="L33" s="7">
        <f>K33*L9</f>
        <v>0</v>
      </c>
      <c r="M33" s="7" t="s">
        <v>1654</v>
      </c>
    </row>
    <row r="34" spans="1:13" ht="15.75" x14ac:dyDescent="0.25">
      <c r="A34" s="7">
        <v>20</v>
      </c>
      <c r="B34" s="7" t="s">
        <v>351</v>
      </c>
      <c r="C34" s="7" t="s">
        <v>84</v>
      </c>
      <c r="D34" s="16"/>
      <c r="E34" s="16"/>
      <c r="F34" s="16"/>
      <c r="G34" s="16"/>
      <c r="H34" s="16"/>
      <c r="I34" s="16"/>
      <c r="J34" s="16"/>
      <c r="K34" s="7">
        <f t="shared" si="0"/>
        <v>0</v>
      </c>
      <c r="L34" s="7">
        <f>K34*L9</f>
        <v>0</v>
      </c>
      <c r="M34" s="7" t="s">
        <v>1654</v>
      </c>
    </row>
    <row r="35" spans="1:13" ht="15.75" x14ac:dyDescent="0.25">
      <c r="A35" s="7">
        <v>21</v>
      </c>
      <c r="B35" s="7" t="s">
        <v>653</v>
      </c>
      <c r="C35" s="7" t="s">
        <v>106</v>
      </c>
      <c r="D35" s="16"/>
      <c r="E35" s="16"/>
      <c r="F35" s="16"/>
      <c r="G35" s="16"/>
      <c r="H35" s="16"/>
      <c r="I35" s="16"/>
      <c r="J35" s="16"/>
      <c r="K35" s="7">
        <f t="shared" si="0"/>
        <v>0</v>
      </c>
      <c r="L35" s="7">
        <f>K35*L9</f>
        <v>0</v>
      </c>
      <c r="M35" s="7" t="s">
        <v>1654</v>
      </c>
    </row>
    <row r="36" spans="1:13" ht="15.75" x14ac:dyDescent="0.25">
      <c r="A36" s="7">
        <v>22</v>
      </c>
      <c r="B36" s="7" t="s">
        <v>821</v>
      </c>
      <c r="C36" s="7" t="s">
        <v>106</v>
      </c>
      <c r="D36" s="16"/>
      <c r="E36" s="16"/>
      <c r="F36" s="16"/>
      <c r="G36" s="16"/>
      <c r="H36" s="16"/>
      <c r="I36" s="16"/>
      <c r="J36" s="16"/>
      <c r="K36" s="7">
        <f t="shared" si="0"/>
        <v>0</v>
      </c>
      <c r="L36" s="7">
        <f>K36*L9</f>
        <v>0</v>
      </c>
      <c r="M36" s="7" t="s">
        <v>1654</v>
      </c>
    </row>
    <row r="37" spans="1:13" ht="15.75" x14ac:dyDescent="0.25">
      <c r="A37" s="7">
        <v>23</v>
      </c>
      <c r="B37" s="7" t="s">
        <v>1253</v>
      </c>
      <c r="C37" s="7" t="s">
        <v>438</v>
      </c>
      <c r="D37" s="16"/>
      <c r="E37" s="16"/>
      <c r="F37" s="16"/>
      <c r="G37" s="16"/>
      <c r="H37" s="16"/>
      <c r="I37" s="16"/>
      <c r="J37" s="16"/>
      <c r="K37" s="7">
        <f t="shared" si="0"/>
        <v>0</v>
      </c>
      <c r="L37" s="7">
        <f>K37*L9</f>
        <v>0</v>
      </c>
      <c r="M37" s="7" t="s">
        <v>1654</v>
      </c>
    </row>
    <row r="38" spans="1:13" ht="15.75" x14ac:dyDescent="0.25">
      <c r="A38" s="7">
        <v>24</v>
      </c>
      <c r="B38" s="7" t="s">
        <v>1250</v>
      </c>
      <c r="C38" s="7" t="s">
        <v>144</v>
      </c>
      <c r="D38" s="16"/>
      <c r="E38" s="16"/>
      <c r="F38" s="16"/>
      <c r="G38" s="16"/>
      <c r="H38" s="16"/>
      <c r="I38" s="16"/>
      <c r="J38" s="11">
        <v>1E-3</v>
      </c>
      <c r="K38" s="7">
        <f t="shared" si="0"/>
        <v>0</v>
      </c>
      <c r="L38" s="7">
        <f>K38*L9</f>
        <v>0</v>
      </c>
      <c r="M38" s="7" t="s">
        <v>1654</v>
      </c>
    </row>
    <row r="39" spans="1:13" ht="15.75" x14ac:dyDescent="0.25">
      <c r="A39" s="7">
        <v>25</v>
      </c>
      <c r="B39" s="7" t="s">
        <v>1242</v>
      </c>
      <c r="C39" s="7" t="s">
        <v>37</v>
      </c>
      <c r="D39" s="16"/>
      <c r="E39" s="16"/>
      <c r="F39" s="16"/>
      <c r="G39" s="16"/>
      <c r="H39" s="16"/>
      <c r="I39" s="16"/>
      <c r="J39" s="16"/>
      <c r="K39" s="7">
        <f t="shared" si="0"/>
        <v>0</v>
      </c>
      <c r="L39" s="7">
        <f>K39*L9</f>
        <v>0</v>
      </c>
      <c r="M39" s="7" t="s">
        <v>1654</v>
      </c>
    </row>
    <row r="40" spans="1:13" ht="15.75" x14ac:dyDescent="0.25">
      <c r="A40" s="423">
        <v>26</v>
      </c>
      <c r="B40" s="423" t="s">
        <v>147</v>
      </c>
      <c r="C40" s="423" t="s">
        <v>84</v>
      </c>
      <c r="D40" s="16"/>
      <c r="E40" s="16"/>
      <c r="F40" s="16"/>
      <c r="G40" s="16"/>
      <c r="H40" s="16"/>
      <c r="I40" s="16"/>
      <c r="J40" s="16"/>
      <c r="K40" s="7">
        <f t="shared" si="0"/>
        <v>0</v>
      </c>
      <c r="L40" s="7">
        <f>K40*L9</f>
        <v>0</v>
      </c>
      <c r="M40" s="7" t="s">
        <v>1655</v>
      </c>
    </row>
    <row r="41" spans="1:13" ht="15.75" x14ac:dyDescent="0.25">
      <c r="A41" s="423"/>
      <c r="B41" s="423"/>
      <c r="C41" s="423"/>
      <c r="D41" s="16"/>
      <c r="E41" s="16"/>
      <c r="F41" s="16"/>
      <c r="G41" s="16"/>
      <c r="H41" s="16"/>
      <c r="I41" s="16"/>
      <c r="J41" s="16"/>
      <c r="K41" s="7">
        <f t="shared" si="0"/>
        <v>0</v>
      </c>
      <c r="L41" s="7">
        <f>K41*L9</f>
        <v>0</v>
      </c>
      <c r="M41" s="7" t="s">
        <v>1654</v>
      </c>
    </row>
    <row r="42" spans="1:13" ht="15.75" x14ac:dyDescent="0.25">
      <c r="A42" s="423">
        <v>27</v>
      </c>
      <c r="B42" s="423" t="s">
        <v>446</v>
      </c>
      <c r="C42" s="423" t="s">
        <v>84</v>
      </c>
      <c r="D42" s="16"/>
      <c r="E42" s="16"/>
      <c r="F42" s="16"/>
      <c r="G42" s="16"/>
      <c r="H42" s="16"/>
      <c r="I42" s="16"/>
      <c r="J42" s="16"/>
      <c r="K42" s="7">
        <f t="shared" si="0"/>
        <v>0</v>
      </c>
      <c r="L42" s="7">
        <f>K42*L9</f>
        <v>0</v>
      </c>
      <c r="M42" s="7" t="s">
        <v>1655</v>
      </c>
    </row>
    <row r="43" spans="1:13" ht="15.75" x14ac:dyDescent="0.25">
      <c r="A43" s="423"/>
      <c r="B43" s="423"/>
      <c r="C43" s="423"/>
      <c r="D43" s="16"/>
      <c r="E43" s="16"/>
      <c r="F43" s="16"/>
      <c r="G43" s="16"/>
      <c r="H43" s="16"/>
      <c r="I43" s="16"/>
      <c r="J43" s="16"/>
      <c r="K43" s="7">
        <f t="shared" si="0"/>
        <v>0</v>
      </c>
      <c r="L43" s="7">
        <f>K43*L9</f>
        <v>0</v>
      </c>
      <c r="M43" s="7" t="s">
        <v>1654</v>
      </c>
    </row>
    <row r="44" spans="1:13" ht="15.75" x14ac:dyDescent="0.25">
      <c r="A44" s="423">
        <v>28</v>
      </c>
      <c r="B44" s="423" t="s">
        <v>367</v>
      </c>
      <c r="C44" s="423" t="s">
        <v>84</v>
      </c>
      <c r="D44" s="16"/>
      <c r="E44" s="16"/>
      <c r="F44" s="16"/>
      <c r="G44" s="16"/>
      <c r="H44" s="16"/>
      <c r="I44" s="16"/>
      <c r="J44" s="16"/>
      <c r="K44" s="7">
        <f t="shared" si="0"/>
        <v>0</v>
      </c>
      <c r="L44" s="7">
        <f>K44*L9</f>
        <v>0</v>
      </c>
      <c r="M44" s="7" t="s">
        <v>1655</v>
      </c>
    </row>
    <row r="45" spans="1:13" ht="15.75" x14ac:dyDescent="0.25">
      <c r="A45" s="423"/>
      <c r="B45" s="423"/>
      <c r="C45" s="423"/>
      <c r="D45" s="16"/>
      <c r="E45" s="16"/>
      <c r="F45" s="16"/>
      <c r="G45" s="16"/>
      <c r="H45" s="16"/>
      <c r="I45" s="16"/>
      <c r="J45" s="16"/>
      <c r="K45" s="7">
        <f t="shared" si="0"/>
        <v>0</v>
      </c>
      <c r="L45" s="7">
        <f>K45*L9</f>
        <v>0</v>
      </c>
      <c r="M45" s="7" t="s">
        <v>1654</v>
      </c>
    </row>
    <row r="46" spans="1:13" ht="15.75" x14ac:dyDescent="0.25">
      <c r="A46" s="7">
        <v>29</v>
      </c>
      <c r="B46" s="7" t="s">
        <v>287</v>
      </c>
      <c r="C46" s="7" t="s">
        <v>35</v>
      </c>
      <c r="D46" s="16"/>
      <c r="E46" s="16"/>
      <c r="F46" s="16"/>
      <c r="G46" s="16"/>
      <c r="H46" s="16"/>
      <c r="I46" s="16"/>
      <c r="J46" s="11">
        <v>1</v>
      </c>
      <c r="K46" s="7">
        <f t="shared" ref="K46:K77" si="1">($D$10*D46+$E$10*E46+$F$10*F46+$G$10*G46+$H$10*H46+$I$10*I46)/8*J46</f>
        <v>0</v>
      </c>
      <c r="L46" s="7">
        <f>K46*L9</f>
        <v>0</v>
      </c>
      <c r="M46" s="7" t="s">
        <v>1654</v>
      </c>
    </row>
    <row r="47" spans="1:13" ht="15.75" x14ac:dyDescent="0.25">
      <c r="A47" s="7">
        <v>30</v>
      </c>
      <c r="B47" s="7" t="s">
        <v>1656</v>
      </c>
      <c r="C47" s="7" t="s">
        <v>1376</v>
      </c>
      <c r="D47" s="16"/>
      <c r="E47" s="16"/>
      <c r="F47" s="16"/>
      <c r="G47" s="16"/>
      <c r="H47" s="16"/>
      <c r="I47" s="16"/>
      <c r="J47" s="16"/>
      <c r="K47" s="7">
        <f t="shared" si="1"/>
        <v>0</v>
      </c>
      <c r="L47" s="7">
        <f>K47*L9</f>
        <v>0</v>
      </c>
      <c r="M47" s="7" t="s">
        <v>1654</v>
      </c>
    </row>
    <row r="48" spans="1:13" ht="110.25" x14ac:dyDescent="0.25">
      <c r="A48" s="7">
        <v>31</v>
      </c>
      <c r="B48" s="7" t="s">
        <v>707</v>
      </c>
      <c r="C48" s="7" t="s">
        <v>49</v>
      </c>
      <c r="D48" s="16"/>
      <c r="E48" s="16"/>
      <c r="F48" s="16"/>
      <c r="G48" s="16"/>
      <c r="H48" s="16"/>
      <c r="I48" s="16"/>
      <c r="J48" s="16"/>
      <c r="K48" s="7">
        <f t="shared" si="1"/>
        <v>0</v>
      </c>
      <c r="L48" s="7">
        <f>K48*L9</f>
        <v>0</v>
      </c>
      <c r="M48" s="7" t="s">
        <v>1654</v>
      </c>
    </row>
    <row r="49" spans="1:13" ht="15.75" x14ac:dyDescent="0.25">
      <c r="A49" s="7">
        <v>32</v>
      </c>
      <c r="B49" s="7" t="s">
        <v>145</v>
      </c>
      <c r="C49" s="7" t="s">
        <v>106</v>
      </c>
      <c r="D49" s="16"/>
      <c r="E49" s="16"/>
      <c r="F49" s="16"/>
      <c r="G49" s="16"/>
      <c r="H49" s="16"/>
      <c r="I49" s="16"/>
      <c r="J49" s="16"/>
      <c r="K49" s="7">
        <f t="shared" si="1"/>
        <v>0</v>
      </c>
      <c r="L49" s="7">
        <f>K49*L9</f>
        <v>0</v>
      </c>
      <c r="M49" s="7" t="s">
        <v>1654</v>
      </c>
    </row>
    <row r="50" spans="1:13" ht="15.75" x14ac:dyDescent="0.25">
      <c r="A50" s="7">
        <v>33</v>
      </c>
      <c r="B50" s="7" t="s">
        <v>1657</v>
      </c>
      <c r="C50" s="7" t="s">
        <v>1658</v>
      </c>
      <c r="D50" s="16"/>
      <c r="E50" s="16"/>
      <c r="F50" s="16"/>
      <c r="G50" s="16"/>
      <c r="H50" s="16"/>
      <c r="I50" s="16"/>
      <c r="J50" s="16"/>
      <c r="K50" s="7">
        <f t="shared" si="1"/>
        <v>0</v>
      </c>
      <c r="L50" s="7">
        <f>K50*L9</f>
        <v>0</v>
      </c>
      <c r="M50" s="7" t="s">
        <v>1654</v>
      </c>
    </row>
    <row r="51" spans="1:13" ht="15.75" x14ac:dyDescent="0.25">
      <c r="A51" s="7">
        <v>34</v>
      </c>
      <c r="B51" s="7" t="s">
        <v>1096</v>
      </c>
      <c r="C51" s="7" t="s">
        <v>144</v>
      </c>
      <c r="D51" s="16"/>
      <c r="E51" s="16"/>
      <c r="F51" s="16"/>
      <c r="G51" s="16"/>
      <c r="H51" s="16"/>
      <c r="I51" s="16"/>
      <c r="J51" s="11">
        <v>1E-3</v>
      </c>
      <c r="K51" s="7">
        <f t="shared" si="1"/>
        <v>0</v>
      </c>
      <c r="L51" s="7">
        <f>K51*L9</f>
        <v>0</v>
      </c>
      <c r="M51" s="7" t="s">
        <v>1654</v>
      </c>
    </row>
    <row r="52" spans="1:13" ht="31.5" x14ac:dyDescent="0.25">
      <c r="A52" s="7">
        <v>35</v>
      </c>
      <c r="B52" s="7" t="s">
        <v>1132</v>
      </c>
      <c r="C52" s="7" t="s">
        <v>1133</v>
      </c>
      <c r="D52" s="16"/>
      <c r="E52" s="16"/>
      <c r="F52" s="16"/>
      <c r="G52" s="16"/>
      <c r="H52" s="16"/>
      <c r="I52" s="16"/>
      <c r="J52" s="16"/>
      <c r="K52" s="7">
        <f t="shared" si="1"/>
        <v>0</v>
      </c>
      <c r="L52" s="7">
        <f>K52*L9</f>
        <v>0</v>
      </c>
      <c r="M52" s="7" t="s">
        <v>1654</v>
      </c>
    </row>
    <row r="53" spans="1:13" ht="47.25" x14ac:dyDescent="0.25">
      <c r="A53" s="7">
        <v>36</v>
      </c>
      <c r="B53" s="7" t="s">
        <v>1097</v>
      </c>
      <c r="C53" s="7" t="s">
        <v>75</v>
      </c>
      <c r="D53" s="16"/>
      <c r="E53" s="16"/>
      <c r="F53" s="16"/>
      <c r="G53" s="16"/>
      <c r="H53" s="16"/>
      <c r="I53" s="16"/>
      <c r="J53" s="16"/>
      <c r="K53" s="7">
        <f t="shared" si="1"/>
        <v>0</v>
      </c>
      <c r="L53" s="7">
        <f>K53*L9</f>
        <v>0</v>
      </c>
      <c r="M53" s="7" t="s">
        <v>1654</v>
      </c>
    </row>
    <row r="54" spans="1:13" ht="15.75" x14ac:dyDescent="0.25">
      <c r="A54" s="7">
        <v>37</v>
      </c>
      <c r="B54" s="7" t="s">
        <v>189</v>
      </c>
      <c r="C54" s="7" t="s">
        <v>84</v>
      </c>
      <c r="D54" s="16"/>
      <c r="E54" s="16"/>
      <c r="F54" s="16"/>
      <c r="G54" s="16"/>
      <c r="H54" s="16"/>
      <c r="I54" s="16"/>
      <c r="J54" s="16"/>
      <c r="K54" s="7">
        <f t="shared" si="1"/>
        <v>0</v>
      </c>
      <c r="L54" s="7">
        <f>K54*L9</f>
        <v>0</v>
      </c>
      <c r="M54" s="7" t="s">
        <v>1654</v>
      </c>
    </row>
    <row r="55" spans="1:13" ht="15.75" x14ac:dyDescent="0.25">
      <c r="A55" s="7">
        <v>38</v>
      </c>
      <c r="B55" s="7" t="s">
        <v>146</v>
      </c>
      <c r="C55" s="7" t="s">
        <v>75</v>
      </c>
      <c r="D55" s="16"/>
      <c r="E55" s="16"/>
      <c r="F55" s="16"/>
      <c r="G55" s="16"/>
      <c r="H55" s="16"/>
      <c r="I55" s="16"/>
      <c r="J55" s="16"/>
      <c r="K55" s="7">
        <f t="shared" si="1"/>
        <v>0</v>
      </c>
      <c r="L55" s="7">
        <f>K55*L9</f>
        <v>0</v>
      </c>
      <c r="M55" s="7" t="s">
        <v>1654</v>
      </c>
    </row>
    <row r="56" spans="1:13" ht="15.75" x14ac:dyDescent="0.25">
      <c r="A56" s="7">
        <v>39</v>
      </c>
      <c r="B56" s="7" t="s">
        <v>1244</v>
      </c>
      <c r="C56" s="7" t="s">
        <v>49</v>
      </c>
      <c r="D56" s="16"/>
      <c r="E56" s="16"/>
      <c r="F56" s="16"/>
      <c r="G56" s="16"/>
      <c r="H56" s="16"/>
      <c r="I56" s="16"/>
      <c r="J56" s="16"/>
      <c r="K56" s="7">
        <f t="shared" si="1"/>
        <v>0</v>
      </c>
      <c r="L56" s="7">
        <f>K56*L9</f>
        <v>0</v>
      </c>
      <c r="M56" s="7" t="s">
        <v>1654</v>
      </c>
    </row>
    <row r="57" spans="1:13" ht="15.75" x14ac:dyDescent="0.25">
      <c r="A57" s="7">
        <v>40</v>
      </c>
      <c r="B57" s="7" t="s">
        <v>1243</v>
      </c>
      <c r="C57" s="7" t="s">
        <v>75</v>
      </c>
      <c r="D57" s="16"/>
      <c r="E57" s="16"/>
      <c r="F57" s="16"/>
      <c r="G57" s="16"/>
      <c r="H57" s="16"/>
      <c r="I57" s="16"/>
      <c r="J57" s="16"/>
      <c r="K57" s="7">
        <f t="shared" si="1"/>
        <v>0</v>
      </c>
      <c r="L57" s="7">
        <f>K57*L9</f>
        <v>0</v>
      </c>
      <c r="M57" s="7" t="s">
        <v>1654</v>
      </c>
    </row>
    <row r="58" spans="1:13" ht="31.5" x14ac:dyDescent="0.25">
      <c r="A58" s="7">
        <v>41</v>
      </c>
      <c r="B58" s="7" t="s">
        <v>720</v>
      </c>
      <c r="C58" s="7" t="s">
        <v>144</v>
      </c>
      <c r="D58" s="16"/>
      <c r="E58" s="16"/>
      <c r="F58" s="16"/>
      <c r="G58" s="16"/>
      <c r="H58" s="16"/>
      <c r="I58" s="16"/>
      <c r="J58" s="11">
        <v>1E-3</v>
      </c>
      <c r="K58" s="7">
        <f t="shared" si="1"/>
        <v>0</v>
      </c>
      <c r="L58" s="7">
        <f>K58*L9</f>
        <v>0</v>
      </c>
      <c r="M58" s="7" t="s">
        <v>1654</v>
      </c>
    </row>
    <row r="59" spans="1:13" ht="15.75" x14ac:dyDescent="0.25">
      <c r="A59" s="7">
        <v>42</v>
      </c>
      <c r="B59" s="7" t="s">
        <v>1245</v>
      </c>
      <c r="C59" s="7" t="s">
        <v>49</v>
      </c>
      <c r="D59" s="16"/>
      <c r="E59" s="16"/>
      <c r="F59" s="16"/>
      <c r="G59" s="16"/>
      <c r="H59" s="16"/>
      <c r="I59" s="16"/>
      <c r="J59" s="16"/>
      <c r="K59" s="7">
        <f t="shared" si="1"/>
        <v>0</v>
      </c>
      <c r="L59" s="7">
        <f>K59*L9</f>
        <v>0</v>
      </c>
      <c r="M59" s="7" t="s">
        <v>1654</v>
      </c>
    </row>
    <row r="60" spans="1:13" ht="15.75" x14ac:dyDescent="0.25">
      <c r="A60" s="7">
        <v>43</v>
      </c>
      <c r="B60" s="7" t="s">
        <v>143</v>
      </c>
      <c r="C60" s="7" t="s">
        <v>144</v>
      </c>
      <c r="D60" s="16"/>
      <c r="E60" s="16"/>
      <c r="F60" s="16"/>
      <c r="G60" s="16"/>
      <c r="H60" s="16"/>
      <c r="I60" s="16"/>
      <c r="J60" s="11">
        <v>1E-3</v>
      </c>
      <c r="K60" s="7">
        <f t="shared" si="1"/>
        <v>0</v>
      </c>
      <c r="L60" s="7">
        <f>K60*L9</f>
        <v>0</v>
      </c>
      <c r="M60" s="7" t="s">
        <v>1654</v>
      </c>
    </row>
    <row r="61" spans="1:13" ht="15.75" x14ac:dyDescent="0.25">
      <c r="A61" s="7">
        <v>44</v>
      </c>
      <c r="B61" s="7" t="s">
        <v>995</v>
      </c>
      <c r="C61" s="7" t="s">
        <v>438</v>
      </c>
      <c r="D61" s="16"/>
      <c r="E61" s="16"/>
      <c r="F61" s="16"/>
      <c r="G61" s="16"/>
      <c r="H61" s="16"/>
      <c r="I61" s="16"/>
      <c r="J61" s="16"/>
      <c r="K61" s="7">
        <f t="shared" si="1"/>
        <v>0</v>
      </c>
      <c r="L61" s="7">
        <f>K61*L9</f>
        <v>0</v>
      </c>
      <c r="M61" s="7" t="s">
        <v>1654</v>
      </c>
    </row>
    <row r="62" spans="1:13" ht="15.75" x14ac:dyDescent="0.25">
      <c r="A62" s="7">
        <v>45</v>
      </c>
      <c r="B62" s="7" t="s">
        <v>182</v>
      </c>
      <c r="C62" s="7" t="s">
        <v>84</v>
      </c>
      <c r="D62" s="16"/>
      <c r="E62" s="16"/>
      <c r="F62" s="16"/>
      <c r="G62" s="16"/>
      <c r="H62" s="16"/>
      <c r="I62" s="16"/>
      <c r="J62" s="16"/>
      <c r="K62" s="7">
        <f t="shared" si="1"/>
        <v>0</v>
      </c>
      <c r="L62" s="7">
        <f>K62*L9</f>
        <v>0</v>
      </c>
      <c r="M62" s="7" t="s">
        <v>1654</v>
      </c>
    </row>
    <row r="63" spans="1:13" ht="15.75" x14ac:dyDescent="0.25">
      <c r="A63" s="7">
        <v>46</v>
      </c>
      <c r="B63" s="7" t="s">
        <v>74</v>
      </c>
      <c r="C63" s="7" t="s">
        <v>75</v>
      </c>
      <c r="D63" s="16"/>
      <c r="E63" s="16"/>
      <c r="F63" s="16"/>
      <c r="G63" s="16"/>
      <c r="H63" s="16"/>
      <c r="I63" s="16"/>
      <c r="J63" s="16"/>
      <c r="K63" s="7">
        <f t="shared" si="1"/>
        <v>0</v>
      </c>
      <c r="L63" s="7">
        <f>K63*L9</f>
        <v>0</v>
      </c>
      <c r="M63" s="7" t="s">
        <v>1654</v>
      </c>
    </row>
    <row r="64" spans="1:13" ht="15.75" x14ac:dyDescent="0.25">
      <c r="A64" s="7">
        <v>47</v>
      </c>
      <c r="B64" s="7" t="s">
        <v>819</v>
      </c>
      <c r="C64" s="7" t="s">
        <v>75</v>
      </c>
      <c r="D64" s="16"/>
      <c r="E64" s="16"/>
      <c r="F64" s="16"/>
      <c r="G64" s="16"/>
      <c r="H64" s="16"/>
      <c r="I64" s="16"/>
      <c r="J64" s="16"/>
      <c r="K64" s="7">
        <f t="shared" si="1"/>
        <v>0</v>
      </c>
      <c r="L64" s="7">
        <f>K64*L9</f>
        <v>0</v>
      </c>
      <c r="M64" s="7" t="s">
        <v>1654</v>
      </c>
    </row>
    <row r="65" spans="1:13" ht="15.75" x14ac:dyDescent="0.25">
      <c r="A65" s="7">
        <v>48</v>
      </c>
      <c r="B65" s="7" t="s">
        <v>34</v>
      </c>
      <c r="C65" s="7" t="s">
        <v>35</v>
      </c>
      <c r="D65" s="16"/>
      <c r="E65" s="16"/>
      <c r="F65" s="16"/>
      <c r="G65" s="16"/>
      <c r="H65" s="16"/>
      <c r="I65" s="16"/>
      <c r="J65" s="11">
        <v>1</v>
      </c>
      <c r="K65" s="7">
        <f t="shared" si="1"/>
        <v>0</v>
      </c>
      <c r="L65" s="7">
        <f>K65*L9</f>
        <v>0</v>
      </c>
      <c r="M65" s="7" t="s">
        <v>1654</v>
      </c>
    </row>
    <row r="66" spans="1:13" ht="31.5" x14ac:dyDescent="0.25">
      <c r="A66" s="7">
        <v>49</v>
      </c>
      <c r="B66" s="7" t="s">
        <v>462</v>
      </c>
      <c r="C66" s="7" t="s">
        <v>463</v>
      </c>
      <c r="D66" s="16"/>
      <c r="E66" s="16"/>
      <c r="F66" s="16"/>
      <c r="G66" s="16"/>
      <c r="H66" s="16"/>
      <c r="I66" s="16"/>
      <c r="J66" s="16"/>
      <c r="K66" s="7">
        <f t="shared" si="1"/>
        <v>0</v>
      </c>
      <c r="L66" s="7">
        <f>K66*L9</f>
        <v>0</v>
      </c>
      <c r="M66" s="7" t="s">
        <v>1654</v>
      </c>
    </row>
    <row r="67" spans="1:13" ht="63" x14ac:dyDescent="0.25">
      <c r="A67" s="7">
        <v>50</v>
      </c>
      <c r="B67" s="7" t="s">
        <v>980</v>
      </c>
      <c r="C67" s="7" t="s">
        <v>438</v>
      </c>
      <c r="D67" s="16"/>
      <c r="E67" s="16"/>
      <c r="F67" s="16"/>
      <c r="G67" s="16"/>
      <c r="H67" s="16"/>
      <c r="I67" s="16"/>
      <c r="J67" s="16"/>
      <c r="K67" s="7">
        <f t="shared" si="1"/>
        <v>0</v>
      </c>
      <c r="L67" s="7">
        <f>K67*L9</f>
        <v>0</v>
      </c>
      <c r="M67" s="7" t="s">
        <v>1654</v>
      </c>
    </row>
    <row r="68" spans="1:13" ht="78.75" x14ac:dyDescent="0.25">
      <c r="A68" s="7">
        <v>51</v>
      </c>
      <c r="B68" s="7" t="s">
        <v>989</v>
      </c>
      <c r="C68" s="7" t="s">
        <v>438</v>
      </c>
      <c r="D68" s="16"/>
      <c r="E68" s="16"/>
      <c r="F68" s="16"/>
      <c r="G68" s="16"/>
      <c r="H68" s="16"/>
      <c r="I68" s="16"/>
      <c r="J68" s="16"/>
      <c r="K68" s="7">
        <f t="shared" si="1"/>
        <v>0</v>
      </c>
      <c r="L68" s="7">
        <f>K68*L9</f>
        <v>0</v>
      </c>
      <c r="M68" s="7" t="s">
        <v>1654</v>
      </c>
    </row>
    <row r="69" spans="1:13" ht="63" x14ac:dyDescent="0.25">
      <c r="A69" s="7">
        <v>52</v>
      </c>
      <c r="B69" s="7" t="s">
        <v>977</v>
      </c>
      <c r="C69" s="7" t="s">
        <v>438</v>
      </c>
      <c r="D69" s="16"/>
      <c r="E69" s="16"/>
      <c r="F69" s="16"/>
      <c r="G69" s="16"/>
      <c r="H69" s="16"/>
      <c r="I69" s="16"/>
      <c r="J69" s="16"/>
      <c r="K69" s="7">
        <f t="shared" si="1"/>
        <v>0</v>
      </c>
      <c r="L69" s="7">
        <f>K69*L9</f>
        <v>0</v>
      </c>
      <c r="M69" s="7" t="s">
        <v>1654</v>
      </c>
    </row>
    <row r="70" spans="1:13" ht="63" x14ac:dyDescent="0.25">
      <c r="A70" s="7">
        <v>53</v>
      </c>
      <c r="B70" s="7" t="s">
        <v>983</v>
      </c>
      <c r="C70" s="7" t="s">
        <v>438</v>
      </c>
      <c r="D70" s="16"/>
      <c r="E70" s="16"/>
      <c r="F70" s="16"/>
      <c r="G70" s="16"/>
      <c r="H70" s="16"/>
      <c r="I70" s="16"/>
      <c r="J70" s="16"/>
      <c r="K70" s="7">
        <f t="shared" si="1"/>
        <v>0</v>
      </c>
      <c r="L70" s="7">
        <f>K70*L9</f>
        <v>0</v>
      </c>
      <c r="M70" s="7" t="s">
        <v>1654</v>
      </c>
    </row>
    <row r="71" spans="1:13" ht="63" x14ac:dyDescent="0.25">
      <c r="A71" s="7">
        <v>54</v>
      </c>
      <c r="B71" s="7" t="s">
        <v>986</v>
      </c>
      <c r="C71" s="7" t="s">
        <v>438</v>
      </c>
      <c r="D71" s="16"/>
      <c r="E71" s="16"/>
      <c r="F71" s="16"/>
      <c r="G71" s="16"/>
      <c r="H71" s="16"/>
      <c r="I71" s="16"/>
      <c r="J71" s="16"/>
      <c r="K71" s="7">
        <f t="shared" si="1"/>
        <v>0</v>
      </c>
      <c r="L71" s="7">
        <f>K71*L9</f>
        <v>0</v>
      </c>
      <c r="M71" s="7" t="s">
        <v>1654</v>
      </c>
    </row>
    <row r="72" spans="1:13" ht="15.75" x14ac:dyDescent="0.25">
      <c r="A72" s="7">
        <v>55</v>
      </c>
      <c r="B72" s="7" t="s">
        <v>1134</v>
      </c>
      <c r="C72" s="7" t="s">
        <v>1133</v>
      </c>
      <c r="D72" s="16"/>
      <c r="E72" s="16"/>
      <c r="F72" s="16"/>
      <c r="G72" s="16"/>
      <c r="H72" s="16"/>
      <c r="I72" s="16"/>
      <c r="J72" s="16"/>
      <c r="K72" s="7">
        <f t="shared" si="1"/>
        <v>0</v>
      </c>
      <c r="L72" s="7">
        <f>K72*L9</f>
        <v>0</v>
      </c>
      <c r="M72" s="7" t="s">
        <v>1654</v>
      </c>
    </row>
    <row r="73" spans="1:13" ht="15.75" x14ac:dyDescent="0.25">
      <c r="A73" s="7">
        <v>56</v>
      </c>
      <c r="B73" s="7" t="s">
        <v>1135</v>
      </c>
      <c r="C73" s="7" t="s">
        <v>1133</v>
      </c>
      <c r="D73" s="16"/>
      <c r="E73" s="16"/>
      <c r="F73" s="16"/>
      <c r="G73" s="16"/>
      <c r="H73" s="16"/>
      <c r="I73" s="16"/>
      <c r="J73" s="16"/>
      <c r="K73" s="7">
        <f t="shared" si="1"/>
        <v>0</v>
      </c>
      <c r="L73" s="7">
        <f>K73*L9</f>
        <v>0</v>
      </c>
      <c r="M73" s="7" t="s">
        <v>1654</v>
      </c>
    </row>
    <row r="74" spans="1:13" ht="15.75" x14ac:dyDescent="0.25">
      <c r="A74" s="7">
        <v>57</v>
      </c>
      <c r="B74" s="7" t="s">
        <v>512</v>
      </c>
      <c r="C74" s="7" t="s">
        <v>488</v>
      </c>
      <c r="D74" s="16"/>
      <c r="E74" s="16"/>
      <c r="F74" s="16"/>
      <c r="G74" s="16"/>
      <c r="H74" s="16"/>
      <c r="I74" s="16"/>
      <c r="J74" s="16"/>
      <c r="K74" s="7">
        <f t="shared" si="1"/>
        <v>0</v>
      </c>
      <c r="L74" s="7">
        <f>K74*L9</f>
        <v>0</v>
      </c>
      <c r="M74" s="7" t="s">
        <v>1654</v>
      </c>
    </row>
    <row r="75" spans="1:13" ht="31.5" x14ac:dyDescent="0.25">
      <c r="A75" s="7">
        <v>58</v>
      </c>
      <c r="B75" s="7" t="s">
        <v>559</v>
      </c>
      <c r="C75" s="7" t="s">
        <v>144</v>
      </c>
      <c r="D75" s="16"/>
      <c r="E75" s="16"/>
      <c r="F75" s="16"/>
      <c r="G75" s="16"/>
      <c r="H75" s="16"/>
      <c r="I75" s="16"/>
      <c r="J75" s="11">
        <v>1E-3</v>
      </c>
      <c r="K75" s="7">
        <f t="shared" si="1"/>
        <v>0</v>
      </c>
      <c r="L75" s="7">
        <f>K75*L9</f>
        <v>0</v>
      </c>
      <c r="M75" s="7" t="s">
        <v>1654</v>
      </c>
    </row>
    <row r="76" spans="1:13" ht="31.5" x14ac:dyDescent="0.25">
      <c r="A76" s="7">
        <v>59</v>
      </c>
      <c r="B76" s="7" t="s">
        <v>558</v>
      </c>
      <c r="C76" s="7" t="s">
        <v>144</v>
      </c>
      <c r="D76" s="16"/>
      <c r="E76" s="16"/>
      <c r="F76" s="16"/>
      <c r="G76" s="16"/>
      <c r="H76" s="16"/>
      <c r="I76" s="16"/>
      <c r="J76" s="11">
        <v>1E-3</v>
      </c>
      <c r="K76" s="7">
        <f t="shared" si="1"/>
        <v>0</v>
      </c>
      <c r="L76" s="7">
        <f>K76*L9</f>
        <v>0</v>
      </c>
      <c r="M76" s="7" t="s">
        <v>1654</v>
      </c>
    </row>
    <row r="77" spans="1:13" ht="31.5" x14ac:dyDescent="0.25">
      <c r="A77" s="7">
        <v>60</v>
      </c>
      <c r="B77" s="7" t="s">
        <v>565</v>
      </c>
      <c r="C77" s="7" t="s">
        <v>144</v>
      </c>
      <c r="D77" s="16"/>
      <c r="E77" s="16"/>
      <c r="F77" s="16"/>
      <c r="G77" s="16"/>
      <c r="H77" s="16"/>
      <c r="I77" s="16"/>
      <c r="J77" s="11">
        <v>1E-3</v>
      </c>
      <c r="K77" s="7">
        <f t="shared" si="1"/>
        <v>0</v>
      </c>
      <c r="L77" s="7">
        <f>K77*L9</f>
        <v>0</v>
      </c>
      <c r="M77" s="7" t="s">
        <v>1654</v>
      </c>
    </row>
    <row r="78" spans="1:13" ht="31.5" x14ac:dyDescent="0.25">
      <c r="A78" s="7">
        <v>61</v>
      </c>
      <c r="B78" s="7" t="s">
        <v>560</v>
      </c>
      <c r="C78" s="7" t="s">
        <v>144</v>
      </c>
      <c r="D78" s="16"/>
      <c r="E78" s="16"/>
      <c r="F78" s="16"/>
      <c r="G78" s="16"/>
      <c r="H78" s="16"/>
      <c r="I78" s="16"/>
      <c r="J78" s="11">
        <v>1E-3</v>
      </c>
      <c r="K78" s="7">
        <f t="shared" ref="K78:K109" si="2">($D$10*D78+$E$10*E78+$F$10*F78+$G$10*G78+$H$10*H78+$I$10*I78)/8*J78</f>
        <v>0</v>
      </c>
      <c r="L78" s="7">
        <f>K78*L9</f>
        <v>0</v>
      </c>
      <c r="M78" s="7" t="s">
        <v>1654</v>
      </c>
    </row>
    <row r="79" spans="1:13" ht="15.75" x14ac:dyDescent="0.25">
      <c r="A79" s="7">
        <v>62</v>
      </c>
      <c r="B79" s="7" t="s">
        <v>1659</v>
      </c>
      <c r="C79" s="7" t="s">
        <v>1660</v>
      </c>
      <c r="D79" s="16"/>
      <c r="E79" s="16"/>
      <c r="F79" s="16"/>
      <c r="G79" s="16"/>
      <c r="H79" s="16"/>
      <c r="I79" s="16"/>
      <c r="J79" s="16"/>
      <c r="K79" s="7">
        <f t="shared" si="2"/>
        <v>0</v>
      </c>
      <c r="L79" s="7">
        <f>K79*L9</f>
        <v>0</v>
      </c>
      <c r="M79" s="7" t="s">
        <v>1654</v>
      </c>
    </row>
    <row r="80" spans="1:13" ht="15.75" x14ac:dyDescent="0.25">
      <c r="A80" s="7">
        <v>63</v>
      </c>
      <c r="B80" s="7" t="s">
        <v>1661</v>
      </c>
      <c r="C80" s="7" t="s">
        <v>1376</v>
      </c>
      <c r="D80" s="16"/>
      <c r="E80" s="16"/>
      <c r="F80" s="16"/>
      <c r="G80" s="16"/>
      <c r="H80" s="16"/>
      <c r="I80" s="16"/>
      <c r="J80" s="16"/>
      <c r="K80" s="7">
        <f t="shared" si="2"/>
        <v>0</v>
      </c>
      <c r="L80" s="7">
        <f>K80*L9</f>
        <v>0</v>
      </c>
      <c r="M80" s="7" t="s">
        <v>1654</v>
      </c>
    </row>
    <row r="81" spans="1:13" ht="15.75" x14ac:dyDescent="0.25">
      <c r="A81" s="7">
        <v>64</v>
      </c>
      <c r="B81" s="7" t="s">
        <v>226</v>
      </c>
      <c r="C81" s="7" t="s">
        <v>35</v>
      </c>
      <c r="D81" s="16"/>
      <c r="E81" s="16"/>
      <c r="F81" s="16"/>
      <c r="G81" s="16"/>
      <c r="H81" s="16"/>
      <c r="I81" s="16"/>
      <c r="J81" s="11">
        <v>1</v>
      </c>
      <c r="K81" s="7">
        <f t="shared" si="2"/>
        <v>0</v>
      </c>
      <c r="L81" s="7">
        <f>K81*L9</f>
        <v>0</v>
      </c>
      <c r="M81" s="7" t="s">
        <v>1654</v>
      </c>
    </row>
    <row r="82" spans="1:13" ht="15.75" x14ac:dyDescent="0.25">
      <c r="A82" s="7">
        <v>65</v>
      </c>
      <c r="B82" s="7" t="s">
        <v>1231</v>
      </c>
      <c r="C82" s="7" t="s">
        <v>35</v>
      </c>
      <c r="D82" s="16"/>
      <c r="E82" s="16"/>
      <c r="F82" s="16"/>
      <c r="G82" s="16"/>
      <c r="H82" s="16"/>
      <c r="I82" s="16"/>
      <c r="J82" s="11">
        <v>1</v>
      </c>
      <c r="K82" s="7">
        <f t="shared" si="2"/>
        <v>0</v>
      </c>
      <c r="L82" s="7">
        <f>K82*L9</f>
        <v>0</v>
      </c>
      <c r="M82" s="7" t="s">
        <v>1654</v>
      </c>
    </row>
    <row r="83" spans="1:13" ht="15.75" x14ac:dyDescent="0.25">
      <c r="A83" s="7">
        <v>66</v>
      </c>
      <c r="B83" s="7" t="s">
        <v>652</v>
      </c>
      <c r="C83" s="7" t="s">
        <v>463</v>
      </c>
      <c r="D83" s="16"/>
      <c r="E83" s="16"/>
      <c r="F83" s="16"/>
      <c r="G83" s="16"/>
      <c r="H83" s="16"/>
      <c r="I83" s="16"/>
      <c r="J83" s="16"/>
      <c r="K83" s="7">
        <f t="shared" si="2"/>
        <v>0</v>
      </c>
      <c r="L83" s="7">
        <f>K83*L9</f>
        <v>0</v>
      </c>
      <c r="M83" s="7" t="s">
        <v>1654</v>
      </c>
    </row>
    <row r="84" spans="1:13" ht="15.75" x14ac:dyDescent="0.25">
      <c r="A84" s="7">
        <v>67</v>
      </c>
      <c r="B84" s="7" t="s">
        <v>1232</v>
      </c>
      <c r="C84" s="7" t="s">
        <v>35</v>
      </c>
      <c r="D84" s="16"/>
      <c r="E84" s="16"/>
      <c r="F84" s="16"/>
      <c r="G84" s="16"/>
      <c r="H84" s="16"/>
      <c r="I84" s="16"/>
      <c r="J84" s="11">
        <v>1</v>
      </c>
      <c r="K84" s="7">
        <f t="shared" si="2"/>
        <v>0</v>
      </c>
      <c r="L84" s="7">
        <f>K84*L9</f>
        <v>0</v>
      </c>
      <c r="M84" s="7" t="s">
        <v>1654</v>
      </c>
    </row>
    <row r="85" spans="1:13" ht="15.75" x14ac:dyDescent="0.25">
      <c r="A85" s="7">
        <v>68</v>
      </c>
      <c r="B85" s="7" t="s">
        <v>820</v>
      </c>
      <c r="C85" s="7" t="s">
        <v>106</v>
      </c>
      <c r="D85" s="16"/>
      <c r="E85" s="16"/>
      <c r="F85" s="16"/>
      <c r="G85" s="16"/>
      <c r="H85" s="16"/>
      <c r="I85" s="16"/>
      <c r="J85" s="16"/>
      <c r="K85" s="7">
        <f t="shared" si="2"/>
        <v>0</v>
      </c>
      <c r="L85" s="7">
        <f>K85*L9</f>
        <v>0</v>
      </c>
      <c r="M85" s="7" t="s">
        <v>1654</v>
      </c>
    </row>
    <row r="86" spans="1:13" ht="15.75" x14ac:dyDescent="0.25">
      <c r="A86" s="423">
        <v>69</v>
      </c>
      <c r="B86" s="423" t="s">
        <v>245</v>
      </c>
      <c r="C86" s="423" t="s">
        <v>84</v>
      </c>
      <c r="D86" s="16"/>
      <c r="E86" s="16"/>
      <c r="F86" s="16"/>
      <c r="G86" s="16"/>
      <c r="H86" s="16"/>
      <c r="I86" s="16"/>
      <c r="J86" s="16"/>
      <c r="K86" s="7">
        <f t="shared" si="2"/>
        <v>0</v>
      </c>
      <c r="L86" s="7">
        <f>K86*L9</f>
        <v>0</v>
      </c>
      <c r="M86" s="7" t="s">
        <v>1655</v>
      </c>
    </row>
    <row r="87" spans="1:13" ht="15.75" x14ac:dyDescent="0.25">
      <c r="A87" s="423"/>
      <c r="B87" s="423"/>
      <c r="C87" s="423"/>
      <c r="D87" s="16"/>
      <c r="E87" s="16"/>
      <c r="F87" s="16"/>
      <c r="G87" s="16"/>
      <c r="H87" s="16"/>
      <c r="I87" s="16"/>
      <c r="J87" s="16"/>
      <c r="K87" s="7">
        <f t="shared" si="2"/>
        <v>0</v>
      </c>
      <c r="L87" s="7">
        <f>K87*L9</f>
        <v>0</v>
      </c>
      <c r="M87" s="7" t="s">
        <v>1654</v>
      </c>
    </row>
    <row r="88" spans="1:13" ht="15.75" x14ac:dyDescent="0.25">
      <c r="A88" s="423">
        <v>70</v>
      </c>
      <c r="B88" s="423" t="s">
        <v>249</v>
      </c>
      <c r="C88" s="423" t="s">
        <v>84</v>
      </c>
      <c r="D88" s="16"/>
      <c r="E88" s="16"/>
      <c r="F88" s="16"/>
      <c r="G88" s="16"/>
      <c r="H88" s="16"/>
      <c r="I88" s="16"/>
      <c r="J88" s="16"/>
      <c r="K88" s="7">
        <f t="shared" si="2"/>
        <v>0</v>
      </c>
      <c r="L88" s="7">
        <f>K88*L9</f>
        <v>0</v>
      </c>
      <c r="M88" s="7" t="s">
        <v>1655</v>
      </c>
    </row>
    <row r="89" spans="1:13" ht="15.75" x14ac:dyDescent="0.25">
      <c r="A89" s="423"/>
      <c r="B89" s="423"/>
      <c r="C89" s="423"/>
      <c r="D89" s="16"/>
      <c r="E89" s="16"/>
      <c r="F89" s="16"/>
      <c r="G89" s="16"/>
      <c r="H89" s="16"/>
      <c r="I89" s="16"/>
      <c r="J89" s="16"/>
      <c r="K89" s="7">
        <f t="shared" si="2"/>
        <v>0</v>
      </c>
      <c r="L89" s="7">
        <f>K89*L9</f>
        <v>0</v>
      </c>
      <c r="M89" s="7" t="s">
        <v>1654</v>
      </c>
    </row>
    <row r="90" spans="1:13" ht="15.75" x14ac:dyDescent="0.25">
      <c r="A90" s="423">
        <v>71</v>
      </c>
      <c r="B90" s="423" t="s">
        <v>246</v>
      </c>
      <c r="C90" s="423" t="s">
        <v>84</v>
      </c>
      <c r="D90" s="16"/>
      <c r="E90" s="16"/>
      <c r="F90" s="16"/>
      <c r="G90" s="16"/>
      <c r="H90" s="16"/>
      <c r="I90" s="16"/>
      <c r="J90" s="16"/>
      <c r="K90" s="7">
        <f t="shared" si="2"/>
        <v>0</v>
      </c>
      <c r="L90" s="7">
        <f>K90*L9</f>
        <v>0</v>
      </c>
      <c r="M90" s="7" t="s">
        <v>1655</v>
      </c>
    </row>
    <row r="91" spans="1:13" ht="15.75" x14ac:dyDescent="0.25">
      <c r="A91" s="423"/>
      <c r="B91" s="423"/>
      <c r="C91" s="423"/>
      <c r="D91" s="16"/>
      <c r="E91" s="16"/>
      <c r="F91" s="16"/>
      <c r="G91" s="16"/>
      <c r="H91" s="16"/>
      <c r="I91" s="16"/>
      <c r="J91" s="16"/>
      <c r="K91" s="7">
        <f t="shared" si="2"/>
        <v>0</v>
      </c>
      <c r="L91" s="7">
        <f>K91*L9</f>
        <v>0</v>
      </c>
      <c r="M91" s="7" t="s">
        <v>1654</v>
      </c>
    </row>
    <row r="92" spans="1:13" ht="15.75" x14ac:dyDescent="0.25">
      <c r="A92" s="423">
        <v>72</v>
      </c>
      <c r="B92" s="423" t="s">
        <v>244</v>
      </c>
      <c r="C92" s="423" t="s">
        <v>84</v>
      </c>
      <c r="D92" s="16"/>
      <c r="E92" s="16"/>
      <c r="F92" s="16"/>
      <c r="G92" s="16"/>
      <c r="H92" s="16"/>
      <c r="I92" s="16"/>
      <c r="J92" s="16"/>
      <c r="K92" s="7">
        <f t="shared" si="2"/>
        <v>0</v>
      </c>
      <c r="L92" s="7">
        <f>K92*L9</f>
        <v>0</v>
      </c>
      <c r="M92" s="7" t="s">
        <v>1655</v>
      </c>
    </row>
    <row r="93" spans="1:13" ht="15.75" x14ac:dyDescent="0.25">
      <c r="A93" s="423"/>
      <c r="B93" s="423"/>
      <c r="C93" s="423"/>
      <c r="D93" s="16"/>
      <c r="E93" s="16"/>
      <c r="F93" s="16"/>
      <c r="G93" s="16"/>
      <c r="H93" s="16"/>
      <c r="I93" s="16"/>
      <c r="J93" s="16"/>
      <c r="K93" s="7">
        <f t="shared" si="2"/>
        <v>0</v>
      </c>
      <c r="L93" s="7">
        <f>K93*L9</f>
        <v>0</v>
      </c>
      <c r="M93" s="7" t="s">
        <v>1654</v>
      </c>
    </row>
    <row r="94" spans="1:13" ht="31.5" x14ac:dyDescent="0.25">
      <c r="A94" s="7">
        <v>73</v>
      </c>
      <c r="B94" s="7" t="s">
        <v>239</v>
      </c>
      <c r="C94" s="7" t="s">
        <v>84</v>
      </c>
      <c r="D94" s="16"/>
      <c r="E94" s="16"/>
      <c r="F94" s="16"/>
      <c r="G94" s="16"/>
      <c r="H94" s="16"/>
      <c r="I94" s="16"/>
      <c r="J94" s="16"/>
      <c r="K94" s="7">
        <f t="shared" si="2"/>
        <v>0</v>
      </c>
      <c r="L94" s="7">
        <f>K94*L9</f>
        <v>0</v>
      </c>
      <c r="M94" s="7" t="s">
        <v>1654</v>
      </c>
    </row>
    <row r="95" spans="1:13" ht="15.75" x14ac:dyDescent="0.25">
      <c r="A95" s="7">
        <v>74</v>
      </c>
      <c r="B95" s="7" t="s">
        <v>929</v>
      </c>
      <c r="C95" s="7" t="s">
        <v>144</v>
      </c>
      <c r="D95" s="16"/>
      <c r="E95" s="16"/>
      <c r="F95" s="16"/>
      <c r="G95" s="16"/>
      <c r="H95" s="16"/>
      <c r="I95" s="16"/>
      <c r="J95" s="11">
        <v>1E-3</v>
      </c>
      <c r="K95" s="7">
        <f t="shared" si="2"/>
        <v>0</v>
      </c>
      <c r="L95" s="7">
        <f>K95*L9</f>
        <v>0</v>
      </c>
      <c r="M95" s="7" t="s">
        <v>1654</v>
      </c>
    </row>
    <row r="96" spans="1:13" ht="15.75" x14ac:dyDescent="0.25">
      <c r="A96" s="7">
        <v>75</v>
      </c>
      <c r="B96" s="7" t="s">
        <v>1121</v>
      </c>
      <c r="C96" s="7" t="s">
        <v>144</v>
      </c>
      <c r="D96" s="16"/>
      <c r="E96" s="16"/>
      <c r="F96" s="16"/>
      <c r="G96" s="16"/>
      <c r="H96" s="16"/>
      <c r="I96" s="16"/>
      <c r="J96" s="11">
        <v>1E-3</v>
      </c>
      <c r="K96" s="7">
        <f t="shared" si="2"/>
        <v>0</v>
      </c>
      <c r="L96" s="7">
        <f>K96*L9</f>
        <v>0</v>
      </c>
      <c r="M96" s="7" t="s">
        <v>1654</v>
      </c>
    </row>
    <row r="97" spans="1:13" ht="15.75" x14ac:dyDescent="0.25">
      <c r="A97" s="7">
        <v>76</v>
      </c>
      <c r="B97" s="7" t="s">
        <v>118</v>
      </c>
      <c r="C97" s="7" t="s">
        <v>106</v>
      </c>
      <c r="D97" s="16"/>
      <c r="E97" s="16"/>
      <c r="F97" s="16"/>
      <c r="G97" s="16"/>
      <c r="H97" s="16"/>
      <c r="I97" s="16"/>
      <c r="J97" s="16"/>
      <c r="K97" s="7">
        <f t="shared" si="2"/>
        <v>0</v>
      </c>
      <c r="L97" s="7">
        <f>K97*L9</f>
        <v>0</v>
      </c>
      <c r="M97" s="7" t="s">
        <v>1654</v>
      </c>
    </row>
    <row r="98" spans="1:13" ht="15.75" x14ac:dyDescent="0.25">
      <c r="A98" s="7">
        <v>77</v>
      </c>
      <c r="B98" s="7" t="s">
        <v>121</v>
      </c>
      <c r="C98" s="7" t="s">
        <v>106</v>
      </c>
      <c r="D98" s="16"/>
      <c r="E98" s="16"/>
      <c r="F98" s="16"/>
      <c r="G98" s="16"/>
      <c r="H98" s="16"/>
      <c r="I98" s="16"/>
      <c r="J98" s="16"/>
      <c r="K98" s="7">
        <f t="shared" si="2"/>
        <v>0</v>
      </c>
      <c r="L98" s="7">
        <f>K98*L9</f>
        <v>0</v>
      </c>
      <c r="M98" s="7" t="s">
        <v>1654</v>
      </c>
    </row>
    <row r="99" spans="1:13" ht="15.75" x14ac:dyDescent="0.25">
      <c r="A99" s="7">
        <v>78</v>
      </c>
      <c r="B99" s="7" t="s">
        <v>105</v>
      </c>
      <c r="C99" s="7" t="s">
        <v>106</v>
      </c>
      <c r="D99" s="16"/>
      <c r="E99" s="16"/>
      <c r="F99" s="16"/>
      <c r="G99" s="16"/>
      <c r="H99" s="16"/>
      <c r="I99" s="16"/>
      <c r="J99" s="16"/>
      <c r="K99" s="7">
        <f t="shared" si="2"/>
        <v>0</v>
      </c>
      <c r="L99" s="7">
        <f>K99*L9</f>
        <v>0</v>
      </c>
      <c r="M99" s="7" t="s">
        <v>1654</v>
      </c>
    </row>
    <row r="100" spans="1:13" ht="15.75" x14ac:dyDescent="0.25">
      <c r="A100" s="7">
        <v>79</v>
      </c>
      <c r="B100" s="7" t="s">
        <v>109</v>
      </c>
      <c r="C100" s="7" t="s">
        <v>106</v>
      </c>
      <c r="D100" s="16"/>
      <c r="E100" s="16"/>
      <c r="F100" s="16"/>
      <c r="G100" s="16"/>
      <c r="H100" s="16"/>
      <c r="I100" s="16"/>
      <c r="J100" s="16"/>
      <c r="K100" s="7">
        <f t="shared" si="2"/>
        <v>0</v>
      </c>
      <c r="L100" s="7">
        <f>K100*L9</f>
        <v>0</v>
      </c>
      <c r="M100" s="7" t="s">
        <v>1654</v>
      </c>
    </row>
    <row r="101" spans="1:13" ht="15.75" x14ac:dyDescent="0.25">
      <c r="A101" s="7">
        <v>80</v>
      </c>
      <c r="B101" s="7" t="s">
        <v>112</v>
      </c>
      <c r="C101" s="7" t="s">
        <v>106</v>
      </c>
      <c r="D101" s="16"/>
      <c r="E101" s="16"/>
      <c r="F101" s="16"/>
      <c r="G101" s="16"/>
      <c r="H101" s="16"/>
      <c r="I101" s="16"/>
      <c r="J101" s="16"/>
      <c r="K101" s="7">
        <f t="shared" si="2"/>
        <v>0</v>
      </c>
      <c r="L101" s="7">
        <f>K101*L9</f>
        <v>0</v>
      </c>
      <c r="M101" s="7" t="s">
        <v>1654</v>
      </c>
    </row>
    <row r="102" spans="1:13" ht="15.75" x14ac:dyDescent="0.25">
      <c r="A102" s="7">
        <v>81</v>
      </c>
      <c r="B102" s="7" t="s">
        <v>115</v>
      </c>
      <c r="C102" s="7" t="s">
        <v>106</v>
      </c>
      <c r="D102" s="16"/>
      <c r="E102" s="16"/>
      <c r="F102" s="16"/>
      <c r="G102" s="16"/>
      <c r="H102" s="16"/>
      <c r="I102" s="16"/>
      <c r="J102" s="16"/>
      <c r="K102" s="7">
        <f t="shared" si="2"/>
        <v>0</v>
      </c>
      <c r="L102" s="7">
        <f>K102*L9</f>
        <v>0</v>
      </c>
      <c r="M102" s="7" t="s">
        <v>1654</v>
      </c>
    </row>
    <row r="103" spans="1:13" ht="15.75" x14ac:dyDescent="0.25">
      <c r="A103" s="7">
        <v>82</v>
      </c>
      <c r="B103" s="7" t="s">
        <v>99</v>
      </c>
      <c r="C103" s="7" t="s">
        <v>75</v>
      </c>
      <c r="D103" s="16"/>
      <c r="E103" s="16"/>
      <c r="F103" s="16"/>
      <c r="G103" s="16"/>
      <c r="H103" s="16"/>
      <c r="I103" s="16"/>
      <c r="J103" s="16"/>
      <c r="K103" s="7">
        <f t="shared" si="2"/>
        <v>0</v>
      </c>
      <c r="L103" s="7">
        <f>K103*L9</f>
        <v>0</v>
      </c>
      <c r="M103" s="7" t="s">
        <v>1654</v>
      </c>
    </row>
    <row r="104" spans="1:13" ht="15.75" x14ac:dyDescent="0.25">
      <c r="A104" s="7">
        <v>83</v>
      </c>
      <c r="B104" s="7" t="s">
        <v>102</v>
      </c>
      <c r="C104" s="7" t="s">
        <v>75</v>
      </c>
      <c r="D104" s="16"/>
      <c r="E104" s="16"/>
      <c r="F104" s="16"/>
      <c r="G104" s="16"/>
      <c r="H104" s="16"/>
      <c r="I104" s="16"/>
      <c r="J104" s="16"/>
      <c r="K104" s="7">
        <f t="shared" si="2"/>
        <v>0</v>
      </c>
      <c r="L104" s="7">
        <f>K104*L9</f>
        <v>0</v>
      </c>
      <c r="M104" s="7" t="s">
        <v>1654</v>
      </c>
    </row>
    <row r="105" spans="1:13" ht="15.75" x14ac:dyDescent="0.25">
      <c r="A105" s="7">
        <v>84</v>
      </c>
      <c r="B105" s="7" t="s">
        <v>86</v>
      </c>
      <c r="C105" s="7" t="s">
        <v>75</v>
      </c>
      <c r="D105" s="16"/>
      <c r="E105" s="16"/>
      <c r="F105" s="16"/>
      <c r="G105" s="16"/>
      <c r="H105" s="16"/>
      <c r="I105" s="16"/>
      <c r="J105" s="16"/>
      <c r="K105" s="7">
        <f t="shared" si="2"/>
        <v>0</v>
      </c>
      <c r="L105" s="7">
        <f>K105*L9</f>
        <v>0</v>
      </c>
      <c r="M105" s="7" t="s">
        <v>1654</v>
      </c>
    </row>
    <row r="106" spans="1:13" ht="15.75" x14ac:dyDescent="0.25">
      <c r="A106" s="7">
        <v>85</v>
      </c>
      <c r="B106" s="7" t="s">
        <v>90</v>
      </c>
      <c r="C106" s="7" t="s">
        <v>75</v>
      </c>
      <c r="D106" s="16"/>
      <c r="E106" s="16"/>
      <c r="F106" s="16"/>
      <c r="G106" s="16"/>
      <c r="H106" s="16"/>
      <c r="I106" s="16"/>
      <c r="J106" s="16"/>
      <c r="K106" s="7">
        <f t="shared" si="2"/>
        <v>0</v>
      </c>
      <c r="L106" s="7">
        <f>K106*L9</f>
        <v>0</v>
      </c>
      <c r="M106" s="7" t="s">
        <v>1654</v>
      </c>
    </row>
    <row r="107" spans="1:13" ht="15.75" x14ac:dyDescent="0.25">
      <c r="A107" s="7">
        <v>86</v>
      </c>
      <c r="B107" s="7" t="s">
        <v>93</v>
      </c>
      <c r="C107" s="7" t="s">
        <v>75</v>
      </c>
      <c r="D107" s="16"/>
      <c r="E107" s="16"/>
      <c r="F107" s="16"/>
      <c r="G107" s="16"/>
      <c r="H107" s="16"/>
      <c r="I107" s="16"/>
      <c r="J107" s="16"/>
      <c r="K107" s="7">
        <f t="shared" si="2"/>
        <v>0</v>
      </c>
      <c r="L107" s="7">
        <f>K107*L9</f>
        <v>0</v>
      </c>
      <c r="M107" s="7" t="s">
        <v>1654</v>
      </c>
    </row>
    <row r="108" spans="1:13" ht="15.75" x14ac:dyDescent="0.25">
      <c r="A108" s="7">
        <v>87</v>
      </c>
      <c r="B108" s="7" t="s">
        <v>96</v>
      </c>
      <c r="C108" s="7" t="s">
        <v>75</v>
      </c>
      <c r="D108" s="16"/>
      <c r="E108" s="16"/>
      <c r="F108" s="16"/>
      <c r="G108" s="16"/>
      <c r="H108" s="16"/>
      <c r="I108" s="16"/>
      <c r="J108" s="16"/>
      <c r="K108" s="7">
        <f t="shared" si="2"/>
        <v>0</v>
      </c>
      <c r="L108" s="7">
        <f>K108*L9</f>
        <v>0</v>
      </c>
      <c r="M108" s="7" t="s">
        <v>1654</v>
      </c>
    </row>
    <row r="109" spans="1:13" ht="15.75" x14ac:dyDescent="0.25">
      <c r="A109" s="7">
        <v>88</v>
      </c>
      <c r="B109" s="7" t="s">
        <v>648</v>
      </c>
      <c r="C109" s="7" t="s">
        <v>144</v>
      </c>
      <c r="D109" s="16"/>
      <c r="E109" s="16"/>
      <c r="F109" s="16"/>
      <c r="G109" s="16"/>
      <c r="H109" s="16"/>
      <c r="I109" s="16"/>
      <c r="J109" s="11">
        <v>1E-3</v>
      </c>
      <c r="K109" s="7">
        <f t="shared" si="2"/>
        <v>0</v>
      </c>
      <c r="L109" s="7">
        <f>K109*L9</f>
        <v>0</v>
      </c>
      <c r="M109" s="7" t="s">
        <v>1654</v>
      </c>
    </row>
    <row r="110" spans="1:13" ht="31.5" x14ac:dyDescent="0.25">
      <c r="A110" s="7">
        <v>89</v>
      </c>
      <c r="B110" s="7" t="s">
        <v>654</v>
      </c>
      <c r="C110" s="7" t="s">
        <v>144</v>
      </c>
      <c r="D110" s="16"/>
      <c r="E110" s="16"/>
      <c r="F110" s="16"/>
      <c r="G110" s="16"/>
      <c r="H110" s="16"/>
      <c r="I110" s="16"/>
      <c r="J110" s="11">
        <v>1E-3</v>
      </c>
      <c r="K110" s="7">
        <f t="shared" ref="K110:K141" si="3">($D$10*D110+$E$10*E110+$F$10*F110+$G$10*G110+$H$10*H110+$I$10*I110)/8*J110</f>
        <v>0</v>
      </c>
      <c r="L110" s="7">
        <f>K110*L9</f>
        <v>0</v>
      </c>
      <c r="M110" s="7" t="s">
        <v>1654</v>
      </c>
    </row>
    <row r="111" spans="1:13" ht="15.75" x14ac:dyDescent="0.25">
      <c r="A111" s="7">
        <v>90</v>
      </c>
      <c r="B111" s="7" t="s">
        <v>274</v>
      </c>
      <c r="C111" s="7" t="s">
        <v>75</v>
      </c>
      <c r="D111" s="16"/>
      <c r="E111" s="16"/>
      <c r="F111" s="16"/>
      <c r="G111" s="16"/>
      <c r="H111" s="16"/>
      <c r="I111" s="16"/>
      <c r="J111" s="16"/>
      <c r="K111" s="7">
        <f t="shared" si="3"/>
        <v>0</v>
      </c>
      <c r="L111" s="7">
        <f>K111*L9</f>
        <v>0</v>
      </c>
      <c r="M111" s="7" t="s">
        <v>1654</v>
      </c>
    </row>
    <row r="112" spans="1:13" ht="15.75" x14ac:dyDescent="0.25">
      <c r="A112" s="7">
        <v>91</v>
      </c>
      <c r="B112" s="7" t="s">
        <v>487</v>
      </c>
      <c r="C112" s="7" t="s">
        <v>488</v>
      </c>
      <c r="D112" s="16"/>
      <c r="E112" s="16"/>
      <c r="F112" s="16"/>
      <c r="G112" s="16"/>
      <c r="H112" s="16"/>
      <c r="I112" s="16"/>
      <c r="J112" s="16"/>
      <c r="K112" s="7">
        <f t="shared" si="3"/>
        <v>0</v>
      </c>
      <c r="L112" s="7">
        <f>K112*L9</f>
        <v>0</v>
      </c>
      <c r="M112" s="7" t="s">
        <v>1654</v>
      </c>
    </row>
    <row r="113" spans="1:13" ht="47.25" x14ac:dyDescent="0.25">
      <c r="A113" s="7">
        <v>92</v>
      </c>
      <c r="B113" s="7" t="s">
        <v>1102</v>
      </c>
      <c r="C113" s="7" t="s">
        <v>1103</v>
      </c>
      <c r="D113" s="16"/>
      <c r="E113" s="16"/>
      <c r="F113" s="16"/>
      <c r="G113" s="16"/>
      <c r="H113" s="16"/>
      <c r="I113" s="16"/>
      <c r="J113" s="16"/>
      <c r="K113" s="7">
        <f t="shared" si="3"/>
        <v>0</v>
      </c>
      <c r="L113" s="7">
        <f>K113*L9</f>
        <v>0</v>
      </c>
      <c r="M113" s="7" t="s">
        <v>1654</v>
      </c>
    </row>
    <row r="114" spans="1:13" ht="31.5" x14ac:dyDescent="0.25">
      <c r="A114" s="7">
        <v>93</v>
      </c>
      <c r="B114" s="7" t="s">
        <v>1014</v>
      </c>
      <c r="C114" s="7" t="s">
        <v>75</v>
      </c>
      <c r="D114" s="16"/>
      <c r="E114" s="16"/>
      <c r="F114" s="16"/>
      <c r="G114" s="16"/>
      <c r="H114" s="16"/>
      <c r="I114" s="16"/>
      <c r="J114" s="16"/>
      <c r="K114" s="7">
        <f t="shared" si="3"/>
        <v>0</v>
      </c>
      <c r="L114" s="7">
        <f>K114*L9</f>
        <v>0</v>
      </c>
      <c r="M114" s="7" t="s">
        <v>1654</v>
      </c>
    </row>
    <row r="115" spans="1:13" ht="15.75" x14ac:dyDescent="0.25">
      <c r="A115" s="7">
        <v>94</v>
      </c>
      <c r="B115" s="7" t="s">
        <v>1662</v>
      </c>
      <c r="C115" s="7" t="s">
        <v>1376</v>
      </c>
      <c r="D115" s="16"/>
      <c r="E115" s="16"/>
      <c r="F115" s="16"/>
      <c r="G115" s="16"/>
      <c r="H115" s="16"/>
      <c r="I115" s="16"/>
      <c r="J115" s="16"/>
      <c r="K115" s="7">
        <f t="shared" si="3"/>
        <v>0</v>
      </c>
      <c r="L115" s="7">
        <f>K115*L9</f>
        <v>0</v>
      </c>
      <c r="M115" s="7" t="s">
        <v>1654</v>
      </c>
    </row>
    <row r="116" spans="1:13" ht="15.75" x14ac:dyDescent="0.25">
      <c r="A116" s="7">
        <v>95</v>
      </c>
      <c r="B116" s="7" t="s">
        <v>646</v>
      </c>
      <c r="C116" s="7" t="s">
        <v>84</v>
      </c>
      <c r="D116" s="16"/>
      <c r="E116" s="16"/>
      <c r="F116" s="16"/>
      <c r="G116" s="16"/>
      <c r="H116" s="16"/>
      <c r="I116" s="16"/>
      <c r="J116" s="16"/>
      <c r="K116" s="7">
        <f t="shared" si="3"/>
        <v>0</v>
      </c>
      <c r="L116" s="7">
        <f>K116*L9</f>
        <v>0</v>
      </c>
      <c r="M116" s="7" t="s">
        <v>1654</v>
      </c>
    </row>
    <row r="117" spans="1:13" ht="15.75" x14ac:dyDescent="0.25">
      <c r="A117" s="7">
        <v>96</v>
      </c>
      <c r="B117" s="7" t="s">
        <v>671</v>
      </c>
      <c r="C117" s="7" t="s">
        <v>438</v>
      </c>
      <c r="D117" s="16"/>
      <c r="E117" s="16"/>
      <c r="F117" s="16"/>
      <c r="G117" s="16"/>
      <c r="H117" s="16"/>
      <c r="I117" s="16"/>
      <c r="J117" s="16"/>
      <c r="K117" s="7">
        <f t="shared" si="3"/>
        <v>0</v>
      </c>
      <c r="L117" s="7">
        <f>K117*L9</f>
        <v>0</v>
      </c>
      <c r="M117" s="7" t="s">
        <v>1654</v>
      </c>
    </row>
    <row r="118" spans="1:13" ht="15.75" x14ac:dyDescent="0.25">
      <c r="A118" s="7">
        <v>97</v>
      </c>
      <c r="B118" s="7" t="s">
        <v>657</v>
      </c>
      <c r="C118" s="7" t="s">
        <v>438</v>
      </c>
      <c r="D118" s="16"/>
      <c r="E118" s="16"/>
      <c r="F118" s="16"/>
      <c r="G118" s="16"/>
      <c r="H118" s="16"/>
      <c r="I118" s="16"/>
      <c r="J118" s="16"/>
      <c r="K118" s="7">
        <f t="shared" si="3"/>
        <v>0</v>
      </c>
      <c r="L118" s="7">
        <f>K118*L9</f>
        <v>0</v>
      </c>
      <c r="M118" s="7" t="s">
        <v>1654</v>
      </c>
    </row>
    <row r="119" spans="1:13" ht="31.5" x14ac:dyDescent="0.25">
      <c r="A119" s="7">
        <v>98</v>
      </c>
      <c r="B119" s="7" t="s">
        <v>421</v>
      </c>
      <c r="C119" s="7" t="s">
        <v>84</v>
      </c>
      <c r="D119" s="16"/>
      <c r="E119" s="16"/>
      <c r="F119" s="16"/>
      <c r="G119" s="16"/>
      <c r="H119" s="16"/>
      <c r="I119" s="16"/>
      <c r="J119" s="16"/>
      <c r="K119" s="7">
        <f t="shared" si="3"/>
        <v>0</v>
      </c>
      <c r="L119" s="7">
        <f>K119*L9</f>
        <v>0</v>
      </c>
      <c r="M119" s="7" t="s">
        <v>1654</v>
      </c>
    </row>
    <row r="120" spans="1:13" ht="15.75" x14ac:dyDescent="0.25">
      <c r="A120" s="7">
        <v>99</v>
      </c>
      <c r="B120" s="7" t="s">
        <v>553</v>
      </c>
      <c r="C120" s="7" t="s">
        <v>438</v>
      </c>
      <c r="D120" s="16"/>
      <c r="E120" s="16"/>
      <c r="F120" s="16"/>
      <c r="G120" s="16"/>
      <c r="H120" s="16"/>
      <c r="I120" s="16"/>
      <c r="J120" s="16"/>
      <c r="K120" s="7">
        <f t="shared" si="3"/>
        <v>0</v>
      </c>
      <c r="L120" s="7">
        <f>K120*L9</f>
        <v>0</v>
      </c>
      <c r="M120" s="7" t="s">
        <v>1654</v>
      </c>
    </row>
    <row r="121" spans="1:13" ht="47.25" x14ac:dyDescent="0.25">
      <c r="A121" s="7">
        <v>100</v>
      </c>
      <c r="B121" s="7" t="s">
        <v>429</v>
      </c>
      <c r="C121" s="7" t="s">
        <v>49</v>
      </c>
      <c r="D121" s="16"/>
      <c r="E121" s="16"/>
      <c r="F121" s="16"/>
      <c r="G121" s="16"/>
      <c r="H121" s="16"/>
      <c r="I121" s="16"/>
      <c r="J121" s="16"/>
      <c r="K121" s="7">
        <f t="shared" si="3"/>
        <v>0</v>
      </c>
      <c r="L121" s="7">
        <f>K121*L9</f>
        <v>0</v>
      </c>
      <c r="M121" s="7" t="s">
        <v>1654</v>
      </c>
    </row>
    <row r="122" spans="1:13" ht="31.5" x14ac:dyDescent="0.25">
      <c r="A122" s="7">
        <v>101</v>
      </c>
      <c r="B122" s="7" t="s">
        <v>437</v>
      </c>
      <c r="C122" s="7" t="s">
        <v>438</v>
      </c>
      <c r="D122" s="16"/>
      <c r="E122" s="16"/>
      <c r="F122" s="16"/>
      <c r="G122" s="16"/>
      <c r="H122" s="16"/>
      <c r="I122" s="16"/>
      <c r="J122" s="16"/>
      <c r="K122" s="7">
        <f t="shared" si="3"/>
        <v>0</v>
      </c>
      <c r="L122" s="7">
        <f>K122*L9</f>
        <v>0</v>
      </c>
      <c r="M122" s="7" t="s">
        <v>1654</v>
      </c>
    </row>
    <row r="123" spans="1:13" ht="94.5" x14ac:dyDescent="0.25">
      <c r="A123" s="7">
        <v>102</v>
      </c>
      <c r="B123" s="7" t="s">
        <v>722</v>
      </c>
      <c r="C123" s="7" t="s">
        <v>75</v>
      </c>
      <c r="D123" s="16"/>
      <c r="E123" s="16"/>
      <c r="F123" s="16"/>
      <c r="G123" s="16"/>
      <c r="H123" s="16"/>
      <c r="I123" s="16"/>
      <c r="J123" s="16"/>
      <c r="K123" s="7">
        <f t="shared" si="3"/>
        <v>0</v>
      </c>
      <c r="L123" s="7">
        <f>K123*L9</f>
        <v>0</v>
      </c>
      <c r="M123" s="7" t="s">
        <v>1654</v>
      </c>
    </row>
    <row r="124" spans="1:13" ht="63" x14ac:dyDescent="0.25">
      <c r="A124" s="7">
        <v>103</v>
      </c>
      <c r="B124" s="7" t="s">
        <v>48</v>
      </c>
      <c r="C124" s="7" t="s">
        <v>49</v>
      </c>
      <c r="D124" s="16"/>
      <c r="E124" s="16"/>
      <c r="F124" s="16"/>
      <c r="G124" s="16"/>
      <c r="H124" s="16"/>
      <c r="I124" s="16"/>
      <c r="J124" s="16"/>
      <c r="K124" s="7">
        <f t="shared" si="3"/>
        <v>0</v>
      </c>
      <c r="L124" s="7">
        <f>K124*L9</f>
        <v>0</v>
      </c>
      <c r="M124" s="7" t="s">
        <v>1654</v>
      </c>
    </row>
    <row r="125" spans="1:13" ht="15.75" x14ac:dyDescent="0.25">
      <c r="A125" s="7">
        <v>104</v>
      </c>
      <c r="B125" s="7" t="s">
        <v>569</v>
      </c>
      <c r="C125" s="7" t="s">
        <v>144</v>
      </c>
      <c r="D125" s="16"/>
      <c r="E125" s="16"/>
      <c r="F125" s="16"/>
      <c r="G125" s="16"/>
      <c r="H125" s="16"/>
      <c r="I125" s="16"/>
      <c r="J125" s="11">
        <v>1E-3</v>
      </c>
      <c r="K125" s="7">
        <f t="shared" si="3"/>
        <v>0</v>
      </c>
      <c r="L125" s="7">
        <f>K125*L9</f>
        <v>0</v>
      </c>
      <c r="M125" s="7" t="s">
        <v>1654</v>
      </c>
    </row>
    <row r="126" spans="1:13" ht="15.75" x14ac:dyDescent="0.25">
      <c r="A126" s="7">
        <v>105</v>
      </c>
      <c r="B126" s="7" t="s">
        <v>672</v>
      </c>
      <c r="C126" s="7" t="s">
        <v>84</v>
      </c>
      <c r="D126" s="16"/>
      <c r="E126" s="16"/>
      <c r="F126" s="16"/>
      <c r="G126" s="16"/>
      <c r="H126" s="16"/>
      <c r="I126" s="16"/>
      <c r="J126" s="16"/>
      <c r="K126" s="7">
        <f t="shared" si="3"/>
        <v>0</v>
      </c>
      <c r="L126" s="7">
        <f>K126*L9</f>
        <v>0</v>
      </c>
      <c r="M126" s="7" t="s">
        <v>1654</v>
      </c>
    </row>
    <row r="127" spans="1:13" ht="15.75" x14ac:dyDescent="0.25">
      <c r="A127" s="7">
        <v>106</v>
      </c>
      <c r="B127" s="7" t="s">
        <v>513</v>
      </c>
      <c r="C127" s="7" t="s">
        <v>144</v>
      </c>
      <c r="D127" s="16"/>
      <c r="E127" s="16"/>
      <c r="F127" s="16"/>
      <c r="G127" s="16"/>
      <c r="H127" s="16"/>
      <c r="I127" s="16"/>
      <c r="J127" s="11">
        <v>1E-3</v>
      </c>
      <c r="K127" s="7">
        <f t="shared" si="3"/>
        <v>0</v>
      </c>
      <c r="L127" s="7">
        <f>K127*L9</f>
        <v>0</v>
      </c>
      <c r="M127" s="7" t="s">
        <v>1654</v>
      </c>
    </row>
    <row r="128" spans="1:13" ht="15.75" x14ac:dyDescent="0.25">
      <c r="A128" s="423">
        <v>107</v>
      </c>
      <c r="B128" s="423" t="s">
        <v>83</v>
      </c>
      <c r="C128" s="423" t="s">
        <v>84</v>
      </c>
      <c r="D128" s="16"/>
      <c r="E128" s="16"/>
      <c r="F128" s="16"/>
      <c r="G128" s="16"/>
      <c r="H128" s="16"/>
      <c r="I128" s="16"/>
      <c r="J128" s="16"/>
      <c r="K128" s="7">
        <f t="shared" si="3"/>
        <v>0</v>
      </c>
      <c r="L128" s="7">
        <f>K128*L9</f>
        <v>0</v>
      </c>
      <c r="M128" s="7" t="s">
        <v>1655</v>
      </c>
    </row>
    <row r="129" spans="1:13" ht="15.75" x14ac:dyDescent="0.25">
      <c r="A129" s="423"/>
      <c r="B129" s="423"/>
      <c r="C129" s="423"/>
      <c r="D129" s="16"/>
      <c r="E129" s="16"/>
      <c r="F129" s="16"/>
      <c r="G129" s="16"/>
      <c r="H129" s="16"/>
      <c r="I129" s="16"/>
      <c r="J129" s="16"/>
      <c r="K129" s="7">
        <f t="shared" si="3"/>
        <v>0</v>
      </c>
      <c r="L129" s="7">
        <f>K129*L9</f>
        <v>0</v>
      </c>
      <c r="M129" s="7" t="s">
        <v>1654</v>
      </c>
    </row>
    <row r="130" spans="1:13" ht="15.75" x14ac:dyDescent="0.25">
      <c r="A130" s="7">
        <v>108</v>
      </c>
      <c r="B130" s="7" t="s">
        <v>930</v>
      </c>
      <c r="C130" s="7" t="s">
        <v>144</v>
      </c>
      <c r="D130" s="16"/>
      <c r="E130" s="16"/>
      <c r="F130" s="16"/>
      <c r="G130" s="16"/>
      <c r="H130" s="16"/>
      <c r="I130" s="16"/>
      <c r="J130" s="11">
        <v>1E-3</v>
      </c>
      <c r="K130" s="7">
        <f t="shared" si="3"/>
        <v>0</v>
      </c>
      <c r="L130" s="7">
        <f>K130*L9</f>
        <v>0</v>
      </c>
      <c r="M130" s="7" t="s">
        <v>1654</v>
      </c>
    </row>
    <row r="131" spans="1:13" ht="15.75" x14ac:dyDescent="0.25">
      <c r="A131" s="7">
        <v>109</v>
      </c>
      <c r="B131" s="7" t="s">
        <v>597</v>
      </c>
      <c r="C131" s="7" t="s">
        <v>49</v>
      </c>
      <c r="D131" s="16"/>
      <c r="E131" s="16"/>
      <c r="F131" s="16"/>
      <c r="G131" s="16"/>
      <c r="H131" s="16"/>
      <c r="I131" s="16"/>
      <c r="J131" s="16"/>
      <c r="K131" s="7">
        <f t="shared" si="3"/>
        <v>0</v>
      </c>
      <c r="L131" s="7">
        <f>K131*L9</f>
        <v>0</v>
      </c>
      <c r="M131" s="7" t="s">
        <v>1654</v>
      </c>
    </row>
    <row r="132" spans="1:13" ht="15.75" x14ac:dyDescent="0.25">
      <c r="A132" s="7">
        <v>110</v>
      </c>
      <c r="B132" s="7" t="s">
        <v>578</v>
      </c>
      <c r="C132" s="7" t="s">
        <v>75</v>
      </c>
      <c r="D132" s="16"/>
      <c r="E132" s="16"/>
      <c r="F132" s="16"/>
      <c r="G132" s="16"/>
      <c r="H132" s="16"/>
      <c r="I132" s="16"/>
      <c r="J132" s="16"/>
      <c r="K132" s="7">
        <f t="shared" si="3"/>
        <v>0</v>
      </c>
      <c r="L132" s="7">
        <f>K132*L9</f>
        <v>0</v>
      </c>
      <c r="M132" s="7" t="s">
        <v>1654</v>
      </c>
    </row>
    <row r="133" spans="1:13" ht="15.75" x14ac:dyDescent="0.25">
      <c r="A133" s="7">
        <v>111</v>
      </c>
      <c r="B133" s="7" t="s">
        <v>572</v>
      </c>
      <c r="C133" s="7" t="s">
        <v>144</v>
      </c>
      <c r="D133" s="16"/>
      <c r="E133" s="16"/>
      <c r="F133" s="16"/>
      <c r="G133" s="16"/>
      <c r="H133" s="16"/>
      <c r="I133" s="16"/>
      <c r="J133" s="11">
        <v>1E-3</v>
      </c>
      <c r="K133" s="7">
        <f t="shared" si="3"/>
        <v>0</v>
      </c>
      <c r="L133" s="7">
        <f>K133*L9</f>
        <v>0</v>
      </c>
      <c r="M133" s="7" t="s">
        <v>1654</v>
      </c>
    </row>
    <row r="134" spans="1:13" ht="47.25" x14ac:dyDescent="0.25">
      <c r="A134" s="7">
        <v>112</v>
      </c>
      <c r="B134" s="7" t="s">
        <v>596</v>
      </c>
      <c r="C134" s="7" t="s">
        <v>49</v>
      </c>
      <c r="D134" s="16"/>
      <c r="E134" s="16"/>
      <c r="F134" s="16"/>
      <c r="G134" s="16"/>
      <c r="H134" s="16"/>
      <c r="I134" s="16"/>
      <c r="J134" s="16"/>
      <c r="K134" s="7">
        <f t="shared" si="3"/>
        <v>0</v>
      </c>
      <c r="L134" s="7">
        <f>K134*L9</f>
        <v>0</v>
      </c>
      <c r="M134" s="7" t="s">
        <v>1654</v>
      </c>
    </row>
    <row r="135" spans="1:13" ht="31.5" x14ac:dyDescent="0.25">
      <c r="A135" s="7">
        <v>113</v>
      </c>
      <c r="B135" s="7" t="s">
        <v>1260</v>
      </c>
      <c r="C135" s="7" t="s">
        <v>75</v>
      </c>
      <c r="D135" s="16"/>
      <c r="E135" s="16"/>
      <c r="F135" s="16"/>
      <c r="G135" s="16"/>
      <c r="H135" s="16"/>
      <c r="I135" s="16"/>
      <c r="J135" s="16"/>
      <c r="K135" s="7">
        <f t="shared" si="3"/>
        <v>0</v>
      </c>
      <c r="L135" s="7">
        <f>K135*L9</f>
        <v>0</v>
      </c>
      <c r="M135" s="7" t="s">
        <v>1654</v>
      </c>
    </row>
    <row r="136" spans="1:13" ht="15.75" x14ac:dyDescent="0.25">
      <c r="A136" s="7">
        <v>114</v>
      </c>
      <c r="B136" s="7" t="s">
        <v>441</v>
      </c>
      <c r="C136" s="7" t="s">
        <v>442</v>
      </c>
      <c r="D136" s="16"/>
      <c r="E136" s="16"/>
      <c r="F136" s="16"/>
      <c r="G136" s="16"/>
      <c r="H136" s="16"/>
      <c r="I136" s="16"/>
      <c r="J136" s="16"/>
      <c r="K136" s="7">
        <f t="shared" si="3"/>
        <v>0</v>
      </c>
      <c r="L136" s="7">
        <f>K136*L9</f>
        <v>0</v>
      </c>
      <c r="M136" s="7" t="s">
        <v>1654</v>
      </c>
    </row>
    <row r="137" spans="1:13" ht="15.75" x14ac:dyDescent="0.25">
      <c r="A137" s="7">
        <v>115</v>
      </c>
      <c r="B137" s="7" t="s">
        <v>642</v>
      </c>
      <c r="C137" s="7" t="s">
        <v>35</v>
      </c>
      <c r="D137" s="16"/>
      <c r="E137" s="16"/>
      <c r="F137" s="16"/>
      <c r="G137" s="16"/>
      <c r="H137" s="16"/>
      <c r="I137" s="16"/>
      <c r="J137" s="11">
        <v>1</v>
      </c>
      <c r="K137" s="7">
        <f t="shared" si="3"/>
        <v>0</v>
      </c>
      <c r="L137" s="7">
        <f>K137*L9</f>
        <v>0</v>
      </c>
      <c r="M137" s="7" t="s">
        <v>1654</v>
      </c>
    </row>
    <row r="138" spans="1:13" ht="31.5" x14ac:dyDescent="0.25">
      <c r="A138" s="7">
        <v>116</v>
      </c>
      <c r="B138" s="7" t="s">
        <v>570</v>
      </c>
      <c r="C138" s="7" t="s">
        <v>144</v>
      </c>
      <c r="D138" s="16"/>
      <c r="E138" s="16"/>
      <c r="F138" s="16"/>
      <c r="G138" s="16"/>
      <c r="H138" s="16"/>
      <c r="I138" s="16"/>
      <c r="J138" s="11">
        <v>1E-3</v>
      </c>
      <c r="K138" s="7">
        <f t="shared" si="3"/>
        <v>0</v>
      </c>
      <c r="L138" s="7">
        <f>K138*L9</f>
        <v>0</v>
      </c>
      <c r="M138" s="7" t="s">
        <v>1654</v>
      </c>
    </row>
    <row r="139" spans="1:13" ht="15.75" x14ac:dyDescent="0.25">
      <c r="A139" s="7">
        <v>117</v>
      </c>
      <c r="B139" s="7" t="s">
        <v>647</v>
      </c>
      <c r="C139" s="7" t="s">
        <v>84</v>
      </c>
      <c r="D139" s="16"/>
      <c r="E139" s="16"/>
      <c r="F139" s="16"/>
      <c r="G139" s="16"/>
      <c r="H139" s="16"/>
      <c r="I139" s="16"/>
      <c r="J139" s="16"/>
      <c r="K139" s="7">
        <f t="shared" si="3"/>
        <v>0</v>
      </c>
      <c r="L139" s="7">
        <f>K139*L9</f>
        <v>0</v>
      </c>
      <c r="M139" s="7" t="s">
        <v>1654</v>
      </c>
    </row>
    <row r="140" spans="1:13" ht="15.75" x14ac:dyDescent="0.25">
      <c r="A140" s="7">
        <v>118</v>
      </c>
      <c r="B140" s="7" t="s">
        <v>264</v>
      </c>
      <c r="C140" s="7" t="s">
        <v>84</v>
      </c>
      <c r="D140" s="16"/>
      <c r="E140" s="16"/>
      <c r="F140" s="16"/>
      <c r="G140" s="16"/>
      <c r="H140" s="16"/>
      <c r="I140" s="16"/>
      <c r="J140" s="16"/>
      <c r="K140" s="7">
        <f t="shared" si="3"/>
        <v>0</v>
      </c>
      <c r="L140" s="7">
        <f>K140*L9</f>
        <v>0</v>
      </c>
      <c r="M140" s="7" t="s">
        <v>1654</v>
      </c>
    </row>
    <row r="141" spans="1:13" ht="15.75" x14ac:dyDescent="0.25">
      <c r="A141" s="7">
        <v>119</v>
      </c>
      <c r="B141" s="7" t="s">
        <v>235</v>
      </c>
      <c r="C141" s="7" t="s">
        <v>84</v>
      </c>
      <c r="D141" s="16"/>
      <c r="E141" s="16"/>
      <c r="F141" s="16"/>
      <c r="G141" s="16"/>
      <c r="H141" s="16"/>
      <c r="I141" s="16"/>
      <c r="J141" s="16"/>
      <c r="K141" s="7">
        <f t="shared" si="3"/>
        <v>0</v>
      </c>
      <c r="L141" s="7">
        <f>K141*L9</f>
        <v>0</v>
      </c>
      <c r="M141" s="7" t="s">
        <v>1654</v>
      </c>
    </row>
    <row r="142" spans="1:13" ht="78.75" x14ac:dyDescent="0.25">
      <c r="A142" s="7">
        <v>120</v>
      </c>
      <c r="B142" s="7" t="s">
        <v>717</v>
      </c>
      <c r="C142" s="7" t="s">
        <v>75</v>
      </c>
      <c r="D142" s="16"/>
      <c r="E142" s="16"/>
      <c r="F142" s="16"/>
      <c r="G142" s="16"/>
      <c r="H142" s="16"/>
      <c r="I142" s="16"/>
      <c r="J142" s="16"/>
      <c r="K142" s="7">
        <f t="shared" ref="K142:K148" si="4">($D$10*D142+$E$10*E142+$F$10*F142+$G$10*G142+$H$10*H142+$I$10*I142)/8*J142</f>
        <v>0</v>
      </c>
      <c r="L142" s="7">
        <f>K142*L9</f>
        <v>0</v>
      </c>
      <c r="M142" s="7" t="s">
        <v>1654</v>
      </c>
    </row>
    <row r="143" spans="1:13" ht="31.5" x14ac:dyDescent="0.25">
      <c r="A143" s="7">
        <v>121</v>
      </c>
      <c r="B143" s="7" t="s">
        <v>571</v>
      </c>
      <c r="C143" s="7" t="s">
        <v>144</v>
      </c>
      <c r="D143" s="16"/>
      <c r="E143" s="16"/>
      <c r="F143" s="16"/>
      <c r="G143" s="16"/>
      <c r="H143" s="16"/>
      <c r="I143" s="16"/>
      <c r="J143" s="11">
        <v>1E-3</v>
      </c>
      <c r="K143" s="7">
        <f t="shared" si="4"/>
        <v>0</v>
      </c>
      <c r="L143" s="7">
        <f>K143*L9</f>
        <v>0</v>
      </c>
      <c r="M143" s="7" t="s">
        <v>1654</v>
      </c>
    </row>
    <row r="144" spans="1:13" ht="31.5" x14ac:dyDescent="0.25">
      <c r="A144" s="7">
        <v>122</v>
      </c>
      <c r="B144" s="7" t="s">
        <v>271</v>
      </c>
      <c r="C144" s="7" t="s">
        <v>272</v>
      </c>
      <c r="D144" s="16"/>
      <c r="E144" s="16"/>
      <c r="F144" s="16"/>
      <c r="G144" s="16"/>
      <c r="H144" s="16"/>
      <c r="I144" s="16"/>
      <c r="J144" s="16"/>
      <c r="K144" s="7">
        <f t="shared" si="4"/>
        <v>0</v>
      </c>
      <c r="L144" s="7">
        <f>K144*L9</f>
        <v>0</v>
      </c>
      <c r="M144" s="7" t="s">
        <v>1654</v>
      </c>
    </row>
    <row r="145" spans="1:13" ht="15.75" x14ac:dyDescent="0.25">
      <c r="A145" s="7">
        <v>123</v>
      </c>
      <c r="B145" s="7" t="s">
        <v>678</v>
      </c>
      <c r="C145" s="7" t="s">
        <v>84</v>
      </c>
      <c r="D145" s="16"/>
      <c r="E145" s="16"/>
      <c r="F145" s="16"/>
      <c r="G145" s="16"/>
      <c r="H145" s="16"/>
      <c r="I145" s="16"/>
      <c r="J145" s="16"/>
      <c r="K145" s="7">
        <f t="shared" si="4"/>
        <v>0</v>
      </c>
      <c r="L145" s="7">
        <f>K145*L9</f>
        <v>0</v>
      </c>
      <c r="M145" s="7" t="s">
        <v>1654</v>
      </c>
    </row>
    <row r="146" spans="1:13" ht="15.75" x14ac:dyDescent="0.25">
      <c r="A146" s="7">
        <v>124</v>
      </c>
      <c r="B146" s="7" t="s">
        <v>171</v>
      </c>
      <c r="C146" s="7" t="s">
        <v>172</v>
      </c>
      <c r="D146" s="16"/>
      <c r="E146" s="16"/>
      <c r="F146" s="16"/>
      <c r="G146" s="16"/>
      <c r="H146" s="16"/>
      <c r="I146" s="16"/>
      <c r="J146" s="16"/>
      <c r="K146" s="7">
        <f t="shared" si="4"/>
        <v>0</v>
      </c>
      <c r="L146" s="7">
        <f>K146*L9</f>
        <v>0</v>
      </c>
      <c r="M146" s="7" t="s">
        <v>1654</v>
      </c>
    </row>
    <row r="147" spans="1:13" ht="15.75" x14ac:dyDescent="0.25">
      <c r="A147" s="7">
        <v>125</v>
      </c>
      <c r="B147" s="7" t="s">
        <v>1104</v>
      </c>
      <c r="C147" s="7" t="s">
        <v>84</v>
      </c>
      <c r="D147" s="16"/>
      <c r="E147" s="16"/>
      <c r="F147" s="16"/>
      <c r="G147" s="16"/>
      <c r="H147" s="16"/>
      <c r="I147" s="16"/>
      <c r="J147" s="16"/>
      <c r="K147" s="7">
        <f t="shared" si="4"/>
        <v>0</v>
      </c>
      <c r="L147" s="7">
        <f>K147*L9</f>
        <v>0</v>
      </c>
      <c r="M147" s="7" t="s">
        <v>1654</v>
      </c>
    </row>
    <row r="148" spans="1:13" ht="15.75" x14ac:dyDescent="0.25">
      <c r="A148" s="7">
        <v>126</v>
      </c>
      <c r="B148" s="7" t="s">
        <v>1451</v>
      </c>
      <c r="C148" s="7" t="s">
        <v>35</v>
      </c>
      <c r="D148" s="16"/>
      <c r="E148" s="16"/>
      <c r="F148" s="16"/>
      <c r="G148" s="16"/>
      <c r="H148" s="16"/>
      <c r="I148" s="16"/>
      <c r="J148" s="11">
        <v>1</v>
      </c>
      <c r="K148" s="7">
        <f t="shared" si="4"/>
        <v>0</v>
      </c>
      <c r="L148" s="7">
        <f>K148*L9</f>
        <v>0</v>
      </c>
      <c r="M148" s="7" t="s">
        <v>1654</v>
      </c>
    </row>
  </sheetData>
  <mergeCells count="33">
    <mergeCell ref="A128:A129"/>
    <mergeCell ref="B128:B129"/>
    <mergeCell ref="C128:C129"/>
    <mergeCell ref="A90:A91"/>
    <mergeCell ref="B90:B91"/>
    <mergeCell ref="C90:C91"/>
    <mergeCell ref="A92:A93"/>
    <mergeCell ref="B92:B93"/>
    <mergeCell ref="C92:C93"/>
    <mergeCell ref="A86:A87"/>
    <mergeCell ref="B86:B87"/>
    <mergeCell ref="C86:C87"/>
    <mergeCell ref="A88:A89"/>
    <mergeCell ref="B88:B89"/>
    <mergeCell ref="C88:C89"/>
    <mergeCell ref="A42:A43"/>
    <mergeCell ref="B42:B43"/>
    <mergeCell ref="C42:C43"/>
    <mergeCell ref="A44:A45"/>
    <mergeCell ref="B44:B45"/>
    <mergeCell ref="C44:C45"/>
    <mergeCell ref="A18:A19"/>
    <mergeCell ref="B18:B19"/>
    <mergeCell ref="C18:C19"/>
    <mergeCell ref="A40:A41"/>
    <mergeCell ref="B40:B41"/>
    <mergeCell ref="C40:C41"/>
    <mergeCell ref="A1:M1"/>
    <mergeCell ref="A2:D2"/>
    <mergeCell ref="F2:M6"/>
    <mergeCell ref="B10:C10"/>
    <mergeCell ref="D12:F12"/>
    <mergeCell ref="G12:I12"/>
  </mergeCells>
  <pageMargins left="0.5" right="0.5" top="0.5" bottom="0.5" header="0.3" footer="0.3"/>
  <pageSetup paperSize="9" scale="85" fitToHeight="0" orientation="landscape" useFirstPageNumber="1" r:id="rId1"/>
  <headerFooter>
    <oddHeader>&amp;L Transportation of Materials &amp;R Page &amp;P of &amp;N</oddHeader>
    <oddFooter>&amp;L Prepared By:________________ &amp;C Checked By:________________ &amp;R Approved By:________________</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7"/>
  <sheetViews>
    <sheetView workbookViewId="0">
      <selection activeCell="E1" sqref="E1"/>
    </sheetView>
  </sheetViews>
  <sheetFormatPr defaultRowHeight="15" x14ac:dyDescent="0.25"/>
  <cols>
    <col min="2" max="2" width="40.7109375" customWidth="1"/>
    <col min="3" max="4" width="20.7109375" customWidth="1"/>
  </cols>
  <sheetData>
    <row r="1" spans="1:4" ht="15.75" x14ac:dyDescent="0.25">
      <c r="A1" s="416" t="s">
        <v>1663</v>
      </c>
      <c r="B1" s="416"/>
      <c r="C1" s="416"/>
      <c r="D1" s="416"/>
    </row>
    <row r="3" spans="1:4" ht="15.75" x14ac:dyDescent="0.25">
      <c r="A3" s="418" t="s">
        <v>1664</v>
      </c>
      <c r="B3" s="418"/>
      <c r="C3" s="418"/>
      <c r="D3" s="418"/>
    </row>
    <row r="4" spans="1:4" ht="15.75" x14ac:dyDescent="0.25">
      <c r="A4" s="4" t="s">
        <v>1272</v>
      </c>
      <c r="B4" s="4" t="s">
        <v>1483</v>
      </c>
      <c r="C4" s="4" t="s">
        <v>1665</v>
      </c>
      <c r="D4" s="4" t="s">
        <v>1309</v>
      </c>
    </row>
    <row r="5" spans="1:4" ht="15.75" x14ac:dyDescent="0.25">
      <c r="A5" s="423" t="s">
        <v>1666</v>
      </c>
      <c r="B5" s="423"/>
      <c r="C5" s="423"/>
      <c r="D5" s="423"/>
    </row>
    <row r="6" spans="1:4" ht="15.75" x14ac:dyDescent="0.25">
      <c r="A6" s="7"/>
      <c r="B6" s="7" t="s">
        <v>1667</v>
      </c>
      <c r="C6" s="7" t="s">
        <v>1668</v>
      </c>
      <c r="D6" s="7"/>
    </row>
    <row r="7" spans="1:4" ht="15.75" x14ac:dyDescent="0.25">
      <c r="A7" s="7"/>
      <c r="B7" s="7" t="s">
        <v>1669</v>
      </c>
      <c r="C7" s="7" t="s">
        <v>1670</v>
      </c>
      <c r="D7" s="7"/>
    </row>
    <row r="8" spans="1:4" ht="15.75" x14ac:dyDescent="0.25">
      <c r="A8" s="7"/>
      <c r="B8" s="7" t="s">
        <v>1671</v>
      </c>
      <c r="C8" s="7" t="s">
        <v>1672</v>
      </c>
      <c r="D8" s="7"/>
    </row>
    <row r="9" spans="1:4" ht="15.75" x14ac:dyDescent="0.25">
      <c r="A9" s="423" t="s">
        <v>1673</v>
      </c>
      <c r="B9" s="423"/>
      <c r="C9" s="423"/>
      <c r="D9" s="423"/>
    </row>
    <row r="10" spans="1:4" ht="15.75" x14ac:dyDescent="0.25">
      <c r="A10" s="7"/>
      <c r="B10" s="7" t="s">
        <v>1275</v>
      </c>
      <c r="C10" s="7" t="s">
        <v>1674</v>
      </c>
      <c r="D10" s="7"/>
    </row>
    <row r="11" spans="1:4" ht="15.75" x14ac:dyDescent="0.25">
      <c r="A11" s="7"/>
      <c r="B11" s="7" t="s">
        <v>1675</v>
      </c>
      <c r="C11" s="7" t="s">
        <v>1674</v>
      </c>
      <c r="D11" s="7"/>
    </row>
    <row r="12" spans="1:4" ht="15.75" x14ac:dyDescent="0.25">
      <c r="A12" s="7"/>
      <c r="B12" s="7" t="s">
        <v>1676</v>
      </c>
      <c r="C12" s="7" t="s">
        <v>1670</v>
      </c>
      <c r="D12" s="7"/>
    </row>
    <row r="13" spans="1:4" ht="15.75" x14ac:dyDescent="0.25">
      <c r="A13" s="7"/>
      <c r="B13" s="7" t="s">
        <v>1677</v>
      </c>
      <c r="C13" s="7" t="s">
        <v>1670</v>
      </c>
      <c r="D13" s="7"/>
    </row>
    <row r="14" spans="1:4" ht="15.75" x14ac:dyDescent="0.25">
      <c r="A14" s="7"/>
      <c r="B14" s="7" t="s">
        <v>1678</v>
      </c>
      <c r="C14" s="7" t="s">
        <v>1679</v>
      </c>
      <c r="D14" s="7"/>
    </row>
    <row r="15" spans="1:4" ht="15.75" x14ac:dyDescent="0.25">
      <c r="A15" s="7"/>
      <c r="B15" s="7" t="s">
        <v>1680</v>
      </c>
      <c r="C15" s="7" t="s">
        <v>1670</v>
      </c>
      <c r="D15" s="7"/>
    </row>
    <row r="16" spans="1:4" ht="15.75" x14ac:dyDescent="0.25">
      <c r="A16" s="7"/>
      <c r="B16" s="7" t="s">
        <v>1681</v>
      </c>
      <c r="C16" s="7" t="s">
        <v>1670</v>
      </c>
      <c r="D16" s="7"/>
    </row>
    <row r="17" spans="1:4" ht="47.25" x14ac:dyDescent="0.25">
      <c r="A17" s="7"/>
      <c r="B17" s="7" t="s">
        <v>1682</v>
      </c>
      <c r="C17" s="7" t="s">
        <v>1683</v>
      </c>
      <c r="D17" s="7" t="s">
        <v>1684</v>
      </c>
    </row>
    <row r="18" spans="1:4" ht="15.75" x14ac:dyDescent="0.25">
      <c r="A18" s="7"/>
      <c r="B18" s="7" t="s">
        <v>85</v>
      </c>
      <c r="C18" s="7" t="s">
        <v>1685</v>
      </c>
      <c r="D18" s="7"/>
    </row>
    <row r="19" spans="1:4" ht="15.75" x14ac:dyDescent="0.25">
      <c r="A19" s="7"/>
      <c r="B19" s="7" t="s">
        <v>1686</v>
      </c>
      <c r="C19" s="7" t="s">
        <v>1687</v>
      </c>
      <c r="D19" s="7"/>
    </row>
    <row r="20" spans="1:4" ht="15.75" x14ac:dyDescent="0.25">
      <c r="A20" s="7"/>
      <c r="B20" s="7" t="s">
        <v>1688</v>
      </c>
      <c r="C20" s="7" t="s">
        <v>1687</v>
      </c>
      <c r="D20" s="7"/>
    </row>
    <row r="21" spans="1:4" ht="15.75" x14ac:dyDescent="0.25">
      <c r="A21" s="7"/>
      <c r="B21" s="7" t="s">
        <v>297</v>
      </c>
      <c r="C21" s="7" t="s">
        <v>1689</v>
      </c>
      <c r="D21" s="7"/>
    </row>
    <row r="22" spans="1:4" ht="15.75" x14ac:dyDescent="0.25">
      <c r="A22" s="7"/>
      <c r="B22" s="7" t="s">
        <v>1690</v>
      </c>
      <c r="C22" s="7" t="s">
        <v>1687</v>
      </c>
      <c r="D22" s="7"/>
    </row>
    <row r="23" spans="1:4" ht="15.75" x14ac:dyDescent="0.25">
      <c r="A23" s="7"/>
      <c r="B23" s="7" t="s">
        <v>1691</v>
      </c>
      <c r="C23" s="7" t="s">
        <v>1692</v>
      </c>
      <c r="D23" s="7"/>
    </row>
    <row r="24" spans="1:4" ht="15.75" x14ac:dyDescent="0.25">
      <c r="A24" s="7"/>
      <c r="B24" s="7" t="s">
        <v>1693</v>
      </c>
      <c r="C24" s="7" t="s">
        <v>1694</v>
      </c>
      <c r="D24" s="7"/>
    </row>
    <row r="25" spans="1:4" ht="15.75" x14ac:dyDescent="0.25">
      <c r="A25" s="7"/>
      <c r="B25" s="7" t="s">
        <v>1695</v>
      </c>
      <c r="C25" s="7" t="s">
        <v>1687</v>
      </c>
      <c r="D25" s="7"/>
    </row>
    <row r="26" spans="1:4" ht="15.75" x14ac:dyDescent="0.25">
      <c r="A26" s="7"/>
      <c r="B26" s="7" t="s">
        <v>1696</v>
      </c>
      <c r="C26" s="7" t="s">
        <v>1697</v>
      </c>
      <c r="D26" s="7"/>
    </row>
    <row r="27" spans="1:4" ht="15.75" x14ac:dyDescent="0.25">
      <c r="A27" s="423" t="s">
        <v>1698</v>
      </c>
      <c r="B27" s="423"/>
      <c r="C27" s="423"/>
      <c r="D27" s="423"/>
    </row>
    <row r="28" spans="1:4" ht="15.75" x14ac:dyDescent="0.25">
      <c r="A28" s="7"/>
      <c r="B28" s="7" t="s">
        <v>1699</v>
      </c>
      <c r="C28" s="7"/>
      <c r="D28" s="7" t="s">
        <v>1700</v>
      </c>
    </row>
    <row r="29" spans="1:4" ht="15.75" x14ac:dyDescent="0.25">
      <c r="A29" s="7"/>
      <c r="B29" s="7" t="s">
        <v>1701</v>
      </c>
      <c r="C29" s="7"/>
      <c r="D29" s="7" t="s">
        <v>1702</v>
      </c>
    </row>
    <row r="30" spans="1:4" ht="15.75" x14ac:dyDescent="0.25">
      <c r="A30" s="7"/>
      <c r="B30" s="7" t="s">
        <v>1703</v>
      </c>
      <c r="C30" s="7"/>
      <c r="D30" s="7" t="s">
        <v>1704</v>
      </c>
    </row>
    <row r="31" spans="1:4" ht="15.75" x14ac:dyDescent="0.25">
      <c r="A31" s="7"/>
      <c r="B31" s="7" t="s">
        <v>1705</v>
      </c>
      <c r="C31" s="7"/>
      <c r="D31" s="7" t="s">
        <v>1706</v>
      </c>
    </row>
    <row r="32" spans="1:4" ht="15.75" x14ac:dyDescent="0.25">
      <c r="A32" s="7"/>
      <c r="B32" s="7" t="s">
        <v>1707</v>
      </c>
      <c r="C32" s="7"/>
      <c r="D32" s="7" t="s">
        <v>1708</v>
      </c>
    </row>
    <row r="33" spans="1:4" ht="15.75" x14ac:dyDescent="0.25">
      <c r="A33" s="7"/>
      <c r="B33" s="7" t="s">
        <v>1709</v>
      </c>
      <c r="C33" s="7" t="s">
        <v>1710</v>
      </c>
      <c r="D33" s="7"/>
    </row>
    <row r="34" spans="1:4" ht="15.75" x14ac:dyDescent="0.25">
      <c r="A34" s="7"/>
      <c r="B34" s="7" t="s">
        <v>1662</v>
      </c>
      <c r="C34" s="7" t="s">
        <v>1711</v>
      </c>
      <c r="D34" s="7" t="s">
        <v>1712</v>
      </c>
    </row>
    <row r="35" spans="1:4" ht="15.75" x14ac:dyDescent="0.25">
      <c r="A35" s="7"/>
      <c r="B35" s="7" t="s">
        <v>1656</v>
      </c>
      <c r="C35" s="7" t="s">
        <v>1711</v>
      </c>
      <c r="D35" s="7" t="s">
        <v>1712</v>
      </c>
    </row>
    <row r="36" spans="1:4" ht="15.75" x14ac:dyDescent="0.25">
      <c r="A36" s="7"/>
      <c r="B36" s="7" t="s">
        <v>1659</v>
      </c>
      <c r="C36" s="7" t="s">
        <v>1711</v>
      </c>
      <c r="D36" s="7" t="s">
        <v>1712</v>
      </c>
    </row>
    <row r="37" spans="1:4" ht="15.75" x14ac:dyDescent="0.25">
      <c r="A37" s="7"/>
      <c r="B37" s="7" t="s">
        <v>1713</v>
      </c>
      <c r="C37" s="7" t="s">
        <v>1714</v>
      </c>
      <c r="D37" s="7"/>
    </row>
  </sheetData>
  <mergeCells count="5">
    <mergeCell ref="A1:D1"/>
    <mergeCell ref="A3:D3"/>
    <mergeCell ref="A5:D5"/>
    <mergeCell ref="A9:D9"/>
    <mergeCell ref="A27:D27"/>
  </mergeCells>
  <pageMargins left="0.5" right="0.5" top="0.5" bottom="0.5" header="0.3" footer="0.3"/>
  <pageSetup paperSize="9" fitToHeight="0" orientation="portrait" useFirstPageNumber="1" r:id="rId1"/>
  <headerFooter>
    <oddHeader>&amp;L References &amp;R Page &amp;P of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47"/>
  <sheetViews>
    <sheetView workbookViewId="0">
      <selection sqref="A1:G1"/>
    </sheetView>
  </sheetViews>
  <sheetFormatPr defaultRowHeight="15" x14ac:dyDescent="0.25"/>
  <cols>
    <col min="2" max="2" width="70.7109375" customWidth="1"/>
    <col min="4" max="7" width="20.7109375" customWidth="1"/>
  </cols>
  <sheetData>
    <row r="1" spans="1:7" ht="15.75" x14ac:dyDescent="0.25">
      <c r="A1" s="416" t="s">
        <v>0</v>
      </c>
      <c r="B1" s="416"/>
      <c r="C1" s="416"/>
      <c r="D1" s="416"/>
      <c r="E1" s="416"/>
      <c r="F1" s="416"/>
      <c r="G1" s="416"/>
    </row>
    <row r="2" spans="1:7" ht="15.75" x14ac:dyDescent="0.25">
      <c r="A2" s="416" t="str">
        <f>ministry</f>
        <v>Ministry of Physical Infrastructure &amp; Transport</v>
      </c>
      <c r="B2" s="416"/>
      <c r="C2" s="416"/>
      <c r="D2" s="416"/>
      <c r="E2" s="416"/>
      <c r="F2" s="416"/>
      <c r="G2" s="416"/>
    </row>
    <row r="3" spans="1:7" ht="15.75" x14ac:dyDescent="0.25">
      <c r="A3" s="416" t="str">
        <f>department</f>
        <v>Department of Roads</v>
      </c>
      <c r="B3" s="416"/>
      <c r="C3" s="416"/>
      <c r="D3" s="416"/>
      <c r="E3" s="416"/>
      <c r="F3" s="416"/>
      <c r="G3" s="416"/>
    </row>
    <row r="4" spans="1:7" ht="15.75" x14ac:dyDescent="0.25">
      <c r="A4" s="416" t="str">
        <f>Region</f>
        <v>[Branch/Directorate/FHSMO]</v>
      </c>
      <c r="B4" s="416"/>
      <c r="C4" s="416"/>
      <c r="D4" s="416"/>
      <c r="E4" s="416"/>
      <c r="F4" s="416"/>
      <c r="G4" s="416"/>
    </row>
    <row r="5" spans="1:7" ht="20.25" x14ac:dyDescent="0.25">
      <c r="A5" s="420" t="str">
        <f>Division</f>
        <v>[Division/Project Office]</v>
      </c>
      <c r="B5" s="420"/>
      <c r="C5" s="420"/>
      <c r="D5" s="420"/>
      <c r="E5" s="420"/>
      <c r="F5" s="420"/>
      <c r="G5" s="420"/>
    </row>
    <row r="6" spans="1:7" ht="15.75" x14ac:dyDescent="0.25">
      <c r="A6" s="416"/>
      <c r="B6" s="416"/>
      <c r="C6" s="416"/>
      <c r="D6" s="416"/>
      <c r="E6" s="416"/>
      <c r="F6" s="416"/>
      <c r="G6" s="416"/>
    </row>
    <row r="7" spans="1:7" ht="20.25" x14ac:dyDescent="0.25">
      <c r="A7" s="420" t="s">
        <v>2056</v>
      </c>
      <c r="B7" s="420"/>
      <c r="C7" s="420"/>
      <c r="D7" s="420"/>
      <c r="E7" s="420"/>
      <c r="F7" s="420"/>
      <c r="G7" s="420"/>
    </row>
    <row r="8" spans="1:7" ht="15.75" x14ac:dyDescent="0.25">
      <c r="A8" s="421" t="str">
        <f>"Contract Identification No :" &amp; contract_number</f>
        <v>Contract Identification No :</v>
      </c>
      <c r="B8" s="421"/>
    </row>
    <row r="9" spans="1:7" ht="15.75" x14ac:dyDescent="0.25">
      <c r="A9" s="421" t="str">
        <f>"BH No :" &amp; bh_number</f>
        <v>BH No :</v>
      </c>
      <c r="B9" s="421"/>
    </row>
    <row r="10" spans="1:7" ht="15.75" x14ac:dyDescent="0.25">
      <c r="A10" s="421" t="str">
        <f>"Nature of the work :" &amp; nature_of_work</f>
        <v>Nature of the work :</v>
      </c>
      <c r="B10" s="421"/>
    </row>
    <row r="11" spans="1:7" ht="15.75" x14ac:dyDescent="0.25">
      <c r="A11" s="421" t="str">
        <f>"Name of Road :" &amp; name_of_road</f>
        <v>Name of Road :</v>
      </c>
      <c r="B11" s="421"/>
    </row>
    <row r="12" spans="1:7" ht="31.5" x14ac:dyDescent="0.25">
      <c r="A12" s="4" t="s">
        <v>1272</v>
      </c>
      <c r="B12" s="4" t="s">
        <v>1716</v>
      </c>
      <c r="C12" s="4" t="s">
        <v>20</v>
      </c>
      <c r="D12" s="4" t="s">
        <v>21</v>
      </c>
      <c r="E12" s="4" t="s">
        <v>2057</v>
      </c>
      <c r="F12" s="4" t="s">
        <v>2058</v>
      </c>
      <c r="G12" s="4" t="s">
        <v>1309</v>
      </c>
    </row>
    <row r="13" spans="1:7" ht="15.75" x14ac:dyDescent="0.25">
      <c r="A13" s="5">
        <v>1</v>
      </c>
      <c r="B13" s="6" t="s">
        <v>1721</v>
      </c>
    </row>
    <row r="14" spans="1:7" ht="31.5" x14ac:dyDescent="0.25">
      <c r="A14" s="5" t="s">
        <v>1722</v>
      </c>
      <c r="B14" s="7" t="s">
        <v>44</v>
      </c>
      <c r="C14" s="7" t="s">
        <v>49</v>
      </c>
      <c r="D14" s="7">
        <f>Quantity_Sheet!H14</f>
        <v>0</v>
      </c>
      <c r="E14" s="5">
        <f>rate_95</f>
        <v>17930.8</v>
      </c>
      <c r="F14" s="7">
        <f t="shared" ref="F14:F77" si="0">TRUNC(D14*E14,2)</f>
        <v>0</v>
      </c>
    </row>
    <row r="15" spans="1:7" ht="31.5" x14ac:dyDescent="0.25">
      <c r="A15" s="5" t="s">
        <v>1723</v>
      </c>
      <c r="B15" s="7" t="s">
        <v>51</v>
      </c>
      <c r="C15" s="7" t="s">
        <v>1724</v>
      </c>
      <c r="D15" s="7">
        <f>Quantity_Sheet!H15</f>
        <v>0</v>
      </c>
      <c r="E15" s="5" t="e">
        <f>rate_1049</f>
        <v>#REF!</v>
      </c>
      <c r="F15" s="7" t="e">
        <f t="shared" si="0"/>
        <v>#REF!</v>
      </c>
    </row>
    <row r="16" spans="1:7" ht="110.25" x14ac:dyDescent="0.25">
      <c r="A16" s="5" t="s">
        <v>46</v>
      </c>
      <c r="B16" s="7" t="s">
        <v>54</v>
      </c>
      <c r="C16" s="7" t="s">
        <v>438</v>
      </c>
      <c r="D16" s="7">
        <f>Quantity_Sheet!H16</f>
        <v>0</v>
      </c>
      <c r="E16" s="5">
        <f>rate_103</f>
        <v>6.42</v>
      </c>
      <c r="F16" s="7">
        <f t="shared" si="0"/>
        <v>0</v>
      </c>
    </row>
    <row r="17" spans="1:6" ht="94.5" x14ac:dyDescent="0.25">
      <c r="A17" s="5" t="s">
        <v>1725</v>
      </c>
      <c r="B17" s="7" t="s">
        <v>60</v>
      </c>
      <c r="C17" s="7" t="s">
        <v>84</v>
      </c>
      <c r="D17" s="7">
        <f>Quantity_Sheet!H17</f>
        <v>0</v>
      </c>
      <c r="E17" s="5">
        <f>rate_121</f>
        <v>2642.36</v>
      </c>
      <c r="F17" s="7">
        <f t="shared" si="0"/>
        <v>0</v>
      </c>
    </row>
    <row r="18" spans="1:6" ht="94.5" x14ac:dyDescent="0.25">
      <c r="A18" s="5" t="s">
        <v>1726</v>
      </c>
      <c r="B18" s="7" t="s">
        <v>66</v>
      </c>
      <c r="C18" s="7" t="s">
        <v>84</v>
      </c>
      <c r="D18" s="7">
        <f>Quantity_Sheet!H18</f>
        <v>0</v>
      </c>
      <c r="E18" s="5">
        <f>rate_124</f>
        <v>1817.35</v>
      </c>
      <c r="F18" s="7">
        <f t="shared" si="0"/>
        <v>0</v>
      </c>
    </row>
    <row r="19" spans="1:6" ht="94.5" x14ac:dyDescent="0.25">
      <c r="A19" s="5" t="s">
        <v>1727</v>
      </c>
      <c r="B19" s="7" t="s">
        <v>68</v>
      </c>
      <c r="C19" s="7" t="s">
        <v>84</v>
      </c>
      <c r="D19" s="7">
        <f>Quantity_Sheet!H19</f>
        <v>0</v>
      </c>
      <c r="E19" s="5">
        <f>rate_128</f>
        <v>1817.35</v>
      </c>
      <c r="F19" s="7">
        <f t="shared" si="0"/>
        <v>0</v>
      </c>
    </row>
    <row r="20" spans="1:6" ht="47.25" x14ac:dyDescent="0.25">
      <c r="A20" s="5" t="s">
        <v>1728</v>
      </c>
      <c r="B20" s="7" t="s">
        <v>71</v>
      </c>
      <c r="C20" s="7" t="s">
        <v>75</v>
      </c>
      <c r="D20" s="7">
        <f>Quantity_Sheet!H20</f>
        <v>0</v>
      </c>
      <c r="E20" s="5">
        <f>rate_245</f>
        <v>849.12</v>
      </c>
      <c r="F20" s="7">
        <f t="shared" si="0"/>
        <v>0</v>
      </c>
    </row>
    <row r="21" spans="1:6" ht="47.25" x14ac:dyDescent="0.25">
      <c r="A21" s="5" t="s">
        <v>1729</v>
      </c>
      <c r="B21" s="7" t="s">
        <v>80</v>
      </c>
      <c r="C21" s="7" t="s">
        <v>75</v>
      </c>
      <c r="D21" s="7">
        <f>Quantity_Sheet!H21</f>
        <v>0</v>
      </c>
      <c r="E21" s="5">
        <f>rate_246</f>
        <v>4266.76</v>
      </c>
      <c r="F21" s="7">
        <f t="shared" si="0"/>
        <v>0</v>
      </c>
    </row>
    <row r="22" spans="1:6" ht="47.25" x14ac:dyDescent="0.25">
      <c r="A22" s="5" t="s">
        <v>1730</v>
      </c>
      <c r="B22" s="7" t="s">
        <v>88</v>
      </c>
      <c r="C22" s="7" t="s">
        <v>75</v>
      </c>
      <c r="D22" s="7">
        <f>Quantity_Sheet!H22</f>
        <v>0</v>
      </c>
      <c r="E22" s="5">
        <f>rate_247</f>
        <v>5934.21</v>
      </c>
      <c r="F22" s="7">
        <f t="shared" si="0"/>
        <v>0</v>
      </c>
    </row>
    <row r="23" spans="1:6" ht="47.25" x14ac:dyDescent="0.25">
      <c r="A23" s="5" t="s">
        <v>1731</v>
      </c>
      <c r="B23" s="7" t="s">
        <v>91</v>
      </c>
      <c r="C23" s="7" t="s">
        <v>75</v>
      </c>
      <c r="D23" s="7">
        <f>Quantity_Sheet!H23</f>
        <v>0</v>
      </c>
      <c r="E23" s="5">
        <f>rate_248</f>
        <v>7992.65</v>
      </c>
      <c r="F23" s="7">
        <f t="shared" si="0"/>
        <v>0</v>
      </c>
    </row>
    <row r="24" spans="1:6" ht="47.25" x14ac:dyDescent="0.25">
      <c r="A24" s="5" t="s">
        <v>1732</v>
      </c>
      <c r="B24" s="7" t="s">
        <v>94</v>
      </c>
      <c r="C24" s="7" t="s">
        <v>75</v>
      </c>
      <c r="D24" s="7">
        <f>Quantity_Sheet!H24</f>
        <v>0</v>
      </c>
      <c r="E24" s="5">
        <f>rate_249</f>
        <v>14966.75</v>
      </c>
      <c r="F24" s="7">
        <f t="shared" si="0"/>
        <v>0</v>
      </c>
    </row>
    <row r="25" spans="1:6" ht="47.25" x14ac:dyDescent="0.25">
      <c r="A25" s="5" t="s">
        <v>1733</v>
      </c>
      <c r="B25" s="7" t="s">
        <v>97</v>
      </c>
      <c r="C25" s="7" t="s">
        <v>75</v>
      </c>
      <c r="D25" s="7">
        <f>Quantity_Sheet!H25</f>
        <v>0</v>
      </c>
      <c r="E25" s="5">
        <f>rate_250</f>
        <v>16776.59</v>
      </c>
      <c r="F25" s="7">
        <f t="shared" si="0"/>
        <v>0</v>
      </c>
    </row>
    <row r="26" spans="1:6" ht="47.25" x14ac:dyDescent="0.25">
      <c r="A26" s="5" t="s">
        <v>1734</v>
      </c>
      <c r="B26" s="7" t="s">
        <v>100</v>
      </c>
      <c r="C26" s="7" t="s">
        <v>75</v>
      </c>
      <c r="D26" s="7">
        <f>Quantity_Sheet!H26</f>
        <v>0</v>
      </c>
      <c r="E26" s="5">
        <f>rate_251</f>
        <v>20033.41</v>
      </c>
      <c r="F26" s="7">
        <f t="shared" si="0"/>
        <v>0</v>
      </c>
    </row>
    <row r="27" spans="1:6" ht="47.25" x14ac:dyDescent="0.25">
      <c r="A27" s="5" t="s">
        <v>1735</v>
      </c>
      <c r="B27" s="7" t="s">
        <v>103</v>
      </c>
      <c r="C27" s="7" t="s">
        <v>75</v>
      </c>
      <c r="D27" s="7">
        <f>Quantity_Sheet!H27</f>
        <v>0</v>
      </c>
      <c r="E27" s="5">
        <f>rate_252</f>
        <v>4554.8999999999996</v>
      </c>
      <c r="F27" s="7">
        <f t="shared" si="0"/>
        <v>0</v>
      </c>
    </row>
    <row r="28" spans="1:6" ht="47.25" x14ac:dyDescent="0.25">
      <c r="A28" s="5" t="s">
        <v>1736</v>
      </c>
      <c r="B28" s="7" t="s">
        <v>107</v>
      </c>
      <c r="C28" s="7" t="s">
        <v>75</v>
      </c>
      <c r="D28" s="7">
        <f>Quantity_Sheet!H28</f>
        <v>0</v>
      </c>
      <c r="E28" s="5">
        <f>rate_253</f>
        <v>6348.21</v>
      </c>
      <c r="F28" s="7">
        <f t="shared" si="0"/>
        <v>0</v>
      </c>
    </row>
    <row r="29" spans="1:6" ht="47.25" x14ac:dyDescent="0.25">
      <c r="A29" s="5" t="s">
        <v>1737</v>
      </c>
      <c r="B29" s="7" t="s">
        <v>110</v>
      </c>
      <c r="C29" s="7" t="s">
        <v>75</v>
      </c>
      <c r="D29" s="7">
        <f>Quantity_Sheet!H29</f>
        <v>0</v>
      </c>
      <c r="E29" s="5">
        <f>rate_254</f>
        <v>8415.85</v>
      </c>
      <c r="F29" s="7">
        <f t="shared" si="0"/>
        <v>0</v>
      </c>
    </row>
    <row r="30" spans="1:6" ht="47.25" x14ac:dyDescent="0.25">
      <c r="A30" s="5" t="s">
        <v>1738</v>
      </c>
      <c r="B30" s="7" t="s">
        <v>113</v>
      </c>
      <c r="C30" s="7" t="s">
        <v>75</v>
      </c>
      <c r="D30" s="7">
        <f>Quantity_Sheet!H30</f>
        <v>0</v>
      </c>
      <c r="E30" s="5">
        <f>rate_255</f>
        <v>16086.21</v>
      </c>
      <c r="F30" s="7">
        <f t="shared" si="0"/>
        <v>0</v>
      </c>
    </row>
    <row r="31" spans="1:6" ht="47.25" x14ac:dyDescent="0.25">
      <c r="A31" s="5" t="s">
        <v>1739</v>
      </c>
      <c r="B31" s="7" t="s">
        <v>116</v>
      </c>
      <c r="C31" s="7" t="s">
        <v>75</v>
      </c>
      <c r="D31" s="7">
        <f>Quantity_Sheet!H31</f>
        <v>0</v>
      </c>
      <c r="E31" s="5">
        <f>rate_256</f>
        <v>18021.169999999998</v>
      </c>
      <c r="F31" s="7">
        <f t="shared" si="0"/>
        <v>0</v>
      </c>
    </row>
    <row r="32" spans="1:6" ht="47.25" x14ac:dyDescent="0.25">
      <c r="A32" s="5" t="s">
        <v>1740</v>
      </c>
      <c r="B32" s="7" t="s">
        <v>119</v>
      </c>
      <c r="C32" s="7" t="s">
        <v>75</v>
      </c>
      <c r="D32" s="7">
        <f>Quantity_Sheet!H32</f>
        <v>0</v>
      </c>
      <c r="E32" s="5">
        <f>rate_257</f>
        <v>21515.41</v>
      </c>
      <c r="F32" s="7">
        <f t="shared" si="0"/>
        <v>0</v>
      </c>
    </row>
    <row r="33" spans="1:6" ht="63" x14ac:dyDescent="0.25">
      <c r="A33" s="5" t="s">
        <v>1741</v>
      </c>
      <c r="B33" s="7" t="s">
        <v>123</v>
      </c>
      <c r="C33" s="7" t="s">
        <v>84</v>
      </c>
      <c r="D33" s="7">
        <f>Quantity_Sheet!H33</f>
        <v>0</v>
      </c>
      <c r="E33" s="5">
        <f>rate_261</f>
        <v>861.23</v>
      </c>
      <c r="F33" s="7">
        <f t="shared" si="0"/>
        <v>0</v>
      </c>
    </row>
    <row r="34" spans="1:6" ht="63" x14ac:dyDescent="0.25">
      <c r="A34" s="5" t="s">
        <v>1742</v>
      </c>
      <c r="B34" s="7" t="s">
        <v>127</v>
      </c>
      <c r="C34" s="7" t="s">
        <v>84</v>
      </c>
      <c r="D34" s="7">
        <f>Quantity_Sheet!H34</f>
        <v>0</v>
      </c>
      <c r="E34" s="5">
        <f>rate_262</f>
        <v>72.39</v>
      </c>
      <c r="F34" s="7">
        <f t="shared" si="0"/>
        <v>0</v>
      </c>
    </row>
    <row r="35" spans="1:6" ht="63" x14ac:dyDescent="0.25">
      <c r="A35" s="5" t="s">
        <v>1743</v>
      </c>
      <c r="B35" s="7" t="s">
        <v>131</v>
      </c>
      <c r="C35" s="7" t="s">
        <v>84</v>
      </c>
      <c r="D35" s="7">
        <f>Quantity_Sheet!H35</f>
        <v>0</v>
      </c>
      <c r="E35" s="5">
        <f>rate_263</f>
        <v>996.66</v>
      </c>
      <c r="F35" s="7">
        <f t="shared" si="0"/>
        <v>0</v>
      </c>
    </row>
    <row r="36" spans="1:6" ht="63" x14ac:dyDescent="0.25">
      <c r="A36" s="5" t="s">
        <v>1744</v>
      </c>
      <c r="B36" s="7" t="s">
        <v>135</v>
      </c>
      <c r="C36" s="7" t="s">
        <v>84</v>
      </c>
      <c r="D36" s="7">
        <f>Quantity_Sheet!H36</f>
        <v>0</v>
      </c>
      <c r="E36" s="5">
        <f>rate_264</f>
        <v>217.18</v>
      </c>
      <c r="F36" s="7">
        <f t="shared" si="0"/>
        <v>0</v>
      </c>
    </row>
    <row r="37" spans="1:6" ht="63" x14ac:dyDescent="0.25">
      <c r="A37" s="5" t="s">
        <v>1745</v>
      </c>
      <c r="B37" s="7" t="s">
        <v>138</v>
      </c>
      <c r="C37" s="7" t="s">
        <v>84</v>
      </c>
      <c r="D37" s="7">
        <f>Quantity_Sheet!H37</f>
        <v>0</v>
      </c>
      <c r="E37" s="5">
        <f>rate_265</f>
        <v>-536.95000000000005</v>
      </c>
      <c r="F37" s="7">
        <f t="shared" si="0"/>
        <v>0</v>
      </c>
    </row>
    <row r="38" spans="1:6" ht="47.25" x14ac:dyDescent="0.25">
      <c r="A38" s="5" t="s">
        <v>275</v>
      </c>
      <c r="B38" s="7" t="s">
        <v>150</v>
      </c>
      <c r="C38" s="7" t="s">
        <v>84</v>
      </c>
      <c r="D38" s="7">
        <f>Quantity_Sheet!H38</f>
        <v>0</v>
      </c>
      <c r="E38" s="5" t="e">
        <f>rate_266</f>
        <v>#REF!</v>
      </c>
      <c r="F38" s="7" t="e">
        <f t="shared" si="0"/>
        <v>#REF!</v>
      </c>
    </row>
    <row r="39" spans="1:6" ht="78.75" x14ac:dyDescent="0.25">
      <c r="A39" s="5" t="s">
        <v>1746</v>
      </c>
      <c r="B39" s="7" t="s">
        <v>154</v>
      </c>
      <c r="C39" s="7" t="s">
        <v>84</v>
      </c>
      <c r="D39" s="7">
        <f>Quantity_Sheet!H39</f>
        <v>0</v>
      </c>
      <c r="E39" s="5">
        <f>rate_273</f>
        <v>1003.38</v>
      </c>
      <c r="F39" s="7">
        <f t="shared" si="0"/>
        <v>0</v>
      </c>
    </row>
    <row r="40" spans="1:6" ht="78.75" x14ac:dyDescent="0.25">
      <c r="A40" s="5" t="s">
        <v>1747</v>
      </c>
      <c r="B40" s="7" t="s">
        <v>156</v>
      </c>
      <c r="C40" s="7" t="s">
        <v>84</v>
      </c>
      <c r="D40" s="7">
        <f>Quantity_Sheet!H40</f>
        <v>0</v>
      </c>
      <c r="E40" s="5">
        <f>rate_276</f>
        <v>108.59</v>
      </c>
      <c r="F40" s="7">
        <f t="shared" si="0"/>
        <v>0</v>
      </c>
    </row>
    <row r="41" spans="1:6" ht="78.75" x14ac:dyDescent="0.25">
      <c r="A41" s="5" t="s">
        <v>1748</v>
      </c>
      <c r="B41" s="7" t="s">
        <v>159</v>
      </c>
      <c r="C41" s="7" t="s">
        <v>84</v>
      </c>
      <c r="D41" s="7">
        <f>Quantity_Sheet!H41</f>
        <v>0</v>
      </c>
      <c r="E41" s="5">
        <f>rate_277</f>
        <v>124.1</v>
      </c>
      <c r="F41" s="7">
        <f t="shared" si="0"/>
        <v>0</v>
      </c>
    </row>
    <row r="42" spans="1:6" ht="78.75" x14ac:dyDescent="0.25">
      <c r="A42" s="5" t="s">
        <v>1749</v>
      </c>
      <c r="B42" s="7" t="s">
        <v>162</v>
      </c>
      <c r="C42" s="7" t="s">
        <v>84</v>
      </c>
      <c r="D42" s="7">
        <f>Quantity_Sheet!H42</f>
        <v>0</v>
      </c>
      <c r="E42" s="5">
        <f>rate_278</f>
        <v>158.71</v>
      </c>
      <c r="F42" s="7">
        <f t="shared" si="0"/>
        <v>0</v>
      </c>
    </row>
    <row r="43" spans="1:6" ht="78.75" x14ac:dyDescent="0.25">
      <c r="A43" s="5" t="s">
        <v>1750</v>
      </c>
      <c r="B43" s="7" t="s">
        <v>165</v>
      </c>
      <c r="C43" s="7" t="s">
        <v>84</v>
      </c>
      <c r="D43" s="7">
        <f>Quantity_Sheet!H43</f>
        <v>0</v>
      </c>
      <c r="E43" s="5">
        <f>rate_280</f>
        <v>289.57</v>
      </c>
      <c r="F43" s="7">
        <f t="shared" si="0"/>
        <v>0</v>
      </c>
    </row>
    <row r="44" spans="1:6" ht="47.25" x14ac:dyDescent="0.25">
      <c r="A44" s="5" t="s">
        <v>1751</v>
      </c>
      <c r="B44" s="7" t="s">
        <v>168</v>
      </c>
      <c r="C44" s="7" t="s">
        <v>84</v>
      </c>
      <c r="D44" s="7">
        <f>Quantity_Sheet!H44</f>
        <v>0</v>
      </c>
      <c r="E44" s="5">
        <f>rate_289</f>
        <v>549.26</v>
      </c>
      <c r="F44" s="7">
        <f t="shared" si="0"/>
        <v>0</v>
      </c>
    </row>
    <row r="45" spans="1:6" ht="63" x14ac:dyDescent="0.25">
      <c r="A45" s="5" t="s">
        <v>1752</v>
      </c>
      <c r="B45" s="7" t="s">
        <v>177</v>
      </c>
      <c r="C45" s="7" t="s">
        <v>84</v>
      </c>
      <c r="D45" s="7">
        <f>Quantity_Sheet!H45</f>
        <v>0</v>
      </c>
      <c r="E45" s="5">
        <f>rate_291</f>
        <v>326.76</v>
      </c>
      <c r="F45" s="7">
        <f t="shared" si="0"/>
        <v>0</v>
      </c>
    </row>
    <row r="46" spans="1:6" ht="47.25" x14ac:dyDescent="0.25">
      <c r="A46" s="5" t="s">
        <v>1753</v>
      </c>
      <c r="B46" s="7" t="s">
        <v>180</v>
      </c>
      <c r="C46" s="7" t="s">
        <v>84</v>
      </c>
      <c r="D46" s="7">
        <f>Quantity_Sheet!H46</f>
        <v>0</v>
      </c>
      <c r="E46" s="5">
        <f>rate_293</f>
        <v>1422.01</v>
      </c>
      <c r="F46" s="7">
        <f t="shared" si="0"/>
        <v>0</v>
      </c>
    </row>
    <row r="47" spans="1:6" ht="47.25" x14ac:dyDescent="0.25">
      <c r="A47" s="5" t="s">
        <v>1754</v>
      </c>
      <c r="B47" s="7" t="s">
        <v>185</v>
      </c>
      <c r="C47" s="7" t="s">
        <v>84</v>
      </c>
      <c r="D47" s="7">
        <f>Quantity_Sheet!H47</f>
        <v>0</v>
      </c>
      <c r="E47" s="5">
        <f>rate_294</f>
        <v>5009.6499999999996</v>
      </c>
      <c r="F47" s="7">
        <f t="shared" si="0"/>
        <v>0</v>
      </c>
    </row>
    <row r="48" spans="1:6" ht="78.75" x14ac:dyDescent="0.25">
      <c r="A48" s="5" t="s">
        <v>1755</v>
      </c>
      <c r="B48" s="7" t="s">
        <v>187</v>
      </c>
      <c r="C48" s="7" t="s">
        <v>84</v>
      </c>
      <c r="D48" s="7">
        <f>Quantity_Sheet!H48</f>
        <v>0</v>
      </c>
      <c r="E48" s="5">
        <f>rate_297</f>
        <v>2014.18</v>
      </c>
      <c r="F48" s="7">
        <f t="shared" si="0"/>
        <v>0</v>
      </c>
    </row>
    <row r="49" spans="1:6" ht="47.25" x14ac:dyDescent="0.25">
      <c r="A49" s="5" t="s">
        <v>1756</v>
      </c>
      <c r="B49" s="7" t="s">
        <v>191</v>
      </c>
      <c r="C49" s="7" t="s">
        <v>84</v>
      </c>
      <c r="D49" s="7">
        <f>Quantity_Sheet!H49</f>
        <v>0</v>
      </c>
      <c r="E49" s="5">
        <f>rate_271</f>
        <v>154.96</v>
      </c>
      <c r="F49" s="7">
        <f t="shared" si="0"/>
        <v>0</v>
      </c>
    </row>
    <row r="50" spans="1:6" ht="31.5" x14ac:dyDescent="0.25">
      <c r="A50" s="5" t="s">
        <v>1757</v>
      </c>
      <c r="B50" s="7" t="s">
        <v>194</v>
      </c>
      <c r="C50" s="7" t="s">
        <v>84</v>
      </c>
      <c r="D50" s="7">
        <f>Quantity_Sheet!H50</f>
        <v>0</v>
      </c>
      <c r="E50" s="5">
        <f>rate_270</f>
        <v>185.95</v>
      </c>
      <c r="F50" s="7">
        <f t="shared" si="0"/>
        <v>0</v>
      </c>
    </row>
    <row r="51" spans="1:6" ht="31.5" x14ac:dyDescent="0.25">
      <c r="A51" s="5" t="s">
        <v>1758</v>
      </c>
      <c r="B51" s="7" t="s">
        <v>196</v>
      </c>
      <c r="C51" s="7" t="s">
        <v>84</v>
      </c>
      <c r="D51" s="7">
        <f>Quantity_Sheet!H51</f>
        <v>0</v>
      </c>
      <c r="E51" s="5">
        <f>rate_298</f>
        <v>4621.3</v>
      </c>
      <c r="F51" s="7">
        <f t="shared" si="0"/>
        <v>0</v>
      </c>
    </row>
    <row r="52" spans="1:6" ht="47.25" x14ac:dyDescent="0.25">
      <c r="A52" s="5" t="s">
        <v>1759</v>
      </c>
      <c r="B52" s="7" t="s">
        <v>199</v>
      </c>
      <c r="C52" s="7" t="s">
        <v>84</v>
      </c>
      <c r="D52" s="7">
        <f>Quantity_Sheet!H52</f>
        <v>0</v>
      </c>
      <c r="E52" s="5">
        <f>rate_296</f>
        <v>472.5</v>
      </c>
      <c r="F52" s="7">
        <f t="shared" si="0"/>
        <v>0</v>
      </c>
    </row>
    <row r="53" spans="1:6" ht="63" x14ac:dyDescent="0.25">
      <c r="A53" s="5" t="s">
        <v>1760</v>
      </c>
      <c r="B53" s="7" t="s">
        <v>204</v>
      </c>
      <c r="C53" s="7" t="s">
        <v>438</v>
      </c>
      <c r="D53" s="7">
        <f>Quantity_Sheet!H53</f>
        <v>0</v>
      </c>
      <c r="E53" s="5">
        <f>rate_301</f>
        <v>24.54</v>
      </c>
      <c r="F53" s="7">
        <f t="shared" si="0"/>
        <v>0</v>
      </c>
    </row>
    <row r="54" spans="1:6" ht="63" x14ac:dyDescent="0.25">
      <c r="A54" s="5" t="s">
        <v>1761</v>
      </c>
      <c r="B54" s="7" t="s">
        <v>208</v>
      </c>
      <c r="C54" s="7" t="s">
        <v>438</v>
      </c>
      <c r="D54" s="7">
        <f>Quantity_Sheet!H54</f>
        <v>0</v>
      </c>
      <c r="E54" s="5">
        <f>rate_299</f>
        <v>39.25</v>
      </c>
      <c r="F54" s="7">
        <f t="shared" si="0"/>
        <v>0</v>
      </c>
    </row>
    <row r="55" spans="1:6" ht="63" x14ac:dyDescent="0.25">
      <c r="A55" s="5" t="s">
        <v>1762</v>
      </c>
      <c r="B55" s="7" t="s">
        <v>210</v>
      </c>
      <c r="C55" s="7" t="s">
        <v>438</v>
      </c>
      <c r="D55" s="7">
        <f>Quantity_Sheet!H55</f>
        <v>0</v>
      </c>
      <c r="E55" s="5">
        <f>rate_302</f>
        <v>13.48</v>
      </c>
      <c r="F55" s="7">
        <f t="shared" si="0"/>
        <v>0</v>
      </c>
    </row>
    <row r="56" spans="1:6" ht="63" x14ac:dyDescent="0.25">
      <c r="A56" s="5" t="s">
        <v>1763</v>
      </c>
      <c r="B56" s="7" t="s">
        <v>215</v>
      </c>
      <c r="C56" s="7" t="s">
        <v>438</v>
      </c>
      <c r="D56" s="7">
        <f>Quantity_Sheet!H56</f>
        <v>0</v>
      </c>
      <c r="E56" s="5">
        <f>rate_303</f>
        <v>899.82</v>
      </c>
      <c r="F56" s="7">
        <f t="shared" si="0"/>
        <v>0</v>
      </c>
    </row>
    <row r="57" spans="1:6" ht="63" x14ac:dyDescent="0.25">
      <c r="A57" s="5" t="s">
        <v>1764</v>
      </c>
      <c r="B57" s="7" t="s">
        <v>219</v>
      </c>
      <c r="C57" s="7" t="s">
        <v>438</v>
      </c>
      <c r="D57" s="7">
        <f>Quantity_Sheet!H57</f>
        <v>0</v>
      </c>
      <c r="E57" s="5">
        <f>rate_304</f>
        <v>119.14</v>
      </c>
      <c r="F57" s="7">
        <f t="shared" si="0"/>
        <v>0</v>
      </c>
    </row>
    <row r="58" spans="1:6" ht="78.75" x14ac:dyDescent="0.25">
      <c r="A58" s="5" t="s">
        <v>1765</v>
      </c>
      <c r="B58" s="7" t="s">
        <v>221</v>
      </c>
      <c r="C58" s="7" t="s">
        <v>438</v>
      </c>
      <c r="D58" s="7">
        <f>Quantity_Sheet!H58</f>
        <v>0</v>
      </c>
      <c r="E58" s="5">
        <f>rate_305</f>
        <v>72.430000000000007</v>
      </c>
      <c r="F58" s="7">
        <f t="shared" si="0"/>
        <v>0</v>
      </c>
    </row>
    <row r="59" spans="1:6" ht="78.75" x14ac:dyDescent="0.25">
      <c r="A59" s="5" t="s">
        <v>1766</v>
      </c>
      <c r="B59" s="7" t="s">
        <v>224</v>
      </c>
      <c r="C59" s="7" t="s">
        <v>438</v>
      </c>
      <c r="D59" s="7">
        <f>Quantity_Sheet!H59</f>
        <v>0</v>
      </c>
      <c r="E59" s="5">
        <f>rate_306</f>
        <v>694.75</v>
      </c>
      <c r="F59" s="7">
        <f t="shared" si="0"/>
        <v>0</v>
      </c>
    </row>
    <row r="60" spans="1:6" ht="47.25" x14ac:dyDescent="0.25">
      <c r="A60" s="5" t="s">
        <v>1767</v>
      </c>
      <c r="B60" s="7" t="s">
        <v>229</v>
      </c>
      <c r="C60" s="7" t="s">
        <v>1768</v>
      </c>
      <c r="D60" s="7">
        <f>Quantity_Sheet!H60</f>
        <v>0</v>
      </c>
      <c r="E60" s="5">
        <f>rate_310</f>
        <v>5273.36</v>
      </c>
      <c r="F60" s="7">
        <f t="shared" si="0"/>
        <v>0</v>
      </c>
    </row>
    <row r="61" spans="1:6" ht="47.25" x14ac:dyDescent="0.25">
      <c r="A61" s="5" t="s">
        <v>1769</v>
      </c>
      <c r="B61" s="7" t="s">
        <v>233</v>
      </c>
      <c r="C61" s="7" t="s">
        <v>84</v>
      </c>
      <c r="D61" s="7">
        <f>Quantity_Sheet!H61</f>
        <v>0</v>
      </c>
      <c r="E61" s="5">
        <f>rate_312</f>
        <v>3423.21</v>
      </c>
      <c r="F61" s="7">
        <f t="shared" si="0"/>
        <v>0</v>
      </c>
    </row>
    <row r="62" spans="1:6" ht="78.75" x14ac:dyDescent="0.25">
      <c r="A62" s="5" t="s">
        <v>1770</v>
      </c>
      <c r="B62" s="7" t="s">
        <v>237</v>
      </c>
      <c r="C62" s="7" t="s">
        <v>84</v>
      </c>
      <c r="D62" s="7">
        <f>Quantity_Sheet!H62</f>
        <v>0</v>
      </c>
      <c r="E62" s="5">
        <f>rate_315</f>
        <v>5755.12</v>
      </c>
      <c r="F62" s="7">
        <f t="shared" si="0"/>
        <v>0</v>
      </c>
    </row>
    <row r="63" spans="1:6" ht="47.25" x14ac:dyDescent="0.25">
      <c r="A63" s="5" t="s">
        <v>1771</v>
      </c>
      <c r="B63" s="7" t="s">
        <v>240</v>
      </c>
      <c r="C63" s="7" t="s">
        <v>84</v>
      </c>
      <c r="D63" s="7">
        <f>Quantity_Sheet!H63</f>
        <v>0</v>
      </c>
      <c r="E63" s="5">
        <f>rate_326</f>
        <v>4726.4399999999996</v>
      </c>
      <c r="F63" s="7">
        <f t="shared" si="0"/>
        <v>0</v>
      </c>
    </row>
    <row r="64" spans="1:6" ht="47.25" x14ac:dyDescent="0.25">
      <c r="A64" s="5" t="s">
        <v>1772</v>
      </c>
      <c r="B64" s="7" t="s">
        <v>240</v>
      </c>
      <c r="C64" s="7" t="s">
        <v>84</v>
      </c>
      <c r="D64" s="7">
        <f>Quantity_Sheet!H64</f>
        <v>0</v>
      </c>
      <c r="E64" s="5">
        <f>rate_327</f>
        <v>5130.12</v>
      </c>
      <c r="F64" s="7">
        <f t="shared" si="0"/>
        <v>0</v>
      </c>
    </row>
    <row r="65" spans="1:6" ht="94.5" x14ac:dyDescent="0.25">
      <c r="A65" s="5" t="s">
        <v>1773</v>
      </c>
      <c r="B65" s="7" t="s">
        <v>250</v>
      </c>
      <c r="C65" s="7" t="s">
        <v>84</v>
      </c>
      <c r="D65" s="7">
        <f>Quantity_Sheet!H65</f>
        <v>0</v>
      </c>
      <c r="E65" s="5">
        <f>rate_2051</f>
        <v>5245.32</v>
      </c>
      <c r="F65" s="7">
        <f t="shared" si="0"/>
        <v>0</v>
      </c>
    </row>
    <row r="66" spans="1:6" ht="94.5" x14ac:dyDescent="0.25">
      <c r="A66" s="5" t="s">
        <v>1774</v>
      </c>
      <c r="B66" s="7" t="s">
        <v>259</v>
      </c>
      <c r="C66" s="7" t="s">
        <v>84</v>
      </c>
      <c r="D66" s="7">
        <f>Quantity_Sheet!H66</f>
        <v>0</v>
      </c>
      <c r="E66" s="5">
        <f>rate_2052</f>
        <v>5245.3</v>
      </c>
      <c r="F66" s="7">
        <f t="shared" si="0"/>
        <v>0</v>
      </c>
    </row>
    <row r="67" spans="1:6" ht="78.75" x14ac:dyDescent="0.25">
      <c r="A67" s="5" t="s">
        <v>1775</v>
      </c>
      <c r="B67" s="7" t="s">
        <v>261</v>
      </c>
      <c r="C67" s="7" t="s">
        <v>84</v>
      </c>
      <c r="D67" s="7">
        <f>Quantity_Sheet!H67</f>
        <v>0</v>
      </c>
      <c r="E67" s="5">
        <f>rate_331</f>
        <v>1141.1400000000001</v>
      </c>
      <c r="F67" s="7">
        <f t="shared" si="0"/>
        <v>0</v>
      </c>
    </row>
    <row r="68" spans="1:6" ht="47.25" x14ac:dyDescent="0.25">
      <c r="A68" s="5" t="s">
        <v>1776</v>
      </c>
      <c r="B68" s="7" t="s">
        <v>277</v>
      </c>
      <c r="C68" s="7" t="s">
        <v>84</v>
      </c>
      <c r="D68" s="7">
        <f>Quantity_Sheet!H68</f>
        <v>0</v>
      </c>
      <c r="E68" s="5">
        <f>rate_328</f>
        <v>842.29</v>
      </c>
      <c r="F68" s="7">
        <f t="shared" si="0"/>
        <v>0</v>
      </c>
    </row>
    <row r="69" spans="1:6" ht="47.25" x14ac:dyDescent="0.25">
      <c r="A69" s="5" t="s">
        <v>1777</v>
      </c>
      <c r="B69" s="7" t="s">
        <v>280</v>
      </c>
      <c r="C69" s="7" t="s">
        <v>84</v>
      </c>
      <c r="D69" s="7">
        <f>Quantity_Sheet!H69</f>
        <v>0</v>
      </c>
      <c r="E69" s="5">
        <f>rate_329</f>
        <v>912.36</v>
      </c>
      <c r="F69" s="7">
        <f t="shared" si="0"/>
        <v>0</v>
      </c>
    </row>
    <row r="70" spans="1:6" ht="78.75" x14ac:dyDescent="0.25">
      <c r="A70" s="5" t="s">
        <v>1778</v>
      </c>
      <c r="B70" s="7" t="s">
        <v>284</v>
      </c>
      <c r="C70" s="7" t="s">
        <v>1133</v>
      </c>
      <c r="D70" s="7">
        <f>Quantity_Sheet!H70</f>
        <v>0</v>
      </c>
      <c r="E70" s="5">
        <f>rate_340</f>
        <v>154.06</v>
      </c>
      <c r="F70" s="7">
        <f t="shared" si="0"/>
        <v>0</v>
      </c>
    </row>
    <row r="71" spans="1:6" ht="63" x14ac:dyDescent="0.25">
      <c r="A71" s="5" t="s">
        <v>1779</v>
      </c>
      <c r="B71" s="7" t="s">
        <v>291</v>
      </c>
      <c r="C71" s="7" t="s">
        <v>1133</v>
      </c>
      <c r="D71" s="7">
        <f>Quantity_Sheet!H71</f>
        <v>0</v>
      </c>
      <c r="E71" s="5">
        <f>rate_343</f>
        <v>129.47</v>
      </c>
      <c r="F71" s="7">
        <f t="shared" si="0"/>
        <v>0</v>
      </c>
    </row>
    <row r="72" spans="1:6" ht="47.25" x14ac:dyDescent="0.25">
      <c r="A72" s="5" t="s">
        <v>1780</v>
      </c>
      <c r="B72" s="7" t="s">
        <v>295</v>
      </c>
      <c r="C72" s="7" t="s">
        <v>1133</v>
      </c>
      <c r="D72" s="7">
        <f>Quantity_Sheet!H72</f>
        <v>0</v>
      </c>
      <c r="E72" s="5">
        <f>rate_345</f>
        <v>143.07</v>
      </c>
      <c r="F72" s="7">
        <f t="shared" si="0"/>
        <v>0</v>
      </c>
    </row>
    <row r="73" spans="1:6" ht="78.75" x14ac:dyDescent="0.25">
      <c r="A73" s="5" t="s">
        <v>1781</v>
      </c>
      <c r="B73" s="7" t="s">
        <v>299</v>
      </c>
      <c r="C73" s="7" t="s">
        <v>84</v>
      </c>
      <c r="D73" s="7">
        <f>Quantity_Sheet!H73</f>
        <v>0</v>
      </c>
      <c r="E73" s="5">
        <f>rate_350</f>
        <v>17014.53</v>
      </c>
      <c r="F73" s="7">
        <f t="shared" si="0"/>
        <v>0</v>
      </c>
    </row>
    <row r="74" spans="1:6" ht="78.75" x14ac:dyDescent="0.25">
      <c r="A74" s="5" t="s">
        <v>1782</v>
      </c>
      <c r="B74" s="7" t="s">
        <v>309</v>
      </c>
      <c r="C74" s="7" t="s">
        <v>84</v>
      </c>
      <c r="D74" s="7">
        <f>Quantity_Sheet!H74</f>
        <v>0</v>
      </c>
      <c r="E74" s="5">
        <f>rate_352</f>
        <v>16999.45</v>
      </c>
      <c r="F74" s="7">
        <f t="shared" si="0"/>
        <v>0</v>
      </c>
    </row>
    <row r="75" spans="1:6" ht="63" x14ac:dyDescent="0.25">
      <c r="A75" s="5" t="s">
        <v>1783</v>
      </c>
      <c r="B75" s="7" t="s">
        <v>313</v>
      </c>
      <c r="C75" s="7" t="s">
        <v>438</v>
      </c>
      <c r="D75" s="7">
        <f>Quantity_Sheet!H75</f>
        <v>0</v>
      </c>
      <c r="E75" s="5">
        <f>rate_353</f>
        <v>711.17</v>
      </c>
      <c r="F75" s="7">
        <f t="shared" si="0"/>
        <v>0</v>
      </c>
    </row>
    <row r="76" spans="1:6" ht="63" x14ac:dyDescent="0.25">
      <c r="A76" s="5" t="s">
        <v>1784</v>
      </c>
      <c r="B76" s="7" t="s">
        <v>319</v>
      </c>
      <c r="C76" s="7" t="s">
        <v>438</v>
      </c>
      <c r="D76" s="7">
        <f>Quantity_Sheet!H76</f>
        <v>0</v>
      </c>
      <c r="E76" s="5">
        <f>rate_354</f>
        <v>966.69</v>
      </c>
      <c r="F76" s="7">
        <f t="shared" si="0"/>
        <v>0</v>
      </c>
    </row>
    <row r="77" spans="1:6" ht="78.75" x14ac:dyDescent="0.25">
      <c r="A77" s="5" t="s">
        <v>1785</v>
      </c>
      <c r="B77" s="7" t="s">
        <v>324</v>
      </c>
      <c r="C77" s="7" t="s">
        <v>1786</v>
      </c>
      <c r="D77" s="7">
        <f>Quantity_Sheet!H77</f>
        <v>0</v>
      </c>
      <c r="E77" s="5">
        <f>rate_2063</f>
        <v>20395.400000000001</v>
      </c>
      <c r="F77" s="7">
        <f t="shared" si="0"/>
        <v>0</v>
      </c>
    </row>
    <row r="78" spans="1:6" ht="78.75" x14ac:dyDescent="0.25">
      <c r="A78" s="5" t="s">
        <v>1787</v>
      </c>
      <c r="B78" s="7" t="s">
        <v>333</v>
      </c>
      <c r="C78" s="7" t="s">
        <v>84</v>
      </c>
      <c r="D78" s="7">
        <f>Quantity_Sheet!H78</f>
        <v>0</v>
      </c>
      <c r="E78" s="5">
        <f>rate_2064</f>
        <v>20445.82</v>
      </c>
      <c r="F78" s="7">
        <f t="shared" ref="F78:F141" si="1">TRUNC(D78*E78,2)</f>
        <v>0</v>
      </c>
    </row>
    <row r="79" spans="1:6" ht="78.75" x14ac:dyDescent="0.25">
      <c r="A79" s="5" t="s">
        <v>1788</v>
      </c>
      <c r="B79" s="7" t="s">
        <v>338</v>
      </c>
      <c r="C79" s="7" t="s">
        <v>84</v>
      </c>
      <c r="D79" s="7">
        <f>Quantity_Sheet!H79</f>
        <v>0</v>
      </c>
      <c r="E79" s="5">
        <f>rate_2065</f>
        <v>25127.759999999998</v>
      </c>
      <c r="F79" s="7">
        <f t="shared" si="1"/>
        <v>0</v>
      </c>
    </row>
    <row r="80" spans="1:6" ht="78.75" x14ac:dyDescent="0.25">
      <c r="A80" s="5" t="s">
        <v>1789</v>
      </c>
      <c r="B80" s="7" t="s">
        <v>343</v>
      </c>
      <c r="C80" s="7" t="s">
        <v>84</v>
      </c>
      <c r="D80" s="7">
        <f>Quantity_Sheet!H80</f>
        <v>0</v>
      </c>
      <c r="E80" s="5">
        <f>rate_2066</f>
        <v>25112.36</v>
      </c>
      <c r="F80" s="7">
        <f t="shared" si="1"/>
        <v>0</v>
      </c>
    </row>
    <row r="81" spans="1:6" ht="63" x14ac:dyDescent="0.25">
      <c r="A81" s="5" t="s">
        <v>1790</v>
      </c>
      <c r="B81" s="7" t="s">
        <v>348</v>
      </c>
      <c r="C81" s="7" t="s">
        <v>438</v>
      </c>
      <c r="D81" s="7">
        <f>Quantity_Sheet!H81</f>
        <v>0</v>
      </c>
      <c r="E81" s="5">
        <f>rate_363</f>
        <v>74.98</v>
      </c>
      <c r="F81" s="7">
        <f t="shared" si="1"/>
        <v>0</v>
      </c>
    </row>
    <row r="82" spans="1:6" ht="63" x14ac:dyDescent="0.25">
      <c r="A82" s="5" t="s">
        <v>1791</v>
      </c>
      <c r="B82" s="7" t="s">
        <v>352</v>
      </c>
      <c r="C82" s="7" t="s">
        <v>438</v>
      </c>
      <c r="D82" s="7">
        <f>Quantity_Sheet!H82</f>
        <v>0</v>
      </c>
      <c r="E82" s="5">
        <f>rate_364</f>
        <v>49.92</v>
      </c>
      <c r="F82" s="7">
        <f t="shared" si="1"/>
        <v>0</v>
      </c>
    </row>
    <row r="83" spans="1:6" ht="63" x14ac:dyDescent="0.25">
      <c r="A83" s="5" t="s">
        <v>1792</v>
      </c>
      <c r="B83" s="7" t="s">
        <v>356</v>
      </c>
      <c r="C83" s="7" t="s">
        <v>438</v>
      </c>
      <c r="D83" s="7">
        <f>Quantity_Sheet!H83</f>
        <v>0</v>
      </c>
      <c r="E83" s="5">
        <f>rate_365</f>
        <v>38.880000000000003</v>
      </c>
      <c r="F83" s="7">
        <f t="shared" si="1"/>
        <v>0</v>
      </c>
    </row>
    <row r="84" spans="1:6" ht="63" x14ac:dyDescent="0.25">
      <c r="A84" s="5" t="s">
        <v>1793</v>
      </c>
      <c r="B84" s="7" t="s">
        <v>360</v>
      </c>
      <c r="C84" s="7" t="s">
        <v>438</v>
      </c>
      <c r="D84" s="7">
        <f>Quantity_Sheet!H84</f>
        <v>0</v>
      </c>
      <c r="E84" s="5">
        <f>rate_366</f>
        <v>25.86</v>
      </c>
      <c r="F84" s="7">
        <f t="shared" si="1"/>
        <v>0</v>
      </c>
    </row>
    <row r="85" spans="1:6" ht="31.5" x14ac:dyDescent="0.25">
      <c r="A85" s="5" t="s">
        <v>1794</v>
      </c>
      <c r="B85" s="7" t="s">
        <v>364</v>
      </c>
      <c r="C85" s="7" t="s">
        <v>438</v>
      </c>
      <c r="D85" s="7">
        <f>Quantity_Sheet!H85</f>
        <v>0</v>
      </c>
      <c r="E85" s="5">
        <f>rate_376</f>
        <v>123.29</v>
      </c>
      <c r="F85" s="7">
        <f t="shared" si="1"/>
        <v>0</v>
      </c>
    </row>
    <row r="86" spans="1:6" ht="78.75" x14ac:dyDescent="0.25">
      <c r="A86" s="5" t="s">
        <v>1795</v>
      </c>
      <c r="B86" s="7" t="s">
        <v>370</v>
      </c>
      <c r="C86" s="7" t="s">
        <v>438</v>
      </c>
      <c r="D86" s="7">
        <f>Quantity_Sheet!H86</f>
        <v>0</v>
      </c>
      <c r="E86" s="5">
        <f>rate_377</f>
        <v>157.94</v>
      </c>
      <c r="F86" s="7">
        <f t="shared" si="1"/>
        <v>0</v>
      </c>
    </row>
    <row r="87" spans="1:6" ht="78.75" x14ac:dyDescent="0.25">
      <c r="A87" s="5" t="s">
        <v>1796</v>
      </c>
      <c r="B87" s="7" t="s">
        <v>377</v>
      </c>
      <c r="C87" s="7" t="s">
        <v>438</v>
      </c>
      <c r="D87" s="7">
        <f>Quantity_Sheet!H87</f>
        <v>0</v>
      </c>
      <c r="E87" s="5">
        <f>rate_378</f>
        <v>108.63</v>
      </c>
      <c r="F87" s="7">
        <f t="shared" si="1"/>
        <v>0</v>
      </c>
    </row>
    <row r="88" spans="1:6" ht="78.75" x14ac:dyDescent="0.25">
      <c r="A88" s="5" t="s">
        <v>1797</v>
      </c>
      <c r="B88" s="7" t="s">
        <v>381</v>
      </c>
      <c r="C88" s="7" t="s">
        <v>438</v>
      </c>
      <c r="D88" s="7">
        <f>Quantity_Sheet!H88</f>
        <v>0</v>
      </c>
      <c r="E88" s="5">
        <f>rate_379</f>
        <v>65.44</v>
      </c>
      <c r="F88" s="7">
        <f t="shared" si="1"/>
        <v>0</v>
      </c>
    </row>
    <row r="89" spans="1:6" ht="47.25" x14ac:dyDescent="0.25">
      <c r="A89" s="5" t="s">
        <v>1798</v>
      </c>
      <c r="B89" s="7" t="s">
        <v>385</v>
      </c>
      <c r="C89" s="7" t="s">
        <v>438</v>
      </c>
      <c r="D89" s="7">
        <f>Quantity_Sheet!H89</f>
        <v>0</v>
      </c>
      <c r="E89" s="5">
        <f>rate_380</f>
        <v>83.86</v>
      </c>
      <c r="F89" s="7">
        <f t="shared" si="1"/>
        <v>0</v>
      </c>
    </row>
    <row r="90" spans="1:6" ht="78.75" x14ac:dyDescent="0.25">
      <c r="A90" s="5" t="s">
        <v>1799</v>
      </c>
      <c r="B90" s="7" t="s">
        <v>389</v>
      </c>
      <c r="C90" s="7" t="s">
        <v>84</v>
      </c>
      <c r="D90" s="7">
        <f>Quantity_Sheet!H90</f>
        <v>0</v>
      </c>
      <c r="E90" s="5">
        <f>rate_382</f>
        <v>25212.91</v>
      </c>
      <c r="F90" s="7">
        <f t="shared" si="1"/>
        <v>0</v>
      </c>
    </row>
    <row r="91" spans="1:6" ht="78.75" x14ac:dyDescent="0.25">
      <c r="A91" s="5" t="s">
        <v>1800</v>
      </c>
      <c r="B91" s="7" t="s">
        <v>397</v>
      </c>
      <c r="C91" s="7" t="s">
        <v>84</v>
      </c>
      <c r="D91" s="7">
        <f>Quantity_Sheet!H91</f>
        <v>0</v>
      </c>
      <c r="E91" s="5">
        <f>rate_383</f>
        <v>25227.759999999998</v>
      </c>
      <c r="F91" s="7">
        <f t="shared" si="1"/>
        <v>0</v>
      </c>
    </row>
    <row r="92" spans="1:6" ht="78.75" x14ac:dyDescent="0.25">
      <c r="A92" s="5" t="s">
        <v>1801</v>
      </c>
      <c r="B92" s="7" t="s">
        <v>401</v>
      </c>
      <c r="C92" s="7" t="s">
        <v>84</v>
      </c>
      <c r="D92" s="7">
        <f>Quantity_Sheet!H92</f>
        <v>0</v>
      </c>
      <c r="E92" s="5">
        <f>rate_384</f>
        <v>20024.48</v>
      </c>
      <c r="F92" s="7">
        <f t="shared" si="1"/>
        <v>0</v>
      </c>
    </row>
    <row r="93" spans="1:6" ht="78.75" x14ac:dyDescent="0.25">
      <c r="A93" s="5" t="s">
        <v>1802</v>
      </c>
      <c r="B93" s="7" t="s">
        <v>404</v>
      </c>
      <c r="C93" s="7" t="s">
        <v>84</v>
      </c>
      <c r="D93" s="7">
        <f>Quantity_Sheet!H93</f>
        <v>0</v>
      </c>
      <c r="E93" s="5">
        <f>rate_385</f>
        <v>20036.36</v>
      </c>
      <c r="F93" s="7">
        <f t="shared" si="1"/>
        <v>0</v>
      </c>
    </row>
    <row r="94" spans="1:6" ht="31.5" x14ac:dyDescent="0.25">
      <c r="A94" s="5" t="s">
        <v>1803</v>
      </c>
      <c r="B94" s="7" t="s">
        <v>407</v>
      </c>
      <c r="C94" s="7" t="s">
        <v>144</v>
      </c>
      <c r="D94" s="7">
        <f>Quantity_Sheet!H94</f>
        <v>0</v>
      </c>
      <c r="E94" s="5">
        <f>rate_387</f>
        <v>395.03</v>
      </c>
      <c r="F94" s="7">
        <f t="shared" si="1"/>
        <v>0</v>
      </c>
    </row>
    <row r="95" spans="1:6" ht="78.75" x14ac:dyDescent="0.25">
      <c r="A95" s="5" t="s">
        <v>1804</v>
      </c>
      <c r="B95" s="7" t="s">
        <v>412</v>
      </c>
      <c r="C95" s="7" t="s">
        <v>438</v>
      </c>
      <c r="D95" s="7">
        <f>Quantity_Sheet!H95</f>
        <v>0</v>
      </c>
      <c r="E95" s="5">
        <f>rate_394</f>
        <v>1476.82</v>
      </c>
      <c r="F95" s="7">
        <f t="shared" si="1"/>
        <v>0</v>
      </c>
    </row>
    <row r="96" spans="1:6" ht="78.75" x14ac:dyDescent="0.25">
      <c r="A96" s="5" t="s">
        <v>1805</v>
      </c>
      <c r="B96" s="7" t="s">
        <v>426</v>
      </c>
      <c r="C96" s="7" t="s">
        <v>75</v>
      </c>
      <c r="D96" s="7">
        <f>Quantity_Sheet!H96</f>
        <v>0</v>
      </c>
      <c r="E96" s="5">
        <f>rate_395</f>
        <v>1727.64</v>
      </c>
      <c r="F96" s="7">
        <f t="shared" si="1"/>
        <v>0</v>
      </c>
    </row>
    <row r="97" spans="1:6" ht="63" x14ac:dyDescent="0.25">
      <c r="A97" s="5" t="s">
        <v>1806</v>
      </c>
      <c r="B97" s="7" t="s">
        <v>434</v>
      </c>
      <c r="C97" s="7" t="s">
        <v>438</v>
      </c>
      <c r="D97" s="7">
        <f>Quantity_Sheet!H97</f>
        <v>0</v>
      </c>
      <c r="E97" s="5">
        <f>rate_396</f>
        <v>1519.35</v>
      </c>
      <c r="F97" s="7">
        <f t="shared" si="1"/>
        <v>0</v>
      </c>
    </row>
    <row r="98" spans="1:6" ht="47.25" x14ac:dyDescent="0.25">
      <c r="A98" s="5" t="s">
        <v>1807</v>
      </c>
      <c r="B98" s="7" t="s">
        <v>439</v>
      </c>
      <c r="C98" s="7" t="s">
        <v>438</v>
      </c>
      <c r="D98" s="7">
        <f>Quantity_Sheet!H98</f>
        <v>0</v>
      </c>
      <c r="E98" s="5" t="e">
        <f>rate_397</f>
        <v>#REF!</v>
      </c>
      <c r="F98" s="7" t="e">
        <f t="shared" si="1"/>
        <v>#REF!</v>
      </c>
    </row>
    <row r="99" spans="1:6" ht="94.5" x14ac:dyDescent="0.25">
      <c r="A99" s="5" t="s">
        <v>1808</v>
      </c>
      <c r="B99" s="7" t="s">
        <v>443</v>
      </c>
      <c r="C99" s="7" t="s">
        <v>75</v>
      </c>
      <c r="D99" s="7">
        <f>Quantity_Sheet!H99</f>
        <v>0</v>
      </c>
      <c r="E99" s="5">
        <f>rate_398</f>
        <v>931.92</v>
      </c>
      <c r="F99" s="7">
        <f t="shared" si="1"/>
        <v>0</v>
      </c>
    </row>
    <row r="100" spans="1:6" ht="47.25" x14ac:dyDescent="0.25">
      <c r="A100" s="5" t="s">
        <v>1809</v>
      </c>
      <c r="B100" s="7" t="s">
        <v>449</v>
      </c>
      <c r="C100" s="7" t="s">
        <v>438</v>
      </c>
      <c r="D100" s="7">
        <f>Quantity_Sheet!H100</f>
        <v>0</v>
      </c>
      <c r="E100" s="5">
        <f>rate_400</f>
        <v>1983.65</v>
      </c>
      <c r="F100" s="7">
        <f t="shared" si="1"/>
        <v>0</v>
      </c>
    </row>
    <row r="101" spans="1:6" ht="47.25" x14ac:dyDescent="0.25">
      <c r="A101" s="5" t="s">
        <v>1810</v>
      </c>
      <c r="B101" s="7" t="s">
        <v>452</v>
      </c>
      <c r="C101" s="7" t="s">
        <v>438</v>
      </c>
      <c r="D101" s="7">
        <f>Quantity_Sheet!H101</f>
        <v>0</v>
      </c>
      <c r="E101" s="5">
        <f>rate_401</f>
        <v>1230.95</v>
      </c>
      <c r="F101" s="7">
        <f t="shared" si="1"/>
        <v>0</v>
      </c>
    </row>
    <row r="102" spans="1:6" ht="110.25" x14ac:dyDescent="0.25">
      <c r="A102" s="5" t="s">
        <v>1811</v>
      </c>
      <c r="B102" s="7" t="s">
        <v>456</v>
      </c>
      <c r="C102" s="7" t="s">
        <v>1812</v>
      </c>
      <c r="D102" s="7">
        <f>Quantity_Sheet!H102</f>
        <v>0</v>
      </c>
      <c r="E102" s="5" t="e">
        <f>rate_2088</f>
        <v>#REF!</v>
      </c>
      <c r="F102" s="7" t="e">
        <f t="shared" si="1"/>
        <v>#REF!</v>
      </c>
    </row>
    <row r="103" spans="1:6" ht="126" x14ac:dyDescent="0.25">
      <c r="A103" s="5" t="s">
        <v>1813</v>
      </c>
      <c r="B103" s="7" t="s">
        <v>467</v>
      </c>
      <c r="C103" s="7" t="s">
        <v>1812</v>
      </c>
      <c r="D103" s="7">
        <f>Quantity_Sheet!H103</f>
        <v>0</v>
      </c>
      <c r="E103" s="5" t="e">
        <f>rate_2089</f>
        <v>#REF!</v>
      </c>
      <c r="F103" s="7" t="e">
        <f t="shared" si="1"/>
        <v>#REF!</v>
      </c>
    </row>
    <row r="104" spans="1:6" ht="110.25" x14ac:dyDescent="0.25">
      <c r="A104" s="5" t="s">
        <v>1814</v>
      </c>
      <c r="B104" s="7" t="s">
        <v>472</v>
      </c>
      <c r="C104" s="7" t="s">
        <v>35</v>
      </c>
      <c r="D104" s="7">
        <f>Quantity_Sheet!H104</f>
        <v>0</v>
      </c>
      <c r="E104" s="5" t="e">
        <f>rate_404</f>
        <v>#REF!</v>
      </c>
      <c r="F104" s="7" t="e">
        <f t="shared" si="1"/>
        <v>#REF!</v>
      </c>
    </row>
    <row r="105" spans="1:6" ht="110.25" x14ac:dyDescent="0.25">
      <c r="A105" s="5" t="s">
        <v>1815</v>
      </c>
      <c r="B105" s="7" t="s">
        <v>479</v>
      </c>
      <c r="C105" s="7" t="s">
        <v>438</v>
      </c>
      <c r="D105" s="7">
        <f>Quantity_Sheet!H105</f>
        <v>0</v>
      </c>
      <c r="E105" s="5" t="e">
        <f>rate_405</f>
        <v>#REF!</v>
      </c>
      <c r="F105" s="7" t="e">
        <f t="shared" si="1"/>
        <v>#REF!</v>
      </c>
    </row>
    <row r="106" spans="1:6" ht="47.25" x14ac:dyDescent="0.25">
      <c r="A106" s="5" t="s">
        <v>1816</v>
      </c>
      <c r="B106" s="7" t="s">
        <v>484</v>
      </c>
      <c r="C106" s="7" t="s">
        <v>438</v>
      </c>
      <c r="D106" s="7">
        <f>Quantity_Sheet!H106</f>
        <v>0</v>
      </c>
      <c r="E106" s="5">
        <f>rate_406</f>
        <v>1052.02</v>
      </c>
      <c r="F106" s="7">
        <f t="shared" si="1"/>
        <v>0</v>
      </c>
    </row>
    <row r="107" spans="1:6" ht="47.25" x14ac:dyDescent="0.25">
      <c r="A107" s="5" t="s">
        <v>1817</v>
      </c>
      <c r="B107" s="7" t="s">
        <v>491</v>
      </c>
      <c r="C107" s="7" t="s">
        <v>438</v>
      </c>
      <c r="D107" s="7">
        <f>Quantity_Sheet!H107</f>
        <v>0</v>
      </c>
      <c r="E107" s="5">
        <f>rate_407</f>
        <v>200.19</v>
      </c>
      <c r="F107" s="7">
        <f t="shared" si="1"/>
        <v>0</v>
      </c>
    </row>
    <row r="108" spans="1:6" ht="47.25" x14ac:dyDescent="0.25">
      <c r="A108" s="5" t="s">
        <v>1818</v>
      </c>
      <c r="B108" s="7" t="s">
        <v>495</v>
      </c>
      <c r="C108" s="7" t="s">
        <v>438</v>
      </c>
      <c r="D108" s="7">
        <f>Quantity_Sheet!H108</f>
        <v>0</v>
      </c>
      <c r="E108" s="5">
        <f>rate_408</f>
        <v>216.08</v>
      </c>
      <c r="F108" s="7">
        <f t="shared" si="1"/>
        <v>0</v>
      </c>
    </row>
    <row r="109" spans="1:6" ht="94.5" x14ac:dyDescent="0.25">
      <c r="A109" s="5" t="s">
        <v>1819</v>
      </c>
      <c r="B109" s="7" t="s">
        <v>499</v>
      </c>
      <c r="C109" s="7" t="s">
        <v>438</v>
      </c>
      <c r="D109" s="7">
        <f>Quantity_Sheet!H109</f>
        <v>0</v>
      </c>
      <c r="E109" s="5">
        <f>rate_409</f>
        <v>395.5</v>
      </c>
      <c r="F109" s="7">
        <f t="shared" si="1"/>
        <v>0</v>
      </c>
    </row>
    <row r="110" spans="1:6" ht="94.5" x14ac:dyDescent="0.25">
      <c r="A110" s="5" t="s">
        <v>1820</v>
      </c>
      <c r="B110" s="7" t="s">
        <v>502</v>
      </c>
      <c r="C110" s="7" t="s">
        <v>438</v>
      </c>
      <c r="D110" s="7">
        <f>Quantity_Sheet!H110</f>
        <v>0</v>
      </c>
      <c r="E110" s="5">
        <f>rate_410</f>
        <v>395.5</v>
      </c>
      <c r="F110" s="7">
        <f t="shared" si="1"/>
        <v>0</v>
      </c>
    </row>
    <row r="111" spans="1:6" ht="94.5" x14ac:dyDescent="0.25">
      <c r="A111" s="5" t="s">
        <v>1821</v>
      </c>
      <c r="B111" s="7" t="s">
        <v>504</v>
      </c>
      <c r="C111" s="7" t="s">
        <v>438</v>
      </c>
      <c r="D111" s="7">
        <f>Quantity_Sheet!H111</f>
        <v>0</v>
      </c>
      <c r="E111" s="5">
        <f>rate_411</f>
        <v>380.89</v>
      </c>
      <c r="F111" s="7">
        <f t="shared" si="1"/>
        <v>0</v>
      </c>
    </row>
    <row r="112" spans="1:6" ht="94.5" x14ac:dyDescent="0.25">
      <c r="A112" s="5" t="s">
        <v>1822</v>
      </c>
      <c r="B112" s="7" t="s">
        <v>506</v>
      </c>
      <c r="C112" s="7" t="s">
        <v>438</v>
      </c>
      <c r="D112" s="7">
        <f>Quantity_Sheet!H112</f>
        <v>0</v>
      </c>
      <c r="E112" s="5">
        <f>rate_412</f>
        <v>380.89</v>
      </c>
      <c r="F112" s="7">
        <f t="shared" si="1"/>
        <v>0</v>
      </c>
    </row>
    <row r="113" spans="1:6" ht="94.5" x14ac:dyDescent="0.25">
      <c r="A113" s="5" t="s">
        <v>1823</v>
      </c>
      <c r="B113" s="7" t="s">
        <v>509</v>
      </c>
      <c r="C113" s="7" t="s">
        <v>438</v>
      </c>
      <c r="D113" s="7">
        <f>Quantity_Sheet!H113</f>
        <v>0</v>
      </c>
      <c r="E113" s="5">
        <f>rate_413</f>
        <v>1606.55</v>
      </c>
      <c r="F113" s="7">
        <f t="shared" si="1"/>
        <v>0</v>
      </c>
    </row>
    <row r="114" spans="1:6" ht="94.5" x14ac:dyDescent="0.25">
      <c r="A114" s="5" t="s">
        <v>1824</v>
      </c>
      <c r="B114" s="7" t="s">
        <v>515</v>
      </c>
      <c r="C114" s="7" t="s">
        <v>438</v>
      </c>
      <c r="D114" s="7">
        <f>Quantity_Sheet!H114</f>
        <v>0</v>
      </c>
      <c r="E114" s="5">
        <f>rate_414</f>
        <v>2753.83</v>
      </c>
      <c r="F114" s="7">
        <f t="shared" si="1"/>
        <v>0</v>
      </c>
    </row>
    <row r="115" spans="1:6" ht="141.75" x14ac:dyDescent="0.25">
      <c r="A115" s="5" t="s">
        <v>1825</v>
      </c>
      <c r="B115" s="7" t="s">
        <v>519</v>
      </c>
      <c r="C115" s="7" t="s">
        <v>1812</v>
      </c>
      <c r="D115" s="7">
        <f>Quantity_Sheet!H115</f>
        <v>0</v>
      </c>
      <c r="E115" s="5">
        <f>rate_2101</f>
        <v>1368.27</v>
      </c>
      <c r="F115" s="7">
        <f t="shared" si="1"/>
        <v>0</v>
      </c>
    </row>
    <row r="116" spans="1:6" ht="47.25" x14ac:dyDescent="0.25">
      <c r="A116" s="5" t="s">
        <v>1826</v>
      </c>
      <c r="B116" s="7" t="s">
        <v>525</v>
      </c>
      <c r="C116" s="7" t="s">
        <v>1812</v>
      </c>
      <c r="D116" s="7">
        <f>Quantity_Sheet!H116</f>
        <v>0</v>
      </c>
      <c r="E116" s="5">
        <f>rate_2102</f>
        <v>5021.08</v>
      </c>
      <c r="F116" s="7">
        <f t="shared" si="1"/>
        <v>0</v>
      </c>
    </row>
    <row r="117" spans="1:6" ht="47.25" x14ac:dyDescent="0.25">
      <c r="A117" s="5" t="s">
        <v>1827</v>
      </c>
      <c r="B117" s="7" t="s">
        <v>536</v>
      </c>
      <c r="C117" s="7" t="s">
        <v>1812</v>
      </c>
      <c r="D117" s="7">
        <f>Quantity_Sheet!H117</f>
        <v>0</v>
      </c>
      <c r="E117" s="5">
        <f>rate_2103</f>
        <v>2701.65</v>
      </c>
      <c r="F117" s="7">
        <f t="shared" si="1"/>
        <v>0</v>
      </c>
    </row>
    <row r="118" spans="1:6" ht="78.75" x14ac:dyDescent="0.25">
      <c r="A118" s="5" t="s">
        <v>1828</v>
      </c>
      <c r="B118" s="7" t="s">
        <v>541</v>
      </c>
      <c r="C118" s="7" t="s">
        <v>1812</v>
      </c>
      <c r="D118" s="7">
        <f>Quantity_Sheet!H118</f>
        <v>0</v>
      </c>
      <c r="E118" s="5">
        <f>rate_418</f>
        <v>1839.71</v>
      </c>
      <c r="F118" s="7">
        <f t="shared" si="1"/>
        <v>0</v>
      </c>
    </row>
    <row r="119" spans="1:6" ht="94.5" x14ac:dyDescent="0.25">
      <c r="A119" s="5" t="s">
        <v>1829</v>
      </c>
      <c r="B119" s="7" t="s">
        <v>548</v>
      </c>
      <c r="C119" s="7" t="s">
        <v>75</v>
      </c>
      <c r="D119" s="7">
        <f>Quantity_Sheet!H119</f>
        <v>0</v>
      </c>
      <c r="E119" s="5" t="e">
        <f>rate_419</f>
        <v>#REF!</v>
      </c>
      <c r="F119" s="7" t="e">
        <f t="shared" si="1"/>
        <v>#REF!</v>
      </c>
    </row>
    <row r="120" spans="1:6" ht="110.25" x14ac:dyDescent="0.25">
      <c r="A120" s="5" t="s">
        <v>1830</v>
      </c>
      <c r="B120" s="7" t="s">
        <v>555</v>
      </c>
      <c r="C120" s="7" t="s">
        <v>75</v>
      </c>
      <c r="D120" s="7">
        <f>Quantity_Sheet!H120</f>
        <v>0</v>
      </c>
      <c r="E120" s="5" t="e">
        <f>rate_420</f>
        <v>#REF!</v>
      </c>
      <c r="F120" s="7" t="e">
        <f t="shared" si="1"/>
        <v>#REF!</v>
      </c>
    </row>
    <row r="121" spans="1:6" ht="110.25" x14ac:dyDescent="0.25">
      <c r="A121" s="5" t="s">
        <v>1831</v>
      </c>
      <c r="B121" s="7" t="s">
        <v>563</v>
      </c>
      <c r="C121" s="7" t="s">
        <v>75</v>
      </c>
      <c r="D121" s="7">
        <f>Quantity_Sheet!H121</f>
        <v>0</v>
      </c>
      <c r="E121" s="5" t="e">
        <f>rate_421</f>
        <v>#REF!</v>
      </c>
      <c r="F121" s="7" t="e">
        <f t="shared" si="1"/>
        <v>#REF!</v>
      </c>
    </row>
    <row r="122" spans="1:6" ht="173.25" x14ac:dyDescent="0.25">
      <c r="A122" s="5" t="s">
        <v>1832</v>
      </c>
      <c r="B122" s="7" t="s">
        <v>566</v>
      </c>
      <c r="C122" s="7" t="s">
        <v>75</v>
      </c>
      <c r="D122" s="7">
        <f>Quantity_Sheet!H122</f>
        <v>0</v>
      </c>
      <c r="E122" s="5" t="e">
        <f>rate_422</f>
        <v>#REF!</v>
      </c>
      <c r="F122" s="7" t="e">
        <f t="shared" si="1"/>
        <v>#REF!</v>
      </c>
    </row>
    <row r="123" spans="1:6" ht="47.25" x14ac:dyDescent="0.25">
      <c r="A123" s="5" t="s">
        <v>1833</v>
      </c>
      <c r="B123" s="7" t="s">
        <v>2059</v>
      </c>
      <c r="C123" s="7"/>
      <c r="D123" s="7">
        <f>Quantity_Sheet!H123</f>
        <v>0</v>
      </c>
      <c r="E123" s="5">
        <v>0</v>
      </c>
      <c r="F123" s="7">
        <f t="shared" si="1"/>
        <v>0</v>
      </c>
    </row>
    <row r="124" spans="1:6" ht="126" x14ac:dyDescent="0.25">
      <c r="A124" s="5" t="s">
        <v>1834</v>
      </c>
      <c r="B124" s="7" t="s">
        <v>576</v>
      </c>
      <c r="C124" s="7" t="s">
        <v>75</v>
      </c>
      <c r="D124" s="7">
        <f>Quantity_Sheet!H124</f>
        <v>0</v>
      </c>
      <c r="E124" s="5" t="e">
        <f>rate_424</f>
        <v>#REF!</v>
      </c>
      <c r="F124" s="7" t="e">
        <f t="shared" si="1"/>
        <v>#REF!</v>
      </c>
    </row>
    <row r="125" spans="1:6" ht="126" x14ac:dyDescent="0.25">
      <c r="A125" s="5" t="s">
        <v>1835</v>
      </c>
      <c r="B125" s="7" t="s">
        <v>582</v>
      </c>
      <c r="C125" s="7" t="s">
        <v>75</v>
      </c>
      <c r="D125" s="7">
        <f>Quantity_Sheet!H125</f>
        <v>0</v>
      </c>
      <c r="E125" s="5" t="e">
        <f>rate_425</f>
        <v>#REF!</v>
      </c>
      <c r="F125" s="7" t="e">
        <f t="shared" si="1"/>
        <v>#REF!</v>
      </c>
    </row>
    <row r="126" spans="1:6" ht="110.25" x14ac:dyDescent="0.25">
      <c r="A126" s="5" t="s">
        <v>1836</v>
      </c>
      <c r="B126" s="7" t="s">
        <v>587</v>
      </c>
      <c r="C126" s="7" t="s">
        <v>438</v>
      </c>
      <c r="D126" s="7">
        <f>Quantity_Sheet!H126</f>
        <v>0</v>
      </c>
      <c r="E126" s="5" t="e">
        <f>rate_427</f>
        <v>#REF!</v>
      </c>
      <c r="F126" s="7" t="e">
        <f t="shared" si="1"/>
        <v>#REF!</v>
      </c>
    </row>
    <row r="127" spans="1:6" ht="78.75" x14ac:dyDescent="0.25">
      <c r="A127" s="5" t="s">
        <v>1837</v>
      </c>
      <c r="B127" s="7" t="s">
        <v>592</v>
      </c>
      <c r="C127" s="7" t="s">
        <v>1812</v>
      </c>
      <c r="D127" s="7">
        <f>Quantity_Sheet!H127</f>
        <v>0</v>
      </c>
      <c r="E127" s="5" t="e">
        <f>rate_426</f>
        <v>#REF!</v>
      </c>
      <c r="F127" s="7" t="e">
        <f t="shared" si="1"/>
        <v>#REF!</v>
      </c>
    </row>
    <row r="128" spans="1:6" ht="47.25" x14ac:dyDescent="0.25">
      <c r="A128" s="5" t="s">
        <v>1838</v>
      </c>
      <c r="B128" s="7" t="s">
        <v>603</v>
      </c>
      <c r="C128" s="7" t="s">
        <v>1839</v>
      </c>
      <c r="D128" s="7">
        <f>Quantity_Sheet!H128</f>
        <v>0</v>
      </c>
      <c r="E128" s="5">
        <f>rate_428</f>
        <v>5.18</v>
      </c>
      <c r="F128" s="7">
        <f t="shared" si="1"/>
        <v>0</v>
      </c>
    </row>
    <row r="129" spans="1:6" ht="47.25" x14ac:dyDescent="0.25">
      <c r="A129" s="5" t="s">
        <v>1840</v>
      </c>
      <c r="B129" s="7" t="s">
        <v>606</v>
      </c>
      <c r="C129" s="7" t="s">
        <v>1839</v>
      </c>
      <c r="D129" s="7">
        <f>Quantity_Sheet!H129</f>
        <v>0</v>
      </c>
      <c r="E129" s="5">
        <f>rate_429</f>
        <v>3.21</v>
      </c>
      <c r="F129" s="7">
        <f t="shared" si="1"/>
        <v>0</v>
      </c>
    </row>
    <row r="130" spans="1:6" ht="63" x14ac:dyDescent="0.25">
      <c r="A130" s="5" t="s">
        <v>1841</v>
      </c>
      <c r="B130" s="7" t="s">
        <v>609</v>
      </c>
      <c r="C130" s="7" t="s">
        <v>75</v>
      </c>
      <c r="D130" s="7">
        <f>Quantity_Sheet!H130</f>
        <v>0</v>
      </c>
      <c r="E130" s="5">
        <f>rate_430</f>
        <v>5952.4</v>
      </c>
      <c r="F130" s="7">
        <f t="shared" si="1"/>
        <v>0</v>
      </c>
    </row>
    <row r="131" spans="1:6" ht="63" x14ac:dyDescent="0.25">
      <c r="A131" s="5" t="s">
        <v>1842</v>
      </c>
      <c r="B131" s="7" t="s">
        <v>616</v>
      </c>
      <c r="C131" s="7" t="s">
        <v>75</v>
      </c>
      <c r="D131" s="7">
        <f>Quantity_Sheet!H131</f>
        <v>0</v>
      </c>
      <c r="E131" s="5">
        <f>rate_431</f>
        <v>7475.69</v>
      </c>
      <c r="F131" s="7">
        <f t="shared" si="1"/>
        <v>0</v>
      </c>
    </row>
    <row r="132" spans="1:6" ht="63" x14ac:dyDescent="0.25">
      <c r="A132" s="5" t="s">
        <v>1843</v>
      </c>
      <c r="B132" s="7" t="s">
        <v>619</v>
      </c>
      <c r="C132" s="7" t="s">
        <v>75</v>
      </c>
      <c r="D132" s="7">
        <f>Quantity_Sheet!H132</f>
        <v>0</v>
      </c>
      <c r="E132" s="5">
        <f>rate_432</f>
        <v>11356.71</v>
      </c>
      <c r="F132" s="7">
        <f t="shared" si="1"/>
        <v>0</v>
      </c>
    </row>
    <row r="133" spans="1:6" ht="78.75" x14ac:dyDescent="0.25">
      <c r="A133" s="5" t="s">
        <v>1844</v>
      </c>
      <c r="B133" s="7" t="s">
        <v>622</v>
      </c>
      <c r="C133" s="7" t="s">
        <v>75</v>
      </c>
      <c r="D133" s="7">
        <f>Quantity_Sheet!H133</f>
        <v>0</v>
      </c>
      <c r="E133" s="5">
        <f>rate_433</f>
        <v>15043.38</v>
      </c>
      <c r="F133" s="7">
        <f t="shared" si="1"/>
        <v>0</v>
      </c>
    </row>
    <row r="134" spans="1:6" ht="78.75" x14ac:dyDescent="0.25">
      <c r="A134" s="5" t="s">
        <v>1845</v>
      </c>
      <c r="B134" s="7" t="s">
        <v>624</v>
      </c>
      <c r="C134" s="7" t="s">
        <v>75</v>
      </c>
      <c r="D134" s="7">
        <f>Quantity_Sheet!H134</f>
        <v>0</v>
      </c>
      <c r="E134" s="5">
        <f>rate_434</f>
        <v>19154.400000000001</v>
      </c>
      <c r="F134" s="7">
        <f t="shared" si="1"/>
        <v>0</v>
      </c>
    </row>
    <row r="135" spans="1:6" ht="78.75" x14ac:dyDescent="0.25">
      <c r="A135" s="5" t="s">
        <v>1846</v>
      </c>
      <c r="B135" s="7" t="s">
        <v>627</v>
      </c>
      <c r="C135" s="7" t="s">
        <v>75</v>
      </c>
      <c r="D135" s="7">
        <f>Quantity_Sheet!H135</f>
        <v>0</v>
      </c>
      <c r="E135" s="5">
        <f>rate_435</f>
        <v>8492.2900000000009</v>
      </c>
      <c r="F135" s="7">
        <f t="shared" si="1"/>
        <v>0</v>
      </c>
    </row>
    <row r="136" spans="1:6" ht="78.75" x14ac:dyDescent="0.25">
      <c r="A136" s="5" t="s">
        <v>1847</v>
      </c>
      <c r="B136" s="7" t="s">
        <v>629</v>
      </c>
      <c r="C136" s="7" t="s">
        <v>75</v>
      </c>
      <c r="D136" s="7">
        <f>Quantity_Sheet!H136</f>
        <v>0</v>
      </c>
      <c r="E136" s="5">
        <f>rate_436</f>
        <v>11208.82</v>
      </c>
      <c r="F136" s="7">
        <f t="shared" si="1"/>
        <v>0</v>
      </c>
    </row>
    <row r="137" spans="1:6" ht="78.75" x14ac:dyDescent="0.25">
      <c r="A137" s="5" t="s">
        <v>1848</v>
      </c>
      <c r="B137" s="7" t="s">
        <v>631</v>
      </c>
      <c r="C137" s="7" t="s">
        <v>75</v>
      </c>
      <c r="D137" s="7">
        <f>Quantity_Sheet!H137</f>
        <v>0</v>
      </c>
      <c r="E137" s="5">
        <f>rate_437</f>
        <v>15401.95</v>
      </c>
      <c r="F137" s="7">
        <f t="shared" si="1"/>
        <v>0</v>
      </c>
    </row>
    <row r="138" spans="1:6" ht="78.75" x14ac:dyDescent="0.25">
      <c r="A138" s="5" t="s">
        <v>1849</v>
      </c>
      <c r="B138" s="7" t="s">
        <v>633</v>
      </c>
      <c r="C138" s="7" t="s">
        <v>75</v>
      </c>
      <c r="D138" s="7">
        <f>Quantity_Sheet!H138</f>
        <v>0</v>
      </c>
      <c r="E138" s="5">
        <f>rate_438</f>
        <v>16698.23</v>
      </c>
      <c r="F138" s="7">
        <f t="shared" si="1"/>
        <v>0</v>
      </c>
    </row>
    <row r="139" spans="1:6" ht="78.75" x14ac:dyDescent="0.25">
      <c r="A139" s="5" t="s">
        <v>1850</v>
      </c>
      <c r="B139" s="7" t="s">
        <v>635</v>
      </c>
      <c r="C139" s="7" t="s">
        <v>75</v>
      </c>
      <c r="D139" s="7">
        <f>Quantity_Sheet!H139</f>
        <v>0</v>
      </c>
      <c r="E139" s="5">
        <f>rate_439</f>
        <v>26265.77</v>
      </c>
      <c r="F139" s="7">
        <f t="shared" si="1"/>
        <v>0</v>
      </c>
    </row>
    <row r="140" spans="1:6" ht="31.5" x14ac:dyDescent="0.25">
      <c r="A140" s="5" t="s">
        <v>1851</v>
      </c>
      <c r="B140" s="7" t="s">
        <v>639</v>
      </c>
      <c r="C140" s="7" t="s">
        <v>35</v>
      </c>
      <c r="D140" s="7">
        <f>Quantity_Sheet!H140</f>
        <v>0</v>
      </c>
      <c r="E140" s="5">
        <f>rate_444</f>
        <v>20213.32</v>
      </c>
      <c r="F140" s="7">
        <f t="shared" si="1"/>
        <v>0</v>
      </c>
    </row>
    <row r="141" spans="1:6" ht="47.25" x14ac:dyDescent="0.25">
      <c r="A141" s="5" t="s">
        <v>1852</v>
      </c>
      <c r="B141" s="7" t="s">
        <v>644</v>
      </c>
      <c r="C141" s="7" t="s">
        <v>438</v>
      </c>
      <c r="D141" s="7">
        <f>Quantity_Sheet!H141</f>
        <v>0</v>
      </c>
      <c r="E141" s="5">
        <f>rate_564</f>
        <v>885.88</v>
      </c>
      <c r="F141" s="7">
        <f t="shared" si="1"/>
        <v>0</v>
      </c>
    </row>
    <row r="142" spans="1:6" ht="47.25" x14ac:dyDescent="0.25">
      <c r="A142" s="5" t="s">
        <v>1853</v>
      </c>
      <c r="B142" s="7" t="s">
        <v>649</v>
      </c>
      <c r="C142" s="7" t="s">
        <v>438</v>
      </c>
      <c r="D142" s="7">
        <f>Quantity_Sheet!H142</f>
        <v>0</v>
      </c>
      <c r="E142" s="5">
        <f>rate_565</f>
        <v>529.91</v>
      </c>
      <c r="F142" s="7">
        <f t="shared" ref="F142:F205" si="2">TRUNC(D142*E142,2)</f>
        <v>0</v>
      </c>
    </row>
    <row r="143" spans="1:6" ht="47.25" x14ac:dyDescent="0.25">
      <c r="A143" s="5" t="s">
        <v>1854</v>
      </c>
      <c r="B143" s="7" t="s">
        <v>655</v>
      </c>
      <c r="C143" s="7" t="s">
        <v>438</v>
      </c>
      <c r="D143" s="7">
        <f>Quantity_Sheet!H143</f>
        <v>0</v>
      </c>
      <c r="E143" s="5">
        <f>rate_566</f>
        <v>863.77</v>
      </c>
      <c r="F143" s="7">
        <f t="shared" si="2"/>
        <v>0</v>
      </c>
    </row>
    <row r="144" spans="1:6" ht="47.25" x14ac:dyDescent="0.25">
      <c r="A144" s="5" t="s">
        <v>1855</v>
      </c>
      <c r="B144" s="7" t="s">
        <v>658</v>
      </c>
      <c r="C144" s="7" t="s">
        <v>438</v>
      </c>
      <c r="D144" s="7">
        <f>Quantity_Sheet!H144</f>
        <v>0</v>
      </c>
      <c r="E144" s="5">
        <f>rate_567</f>
        <v>1053.1400000000001</v>
      </c>
      <c r="F144" s="7">
        <f t="shared" si="2"/>
        <v>0</v>
      </c>
    </row>
    <row r="145" spans="1:6" ht="47.25" x14ac:dyDescent="0.25">
      <c r="A145" s="5" t="s">
        <v>1856</v>
      </c>
      <c r="B145" s="7" t="s">
        <v>660</v>
      </c>
      <c r="C145" s="7" t="s">
        <v>438</v>
      </c>
      <c r="D145" s="7">
        <f>Quantity_Sheet!H145</f>
        <v>0</v>
      </c>
      <c r="E145" s="5">
        <f>rate_568</f>
        <v>1335.66</v>
      </c>
      <c r="F145" s="7">
        <f t="shared" si="2"/>
        <v>0</v>
      </c>
    </row>
    <row r="146" spans="1:6" ht="47.25" x14ac:dyDescent="0.25">
      <c r="A146" s="5" t="s">
        <v>1857</v>
      </c>
      <c r="B146" s="7" t="s">
        <v>662</v>
      </c>
      <c r="C146" s="7" t="s">
        <v>438</v>
      </c>
      <c r="D146" s="7">
        <f>Quantity_Sheet!H146</f>
        <v>0</v>
      </c>
      <c r="E146" s="5" t="e">
        <f>rate_569</f>
        <v>#REF!</v>
      </c>
      <c r="F146" s="7" t="e">
        <f t="shared" si="2"/>
        <v>#REF!</v>
      </c>
    </row>
    <row r="147" spans="1:6" ht="47.25" x14ac:dyDescent="0.25">
      <c r="A147" s="5" t="s">
        <v>1858</v>
      </c>
      <c r="B147" s="7" t="s">
        <v>665</v>
      </c>
      <c r="C147" s="7" t="s">
        <v>438</v>
      </c>
      <c r="D147" s="7">
        <f>Quantity_Sheet!H147</f>
        <v>0</v>
      </c>
      <c r="E147" s="5">
        <f>rate_598</f>
        <v>1158.57</v>
      </c>
      <c r="F147" s="7">
        <f t="shared" si="2"/>
        <v>0</v>
      </c>
    </row>
    <row r="148" spans="1:6" ht="47.25" x14ac:dyDescent="0.25">
      <c r="A148" s="5" t="s">
        <v>1859</v>
      </c>
      <c r="B148" s="7" t="s">
        <v>668</v>
      </c>
      <c r="C148" s="7" t="s">
        <v>438</v>
      </c>
      <c r="D148" s="7">
        <f>Quantity_Sheet!H148</f>
        <v>0</v>
      </c>
      <c r="E148" s="5">
        <f>rate_600</f>
        <v>1324.29</v>
      </c>
      <c r="F148" s="7">
        <f t="shared" si="2"/>
        <v>0</v>
      </c>
    </row>
    <row r="149" spans="1:6" ht="47.25" x14ac:dyDescent="0.25">
      <c r="A149" s="5" t="s">
        <v>1860</v>
      </c>
      <c r="B149" s="7" t="s">
        <v>673</v>
      </c>
      <c r="C149" s="7" t="s">
        <v>438</v>
      </c>
      <c r="D149" s="7">
        <f>Quantity_Sheet!H149</f>
        <v>0</v>
      </c>
      <c r="E149" s="5">
        <f>rate_599</f>
        <v>450.06</v>
      </c>
      <c r="F149" s="7">
        <f t="shared" si="2"/>
        <v>0</v>
      </c>
    </row>
    <row r="150" spans="1:6" ht="47.25" x14ac:dyDescent="0.25">
      <c r="A150" s="5" t="s">
        <v>1861</v>
      </c>
      <c r="B150" s="7" t="s">
        <v>676</v>
      </c>
      <c r="C150" s="7" t="s">
        <v>438</v>
      </c>
      <c r="D150" s="7">
        <f>Quantity_Sheet!H150</f>
        <v>0</v>
      </c>
      <c r="E150" s="5">
        <f>rate_610</f>
        <v>2672.54</v>
      </c>
      <c r="F150" s="7">
        <f t="shared" si="2"/>
        <v>0</v>
      </c>
    </row>
    <row r="151" spans="1:6" ht="63" x14ac:dyDescent="0.25">
      <c r="A151" s="5" t="s">
        <v>1862</v>
      </c>
      <c r="B151" s="7" t="s">
        <v>679</v>
      </c>
      <c r="C151" s="7" t="s">
        <v>438</v>
      </c>
      <c r="D151" s="7">
        <f>Quantity_Sheet!H151</f>
        <v>0</v>
      </c>
      <c r="E151" s="5">
        <f>rate_611</f>
        <v>5387.71</v>
      </c>
      <c r="F151" s="7">
        <f t="shared" si="2"/>
        <v>0</v>
      </c>
    </row>
    <row r="152" spans="1:6" ht="63" x14ac:dyDescent="0.25">
      <c r="A152" s="5" t="s">
        <v>1863</v>
      </c>
      <c r="B152" s="7" t="s">
        <v>681</v>
      </c>
      <c r="C152" s="7" t="s">
        <v>438</v>
      </c>
      <c r="D152" s="7">
        <f>Quantity_Sheet!H152</f>
        <v>0</v>
      </c>
      <c r="E152" s="5">
        <f>rate_612</f>
        <v>8024.25</v>
      </c>
      <c r="F152" s="7">
        <f t="shared" si="2"/>
        <v>0</v>
      </c>
    </row>
    <row r="153" spans="1:6" ht="63" x14ac:dyDescent="0.25">
      <c r="A153" s="5" t="s">
        <v>1864</v>
      </c>
      <c r="B153" s="7" t="s">
        <v>2060</v>
      </c>
      <c r="C153" s="7"/>
      <c r="D153" s="7">
        <f>Quantity_Sheet!H153</f>
        <v>0</v>
      </c>
      <c r="E153" s="5">
        <v>0</v>
      </c>
      <c r="F153" s="7">
        <f t="shared" si="2"/>
        <v>0</v>
      </c>
    </row>
    <row r="154" spans="1:6" ht="63" x14ac:dyDescent="0.25">
      <c r="A154" s="5" t="s">
        <v>1865</v>
      </c>
      <c r="B154" s="7" t="s">
        <v>683</v>
      </c>
      <c r="C154" s="7" t="s">
        <v>438</v>
      </c>
      <c r="D154" s="7">
        <f>Quantity_Sheet!H154</f>
        <v>0</v>
      </c>
      <c r="E154" s="5">
        <f>rate_615</f>
        <v>2808.19</v>
      </c>
      <c r="F154" s="7">
        <f t="shared" si="2"/>
        <v>0</v>
      </c>
    </row>
    <row r="155" spans="1:6" ht="47.25" x14ac:dyDescent="0.25">
      <c r="A155" s="5" t="s">
        <v>1866</v>
      </c>
      <c r="B155" s="7" t="s">
        <v>685</v>
      </c>
      <c r="C155" s="7" t="s">
        <v>438</v>
      </c>
      <c r="D155" s="7">
        <f>Quantity_Sheet!H155</f>
        <v>0</v>
      </c>
      <c r="E155" s="5">
        <f>rate_614</f>
        <v>1741.12</v>
      </c>
      <c r="F155" s="7">
        <f t="shared" si="2"/>
        <v>0</v>
      </c>
    </row>
    <row r="156" spans="1:6" ht="63" x14ac:dyDescent="0.25">
      <c r="A156" s="5" t="s">
        <v>1867</v>
      </c>
      <c r="B156" s="7" t="s">
        <v>688</v>
      </c>
      <c r="C156" s="7" t="s">
        <v>438</v>
      </c>
      <c r="D156" s="7">
        <f>Quantity_Sheet!H156</f>
        <v>0</v>
      </c>
      <c r="E156" s="5">
        <f>rate_616</f>
        <v>5001.6000000000004</v>
      </c>
      <c r="F156" s="7">
        <f t="shared" si="2"/>
        <v>0</v>
      </c>
    </row>
    <row r="157" spans="1:6" ht="47.25" x14ac:dyDescent="0.25">
      <c r="A157" s="5" t="s">
        <v>1868</v>
      </c>
      <c r="B157" s="7" t="s">
        <v>690</v>
      </c>
      <c r="C157" s="7" t="s">
        <v>438</v>
      </c>
      <c r="D157" s="7">
        <f>Quantity_Sheet!H157</f>
        <v>0</v>
      </c>
      <c r="E157" s="5" t="e">
        <f>rate_617</f>
        <v>#REF!</v>
      </c>
      <c r="F157" s="7" t="e">
        <f t="shared" si="2"/>
        <v>#REF!</v>
      </c>
    </row>
    <row r="158" spans="1:6" ht="47.25" x14ac:dyDescent="0.25">
      <c r="A158" s="5" t="s">
        <v>1869</v>
      </c>
      <c r="B158" s="7" t="s">
        <v>693</v>
      </c>
      <c r="C158" s="7" t="s">
        <v>438</v>
      </c>
      <c r="D158" s="7">
        <f>Quantity_Sheet!H158</f>
        <v>0</v>
      </c>
      <c r="E158" s="5">
        <f>rate_618</f>
        <v>5173.3599999999997</v>
      </c>
      <c r="F158" s="7">
        <f t="shared" si="2"/>
        <v>0</v>
      </c>
    </row>
    <row r="159" spans="1:6" ht="63" x14ac:dyDescent="0.25">
      <c r="A159" s="5" t="s">
        <v>1870</v>
      </c>
      <c r="B159" s="7" t="s">
        <v>695</v>
      </c>
      <c r="C159" s="7" t="s">
        <v>438</v>
      </c>
      <c r="D159" s="7">
        <f>Quantity_Sheet!H159</f>
        <v>0</v>
      </c>
      <c r="E159" s="5">
        <f>rate_619</f>
        <v>10776.82</v>
      </c>
      <c r="F159" s="7">
        <f t="shared" si="2"/>
        <v>0</v>
      </c>
    </row>
    <row r="160" spans="1:6" ht="63" x14ac:dyDescent="0.25">
      <c r="A160" s="5" t="s">
        <v>1871</v>
      </c>
      <c r="B160" s="7" t="s">
        <v>697</v>
      </c>
      <c r="C160" s="7" t="s">
        <v>438</v>
      </c>
      <c r="D160" s="7">
        <f>Quantity_Sheet!H160</f>
        <v>0</v>
      </c>
      <c r="E160" s="5">
        <f>rate_620</f>
        <v>16925.71</v>
      </c>
      <c r="F160" s="7">
        <f t="shared" si="2"/>
        <v>0</v>
      </c>
    </row>
    <row r="161" spans="1:6" ht="47.25" x14ac:dyDescent="0.25">
      <c r="A161" s="5" t="s">
        <v>1872</v>
      </c>
      <c r="B161" s="7" t="s">
        <v>699</v>
      </c>
      <c r="C161" s="7" t="s">
        <v>438</v>
      </c>
      <c r="D161" s="7">
        <f>Quantity_Sheet!H161</f>
        <v>0</v>
      </c>
      <c r="E161" s="5">
        <f>rate_623</f>
        <v>5881.01</v>
      </c>
      <c r="F161" s="7">
        <f t="shared" si="2"/>
        <v>0</v>
      </c>
    </row>
    <row r="162" spans="1:6" ht="47.25" x14ac:dyDescent="0.25">
      <c r="A162" s="5" t="s">
        <v>1873</v>
      </c>
      <c r="B162" s="7" t="s">
        <v>701</v>
      </c>
      <c r="C162" s="7" t="s">
        <v>438</v>
      </c>
      <c r="D162" s="7">
        <f>Quantity_Sheet!H162</f>
        <v>0</v>
      </c>
      <c r="E162" s="5">
        <f>rate_622</f>
        <v>2819.13</v>
      </c>
      <c r="F162" s="7">
        <f t="shared" si="2"/>
        <v>0</v>
      </c>
    </row>
    <row r="163" spans="1:6" ht="47.25" x14ac:dyDescent="0.25">
      <c r="A163" s="5" t="s">
        <v>1874</v>
      </c>
      <c r="B163" s="7" t="s">
        <v>704</v>
      </c>
      <c r="C163" s="7" t="s">
        <v>1875</v>
      </c>
      <c r="D163" s="7">
        <f>Quantity_Sheet!H163</f>
        <v>0</v>
      </c>
      <c r="E163" s="5">
        <f>rate_637</f>
        <v>2247.89</v>
      </c>
      <c r="F163" s="7">
        <f t="shared" si="2"/>
        <v>0</v>
      </c>
    </row>
    <row r="164" spans="1:6" ht="63" x14ac:dyDescent="0.25">
      <c r="A164" s="5" t="s">
        <v>1876</v>
      </c>
      <c r="B164" s="7" t="s">
        <v>710</v>
      </c>
      <c r="C164" s="7" t="s">
        <v>75</v>
      </c>
      <c r="D164" s="7">
        <f>Quantity_Sheet!H164</f>
        <v>0</v>
      </c>
      <c r="E164" s="5">
        <f>rate_641</f>
        <v>23429.14</v>
      </c>
      <c r="F164" s="7">
        <f t="shared" si="2"/>
        <v>0</v>
      </c>
    </row>
    <row r="165" spans="1:6" ht="47.25" x14ac:dyDescent="0.25">
      <c r="A165" s="5" t="s">
        <v>1877</v>
      </c>
      <c r="B165" s="7" t="s">
        <v>715</v>
      </c>
      <c r="C165" s="7" t="s">
        <v>75</v>
      </c>
      <c r="D165" s="7">
        <f>Quantity_Sheet!H165</f>
        <v>0</v>
      </c>
      <c r="E165" s="5">
        <f>rate_643</f>
        <v>12858.92</v>
      </c>
      <c r="F165" s="7">
        <f t="shared" si="2"/>
        <v>0</v>
      </c>
    </row>
    <row r="166" spans="1:6" ht="94.5" x14ac:dyDescent="0.25">
      <c r="A166" s="5" t="s">
        <v>1878</v>
      </c>
      <c r="B166" s="7" t="s">
        <v>718</v>
      </c>
      <c r="C166" s="7" t="s">
        <v>75</v>
      </c>
      <c r="D166" s="7">
        <f>Quantity_Sheet!H166</f>
        <v>0</v>
      </c>
      <c r="E166" s="5" t="e">
        <f>rate_642</f>
        <v>#REF!</v>
      </c>
      <c r="F166" s="7" t="e">
        <f t="shared" si="2"/>
        <v>#REF!</v>
      </c>
    </row>
    <row r="167" spans="1:6" ht="31.5" x14ac:dyDescent="0.25">
      <c r="A167" s="5" t="s">
        <v>1879</v>
      </c>
      <c r="B167" s="7" t="s">
        <v>725</v>
      </c>
      <c r="C167" s="7" t="s">
        <v>84</v>
      </c>
      <c r="D167" s="7">
        <f>Quantity_Sheet!H167</f>
        <v>0</v>
      </c>
      <c r="E167" s="5">
        <f>rate_1</f>
        <v>10721.12</v>
      </c>
      <c r="F167" s="7">
        <f t="shared" si="2"/>
        <v>0</v>
      </c>
    </row>
    <row r="168" spans="1:6" ht="47.25" x14ac:dyDescent="0.25">
      <c r="A168" s="5" t="s">
        <v>1880</v>
      </c>
      <c r="B168" s="7" t="s">
        <v>729</v>
      </c>
      <c r="C168" s="7" t="s">
        <v>84</v>
      </c>
      <c r="D168" s="7">
        <f>Quantity_Sheet!H168</f>
        <v>0</v>
      </c>
      <c r="E168" s="5">
        <f>rate_2</f>
        <v>11075.63</v>
      </c>
      <c r="F168" s="7">
        <f t="shared" si="2"/>
        <v>0</v>
      </c>
    </row>
    <row r="169" spans="1:6" ht="31.5" x14ac:dyDescent="0.25">
      <c r="A169" s="5" t="s">
        <v>1881</v>
      </c>
      <c r="B169" s="7" t="s">
        <v>731</v>
      </c>
      <c r="C169" s="7" t="s">
        <v>84</v>
      </c>
      <c r="D169" s="7">
        <f>Quantity_Sheet!H169</f>
        <v>0</v>
      </c>
      <c r="E169" s="5">
        <f>rate_3</f>
        <v>12609.13</v>
      </c>
      <c r="F169" s="7">
        <f t="shared" si="2"/>
        <v>0</v>
      </c>
    </row>
    <row r="170" spans="1:6" ht="47.25" x14ac:dyDescent="0.25">
      <c r="A170" s="5" t="s">
        <v>1882</v>
      </c>
      <c r="B170" s="7" t="s">
        <v>736</v>
      </c>
      <c r="C170" s="7" t="s">
        <v>84</v>
      </c>
      <c r="D170" s="7">
        <f>Quantity_Sheet!H170</f>
        <v>0</v>
      </c>
      <c r="E170" s="5">
        <f>rate_4</f>
        <v>13325.65</v>
      </c>
      <c r="F170" s="7">
        <f t="shared" si="2"/>
        <v>0</v>
      </c>
    </row>
    <row r="171" spans="1:6" ht="31.5" x14ac:dyDescent="0.25">
      <c r="A171" s="5" t="s">
        <v>1883</v>
      </c>
      <c r="B171" s="7" t="s">
        <v>738</v>
      </c>
      <c r="C171" s="7" t="s">
        <v>84</v>
      </c>
      <c r="D171" s="7">
        <f>Quantity_Sheet!H171</f>
        <v>0</v>
      </c>
      <c r="E171" s="5">
        <f>rate_5</f>
        <v>13710.65</v>
      </c>
      <c r="F171" s="7">
        <f t="shared" si="2"/>
        <v>0</v>
      </c>
    </row>
    <row r="172" spans="1:6" ht="31.5" x14ac:dyDescent="0.25">
      <c r="A172" s="5" t="s">
        <v>1884</v>
      </c>
      <c r="B172" s="7" t="s">
        <v>740</v>
      </c>
      <c r="C172" s="7" t="s">
        <v>84</v>
      </c>
      <c r="D172" s="7">
        <f>Quantity_Sheet!H172</f>
        <v>0</v>
      </c>
      <c r="E172" s="5">
        <f>rate_6</f>
        <v>13800.58</v>
      </c>
      <c r="F172" s="7">
        <f t="shared" si="2"/>
        <v>0</v>
      </c>
    </row>
    <row r="173" spans="1:6" ht="31.5" x14ac:dyDescent="0.25">
      <c r="A173" s="5" t="s">
        <v>1885</v>
      </c>
      <c r="B173" s="7" t="s">
        <v>743</v>
      </c>
      <c r="C173" s="7" t="s">
        <v>84</v>
      </c>
      <c r="D173" s="7">
        <f>Quantity_Sheet!H173</f>
        <v>0</v>
      </c>
      <c r="E173" s="5">
        <f>rate_7</f>
        <v>15057.27</v>
      </c>
      <c r="F173" s="7">
        <f t="shared" si="2"/>
        <v>0</v>
      </c>
    </row>
    <row r="174" spans="1:6" ht="31.5" x14ac:dyDescent="0.25">
      <c r="A174" s="5" t="s">
        <v>1886</v>
      </c>
      <c r="B174" s="7" t="s">
        <v>747</v>
      </c>
      <c r="C174" s="7" t="s">
        <v>84</v>
      </c>
      <c r="D174" s="7">
        <f>Quantity_Sheet!H174</f>
        <v>0</v>
      </c>
      <c r="E174" s="5">
        <f>rate_8</f>
        <v>15198.96</v>
      </c>
      <c r="F174" s="7">
        <f t="shared" si="2"/>
        <v>0</v>
      </c>
    </row>
    <row r="175" spans="1:6" ht="31.5" x14ac:dyDescent="0.25">
      <c r="A175" s="5" t="s">
        <v>1887</v>
      </c>
      <c r="B175" s="7" t="s">
        <v>750</v>
      </c>
      <c r="C175" s="7" t="s">
        <v>84</v>
      </c>
      <c r="D175" s="7">
        <f>Quantity_Sheet!H175</f>
        <v>0</v>
      </c>
      <c r="E175" s="5">
        <f>rate_10</f>
        <v>15181.81</v>
      </c>
      <c r="F175" s="7">
        <f t="shared" si="2"/>
        <v>0</v>
      </c>
    </row>
    <row r="176" spans="1:6" ht="31.5" x14ac:dyDescent="0.25">
      <c r="A176" s="5" t="s">
        <v>1888</v>
      </c>
      <c r="B176" s="7" t="s">
        <v>753</v>
      </c>
      <c r="C176" s="7" t="s">
        <v>84</v>
      </c>
      <c r="D176" s="7">
        <f>Quantity_Sheet!H176</f>
        <v>0</v>
      </c>
      <c r="E176" s="5">
        <f>rate_11</f>
        <v>15364.46</v>
      </c>
      <c r="F176" s="7">
        <f t="shared" si="2"/>
        <v>0</v>
      </c>
    </row>
    <row r="177" spans="1:6" ht="47.25" x14ac:dyDescent="0.25">
      <c r="A177" s="5" t="s">
        <v>1889</v>
      </c>
      <c r="B177" s="7" t="s">
        <v>756</v>
      </c>
      <c r="C177" s="7" t="s">
        <v>84</v>
      </c>
      <c r="D177" s="7">
        <f>Quantity_Sheet!H177</f>
        <v>0</v>
      </c>
      <c r="E177" s="5">
        <f>rate_13</f>
        <v>13336.58</v>
      </c>
      <c r="F177" s="7">
        <f t="shared" si="2"/>
        <v>0</v>
      </c>
    </row>
    <row r="178" spans="1:6" ht="47.25" x14ac:dyDescent="0.25">
      <c r="A178" s="5" t="s">
        <v>1890</v>
      </c>
      <c r="B178" s="7" t="s">
        <v>760</v>
      </c>
      <c r="C178" s="7" t="s">
        <v>84</v>
      </c>
      <c r="D178" s="7">
        <f>Quantity_Sheet!H178</f>
        <v>0</v>
      </c>
      <c r="E178" s="5">
        <f>rate_14</f>
        <v>14501.65</v>
      </c>
      <c r="F178" s="7">
        <f t="shared" si="2"/>
        <v>0</v>
      </c>
    </row>
    <row r="179" spans="1:6" ht="47.25" x14ac:dyDescent="0.25">
      <c r="A179" s="5" t="s">
        <v>1891</v>
      </c>
      <c r="B179" s="7" t="s">
        <v>764</v>
      </c>
      <c r="C179" s="7" t="s">
        <v>84</v>
      </c>
      <c r="D179" s="7">
        <f>Quantity_Sheet!H179</f>
        <v>0</v>
      </c>
      <c r="E179" s="5">
        <f>rate_15</f>
        <v>15964.33</v>
      </c>
      <c r="F179" s="7">
        <f t="shared" si="2"/>
        <v>0</v>
      </c>
    </row>
    <row r="180" spans="1:6" ht="47.25" x14ac:dyDescent="0.25">
      <c r="A180" s="5" t="s">
        <v>1892</v>
      </c>
      <c r="B180" s="7" t="s">
        <v>767</v>
      </c>
      <c r="C180" s="7" t="s">
        <v>84</v>
      </c>
      <c r="D180" s="7">
        <f>Quantity_Sheet!H180</f>
        <v>0</v>
      </c>
      <c r="E180" s="5">
        <f>rate_16</f>
        <v>16544.86</v>
      </c>
      <c r="F180" s="7">
        <f t="shared" si="2"/>
        <v>0</v>
      </c>
    </row>
    <row r="181" spans="1:6" ht="47.25" x14ac:dyDescent="0.25">
      <c r="A181" s="5" t="s">
        <v>1893</v>
      </c>
      <c r="B181" s="7" t="s">
        <v>772</v>
      </c>
      <c r="C181" s="7" t="s">
        <v>84</v>
      </c>
      <c r="D181" s="7">
        <f>Quantity_Sheet!H181</f>
        <v>0</v>
      </c>
      <c r="E181" s="5">
        <f>rate_17</f>
        <v>17270.509999999998</v>
      </c>
      <c r="F181" s="7">
        <f t="shared" si="2"/>
        <v>0</v>
      </c>
    </row>
    <row r="182" spans="1:6" ht="47.25" x14ac:dyDescent="0.25">
      <c r="A182" s="5" t="s">
        <v>1894</v>
      </c>
      <c r="B182" s="7" t="s">
        <v>776</v>
      </c>
      <c r="C182" s="7" t="s">
        <v>84</v>
      </c>
      <c r="D182" s="7">
        <f>Quantity_Sheet!H182</f>
        <v>0</v>
      </c>
      <c r="E182" s="5">
        <f>rate_18</f>
        <v>20981.38</v>
      </c>
      <c r="F182" s="7">
        <f t="shared" si="2"/>
        <v>0</v>
      </c>
    </row>
    <row r="183" spans="1:6" ht="47.25" x14ac:dyDescent="0.25">
      <c r="A183" s="5" t="s">
        <v>1895</v>
      </c>
      <c r="B183" s="7" t="s">
        <v>779</v>
      </c>
      <c r="C183" s="7" t="s">
        <v>84</v>
      </c>
      <c r="D183" s="7">
        <f>Quantity_Sheet!H183</f>
        <v>0</v>
      </c>
      <c r="E183" s="5">
        <f>rate_19</f>
        <v>21744.34</v>
      </c>
      <c r="F183" s="7">
        <f t="shared" si="2"/>
        <v>0</v>
      </c>
    </row>
    <row r="184" spans="1:6" ht="47.25" x14ac:dyDescent="0.25">
      <c r="A184" s="5" t="s">
        <v>1896</v>
      </c>
      <c r="B184" s="7" t="s">
        <v>781</v>
      </c>
      <c r="C184" s="7" t="s">
        <v>84</v>
      </c>
      <c r="D184" s="7">
        <f>Quantity_Sheet!H184</f>
        <v>0</v>
      </c>
      <c r="E184" s="5">
        <f>rate_20</f>
        <v>22698.04</v>
      </c>
      <c r="F184" s="7">
        <f t="shared" si="2"/>
        <v>0</v>
      </c>
    </row>
    <row r="185" spans="1:6" ht="47.25" x14ac:dyDescent="0.25">
      <c r="A185" s="5" t="s">
        <v>1897</v>
      </c>
      <c r="B185" s="7" t="s">
        <v>783</v>
      </c>
      <c r="C185" s="7" t="s">
        <v>84</v>
      </c>
      <c r="D185" s="7">
        <f>Quantity_Sheet!H185</f>
        <v>0</v>
      </c>
      <c r="E185" s="5">
        <f>rate_21</f>
        <v>14596.76</v>
      </c>
      <c r="F185" s="7">
        <f t="shared" si="2"/>
        <v>0</v>
      </c>
    </row>
    <row r="186" spans="1:6" ht="47.25" x14ac:dyDescent="0.25">
      <c r="A186" s="5" t="s">
        <v>1898</v>
      </c>
      <c r="B186" s="7" t="s">
        <v>786</v>
      </c>
      <c r="C186" s="7" t="s">
        <v>84</v>
      </c>
      <c r="D186" s="7">
        <f>Quantity_Sheet!H186</f>
        <v>0</v>
      </c>
      <c r="E186" s="5">
        <f>rate_22</f>
        <v>15127.55</v>
      </c>
      <c r="F186" s="7">
        <f t="shared" si="2"/>
        <v>0</v>
      </c>
    </row>
    <row r="187" spans="1:6" ht="47.25" x14ac:dyDescent="0.25">
      <c r="A187" s="5" t="s">
        <v>1899</v>
      </c>
      <c r="B187" s="7" t="s">
        <v>788</v>
      </c>
      <c r="C187" s="7" t="s">
        <v>84</v>
      </c>
      <c r="D187" s="7">
        <f>Quantity_Sheet!H187</f>
        <v>0</v>
      </c>
      <c r="E187" s="5">
        <f>rate_23</f>
        <v>15791.04</v>
      </c>
      <c r="F187" s="7">
        <f t="shared" si="2"/>
        <v>0</v>
      </c>
    </row>
    <row r="188" spans="1:6" ht="47.25" x14ac:dyDescent="0.25">
      <c r="A188" s="5" t="s">
        <v>1900</v>
      </c>
      <c r="B188" s="7" t="s">
        <v>790</v>
      </c>
      <c r="C188" s="7" t="s">
        <v>84</v>
      </c>
      <c r="D188" s="7">
        <f>Quantity_Sheet!H188</f>
        <v>0</v>
      </c>
      <c r="E188" s="5">
        <f>rate_24</f>
        <v>16075.82</v>
      </c>
      <c r="F188" s="7">
        <f t="shared" si="2"/>
        <v>0</v>
      </c>
    </row>
    <row r="189" spans="1:6" ht="47.25" x14ac:dyDescent="0.25">
      <c r="A189" s="5" t="s">
        <v>1901</v>
      </c>
      <c r="B189" s="7" t="s">
        <v>793</v>
      </c>
      <c r="C189" s="7" t="s">
        <v>84</v>
      </c>
      <c r="D189" s="7">
        <f>Quantity_Sheet!H189</f>
        <v>0</v>
      </c>
      <c r="E189" s="5">
        <f>rate_25</f>
        <v>16660.400000000001</v>
      </c>
      <c r="F189" s="7">
        <f t="shared" si="2"/>
        <v>0</v>
      </c>
    </row>
    <row r="190" spans="1:6" ht="47.25" x14ac:dyDescent="0.25">
      <c r="A190" s="5" t="s">
        <v>1902</v>
      </c>
      <c r="B190" s="7" t="s">
        <v>795</v>
      </c>
      <c r="C190" s="7" t="s">
        <v>84</v>
      </c>
      <c r="D190" s="7">
        <f>Quantity_Sheet!H190</f>
        <v>0</v>
      </c>
      <c r="E190" s="5">
        <f>rate_26</f>
        <v>17391.12</v>
      </c>
      <c r="F190" s="7">
        <f t="shared" si="2"/>
        <v>0</v>
      </c>
    </row>
    <row r="191" spans="1:6" ht="47.25" x14ac:dyDescent="0.25">
      <c r="A191" s="5" t="s">
        <v>1903</v>
      </c>
      <c r="B191" s="7" t="s">
        <v>797</v>
      </c>
      <c r="C191" s="7" t="s">
        <v>84</v>
      </c>
      <c r="D191" s="7">
        <f>Quantity_Sheet!H191</f>
        <v>0</v>
      </c>
      <c r="E191" s="5">
        <f>rate_27</f>
        <v>16135.26</v>
      </c>
      <c r="F191" s="7">
        <f t="shared" si="2"/>
        <v>0</v>
      </c>
    </row>
    <row r="192" spans="1:6" ht="47.25" x14ac:dyDescent="0.25">
      <c r="A192" s="5" t="s">
        <v>1904</v>
      </c>
      <c r="B192" s="7" t="s">
        <v>800</v>
      </c>
      <c r="C192" s="7" t="s">
        <v>84</v>
      </c>
      <c r="D192" s="7">
        <f>Quantity_Sheet!H192</f>
        <v>0</v>
      </c>
      <c r="E192" s="5">
        <f>rate_28</f>
        <v>16721.990000000002</v>
      </c>
      <c r="F192" s="7">
        <f t="shared" si="2"/>
        <v>0</v>
      </c>
    </row>
    <row r="193" spans="1:6" ht="47.25" x14ac:dyDescent="0.25">
      <c r="A193" s="5" t="s">
        <v>1905</v>
      </c>
      <c r="B193" s="7" t="s">
        <v>802</v>
      </c>
      <c r="C193" s="7" t="s">
        <v>84</v>
      </c>
      <c r="D193" s="7">
        <f>Quantity_Sheet!H193</f>
        <v>0</v>
      </c>
      <c r="E193" s="5">
        <f>rate_29</f>
        <v>17455.41</v>
      </c>
      <c r="F193" s="7">
        <f t="shared" si="2"/>
        <v>0</v>
      </c>
    </row>
    <row r="194" spans="1:6" ht="47.25" x14ac:dyDescent="0.25">
      <c r="A194" s="5" t="s">
        <v>1906</v>
      </c>
      <c r="B194" s="7" t="s">
        <v>804</v>
      </c>
      <c r="C194" s="7" t="s">
        <v>84</v>
      </c>
      <c r="D194" s="7">
        <f>Quantity_Sheet!H194</f>
        <v>0</v>
      </c>
      <c r="E194" s="5">
        <f>rate_30</f>
        <v>16408.650000000001</v>
      </c>
      <c r="F194" s="7">
        <f t="shared" si="2"/>
        <v>0</v>
      </c>
    </row>
    <row r="195" spans="1:6" ht="47.25" x14ac:dyDescent="0.25">
      <c r="A195" s="5" t="s">
        <v>1907</v>
      </c>
      <c r="B195" s="7" t="s">
        <v>807</v>
      </c>
      <c r="C195" s="7" t="s">
        <v>84</v>
      </c>
      <c r="D195" s="7">
        <f>Quantity_Sheet!H195</f>
        <v>0</v>
      </c>
      <c r="E195" s="5">
        <f>rate_31</f>
        <v>17005.330000000002</v>
      </c>
      <c r="F195" s="7">
        <f t="shared" si="2"/>
        <v>0</v>
      </c>
    </row>
    <row r="196" spans="1:6" ht="31.5" x14ac:dyDescent="0.25">
      <c r="A196" s="5" t="s">
        <v>1908</v>
      </c>
      <c r="B196" s="7" t="s">
        <v>810</v>
      </c>
      <c r="C196" s="7" t="s">
        <v>75</v>
      </c>
      <c r="D196" s="7">
        <f>Quantity_Sheet!H196</f>
        <v>0</v>
      </c>
      <c r="E196" s="5">
        <f>rate_37</f>
        <v>6595.88</v>
      </c>
      <c r="F196" s="7">
        <f t="shared" si="2"/>
        <v>0</v>
      </c>
    </row>
    <row r="197" spans="1:6" ht="47.25" x14ac:dyDescent="0.25">
      <c r="A197" s="5" t="s">
        <v>1909</v>
      </c>
      <c r="B197" s="7" t="s">
        <v>813</v>
      </c>
      <c r="C197" s="7" t="s">
        <v>75</v>
      </c>
      <c r="D197" s="7">
        <f>Quantity_Sheet!H197</f>
        <v>0</v>
      </c>
      <c r="E197" s="5">
        <f>rate_38</f>
        <v>7915.05</v>
      </c>
      <c r="F197" s="7">
        <f t="shared" si="2"/>
        <v>0</v>
      </c>
    </row>
    <row r="198" spans="1:6" ht="63" x14ac:dyDescent="0.25">
      <c r="A198" s="5" t="s">
        <v>1910</v>
      </c>
      <c r="B198" s="7" t="s">
        <v>817</v>
      </c>
      <c r="C198" s="7" t="s">
        <v>75</v>
      </c>
      <c r="D198" s="7">
        <f>Quantity_Sheet!H198</f>
        <v>0</v>
      </c>
      <c r="E198" s="5" t="e">
        <f>rate_36</f>
        <v>#REF!</v>
      </c>
      <c r="F198" s="7" t="e">
        <f t="shared" si="2"/>
        <v>#REF!</v>
      </c>
    </row>
    <row r="199" spans="1:6" ht="47.25" x14ac:dyDescent="0.25">
      <c r="A199" s="5" t="s">
        <v>1911</v>
      </c>
      <c r="B199" s="7" t="s">
        <v>822</v>
      </c>
      <c r="C199" s="7" t="s">
        <v>75</v>
      </c>
      <c r="D199" s="7">
        <f>Quantity_Sheet!H199</f>
        <v>0</v>
      </c>
      <c r="E199" s="5">
        <f>rate_39</f>
        <v>8244.85</v>
      </c>
      <c r="F199" s="7">
        <f t="shared" si="2"/>
        <v>0</v>
      </c>
    </row>
    <row r="200" spans="1:6" ht="47.25" x14ac:dyDescent="0.25">
      <c r="A200" s="5" t="s">
        <v>1912</v>
      </c>
      <c r="B200" s="7" t="s">
        <v>825</v>
      </c>
      <c r="C200" s="7" t="s">
        <v>75</v>
      </c>
      <c r="D200" s="7">
        <f>Quantity_Sheet!H200</f>
        <v>0</v>
      </c>
      <c r="E200" s="5">
        <f>rate_40</f>
        <v>8574.64</v>
      </c>
      <c r="F200" s="7">
        <f t="shared" si="2"/>
        <v>0</v>
      </c>
    </row>
    <row r="201" spans="1:6" ht="47.25" x14ac:dyDescent="0.25">
      <c r="A201" s="5" t="s">
        <v>1913</v>
      </c>
      <c r="B201" s="7" t="s">
        <v>828</v>
      </c>
      <c r="C201" s="7" t="s">
        <v>75</v>
      </c>
      <c r="D201" s="7">
        <f>Quantity_Sheet!H201</f>
        <v>0</v>
      </c>
      <c r="E201" s="5">
        <f>rate_41</f>
        <v>8244.85</v>
      </c>
      <c r="F201" s="7">
        <f t="shared" si="2"/>
        <v>0</v>
      </c>
    </row>
    <row r="202" spans="1:6" ht="47.25" x14ac:dyDescent="0.25">
      <c r="A202" s="5" t="s">
        <v>1914</v>
      </c>
      <c r="B202" s="7" t="s">
        <v>830</v>
      </c>
      <c r="C202" s="7" t="s">
        <v>75</v>
      </c>
      <c r="D202" s="7">
        <f>Quantity_Sheet!H202</f>
        <v>0</v>
      </c>
      <c r="E202" s="5">
        <f>rate_42</f>
        <v>8574.64</v>
      </c>
      <c r="F202" s="7">
        <f t="shared" si="2"/>
        <v>0</v>
      </c>
    </row>
    <row r="203" spans="1:6" ht="47.25" x14ac:dyDescent="0.25">
      <c r="A203" s="5" t="s">
        <v>1915</v>
      </c>
      <c r="B203" s="7" t="s">
        <v>832</v>
      </c>
      <c r="C203" s="7" t="s">
        <v>75</v>
      </c>
      <c r="D203" s="7">
        <f>Quantity_Sheet!H203</f>
        <v>0</v>
      </c>
      <c r="E203" s="5">
        <f>rate_43</f>
        <v>8904.43</v>
      </c>
      <c r="F203" s="7">
        <f t="shared" si="2"/>
        <v>0</v>
      </c>
    </row>
    <row r="204" spans="1:6" ht="31.5" x14ac:dyDescent="0.25">
      <c r="A204" s="5" t="s">
        <v>1916</v>
      </c>
      <c r="B204" s="7" t="s">
        <v>835</v>
      </c>
      <c r="C204" s="7" t="s">
        <v>84</v>
      </c>
      <c r="D204" s="7">
        <f>Quantity_Sheet!H204</f>
        <v>0</v>
      </c>
      <c r="E204" s="5">
        <f>rate_44</f>
        <v>14549.55</v>
      </c>
      <c r="F204" s="7">
        <f t="shared" si="2"/>
        <v>0</v>
      </c>
    </row>
    <row r="205" spans="1:6" ht="47.25" x14ac:dyDescent="0.25">
      <c r="A205" s="5" t="s">
        <v>1917</v>
      </c>
      <c r="B205" s="7" t="s">
        <v>837</v>
      </c>
      <c r="C205" s="7" t="s">
        <v>84</v>
      </c>
      <c r="D205" s="7">
        <f>Quantity_Sheet!H205</f>
        <v>0</v>
      </c>
      <c r="E205" s="5">
        <f>rate_45</f>
        <v>17459.46</v>
      </c>
      <c r="F205" s="7">
        <f t="shared" si="2"/>
        <v>0</v>
      </c>
    </row>
    <row r="206" spans="1:6" ht="47.25" x14ac:dyDescent="0.25">
      <c r="A206" s="5" t="s">
        <v>1918</v>
      </c>
      <c r="B206" s="7" t="s">
        <v>839</v>
      </c>
      <c r="C206" s="7" t="s">
        <v>84</v>
      </c>
      <c r="D206" s="7">
        <f>Quantity_Sheet!H206</f>
        <v>0</v>
      </c>
      <c r="E206" s="5">
        <f>rate_46</f>
        <v>18186.93</v>
      </c>
      <c r="F206" s="7">
        <f t="shared" ref="F206:F269" si="3">TRUNC(D206*E206,2)</f>
        <v>0</v>
      </c>
    </row>
    <row r="207" spans="1:6" ht="47.25" x14ac:dyDescent="0.25">
      <c r="A207" s="5" t="s">
        <v>1919</v>
      </c>
      <c r="B207" s="7" t="s">
        <v>841</v>
      </c>
      <c r="C207" s="7" t="s">
        <v>84</v>
      </c>
      <c r="D207" s="7">
        <f>Quantity_Sheet!H207</f>
        <v>0</v>
      </c>
      <c r="E207" s="5">
        <f>rate_47</f>
        <v>18914.41</v>
      </c>
      <c r="F207" s="7">
        <f t="shared" si="3"/>
        <v>0</v>
      </c>
    </row>
    <row r="208" spans="1:6" ht="47.25" x14ac:dyDescent="0.25">
      <c r="A208" s="5" t="s">
        <v>1920</v>
      </c>
      <c r="B208" s="7" t="s">
        <v>843</v>
      </c>
      <c r="C208" s="7" t="s">
        <v>84</v>
      </c>
      <c r="D208" s="7">
        <f>Quantity_Sheet!H208</f>
        <v>0</v>
      </c>
      <c r="E208" s="5">
        <f>rate_48</f>
        <v>18186.93</v>
      </c>
      <c r="F208" s="7">
        <f t="shared" si="3"/>
        <v>0</v>
      </c>
    </row>
    <row r="209" spans="1:6" ht="47.25" x14ac:dyDescent="0.25">
      <c r="A209" s="5" t="s">
        <v>1921</v>
      </c>
      <c r="B209" s="7" t="s">
        <v>845</v>
      </c>
      <c r="C209" s="7" t="s">
        <v>84</v>
      </c>
      <c r="D209" s="7">
        <f>Quantity_Sheet!H209</f>
        <v>0</v>
      </c>
      <c r="E209" s="5">
        <f>rate_49</f>
        <v>18914.41</v>
      </c>
      <c r="F209" s="7">
        <f t="shared" si="3"/>
        <v>0</v>
      </c>
    </row>
    <row r="210" spans="1:6" ht="47.25" x14ac:dyDescent="0.25">
      <c r="A210" s="5" t="s">
        <v>1922</v>
      </c>
      <c r="B210" s="7" t="s">
        <v>847</v>
      </c>
      <c r="C210" s="7" t="s">
        <v>84</v>
      </c>
      <c r="D210" s="7">
        <f>Quantity_Sheet!H210</f>
        <v>0</v>
      </c>
      <c r="E210" s="5">
        <f>rate_50</f>
        <v>19641.89</v>
      </c>
      <c r="F210" s="7">
        <f t="shared" si="3"/>
        <v>0</v>
      </c>
    </row>
    <row r="211" spans="1:6" ht="31.5" x14ac:dyDescent="0.25">
      <c r="A211" s="5" t="s">
        <v>1923</v>
      </c>
      <c r="B211" s="7" t="s">
        <v>849</v>
      </c>
      <c r="C211" s="7" t="s">
        <v>84</v>
      </c>
      <c r="D211" s="7">
        <f>Quantity_Sheet!H211</f>
        <v>0</v>
      </c>
      <c r="E211" s="5">
        <f>rate_51</f>
        <v>14811.78</v>
      </c>
      <c r="F211" s="7">
        <f t="shared" si="3"/>
        <v>0</v>
      </c>
    </row>
    <row r="212" spans="1:6" ht="47.25" x14ac:dyDescent="0.25">
      <c r="A212" s="5" t="s">
        <v>1924</v>
      </c>
      <c r="B212" s="7" t="s">
        <v>851</v>
      </c>
      <c r="C212" s="7" t="s">
        <v>84</v>
      </c>
      <c r="D212" s="7">
        <f>Quantity_Sheet!H212</f>
        <v>0</v>
      </c>
      <c r="E212" s="5">
        <f>rate_52</f>
        <v>17774.14</v>
      </c>
      <c r="F212" s="7">
        <f t="shared" si="3"/>
        <v>0</v>
      </c>
    </row>
    <row r="213" spans="1:6" ht="47.25" x14ac:dyDescent="0.25">
      <c r="A213" s="5" t="s">
        <v>1925</v>
      </c>
      <c r="B213" s="7" t="s">
        <v>853</v>
      </c>
      <c r="C213" s="7" t="s">
        <v>84</v>
      </c>
      <c r="D213" s="7">
        <f>Quantity_Sheet!H213</f>
        <v>0</v>
      </c>
      <c r="E213" s="5">
        <f>rate_53</f>
        <v>18514.73</v>
      </c>
      <c r="F213" s="7">
        <f t="shared" si="3"/>
        <v>0</v>
      </c>
    </row>
    <row r="214" spans="1:6" ht="47.25" x14ac:dyDescent="0.25">
      <c r="A214" s="5" t="s">
        <v>1926</v>
      </c>
      <c r="B214" s="7" t="s">
        <v>856</v>
      </c>
      <c r="C214" s="7" t="s">
        <v>84</v>
      </c>
      <c r="D214" s="7">
        <f>Quantity_Sheet!H214</f>
        <v>0</v>
      </c>
      <c r="E214" s="5">
        <f>rate_54</f>
        <v>19255.310000000001</v>
      </c>
      <c r="F214" s="7">
        <f t="shared" si="3"/>
        <v>0</v>
      </c>
    </row>
    <row r="215" spans="1:6" ht="47.25" x14ac:dyDescent="0.25">
      <c r="A215" s="5" t="s">
        <v>1927</v>
      </c>
      <c r="B215" s="7" t="s">
        <v>858</v>
      </c>
      <c r="C215" s="7" t="s">
        <v>84</v>
      </c>
      <c r="D215" s="7">
        <f>Quantity_Sheet!H215</f>
        <v>0</v>
      </c>
      <c r="E215" s="5">
        <f>rate_55</f>
        <v>18514.73</v>
      </c>
      <c r="F215" s="7">
        <f t="shared" si="3"/>
        <v>0</v>
      </c>
    </row>
    <row r="216" spans="1:6" ht="47.25" x14ac:dyDescent="0.25">
      <c r="A216" s="5" t="s">
        <v>1928</v>
      </c>
      <c r="B216" s="7" t="s">
        <v>860</v>
      </c>
      <c r="C216" s="7" t="s">
        <v>84</v>
      </c>
      <c r="D216" s="7">
        <f>Quantity_Sheet!H216</f>
        <v>0</v>
      </c>
      <c r="E216" s="5">
        <f>rate_56</f>
        <v>19255.310000000001</v>
      </c>
      <c r="F216" s="7">
        <f t="shared" si="3"/>
        <v>0</v>
      </c>
    </row>
    <row r="217" spans="1:6" ht="47.25" x14ac:dyDescent="0.25">
      <c r="A217" s="5" t="s">
        <v>1929</v>
      </c>
      <c r="B217" s="7" t="s">
        <v>862</v>
      </c>
      <c r="C217" s="7" t="s">
        <v>84</v>
      </c>
      <c r="D217" s="7">
        <f>Quantity_Sheet!H217</f>
        <v>0</v>
      </c>
      <c r="E217" s="5">
        <f>rate_57</f>
        <v>19995.900000000001</v>
      </c>
      <c r="F217" s="7">
        <f t="shared" si="3"/>
        <v>0</v>
      </c>
    </row>
    <row r="218" spans="1:6" ht="31.5" x14ac:dyDescent="0.25">
      <c r="A218" s="5" t="s">
        <v>1930</v>
      </c>
      <c r="B218" s="7" t="s">
        <v>864</v>
      </c>
      <c r="C218" s="7" t="s">
        <v>84</v>
      </c>
      <c r="D218" s="7">
        <f>Quantity_Sheet!H218</f>
        <v>0</v>
      </c>
      <c r="E218" s="5">
        <f>rate_58</f>
        <v>15060.32</v>
      </c>
      <c r="F218" s="7">
        <f t="shared" si="3"/>
        <v>0</v>
      </c>
    </row>
    <row r="219" spans="1:6" ht="47.25" x14ac:dyDescent="0.25">
      <c r="A219" s="5" t="s">
        <v>1931</v>
      </c>
      <c r="B219" s="7" t="s">
        <v>866</v>
      </c>
      <c r="C219" s="7" t="s">
        <v>84</v>
      </c>
      <c r="D219" s="7">
        <f>Quantity_Sheet!H219</f>
        <v>0</v>
      </c>
      <c r="E219" s="5">
        <f>rate_59</f>
        <v>17771.18</v>
      </c>
      <c r="F219" s="7">
        <f t="shared" si="3"/>
        <v>0</v>
      </c>
    </row>
    <row r="220" spans="1:6" ht="47.25" x14ac:dyDescent="0.25">
      <c r="A220" s="5" t="s">
        <v>1932</v>
      </c>
      <c r="B220" s="7" t="s">
        <v>869</v>
      </c>
      <c r="C220" s="7" t="s">
        <v>84</v>
      </c>
      <c r="D220" s="7">
        <f>Quantity_Sheet!H220</f>
        <v>0</v>
      </c>
      <c r="E220" s="5">
        <f>rate_60</f>
        <v>18524.2</v>
      </c>
      <c r="F220" s="7">
        <f t="shared" si="3"/>
        <v>0</v>
      </c>
    </row>
    <row r="221" spans="1:6" ht="47.25" x14ac:dyDescent="0.25">
      <c r="A221" s="5" t="s">
        <v>1933</v>
      </c>
      <c r="B221" s="7" t="s">
        <v>872</v>
      </c>
      <c r="C221" s="7" t="s">
        <v>84</v>
      </c>
      <c r="D221" s="7">
        <f>Quantity_Sheet!H221</f>
        <v>0</v>
      </c>
      <c r="E221" s="5">
        <f>rate_61</f>
        <v>19277.21</v>
      </c>
      <c r="F221" s="7">
        <f t="shared" si="3"/>
        <v>0</v>
      </c>
    </row>
    <row r="222" spans="1:6" ht="47.25" x14ac:dyDescent="0.25">
      <c r="A222" s="5" t="s">
        <v>1934</v>
      </c>
      <c r="B222" s="7" t="s">
        <v>875</v>
      </c>
      <c r="C222" s="7" t="s">
        <v>84</v>
      </c>
      <c r="D222" s="7">
        <f>Quantity_Sheet!H222</f>
        <v>0</v>
      </c>
      <c r="E222" s="5">
        <f>rate_62</f>
        <v>18524.2</v>
      </c>
      <c r="F222" s="7">
        <f t="shared" si="3"/>
        <v>0</v>
      </c>
    </row>
    <row r="223" spans="1:6" ht="47.25" x14ac:dyDescent="0.25">
      <c r="A223" s="5" t="s">
        <v>1935</v>
      </c>
      <c r="B223" s="7" t="s">
        <v>877</v>
      </c>
      <c r="C223" s="7" t="s">
        <v>84</v>
      </c>
      <c r="D223" s="7">
        <f>Quantity_Sheet!H223</f>
        <v>0</v>
      </c>
      <c r="E223" s="5">
        <f>rate_69</f>
        <v>18428.560000000001</v>
      </c>
      <c r="F223" s="7">
        <f t="shared" si="3"/>
        <v>0</v>
      </c>
    </row>
    <row r="224" spans="1:6" ht="31.5" x14ac:dyDescent="0.25">
      <c r="A224" s="5" t="s">
        <v>1936</v>
      </c>
      <c r="B224" s="7" t="s">
        <v>880</v>
      </c>
      <c r="C224" s="7" t="s">
        <v>84</v>
      </c>
      <c r="D224" s="7">
        <f>Quantity_Sheet!H224</f>
        <v>0</v>
      </c>
      <c r="E224" s="5">
        <f>rate_68</f>
        <v>15357.13</v>
      </c>
      <c r="F224" s="7">
        <f t="shared" si="3"/>
        <v>0</v>
      </c>
    </row>
    <row r="225" spans="1:6" ht="31.5" x14ac:dyDescent="0.25">
      <c r="A225" s="5" t="s">
        <v>1937</v>
      </c>
      <c r="B225" s="7" t="s">
        <v>883</v>
      </c>
      <c r="C225" s="7" t="s">
        <v>84</v>
      </c>
      <c r="D225" s="7">
        <f>Quantity_Sheet!H225</f>
        <v>0</v>
      </c>
      <c r="E225" s="5">
        <f>rate_90</f>
        <v>12124.16</v>
      </c>
      <c r="F225" s="7">
        <f t="shared" si="3"/>
        <v>0</v>
      </c>
    </row>
    <row r="226" spans="1:6" ht="47.25" x14ac:dyDescent="0.25">
      <c r="A226" s="5" t="s">
        <v>1938</v>
      </c>
      <c r="B226" s="7" t="s">
        <v>885</v>
      </c>
      <c r="C226" s="7" t="s">
        <v>84</v>
      </c>
      <c r="D226" s="7">
        <f>Quantity_Sheet!H226</f>
        <v>0</v>
      </c>
      <c r="E226" s="5">
        <f>rate_2212</f>
        <v>21112.28</v>
      </c>
      <c r="F226" s="7">
        <f t="shared" si="3"/>
        <v>0</v>
      </c>
    </row>
    <row r="227" spans="1:6" ht="63" x14ac:dyDescent="0.25">
      <c r="A227" s="5" t="s">
        <v>1939</v>
      </c>
      <c r="B227" s="7" t="s">
        <v>891</v>
      </c>
      <c r="C227" s="7" t="s">
        <v>35</v>
      </c>
      <c r="D227" s="7">
        <f>Quantity_Sheet!H227</f>
        <v>0</v>
      </c>
      <c r="E227" s="5">
        <f>rate_649</f>
        <v>176355.95</v>
      </c>
      <c r="F227" s="7">
        <f t="shared" si="3"/>
        <v>0</v>
      </c>
    </row>
    <row r="228" spans="1:6" ht="78.75" x14ac:dyDescent="0.25">
      <c r="A228" s="5" t="s">
        <v>1940</v>
      </c>
      <c r="B228" s="7" t="s">
        <v>901</v>
      </c>
      <c r="C228" s="7" t="s">
        <v>35</v>
      </c>
      <c r="D228" s="7">
        <f>Quantity_Sheet!H228</f>
        <v>0</v>
      </c>
      <c r="E228" s="5">
        <f>rate_650</f>
        <v>167855.15</v>
      </c>
      <c r="F228" s="7">
        <f t="shared" si="3"/>
        <v>0</v>
      </c>
    </row>
    <row r="229" spans="1:6" ht="63" x14ac:dyDescent="0.25">
      <c r="A229" s="5" t="s">
        <v>1941</v>
      </c>
      <c r="B229" s="7" t="s">
        <v>904</v>
      </c>
      <c r="C229" s="7" t="s">
        <v>35</v>
      </c>
      <c r="D229" s="7">
        <f>Quantity_Sheet!H229</f>
        <v>0</v>
      </c>
      <c r="E229" s="5">
        <f>rate_651</f>
        <v>176355.95</v>
      </c>
      <c r="F229" s="7">
        <f t="shared" si="3"/>
        <v>0</v>
      </c>
    </row>
    <row r="230" spans="1:6" ht="63" x14ac:dyDescent="0.25">
      <c r="A230" s="5" t="s">
        <v>1942</v>
      </c>
      <c r="B230" s="7" t="s">
        <v>907</v>
      </c>
      <c r="C230" s="7" t="s">
        <v>35</v>
      </c>
      <c r="D230" s="7">
        <f>Quantity_Sheet!H230</f>
        <v>0</v>
      </c>
      <c r="E230" s="5">
        <f>rate_652</f>
        <v>176355.95</v>
      </c>
      <c r="F230" s="7">
        <f t="shared" si="3"/>
        <v>0</v>
      </c>
    </row>
    <row r="231" spans="1:6" ht="63" x14ac:dyDescent="0.25">
      <c r="A231" s="5" t="s">
        <v>1943</v>
      </c>
      <c r="B231" s="7" t="s">
        <v>909</v>
      </c>
      <c r="C231" s="7" t="s">
        <v>35</v>
      </c>
      <c r="D231" s="7">
        <f>Quantity_Sheet!H231</f>
        <v>0</v>
      </c>
      <c r="E231" s="5">
        <f>rate_653</f>
        <v>207239.2</v>
      </c>
      <c r="F231" s="7">
        <f t="shared" si="3"/>
        <v>0</v>
      </c>
    </row>
    <row r="232" spans="1:6" ht="63" x14ac:dyDescent="0.25">
      <c r="A232" s="5" t="s">
        <v>1944</v>
      </c>
      <c r="B232" s="7" t="s">
        <v>909</v>
      </c>
      <c r="C232" s="7" t="s">
        <v>35</v>
      </c>
      <c r="D232" s="7">
        <f>Quantity_Sheet!H232</f>
        <v>0</v>
      </c>
      <c r="E232" s="5">
        <f>rate_654</f>
        <v>198738.4</v>
      </c>
      <c r="F232" s="7">
        <f t="shared" si="3"/>
        <v>0</v>
      </c>
    </row>
    <row r="233" spans="1:6" ht="63" x14ac:dyDescent="0.25">
      <c r="A233" s="5" t="s">
        <v>1945</v>
      </c>
      <c r="B233" s="7" t="s">
        <v>914</v>
      </c>
      <c r="C233" s="7" t="s">
        <v>35</v>
      </c>
      <c r="D233" s="7">
        <f>Quantity_Sheet!H233</f>
        <v>0</v>
      </c>
      <c r="E233" s="5">
        <f>rate_655</f>
        <v>259049</v>
      </c>
      <c r="F233" s="7">
        <f t="shared" si="3"/>
        <v>0</v>
      </c>
    </row>
    <row r="234" spans="1:6" ht="63" x14ac:dyDescent="0.25">
      <c r="A234" s="5" t="s">
        <v>1946</v>
      </c>
      <c r="B234" s="7" t="s">
        <v>916</v>
      </c>
      <c r="C234" s="7" t="s">
        <v>35</v>
      </c>
      <c r="D234" s="7">
        <f>Quantity_Sheet!H234</f>
        <v>0</v>
      </c>
      <c r="E234" s="5">
        <f>rate_656</f>
        <v>269410.96000000002</v>
      </c>
      <c r="F234" s="7">
        <f t="shared" si="3"/>
        <v>0</v>
      </c>
    </row>
    <row r="235" spans="1:6" ht="63" x14ac:dyDescent="0.25">
      <c r="A235" s="5" t="s">
        <v>1947</v>
      </c>
      <c r="B235" s="7" t="s">
        <v>918</v>
      </c>
      <c r="C235" s="7" t="s">
        <v>35</v>
      </c>
      <c r="D235" s="7">
        <f>Quantity_Sheet!H235</f>
        <v>0</v>
      </c>
      <c r="E235" s="5">
        <f>rate_657</f>
        <v>279772.92</v>
      </c>
      <c r="F235" s="7">
        <f t="shared" si="3"/>
        <v>0</v>
      </c>
    </row>
    <row r="236" spans="1:6" ht="63" x14ac:dyDescent="0.25">
      <c r="A236" s="5" t="s">
        <v>1948</v>
      </c>
      <c r="B236" s="7" t="s">
        <v>920</v>
      </c>
      <c r="C236" s="7" t="s">
        <v>35</v>
      </c>
      <c r="D236" s="7">
        <f>Quantity_Sheet!H236</f>
        <v>0</v>
      </c>
      <c r="E236" s="5">
        <f>rate_658</f>
        <v>218796.7</v>
      </c>
      <c r="F236" s="7">
        <f t="shared" si="3"/>
        <v>0</v>
      </c>
    </row>
    <row r="237" spans="1:6" ht="47.25" x14ac:dyDescent="0.25">
      <c r="A237" s="5" t="s">
        <v>1949</v>
      </c>
      <c r="B237" s="7" t="s">
        <v>926</v>
      </c>
      <c r="C237" s="7" t="s">
        <v>84</v>
      </c>
      <c r="D237" s="7">
        <f>Quantity_Sheet!H237</f>
        <v>0</v>
      </c>
      <c r="E237" s="5">
        <f>rate_671</f>
        <v>7240.57</v>
      </c>
      <c r="F237" s="7">
        <f t="shared" si="3"/>
        <v>0</v>
      </c>
    </row>
    <row r="238" spans="1:6" ht="47.25" x14ac:dyDescent="0.25">
      <c r="A238" s="5" t="s">
        <v>1950</v>
      </c>
      <c r="B238" s="7" t="s">
        <v>932</v>
      </c>
      <c r="C238" s="7" t="s">
        <v>84</v>
      </c>
      <c r="D238" s="7">
        <f>Quantity_Sheet!H238</f>
        <v>0</v>
      </c>
      <c r="E238" s="5">
        <f>rate_672</f>
        <v>7328.85</v>
      </c>
      <c r="F238" s="7">
        <f t="shared" si="3"/>
        <v>0</v>
      </c>
    </row>
    <row r="239" spans="1:6" ht="47.25" x14ac:dyDescent="0.25">
      <c r="A239" s="5" t="s">
        <v>1951</v>
      </c>
      <c r="B239" s="7" t="s">
        <v>934</v>
      </c>
      <c r="C239" s="7" t="s">
        <v>84</v>
      </c>
      <c r="D239" s="7">
        <f>Quantity_Sheet!H239</f>
        <v>0</v>
      </c>
      <c r="E239" s="5">
        <f>rate_673</f>
        <v>7742.78</v>
      </c>
      <c r="F239" s="7">
        <f t="shared" si="3"/>
        <v>0</v>
      </c>
    </row>
    <row r="240" spans="1:6" ht="47.25" x14ac:dyDescent="0.25">
      <c r="A240" s="5" t="s">
        <v>1952</v>
      </c>
      <c r="B240" s="7" t="s">
        <v>936</v>
      </c>
      <c r="C240" s="7" t="s">
        <v>84</v>
      </c>
      <c r="D240" s="7">
        <f>Quantity_Sheet!H240</f>
        <v>0</v>
      </c>
      <c r="E240" s="5">
        <f>rate_674</f>
        <v>7762.82</v>
      </c>
      <c r="F240" s="7">
        <f t="shared" si="3"/>
        <v>0</v>
      </c>
    </row>
    <row r="241" spans="1:6" ht="63" x14ac:dyDescent="0.25">
      <c r="A241" s="5" t="s">
        <v>1953</v>
      </c>
      <c r="B241" s="7" t="s">
        <v>938</v>
      </c>
      <c r="C241" s="7" t="s">
        <v>84</v>
      </c>
      <c r="D241" s="7">
        <f>Quantity_Sheet!H241</f>
        <v>0</v>
      </c>
      <c r="E241" s="5">
        <f>rate_675</f>
        <v>7620</v>
      </c>
      <c r="F241" s="7">
        <f t="shared" si="3"/>
        <v>0</v>
      </c>
    </row>
    <row r="242" spans="1:6" ht="63" x14ac:dyDescent="0.25">
      <c r="A242" s="5" t="s">
        <v>1954</v>
      </c>
      <c r="B242" s="7" t="s">
        <v>941</v>
      </c>
      <c r="C242" s="7" t="s">
        <v>84</v>
      </c>
      <c r="D242" s="7">
        <f>Quantity_Sheet!H242</f>
        <v>0</v>
      </c>
      <c r="E242" s="5">
        <f>rate_676</f>
        <v>7789.74</v>
      </c>
      <c r="F242" s="7">
        <f t="shared" si="3"/>
        <v>0</v>
      </c>
    </row>
    <row r="243" spans="1:6" ht="63" x14ac:dyDescent="0.25">
      <c r="A243" s="5" t="s">
        <v>1955</v>
      </c>
      <c r="B243" s="7" t="s">
        <v>943</v>
      </c>
      <c r="C243" s="7" t="s">
        <v>84</v>
      </c>
      <c r="D243" s="7">
        <f>Quantity_Sheet!H243</f>
        <v>0</v>
      </c>
      <c r="E243" s="5">
        <f>rate_678</f>
        <v>8229.7800000000007</v>
      </c>
      <c r="F243" s="7">
        <f t="shared" si="3"/>
        <v>0</v>
      </c>
    </row>
    <row r="244" spans="1:6" ht="63" x14ac:dyDescent="0.25">
      <c r="A244" s="5" t="s">
        <v>1956</v>
      </c>
      <c r="B244" s="7" t="s">
        <v>945</v>
      </c>
      <c r="C244" s="7" t="s">
        <v>84</v>
      </c>
      <c r="D244" s="7">
        <f>Quantity_Sheet!H244</f>
        <v>0</v>
      </c>
      <c r="E244" s="5">
        <f>rate_677</f>
        <v>8069.54</v>
      </c>
      <c r="F244" s="7">
        <f t="shared" si="3"/>
        <v>0</v>
      </c>
    </row>
    <row r="245" spans="1:6" ht="47.25" x14ac:dyDescent="0.25">
      <c r="A245" s="5" t="s">
        <v>1957</v>
      </c>
      <c r="B245" s="7" t="s">
        <v>947</v>
      </c>
      <c r="C245" s="7" t="s">
        <v>84</v>
      </c>
      <c r="D245" s="7">
        <f>Quantity_Sheet!H245</f>
        <v>0</v>
      </c>
      <c r="E245" s="5">
        <f>rate_680</f>
        <v>9045.61</v>
      </c>
      <c r="F245" s="7">
        <f t="shared" si="3"/>
        <v>0</v>
      </c>
    </row>
    <row r="246" spans="1:6" ht="63" x14ac:dyDescent="0.25">
      <c r="A246" s="5" t="s">
        <v>1958</v>
      </c>
      <c r="B246" s="7" t="s">
        <v>949</v>
      </c>
      <c r="C246" s="7" t="s">
        <v>84</v>
      </c>
      <c r="D246" s="7">
        <f>Quantity_Sheet!H246</f>
        <v>0</v>
      </c>
      <c r="E246" s="5">
        <f>rate_679</f>
        <v>8504.58</v>
      </c>
      <c r="F246" s="7">
        <f t="shared" si="3"/>
        <v>0</v>
      </c>
    </row>
    <row r="247" spans="1:6" ht="63" x14ac:dyDescent="0.25">
      <c r="A247" s="5" t="s">
        <v>1959</v>
      </c>
      <c r="B247" s="7" t="s">
        <v>951</v>
      </c>
      <c r="C247" s="7" t="s">
        <v>84</v>
      </c>
      <c r="D247" s="7">
        <f>Quantity_Sheet!H247</f>
        <v>0</v>
      </c>
      <c r="E247" s="5">
        <f>rate_682</f>
        <v>9582.1299999999992</v>
      </c>
      <c r="F247" s="7">
        <f t="shared" si="3"/>
        <v>0</v>
      </c>
    </row>
    <row r="248" spans="1:6" ht="47.25" x14ac:dyDescent="0.25">
      <c r="A248" s="5" t="s">
        <v>1960</v>
      </c>
      <c r="B248" s="7" t="s">
        <v>953</v>
      </c>
      <c r="C248" s="7" t="s">
        <v>84</v>
      </c>
      <c r="D248" s="7">
        <f>Quantity_Sheet!H248</f>
        <v>0</v>
      </c>
      <c r="E248" s="5">
        <f>rate_684</f>
        <v>7737.87</v>
      </c>
      <c r="F248" s="7">
        <f t="shared" si="3"/>
        <v>0</v>
      </c>
    </row>
    <row r="249" spans="1:6" ht="47.25" x14ac:dyDescent="0.25">
      <c r="A249" s="5" t="s">
        <v>1961</v>
      </c>
      <c r="B249" s="7" t="s">
        <v>955</v>
      </c>
      <c r="C249" s="7" t="s">
        <v>84</v>
      </c>
      <c r="D249" s="7">
        <f>Quantity_Sheet!H249</f>
        <v>0</v>
      </c>
      <c r="E249" s="5">
        <f>rate_685</f>
        <v>7834.09</v>
      </c>
      <c r="F249" s="7">
        <f t="shared" si="3"/>
        <v>0</v>
      </c>
    </row>
    <row r="250" spans="1:6" ht="47.25" x14ac:dyDescent="0.25">
      <c r="A250" s="5" t="s">
        <v>1962</v>
      </c>
      <c r="B250" s="7" t="s">
        <v>957</v>
      </c>
      <c r="C250" s="7" t="s">
        <v>84</v>
      </c>
      <c r="D250" s="7">
        <f>Quantity_Sheet!H250</f>
        <v>0</v>
      </c>
      <c r="E250" s="5">
        <f>rate_686</f>
        <v>8103.33</v>
      </c>
      <c r="F250" s="7">
        <f t="shared" si="3"/>
        <v>0</v>
      </c>
    </row>
    <row r="251" spans="1:6" ht="47.25" x14ac:dyDescent="0.25">
      <c r="A251" s="5" t="s">
        <v>1963</v>
      </c>
      <c r="B251" s="7" t="s">
        <v>959</v>
      </c>
      <c r="C251" s="7" t="s">
        <v>84</v>
      </c>
      <c r="D251" s="7">
        <f>Quantity_Sheet!H251</f>
        <v>0</v>
      </c>
      <c r="E251" s="5">
        <f>rate_687</f>
        <v>8123.91</v>
      </c>
      <c r="F251" s="7">
        <f t="shared" si="3"/>
        <v>0</v>
      </c>
    </row>
    <row r="252" spans="1:6" ht="47.25" x14ac:dyDescent="0.25">
      <c r="A252" s="5" t="s">
        <v>1964</v>
      </c>
      <c r="B252" s="7" t="s">
        <v>961</v>
      </c>
      <c r="C252" s="7" t="s">
        <v>84</v>
      </c>
      <c r="D252" s="7">
        <f>Quantity_Sheet!H252</f>
        <v>0</v>
      </c>
      <c r="E252" s="5">
        <f>rate_688</f>
        <v>8775</v>
      </c>
      <c r="F252" s="7">
        <f t="shared" si="3"/>
        <v>0</v>
      </c>
    </row>
    <row r="253" spans="1:6" ht="47.25" x14ac:dyDescent="0.25">
      <c r="A253" s="5" t="s">
        <v>1965</v>
      </c>
      <c r="B253" s="7" t="s">
        <v>963</v>
      </c>
      <c r="C253" s="7" t="s">
        <v>84</v>
      </c>
      <c r="D253" s="7">
        <f>Quantity_Sheet!H253</f>
        <v>0</v>
      </c>
      <c r="E253" s="5">
        <f>rate_689</f>
        <v>8160.19</v>
      </c>
      <c r="F253" s="7">
        <f t="shared" si="3"/>
        <v>0</v>
      </c>
    </row>
    <row r="254" spans="1:6" ht="47.25" x14ac:dyDescent="0.25">
      <c r="A254" s="5" t="s">
        <v>1966</v>
      </c>
      <c r="B254" s="7" t="s">
        <v>965</v>
      </c>
      <c r="C254" s="7" t="s">
        <v>84</v>
      </c>
      <c r="D254" s="7">
        <f>Quantity_Sheet!H254</f>
        <v>0</v>
      </c>
      <c r="E254" s="5">
        <f>rate_690</f>
        <v>8642.5300000000007</v>
      </c>
      <c r="F254" s="7">
        <f t="shared" si="3"/>
        <v>0</v>
      </c>
    </row>
    <row r="255" spans="1:6" ht="47.25" x14ac:dyDescent="0.25">
      <c r="A255" s="5" t="s">
        <v>1967</v>
      </c>
      <c r="B255" s="7" t="s">
        <v>967</v>
      </c>
      <c r="C255" s="7" t="s">
        <v>84</v>
      </c>
      <c r="D255" s="7">
        <f>Quantity_Sheet!H255</f>
        <v>0</v>
      </c>
      <c r="E255" s="5">
        <f>rate_691</f>
        <v>8844.7099999999991</v>
      </c>
      <c r="F255" s="7">
        <f t="shared" si="3"/>
        <v>0</v>
      </c>
    </row>
    <row r="256" spans="1:6" ht="47.25" x14ac:dyDescent="0.25">
      <c r="A256" s="5" t="s">
        <v>1968</v>
      </c>
      <c r="B256" s="7" t="s">
        <v>969</v>
      </c>
      <c r="C256" s="7" t="s">
        <v>84</v>
      </c>
      <c r="D256" s="7">
        <f>Quantity_Sheet!H256</f>
        <v>0</v>
      </c>
      <c r="E256" s="5">
        <f>rate_692</f>
        <v>8967.0499999999993</v>
      </c>
      <c r="F256" s="7">
        <f t="shared" si="3"/>
        <v>0</v>
      </c>
    </row>
    <row r="257" spans="1:6" ht="47.25" x14ac:dyDescent="0.25">
      <c r="A257" s="5" t="s">
        <v>1969</v>
      </c>
      <c r="B257" s="7" t="s">
        <v>971</v>
      </c>
      <c r="C257" s="7" t="s">
        <v>84</v>
      </c>
      <c r="D257" s="7">
        <f>Quantity_Sheet!H257</f>
        <v>0</v>
      </c>
      <c r="E257" s="5">
        <f>rate_693</f>
        <v>9475.44</v>
      </c>
      <c r="F257" s="7">
        <f t="shared" si="3"/>
        <v>0</v>
      </c>
    </row>
    <row r="258" spans="1:6" ht="78.75" x14ac:dyDescent="0.25">
      <c r="A258" s="5" t="s">
        <v>1970</v>
      </c>
      <c r="B258" s="7" t="s">
        <v>974</v>
      </c>
      <c r="C258" s="7" t="s">
        <v>438</v>
      </c>
      <c r="D258" s="7">
        <f>Quantity_Sheet!H258</f>
        <v>0</v>
      </c>
      <c r="E258" s="5">
        <f>rate_697</f>
        <v>377.2</v>
      </c>
      <c r="F258" s="7">
        <f t="shared" si="3"/>
        <v>0</v>
      </c>
    </row>
    <row r="259" spans="1:6" ht="78.75" x14ac:dyDescent="0.25">
      <c r="A259" s="5" t="s">
        <v>1971</v>
      </c>
      <c r="B259" s="7" t="s">
        <v>978</v>
      </c>
      <c r="C259" s="7" t="s">
        <v>438</v>
      </c>
      <c r="D259" s="7">
        <f>Quantity_Sheet!H259</f>
        <v>0</v>
      </c>
      <c r="E259" s="5">
        <f>rate_698</f>
        <v>310.5</v>
      </c>
      <c r="F259" s="7">
        <f t="shared" si="3"/>
        <v>0</v>
      </c>
    </row>
    <row r="260" spans="1:6" ht="78.75" x14ac:dyDescent="0.25">
      <c r="A260" s="5" t="s">
        <v>1972</v>
      </c>
      <c r="B260" s="7" t="s">
        <v>2061</v>
      </c>
      <c r="C260" s="7" t="s">
        <v>438</v>
      </c>
      <c r="D260" s="7">
        <f>Quantity_Sheet!H260</f>
        <v>0</v>
      </c>
      <c r="E260" s="5">
        <v>0</v>
      </c>
      <c r="F260" s="7">
        <f t="shared" si="3"/>
        <v>0</v>
      </c>
    </row>
    <row r="261" spans="1:6" ht="78.75" x14ac:dyDescent="0.25">
      <c r="A261" s="5" t="s">
        <v>1973</v>
      </c>
      <c r="B261" s="7" t="s">
        <v>981</v>
      </c>
      <c r="C261" s="7" t="s">
        <v>438</v>
      </c>
      <c r="D261" s="7">
        <f>Quantity_Sheet!H261</f>
        <v>0</v>
      </c>
      <c r="E261" s="5">
        <f>rate_700</f>
        <v>310.5</v>
      </c>
      <c r="F261" s="7">
        <f t="shared" si="3"/>
        <v>0</v>
      </c>
    </row>
    <row r="262" spans="1:6" ht="78.75" x14ac:dyDescent="0.25">
      <c r="A262" s="5" t="s">
        <v>1974</v>
      </c>
      <c r="B262" s="7" t="s">
        <v>984</v>
      </c>
      <c r="C262" s="7" t="s">
        <v>438</v>
      </c>
      <c r="D262" s="7">
        <f>Quantity_Sheet!H262</f>
        <v>0</v>
      </c>
      <c r="E262" s="5">
        <f>rate_701</f>
        <v>322</v>
      </c>
      <c r="F262" s="7">
        <f t="shared" si="3"/>
        <v>0</v>
      </c>
    </row>
    <row r="263" spans="1:6" ht="94.5" x14ac:dyDescent="0.25">
      <c r="A263" s="5" t="s">
        <v>1975</v>
      </c>
      <c r="B263" s="7" t="s">
        <v>987</v>
      </c>
      <c r="C263" s="7" t="s">
        <v>438</v>
      </c>
      <c r="D263" s="7">
        <f>Quantity_Sheet!H263</f>
        <v>0</v>
      </c>
      <c r="E263" s="5">
        <f>rate_702</f>
        <v>365.7</v>
      </c>
      <c r="F263" s="7">
        <f t="shared" si="3"/>
        <v>0</v>
      </c>
    </row>
    <row r="264" spans="1:6" ht="94.5" x14ac:dyDescent="0.25">
      <c r="A264" s="5" t="s">
        <v>1976</v>
      </c>
      <c r="B264" s="7" t="s">
        <v>990</v>
      </c>
      <c r="C264" s="7" t="s">
        <v>438</v>
      </c>
      <c r="D264" s="7">
        <f>Quantity_Sheet!H264</f>
        <v>0</v>
      </c>
      <c r="E264" s="5">
        <f>rate_703</f>
        <v>365.7</v>
      </c>
      <c r="F264" s="7">
        <f t="shared" si="3"/>
        <v>0</v>
      </c>
    </row>
    <row r="265" spans="1:6" ht="47.25" x14ac:dyDescent="0.25">
      <c r="A265" s="5" t="s">
        <v>1977</v>
      </c>
      <c r="B265" s="7" t="s">
        <v>993</v>
      </c>
      <c r="C265" s="7" t="s">
        <v>438</v>
      </c>
      <c r="D265" s="7">
        <f>Quantity_Sheet!H265</f>
        <v>0</v>
      </c>
      <c r="E265" s="5">
        <f>rate_706</f>
        <v>185.82</v>
      </c>
      <c r="F265" s="7">
        <f t="shared" si="3"/>
        <v>0</v>
      </c>
    </row>
    <row r="266" spans="1:6" ht="31.5" x14ac:dyDescent="0.25">
      <c r="A266" s="5" t="s">
        <v>1978</v>
      </c>
      <c r="B266" s="7" t="s">
        <v>996</v>
      </c>
      <c r="C266" s="7" t="s">
        <v>438</v>
      </c>
      <c r="D266" s="7">
        <f>Quantity_Sheet!H266</f>
        <v>0</v>
      </c>
      <c r="E266" s="5">
        <f>rate_707</f>
        <v>185.82</v>
      </c>
      <c r="F266" s="7">
        <f t="shared" si="3"/>
        <v>0</v>
      </c>
    </row>
    <row r="267" spans="1:6" ht="47.25" x14ac:dyDescent="0.25">
      <c r="A267" s="5" t="s">
        <v>1979</v>
      </c>
      <c r="B267" s="7" t="s">
        <v>999</v>
      </c>
      <c r="C267" s="7" t="s">
        <v>84</v>
      </c>
      <c r="D267" s="7">
        <f>Quantity_Sheet!H267</f>
        <v>0</v>
      </c>
      <c r="E267" s="5">
        <f>rate_746</f>
        <v>11339.5</v>
      </c>
      <c r="F267" s="7">
        <f t="shared" si="3"/>
        <v>0</v>
      </c>
    </row>
    <row r="268" spans="1:6" ht="47.25" x14ac:dyDescent="0.25">
      <c r="A268" s="5" t="s">
        <v>1980</v>
      </c>
      <c r="B268" s="7" t="s">
        <v>1005</v>
      </c>
      <c r="C268" s="7" t="s">
        <v>84</v>
      </c>
      <c r="D268" s="7">
        <f>Quantity_Sheet!H268</f>
        <v>0</v>
      </c>
      <c r="E268" s="5">
        <f>rate_747</f>
        <v>13320.46</v>
      </c>
      <c r="F268" s="7">
        <f t="shared" si="3"/>
        <v>0</v>
      </c>
    </row>
    <row r="269" spans="1:6" ht="47.25" x14ac:dyDescent="0.25">
      <c r="A269" s="5" t="s">
        <v>1981</v>
      </c>
      <c r="B269" s="7" t="s">
        <v>1007</v>
      </c>
      <c r="C269" s="7" t="s">
        <v>84</v>
      </c>
      <c r="D269" s="7">
        <f>Quantity_Sheet!H269</f>
        <v>0</v>
      </c>
      <c r="E269" s="5">
        <f>rate_748</f>
        <v>12043.84</v>
      </c>
      <c r="F269" s="7">
        <f t="shared" si="3"/>
        <v>0</v>
      </c>
    </row>
    <row r="270" spans="1:6" ht="47.25" x14ac:dyDescent="0.25">
      <c r="A270" s="5" t="s">
        <v>1982</v>
      </c>
      <c r="B270" s="7" t="s">
        <v>1009</v>
      </c>
      <c r="C270" s="7" t="s">
        <v>84</v>
      </c>
      <c r="D270" s="7">
        <f>Quantity_Sheet!H270</f>
        <v>0</v>
      </c>
      <c r="E270" s="5">
        <f>rate_749</f>
        <v>14134.19</v>
      </c>
      <c r="F270" s="7">
        <f t="shared" ref="F270:F333" si="4">TRUNC(D270*E270,2)</f>
        <v>0</v>
      </c>
    </row>
    <row r="271" spans="1:6" ht="94.5" x14ac:dyDescent="0.25">
      <c r="A271" s="5" t="s">
        <v>1983</v>
      </c>
      <c r="B271" s="7" t="s">
        <v>1012</v>
      </c>
      <c r="C271" s="7" t="s">
        <v>75</v>
      </c>
      <c r="D271" s="7">
        <f>Quantity_Sheet!H271</f>
        <v>0</v>
      </c>
      <c r="E271" s="5" t="e">
        <f>rate_750</f>
        <v>#REF!</v>
      </c>
      <c r="F271" s="7" t="e">
        <f t="shared" si="4"/>
        <v>#REF!</v>
      </c>
    </row>
    <row r="272" spans="1:6" ht="47.25" x14ac:dyDescent="0.25">
      <c r="A272" s="5" t="s">
        <v>1984</v>
      </c>
      <c r="B272" s="7" t="s">
        <v>1017</v>
      </c>
      <c r="C272" s="7" t="s">
        <v>84</v>
      </c>
      <c r="D272" s="7">
        <f>Quantity_Sheet!H272</f>
        <v>0</v>
      </c>
      <c r="E272" s="5">
        <f>rate_753</f>
        <v>17271.63</v>
      </c>
      <c r="F272" s="7">
        <f t="shared" si="4"/>
        <v>0</v>
      </c>
    </row>
    <row r="273" spans="1:6" ht="47.25" x14ac:dyDescent="0.25">
      <c r="A273" s="5" t="s">
        <v>1985</v>
      </c>
      <c r="B273" s="7" t="s">
        <v>1022</v>
      </c>
      <c r="C273" s="7" t="s">
        <v>84</v>
      </c>
      <c r="D273" s="7">
        <f>Quantity_Sheet!H273</f>
        <v>0</v>
      </c>
      <c r="E273" s="5">
        <f>rate_754</f>
        <v>16626.48</v>
      </c>
      <c r="F273" s="7">
        <f t="shared" si="4"/>
        <v>0</v>
      </c>
    </row>
    <row r="274" spans="1:6" ht="47.25" x14ac:dyDescent="0.25">
      <c r="A274" s="5" t="s">
        <v>1986</v>
      </c>
      <c r="B274" s="7" t="s">
        <v>1024</v>
      </c>
      <c r="C274" s="7" t="s">
        <v>84</v>
      </c>
      <c r="D274" s="7">
        <f>Quantity_Sheet!H274</f>
        <v>0</v>
      </c>
      <c r="E274" s="5">
        <f>rate_755</f>
        <v>16804.41</v>
      </c>
      <c r="F274" s="7">
        <f t="shared" si="4"/>
        <v>0</v>
      </c>
    </row>
    <row r="275" spans="1:6" ht="47.25" x14ac:dyDescent="0.25">
      <c r="A275" s="5" t="s">
        <v>1987</v>
      </c>
      <c r="B275" s="7" t="s">
        <v>1026</v>
      </c>
      <c r="C275" s="7" t="s">
        <v>84</v>
      </c>
      <c r="D275" s="7">
        <f>Quantity_Sheet!H275</f>
        <v>0</v>
      </c>
      <c r="E275" s="5">
        <f>rate_756</f>
        <v>16210.32</v>
      </c>
      <c r="F275" s="7">
        <f t="shared" si="4"/>
        <v>0</v>
      </c>
    </row>
    <row r="276" spans="1:6" ht="47.25" x14ac:dyDescent="0.25">
      <c r="A276" s="5" t="s">
        <v>1988</v>
      </c>
      <c r="B276" s="7" t="s">
        <v>1030</v>
      </c>
      <c r="C276" s="7" t="s">
        <v>84</v>
      </c>
      <c r="D276" s="7">
        <f>Quantity_Sheet!H276</f>
        <v>0</v>
      </c>
      <c r="E276" s="5">
        <f>rate_757</f>
        <v>16480.509999999998</v>
      </c>
      <c r="F276" s="7">
        <f t="shared" si="4"/>
        <v>0</v>
      </c>
    </row>
    <row r="277" spans="1:6" ht="47.25" x14ac:dyDescent="0.25">
      <c r="A277" s="5" t="s">
        <v>1989</v>
      </c>
      <c r="B277" s="7" t="s">
        <v>1032</v>
      </c>
      <c r="C277" s="7" t="s">
        <v>84</v>
      </c>
      <c r="D277" s="7">
        <f>Quantity_Sheet!H277</f>
        <v>0</v>
      </c>
      <c r="E277" s="5">
        <f>rate_758</f>
        <v>15886.42</v>
      </c>
      <c r="F277" s="7">
        <f t="shared" si="4"/>
        <v>0</v>
      </c>
    </row>
    <row r="278" spans="1:6" ht="47.25" x14ac:dyDescent="0.25">
      <c r="A278" s="5" t="s">
        <v>1990</v>
      </c>
      <c r="B278" s="7" t="s">
        <v>1034</v>
      </c>
      <c r="C278" s="7" t="s">
        <v>84</v>
      </c>
      <c r="D278" s="7">
        <f>Quantity_Sheet!H278</f>
        <v>0</v>
      </c>
      <c r="E278" s="5">
        <f>rate_759</f>
        <v>16163.91</v>
      </c>
      <c r="F278" s="7">
        <f t="shared" si="4"/>
        <v>0</v>
      </c>
    </row>
    <row r="279" spans="1:6" ht="47.25" x14ac:dyDescent="0.25">
      <c r="A279" s="5" t="s">
        <v>1991</v>
      </c>
      <c r="B279" s="7" t="s">
        <v>1036</v>
      </c>
      <c r="C279" s="7" t="s">
        <v>84</v>
      </c>
      <c r="D279" s="7">
        <f>Quantity_Sheet!H279</f>
        <v>0</v>
      </c>
      <c r="E279" s="5">
        <f>rate_760</f>
        <v>15569.82</v>
      </c>
      <c r="F279" s="7">
        <f t="shared" si="4"/>
        <v>0</v>
      </c>
    </row>
    <row r="280" spans="1:6" ht="47.25" x14ac:dyDescent="0.25">
      <c r="A280" s="5" t="s">
        <v>1992</v>
      </c>
      <c r="B280" s="7" t="s">
        <v>1038</v>
      </c>
      <c r="C280" s="7" t="s">
        <v>84</v>
      </c>
      <c r="D280" s="7">
        <f>Quantity_Sheet!H280</f>
        <v>0</v>
      </c>
      <c r="E280" s="5">
        <f>rate_761</f>
        <v>17644.63</v>
      </c>
      <c r="F280" s="7">
        <f t="shared" si="4"/>
        <v>0</v>
      </c>
    </row>
    <row r="281" spans="1:6" ht="47.25" x14ac:dyDescent="0.25">
      <c r="A281" s="5" t="s">
        <v>1993</v>
      </c>
      <c r="B281" s="7" t="s">
        <v>1041</v>
      </c>
      <c r="C281" s="7" t="s">
        <v>84</v>
      </c>
      <c r="D281" s="7">
        <f>Quantity_Sheet!H281</f>
        <v>0</v>
      </c>
      <c r="E281" s="5">
        <f>rate_762</f>
        <v>17018.29</v>
      </c>
      <c r="F281" s="7">
        <f t="shared" si="4"/>
        <v>0</v>
      </c>
    </row>
    <row r="282" spans="1:6" ht="47.25" x14ac:dyDescent="0.25">
      <c r="A282" s="5" t="s">
        <v>1994</v>
      </c>
      <c r="B282" s="7" t="s">
        <v>1043</v>
      </c>
      <c r="C282" s="7" t="s">
        <v>84</v>
      </c>
      <c r="D282" s="7">
        <f>Quantity_Sheet!H282</f>
        <v>0</v>
      </c>
      <c r="E282" s="5">
        <f>rate_763</f>
        <v>18396.91</v>
      </c>
      <c r="F282" s="7">
        <f t="shared" si="4"/>
        <v>0</v>
      </c>
    </row>
    <row r="283" spans="1:6" ht="47.25" x14ac:dyDescent="0.25">
      <c r="A283" s="5" t="s">
        <v>1995</v>
      </c>
      <c r="B283" s="7" t="s">
        <v>1045</v>
      </c>
      <c r="C283" s="7" t="s">
        <v>84</v>
      </c>
      <c r="D283" s="7">
        <f>Quantity_Sheet!H283</f>
        <v>0</v>
      </c>
      <c r="E283" s="5">
        <f>rate_764</f>
        <v>17770.560000000001</v>
      </c>
      <c r="F283" s="7">
        <f t="shared" si="4"/>
        <v>0</v>
      </c>
    </row>
    <row r="284" spans="1:6" ht="47.25" x14ac:dyDescent="0.25">
      <c r="A284" s="5" t="s">
        <v>1996</v>
      </c>
      <c r="B284" s="7" t="s">
        <v>1047</v>
      </c>
      <c r="C284" s="7" t="s">
        <v>84</v>
      </c>
      <c r="D284" s="7">
        <f>Quantity_Sheet!H284</f>
        <v>0</v>
      </c>
      <c r="E284" s="5">
        <f>rate_765</f>
        <v>18056.810000000001</v>
      </c>
      <c r="F284" s="7">
        <f t="shared" si="4"/>
        <v>0</v>
      </c>
    </row>
    <row r="285" spans="1:6" ht="47.25" x14ac:dyDescent="0.25">
      <c r="A285" s="5" t="s">
        <v>1997</v>
      </c>
      <c r="B285" s="7" t="s">
        <v>1049</v>
      </c>
      <c r="C285" s="7" t="s">
        <v>84</v>
      </c>
      <c r="D285" s="7">
        <f>Quantity_Sheet!H285</f>
        <v>0</v>
      </c>
      <c r="E285" s="5">
        <f>rate_766</f>
        <v>17430.46</v>
      </c>
      <c r="F285" s="7">
        <f t="shared" si="4"/>
        <v>0</v>
      </c>
    </row>
    <row r="286" spans="1:6" ht="47.25" x14ac:dyDescent="0.25">
      <c r="A286" s="5" t="s">
        <v>1998</v>
      </c>
      <c r="B286" s="7" t="s">
        <v>1051</v>
      </c>
      <c r="C286" s="7" t="s">
        <v>84</v>
      </c>
      <c r="D286" s="7">
        <f>Quantity_Sheet!H286</f>
        <v>0</v>
      </c>
      <c r="E286" s="5">
        <f>rate_767</f>
        <v>17724.38</v>
      </c>
      <c r="F286" s="7">
        <f t="shared" si="4"/>
        <v>0</v>
      </c>
    </row>
    <row r="287" spans="1:6" ht="47.25" x14ac:dyDescent="0.25">
      <c r="A287" s="5" t="s">
        <v>1999</v>
      </c>
      <c r="B287" s="7" t="s">
        <v>1053</v>
      </c>
      <c r="C287" s="7" t="s">
        <v>84</v>
      </c>
      <c r="D287" s="7">
        <f>Quantity_Sheet!H287</f>
        <v>0</v>
      </c>
      <c r="E287" s="5">
        <f>rate_768</f>
        <v>17098.04</v>
      </c>
      <c r="F287" s="7">
        <f t="shared" si="4"/>
        <v>0</v>
      </c>
    </row>
    <row r="288" spans="1:6" ht="31.5" x14ac:dyDescent="0.25">
      <c r="A288" s="5" t="s">
        <v>2000</v>
      </c>
      <c r="B288" s="7" t="s">
        <v>1055</v>
      </c>
      <c r="C288" s="7" t="s">
        <v>438</v>
      </c>
      <c r="D288" s="7">
        <f>Quantity_Sheet!H288</f>
        <v>0</v>
      </c>
      <c r="E288" s="5">
        <f>rate_769</f>
        <v>309.93</v>
      </c>
      <c r="F288" s="7">
        <f t="shared" si="4"/>
        <v>0</v>
      </c>
    </row>
    <row r="289" spans="1:6" ht="47.25" x14ac:dyDescent="0.25">
      <c r="A289" s="5" t="s">
        <v>2001</v>
      </c>
      <c r="B289" s="7" t="s">
        <v>1057</v>
      </c>
      <c r="C289" s="7" t="s">
        <v>438</v>
      </c>
      <c r="D289" s="7">
        <f>Quantity_Sheet!H289</f>
        <v>0</v>
      </c>
      <c r="E289" s="5">
        <f>rate_770</f>
        <v>4675.2700000000004</v>
      </c>
      <c r="F289" s="7">
        <f t="shared" si="4"/>
        <v>0</v>
      </c>
    </row>
    <row r="290" spans="1:6" ht="47.25" x14ac:dyDescent="0.25">
      <c r="A290" s="5" t="s">
        <v>2002</v>
      </c>
      <c r="B290" s="7" t="s">
        <v>1059</v>
      </c>
      <c r="C290" s="7" t="s">
        <v>438</v>
      </c>
      <c r="D290" s="7">
        <f>Quantity_Sheet!H290</f>
        <v>0</v>
      </c>
      <c r="E290" s="5">
        <f>rate_771</f>
        <v>4485.75</v>
      </c>
      <c r="F290" s="7">
        <f t="shared" si="4"/>
        <v>0</v>
      </c>
    </row>
    <row r="291" spans="1:6" ht="47.25" x14ac:dyDescent="0.25">
      <c r="A291" s="5" t="s">
        <v>2003</v>
      </c>
      <c r="B291" s="7" t="s">
        <v>1061</v>
      </c>
      <c r="C291" s="7" t="s">
        <v>75</v>
      </c>
      <c r="D291" s="7">
        <f>Quantity_Sheet!H291</f>
        <v>0</v>
      </c>
      <c r="E291" s="5" t="e">
        <f>rate_776</f>
        <v>#REF!</v>
      </c>
      <c r="F291" s="7" t="e">
        <f t="shared" si="4"/>
        <v>#REF!</v>
      </c>
    </row>
    <row r="292" spans="1:6" ht="47.25" x14ac:dyDescent="0.25">
      <c r="A292" s="5" t="s">
        <v>2004</v>
      </c>
      <c r="B292" s="7" t="s">
        <v>1063</v>
      </c>
      <c r="C292" s="7" t="s">
        <v>438</v>
      </c>
      <c r="D292" s="7">
        <f>Quantity_Sheet!H292</f>
        <v>0</v>
      </c>
      <c r="E292" s="5">
        <f>rate_775</f>
        <v>3992</v>
      </c>
      <c r="F292" s="7">
        <f t="shared" si="4"/>
        <v>0</v>
      </c>
    </row>
    <row r="293" spans="1:6" ht="47.25" x14ac:dyDescent="0.25">
      <c r="A293" s="5" t="s">
        <v>2005</v>
      </c>
      <c r="B293" s="7" t="s">
        <v>1065</v>
      </c>
      <c r="C293" s="7" t="s">
        <v>438</v>
      </c>
      <c r="D293" s="7">
        <f>Quantity_Sheet!H293</f>
        <v>0</v>
      </c>
      <c r="E293" s="5">
        <f>rate_774</f>
        <v>4181.5200000000004</v>
      </c>
      <c r="F293" s="7">
        <f t="shared" si="4"/>
        <v>0</v>
      </c>
    </row>
    <row r="294" spans="1:6" ht="47.25" x14ac:dyDescent="0.25">
      <c r="A294" s="5" t="s">
        <v>2006</v>
      </c>
      <c r="B294" s="7" t="s">
        <v>1067</v>
      </c>
      <c r="C294" s="7" t="s">
        <v>438</v>
      </c>
      <c r="D294" s="7">
        <f>Quantity_Sheet!H294</f>
        <v>0</v>
      </c>
      <c r="E294" s="5">
        <f>rate_773</f>
        <v>4166.3500000000004</v>
      </c>
      <c r="F294" s="7">
        <f t="shared" si="4"/>
        <v>0</v>
      </c>
    </row>
    <row r="295" spans="1:6" ht="47.25" x14ac:dyDescent="0.25">
      <c r="A295" s="5" t="s">
        <v>2007</v>
      </c>
      <c r="B295" s="7" t="s">
        <v>1069</v>
      </c>
      <c r="C295" s="7" t="s">
        <v>438</v>
      </c>
      <c r="D295" s="7">
        <f>Quantity_Sheet!H295</f>
        <v>0</v>
      </c>
      <c r="E295" s="5">
        <f>rate_772</f>
        <v>4355.87</v>
      </c>
      <c r="F295" s="7">
        <f t="shared" si="4"/>
        <v>0</v>
      </c>
    </row>
    <row r="296" spans="1:6" ht="47.25" x14ac:dyDescent="0.25">
      <c r="A296" s="5" t="s">
        <v>2008</v>
      </c>
      <c r="B296" s="7" t="s">
        <v>1072</v>
      </c>
      <c r="C296" s="7" t="s">
        <v>84</v>
      </c>
      <c r="D296" s="7">
        <f>Quantity_Sheet!H296</f>
        <v>0</v>
      </c>
      <c r="E296" s="5">
        <f>rate_779</f>
        <v>12301.34</v>
      </c>
      <c r="F296" s="7">
        <f t="shared" si="4"/>
        <v>0</v>
      </c>
    </row>
    <row r="297" spans="1:6" ht="47.25" x14ac:dyDescent="0.25">
      <c r="A297" s="5" t="s">
        <v>2009</v>
      </c>
      <c r="B297" s="7" t="s">
        <v>1075</v>
      </c>
      <c r="C297" s="7" t="s">
        <v>84</v>
      </c>
      <c r="D297" s="7">
        <f>Quantity_Sheet!H297</f>
        <v>0</v>
      </c>
      <c r="E297" s="5">
        <f>rate_780</f>
        <v>11026.39</v>
      </c>
      <c r="F297" s="7">
        <f t="shared" si="4"/>
        <v>0</v>
      </c>
    </row>
    <row r="298" spans="1:6" ht="47.25" x14ac:dyDescent="0.25">
      <c r="A298" s="5" t="s">
        <v>2010</v>
      </c>
      <c r="B298" s="7" t="s">
        <v>1077</v>
      </c>
      <c r="C298" s="7" t="s">
        <v>84</v>
      </c>
      <c r="D298" s="7">
        <f>Quantity_Sheet!H298</f>
        <v>0</v>
      </c>
      <c r="E298" s="5">
        <f>rate_782</f>
        <v>10597.22</v>
      </c>
      <c r="F298" s="7">
        <f t="shared" si="4"/>
        <v>0</v>
      </c>
    </row>
    <row r="299" spans="1:6" ht="47.25" x14ac:dyDescent="0.25">
      <c r="A299" s="5" t="s">
        <v>2011</v>
      </c>
      <c r="B299" s="7" t="s">
        <v>1079</v>
      </c>
      <c r="C299" s="7" t="s">
        <v>84</v>
      </c>
      <c r="D299" s="7">
        <f>Quantity_Sheet!H299</f>
        <v>0</v>
      </c>
      <c r="E299" s="5">
        <f>rate_781</f>
        <v>11872.16</v>
      </c>
      <c r="F299" s="7">
        <f t="shared" si="4"/>
        <v>0</v>
      </c>
    </row>
    <row r="300" spans="1:6" ht="47.25" x14ac:dyDescent="0.25">
      <c r="A300" s="5" t="s">
        <v>2012</v>
      </c>
      <c r="B300" s="7" t="s">
        <v>1081</v>
      </c>
      <c r="C300" s="7" t="s">
        <v>84</v>
      </c>
      <c r="D300" s="7">
        <f>Quantity_Sheet!H300</f>
        <v>0</v>
      </c>
      <c r="E300" s="5">
        <f>rate_784</f>
        <v>10336</v>
      </c>
      <c r="F300" s="7">
        <f t="shared" si="4"/>
        <v>0</v>
      </c>
    </row>
    <row r="301" spans="1:6" ht="47.25" x14ac:dyDescent="0.25">
      <c r="A301" s="5" t="s">
        <v>2013</v>
      </c>
      <c r="B301" s="7" t="s">
        <v>1083</v>
      </c>
      <c r="C301" s="7" t="s">
        <v>84</v>
      </c>
      <c r="D301" s="7">
        <f>Quantity_Sheet!H301</f>
        <v>0</v>
      </c>
      <c r="E301" s="5">
        <f>rate_783</f>
        <v>11360.19</v>
      </c>
      <c r="F301" s="7">
        <f t="shared" si="4"/>
        <v>0</v>
      </c>
    </row>
    <row r="302" spans="1:6" ht="31.5" x14ac:dyDescent="0.25">
      <c r="A302" s="5" t="s">
        <v>2014</v>
      </c>
      <c r="B302" s="7" t="s">
        <v>1086</v>
      </c>
      <c r="C302" s="7" t="s">
        <v>144</v>
      </c>
      <c r="D302" s="7">
        <f>Quantity_Sheet!H302</f>
        <v>0</v>
      </c>
      <c r="E302" s="5">
        <f>rate_810</f>
        <v>441.88</v>
      </c>
      <c r="F302" s="7">
        <f t="shared" si="4"/>
        <v>0</v>
      </c>
    </row>
    <row r="303" spans="1:6" ht="47.25" x14ac:dyDescent="0.25">
      <c r="A303" s="5" t="s">
        <v>2015</v>
      </c>
      <c r="B303" s="7" t="s">
        <v>1091</v>
      </c>
      <c r="C303" s="7" t="s">
        <v>144</v>
      </c>
      <c r="D303" s="7">
        <f>Quantity_Sheet!H303</f>
        <v>0</v>
      </c>
      <c r="E303" s="5">
        <f>rate_811</f>
        <v>540.77</v>
      </c>
      <c r="F303" s="7">
        <f t="shared" si="4"/>
        <v>0</v>
      </c>
    </row>
    <row r="304" spans="1:6" ht="31.5" x14ac:dyDescent="0.25">
      <c r="A304" s="5" t="s">
        <v>2016</v>
      </c>
      <c r="B304" s="7" t="s">
        <v>1095</v>
      </c>
      <c r="C304" s="7" t="s">
        <v>75</v>
      </c>
      <c r="D304" s="7">
        <f>Quantity_Sheet!H304</f>
        <v>0</v>
      </c>
      <c r="E304" s="5" t="e">
        <f>rate_2290</f>
        <v>#REF!</v>
      </c>
      <c r="F304" s="7" t="e">
        <f t="shared" si="4"/>
        <v>#REF!</v>
      </c>
    </row>
    <row r="305" spans="1:6" ht="31.5" x14ac:dyDescent="0.25">
      <c r="A305" s="5" t="s">
        <v>2017</v>
      </c>
      <c r="B305" s="7" t="s">
        <v>1099</v>
      </c>
      <c r="C305" s="7" t="s">
        <v>49</v>
      </c>
      <c r="D305" s="7">
        <f>Quantity_Sheet!H305</f>
        <v>0</v>
      </c>
      <c r="E305" s="5" t="e">
        <f>rate_822</f>
        <v>#REF!</v>
      </c>
      <c r="F305" s="7" t="e">
        <f t="shared" si="4"/>
        <v>#REF!</v>
      </c>
    </row>
    <row r="306" spans="1:6" ht="31.5" x14ac:dyDescent="0.25">
      <c r="A306" s="5" t="s">
        <v>2018</v>
      </c>
      <c r="B306" s="7" t="s">
        <v>1106</v>
      </c>
      <c r="C306" s="7" t="s">
        <v>75</v>
      </c>
      <c r="D306" s="7">
        <f>Quantity_Sheet!H306</f>
        <v>0</v>
      </c>
      <c r="E306" s="5">
        <f>rate_824</f>
        <v>677.47</v>
      </c>
      <c r="F306" s="7">
        <f t="shared" si="4"/>
        <v>0</v>
      </c>
    </row>
    <row r="307" spans="1:6" ht="31.5" x14ac:dyDescent="0.25">
      <c r="A307" s="5" t="s">
        <v>2019</v>
      </c>
      <c r="B307" s="7" t="s">
        <v>1109</v>
      </c>
      <c r="C307" s="7" t="s">
        <v>75</v>
      </c>
      <c r="D307" s="7">
        <f>Quantity_Sheet!H307</f>
        <v>0</v>
      </c>
      <c r="E307" s="5">
        <f>rate_825</f>
        <v>964.2</v>
      </c>
      <c r="F307" s="7">
        <f t="shared" si="4"/>
        <v>0</v>
      </c>
    </row>
    <row r="308" spans="1:6" ht="31.5" x14ac:dyDescent="0.25">
      <c r="A308" s="5" t="s">
        <v>2020</v>
      </c>
      <c r="B308" s="7" t="s">
        <v>1111</v>
      </c>
      <c r="C308" s="7" t="s">
        <v>75</v>
      </c>
      <c r="D308" s="7">
        <f>Quantity_Sheet!H308</f>
        <v>0</v>
      </c>
      <c r="E308" s="5">
        <f>rate_826</f>
        <v>644.19000000000005</v>
      </c>
      <c r="F308" s="7">
        <f t="shared" si="4"/>
        <v>0</v>
      </c>
    </row>
    <row r="309" spans="1:6" ht="63" x14ac:dyDescent="0.25">
      <c r="A309" s="5" t="s">
        <v>2021</v>
      </c>
      <c r="B309" s="7" t="s">
        <v>1113</v>
      </c>
      <c r="C309" s="7" t="s">
        <v>75</v>
      </c>
      <c r="D309" s="7">
        <f>Quantity_Sheet!H309</f>
        <v>0</v>
      </c>
      <c r="E309" s="5">
        <f>rate_827</f>
        <v>661.31</v>
      </c>
      <c r="F309" s="7">
        <f t="shared" si="4"/>
        <v>0</v>
      </c>
    </row>
    <row r="310" spans="1:6" ht="47.25" x14ac:dyDescent="0.25">
      <c r="A310" s="5" t="s">
        <v>2022</v>
      </c>
      <c r="B310" s="7" t="s">
        <v>1116</v>
      </c>
      <c r="C310" s="7" t="s">
        <v>75</v>
      </c>
      <c r="D310" s="7">
        <f>Quantity_Sheet!H310</f>
        <v>0</v>
      </c>
      <c r="E310" s="5">
        <f>rate_828</f>
        <v>417.46</v>
      </c>
      <c r="F310" s="7">
        <f t="shared" si="4"/>
        <v>0</v>
      </c>
    </row>
    <row r="311" spans="1:6" ht="47.25" x14ac:dyDescent="0.25">
      <c r="A311" s="5" t="s">
        <v>2023</v>
      </c>
      <c r="B311" s="7" t="s">
        <v>1119</v>
      </c>
      <c r="C311" s="7" t="s">
        <v>75</v>
      </c>
      <c r="D311" s="7">
        <f>Quantity_Sheet!H311</f>
        <v>0</v>
      </c>
      <c r="E311" s="5">
        <f>rate_829</f>
        <v>354.87</v>
      </c>
      <c r="F311" s="7">
        <f t="shared" si="4"/>
        <v>0</v>
      </c>
    </row>
    <row r="312" spans="1:6" ht="47.25" x14ac:dyDescent="0.25">
      <c r="A312" s="5" t="s">
        <v>2024</v>
      </c>
      <c r="B312" s="7" t="s">
        <v>1126</v>
      </c>
      <c r="C312" s="7" t="s">
        <v>438</v>
      </c>
      <c r="D312" s="7">
        <f>Quantity_Sheet!H312</f>
        <v>0</v>
      </c>
      <c r="E312" s="5">
        <f>rate_830</f>
        <v>1433.71</v>
      </c>
      <c r="F312" s="7">
        <f t="shared" si="4"/>
        <v>0</v>
      </c>
    </row>
    <row r="313" spans="1:6" ht="31.5" x14ac:dyDescent="0.25">
      <c r="A313" s="5" t="s">
        <v>2025</v>
      </c>
      <c r="B313" s="7" t="s">
        <v>1130</v>
      </c>
      <c r="C313" s="7" t="s">
        <v>438</v>
      </c>
      <c r="D313" s="7">
        <f>Quantity_Sheet!H313</f>
        <v>0</v>
      </c>
      <c r="E313" s="5" t="e">
        <f>rate_831</f>
        <v>#REF!</v>
      </c>
      <c r="F313" s="7" t="e">
        <f t="shared" si="4"/>
        <v>#REF!</v>
      </c>
    </row>
    <row r="314" spans="1:6" ht="47.25" x14ac:dyDescent="0.25">
      <c r="A314" s="5" t="s">
        <v>2026</v>
      </c>
      <c r="B314" s="7" t="s">
        <v>1137</v>
      </c>
      <c r="C314" s="7" t="s">
        <v>438</v>
      </c>
      <c r="D314" s="7">
        <f>Quantity_Sheet!H314</f>
        <v>0</v>
      </c>
      <c r="E314" s="5" t="e">
        <f>rate_832</f>
        <v>#REF!</v>
      </c>
      <c r="F314" s="7" t="e">
        <f t="shared" si="4"/>
        <v>#REF!</v>
      </c>
    </row>
    <row r="315" spans="1:6" ht="47.25" x14ac:dyDescent="0.25">
      <c r="A315" s="5" t="s">
        <v>2027</v>
      </c>
      <c r="B315" s="7" t="s">
        <v>1140</v>
      </c>
      <c r="C315" s="7" t="s">
        <v>2028</v>
      </c>
      <c r="D315" s="7">
        <f>Quantity_Sheet!H315</f>
        <v>0</v>
      </c>
      <c r="E315" s="5">
        <f>rate_934</f>
        <v>343.97</v>
      </c>
      <c r="F315" s="7">
        <f t="shared" si="4"/>
        <v>0</v>
      </c>
    </row>
    <row r="316" spans="1:6" ht="31.5" x14ac:dyDescent="0.25">
      <c r="A316" s="5" t="s">
        <v>2029</v>
      </c>
      <c r="B316" s="7" t="s">
        <v>1149</v>
      </c>
      <c r="C316" s="7" t="s">
        <v>2028</v>
      </c>
      <c r="D316" s="7">
        <f>Quantity_Sheet!H316</f>
        <v>0</v>
      </c>
      <c r="E316" s="5">
        <f>rate_935</f>
        <v>511.7</v>
      </c>
      <c r="F316" s="7">
        <f t="shared" si="4"/>
        <v>0</v>
      </c>
    </row>
    <row r="317" spans="1:6" ht="31.5" x14ac:dyDescent="0.25">
      <c r="A317" s="5" t="s">
        <v>2030</v>
      </c>
      <c r="B317" s="7" t="s">
        <v>1149</v>
      </c>
      <c r="C317" s="7" t="s">
        <v>2031</v>
      </c>
      <c r="D317" s="7">
        <f>Quantity_Sheet!H317</f>
        <v>0</v>
      </c>
      <c r="E317" s="5" t="e">
        <f>rate_936</f>
        <v>#REF!</v>
      </c>
      <c r="F317" s="7" t="e">
        <f t="shared" si="4"/>
        <v>#REF!</v>
      </c>
    </row>
    <row r="318" spans="1:6" ht="31.5" x14ac:dyDescent="0.25">
      <c r="A318" s="5" t="s">
        <v>2032</v>
      </c>
      <c r="B318" s="7" t="s">
        <v>1161</v>
      </c>
      <c r="C318" s="7" t="s">
        <v>84</v>
      </c>
      <c r="D318" s="7">
        <f>Quantity_Sheet!H318</f>
        <v>0</v>
      </c>
      <c r="E318" s="5">
        <f>rate_937</f>
        <v>949.61</v>
      </c>
      <c r="F318" s="7">
        <f t="shared" si="4"/>
        <v>0</v>
      </c>
    </row>
    <row r="319" spans="1:6" ht="63" x14ac:dyDescent="0.25">
      <c r="A319" s="5" t="s">
        <v>2033</v>
      </c>
      <c r="B319" s="7" t="s">
        <v>1163</v>
      </c>
      <c r="C319" s="7" t="s">
        <v>84</v>
      </c>
      <c r="D319" s="7">
        <f>Quantity_Sheet!H319</f>
        <v>0</v>
      </c>
      <c r="E319" s="5" t="e">
        <f>rate_938</f>
        <v>#REF!</v>
      </c>
      <c r="F319" s="7" t="e">
        <f t="shared" si="4"/>
        <v>#REF!</v>
      </c>
    </row>
    <row r="320" spans="1:6" ht="78.75" x14ac:dyDescent="0.25">
      <c r="A320" s="5" t="s">
        <v>2034</v>
      </c>
      <c r="B320" s="7" t="s">
        <v>1167</v>
      </c>
      <c r="C320" s="7" t="s">
        <v>84</v>
      </c>
      <c r="D320" s="7">
        <f>Quantity_Sheet!H320</f>
        <v>0</v>
      </c>
      <c r="E320" s="5">
        <f>rate_943</f>
        <v>20869.310000000001</v>
      </c>
      <c r="F320" s="7">
        <f t="shared" si="4"/>
        <v>0</v>
      </c>
    </row>
    <row r="321" spans="1:6" ht="63" x14ac:dyDescent="0.25">
      <c r="A321" s="5" t="s">
        <v>2035</v>
      </c>
      <c r="B321" s="7" t="s">
        <v>1181</v>
      </c>
      <c r="C321" s="7" t="s">
        <v>438</v>
      </c>
      <c r="D321" s="7">
        <f>Quantity_Sheet!H321</f>
        <v>0</v>
      </c>
      <c r="E321" s="5">
        <f>rate_950</f>
        <v>371.31</v>
      </c>
      <c r="F321" s="7">
        <f t="shared" si="4"/>
        <v>0</v>
      </c>
    </row>
    <row r="322" spans="1:6" ht="63" x14ac:dyDescent="0.25">
      <c r="A322" s="5" t="s">
        <v>2036</v>
      </c>
      <c r="B322" s="7" t="s">
        <v>1185</v>
      </c>
      <c r="C322" s="7" t="s">
        <v>438</v>
      </c>
      <c r="D322" s="7">
        <f>Quantity_Sheet!H322</f>
        <v>0</v>
      </c>
      <c r="E322" s="5">
        <f>rate_951</f>
        <v>10938.21</v>
      </c>
      <c r="F322" s="7">
        <f t="shared" si="4"/>
        <v>0</v>
      </c>
    </row>
    <row r="323" spans="1:6" ht="63" x14ac:dyDescent="0.25">
      <c r="A323" s="5" t="s">
        <v>2037</v>
      </c>
      <c r="B323" s="7" t="s">
        <v>1187</v>
      </c>
      <c r="C323" s="7" t="s">
        <v>438</v>
      </c>
      <c r="D323" s="7">
        <f>Quantity_Sheet!H323</f>
        <v>0</v>
      </c>
      <c r="E323" s="5">
        <f>rate_952</f>
        <v>698.58</v>
      </c>
      <c r="F323" s="7">
        <f t="shared" si="4"/>
        <v>0</v>
      </c>
    </row>
    <row r="324" spans="1:6" ht="47.25" x14ac:dyDescent="0.25">
      <c r="A324" s="5" t="s">
        <v>2038</v>
      </c>
      <c r="B324" s="7" t="s">
        <v>1191</v>
      </c>
      <c r="C324" s="7" t="s">
        <v>438</v>
      </c>
      <c r="D324" s="7">
        <f>Quantity_Sheet!H324</f>
        <v>0</v>
      </c>
      <c r="E324" s="5">
        <f>rate_953</f>
        <v>92.44</v>
      </c>
      <c r="F324" s="7">
        <f t="shared" si="4"/>
        <v>0</v>
      </c>
    </row>
    <row r="325" spans="1:6" ht="63" x14ac:dyDescent="0.25">
      <c r="A325" s="5" t="s">
        <v>2039</v>
      </c>
      <c r="B325" s="7" t="s">
        <v>1194</v>
      </c>
      <c r="C325" s="7" t="s">
        <v>438</v>
      </c>
      <c r="D325" s="7">
        <f>Quantity_Sheet!H325</f>
        <v>0</v>
      </c>
      <c r="E325" s="5">
        <f>rate_954</f>
        <v>111.73</v>
      </c>
      <c r="F325" s="7">
        <f t="shared" si="4"/>
        <v>0</v>
      </c>
    </row>
    <row r="326" spans="1:6" ht="63" x14ac:dyDescent="0.25">
      <c r="A326" s="5" t="s">
        <v>2040</v>
      </c>
      <c r="B326" s="7" t="s">
        <v>1197</v>
      </c>
      <c r="C326" s="7" t="s">
        <v>438</v>
      </c>
      <c r="D326" s="7">
        <f>Quantity_Sheet!H326</f>
        <v>0</v>
      </c>
      <c r="E326" s="5" t="e">
        <f>rate_959</f>
        <v>#REF!</v>
      </c>
      <c r="F326" s="7" t="e">
        <f t="shared" si="4"/>
        <v>#REF!</v>
      </c>
    </row>
    <row r="327" spans="1:6" ht="63" x14ac:dyDescent="0.25">
      <c r="A327" s="5" t="s">
        <v>2041</v>
      </c>
      <c r="B327" s="7" t="s">
        <v>1202</v>
      </c>
      <c r="C327" s="7" t="s">
        <v>438</v>
      </c>
      <c r="D327" s="7">
        <f>Quantity_Sheet!H327</f>
        <v>0</v>
      </c>
      <c r="E327" s="5" t="e">
        <f>rate_960</f>
        <v>#REF!</v>
      </c>
      <c r="F327" s="7" t="e">
        <f t="shared" si="4"/>
        <v>#REF!</v>
      </c>
    </row>
    <row r="328" spans="1:6" ht="63" x14ac:dyDescent="0.25">
      <c r="A328" s="5" t="s">
        <v>2042</v>
      </c>
      <c r="B328" s="7" t="s">
        <v>1205</v>
      </c>
      <c r="C328" s="7" t="s">
        <v>438</v>
      </c>
      <c r="D328" s="7">
        <f>Quantity_Sheet!H328</f>
        <v>0</v>
      </c>
      <c r="E328" s="5" t="e">
        <f>rate_961</f>
        <v>#REF!</v>
      </c>
      <c r="F328" s="7" t="e">
        <f t="shared" si="4"/>
        <v>#REF!</v>
      </c>
    </row>
    <row r="329" spans="1:6" ht="31.5" x14ac:dyDescent="0.25">
      <c r="A329" s="5" t="s">
        <v>2043</v>
      </c>
      <c r="B329" s="7" t="s">
        <v>1209</v>
      </c>
      <c r="C329" s="7" t="s">
        <v>2044</v>
      </c>
      <c r="D329" s="7">
        <f>Quantity_Sheet!H329</f>
        <v>0</v>
      </c>
      <c r="E329" s="5" t="e">
        <f>rate_968</f>
        <v>#REF!</v>
      </c>
      <c r="F329" s="7" t="e">
        <f t="shared" si="4"/>
        <v>#REF!</v>
      </c>
    </row>
    <row r="330" spans="1:6" ht="31.5" x14ac:dyDescent="0.25">
      <c r="A330" s="5" t="s">
        <v>2045</v>
      </c>
      <c r="B330" s="7" t="s">
        <v>1216</v>
      </c>
      <c r="C330" s="7" t="s">
        <v>2044</v>
      </c>
      <c r="D330" s="7">
        <f>Quantity_Sheet!H330</f>
        <v>0</v>
      </c>
      <c r="E330" s="5" t="e">
        <f>rate_969</f>
        <v>#REF!</v>
      </c>
      <c r="F330" s="7" t="e">
        <f t="shared" si="4"/>
        <v>#REF!</v>
      </c>
    </row>
    <row r="331" spans="1:6" ht="31.5" x14ac:dyDescent="0.25">
      <c r="A331" s="5" t="s">
        <v>2046</v>
      </c>
      <c r="B331" s="7" t="s">
        <v>1219</v>
      </c>
      <c r="C331" s="7"/>
      <c r="D331" s="7">
        <f>Quantity_Sheet!H331</f>
        <v>0</v>
      </c>
      <c r="E331" s="5" t="e">
        <f>rate_970</f>
        <v>#REF!</v>
      </c>
      <c r="F331" s="7" t="e">
        <f t="shared" si="4"/>
        <v>#REF!</v>
      </c>
    </row>
    <row r="332" spans="1:6" ht="31.5" x14ac:dyDescent="0.25">
      <c r="A332" s="5" t="s">
        <v>2047</v>
      </c>
      <c r="B332" s="7" t="s">
        <v>1223</v>
      </c>
      <c r="C332" s="7"/>
      <c r="D332" s="7">
        <f>Quantity_Sheet!H332</f>
        <v>0</v>
      </c>
      <c r="E332" s="5" t="e">
        <f>rate_971</f>
        <v>#REF!</v>
      </c>
      <c r="F332" s="7" t="e">
        <f t="shared" si="4"/>
        <v>#REF!</v>
      </c>
    </row>
    <row r="333" spans="1:6" ht="31.5" x14ac:dyDescent="0.25">
      <c r="A333" s="5" t="s">
        <v>2048</v>
      </c>
      <c r="B333" s="7" t="s">
        <v>1227</v>
      </c>
      <c r="C333" s="7" t="s">
        <v>463</v>
      </c>
      <c r="D333" s="7">
        <f>Quantity_Sheet!H333</f>
        <v>0</v>
      </c>
      <c r="E333" s="5" t="e">
        <f>rate_1011</f>
        <v>#REF!</v>
      </c>
      <c r="F333" s="7" t="e">
        <f t="shared" si="4"/>
        <v>#REF!</v>
      </c>
    </row>
    <row r="334" spans="1:6" ht="31.5" x14ac:dyDescent="0.25">
      <c r="A334" s="5" t="s">
        <v>2049</v>
      </c>
      <c r="B334" s="7" t="s">
        <v>1237</v>
      </c>
      <c r="C334" s="7" t="s">
        <v>1812</v>
      </c>
      <c r="D334" s="7">
        <f>Quantity_Sheet!H334</f>
        <v>0</v>
      </c>
      <c r="E334" s="5" t="e">
        <f>rate_1012</f>
        <v>#REF!</v>
      </c>
      <c r="F334" s="7" t="e">
        <f t="shared" ref="F334:F339" si="5">TRUNC(D334*E334,2)</f>
        <v>#REF!</v>
      </c>
    </row>
    <row r="335" spans="1:6" ht="31.5" x14ac:dyDescent="0.25">
      <c r="A335" s="5" t="s">
        <v>2050</v>
      </c>
      <c r="B335" s="7" t="s">
        <v>1248</v>
      </c>
      <c r="C335" s="7" t="s">
        <v>75</v>
      </c>
      <c r="D335" s="7">
        <f>Quantity_Sheet!H335</f>
        <v>0</v>
      </c>
      <c r="E335" s="5" t="e">
        <f>rate_1013</f>
        <v>#REF!</v>
      </c>
      <c r="F335" s="7" t="e">
        <f t="shared" si="5"/>
        <v>#REF!</v>
      </c>
    </row>
    <row r="336" spans="1:6" ht="31.5" x14ac:dyDescent="0.25">
      <c r="A336" s="5" t="s">
        <v>2051</v>
      </c>
      <c r="B336" s="7" t="s">
        <v>1251</v>
      </c>
      <c r="C336" s="7" t="s">
        <v>75</v>
      </c>
      <c r="D336" s="7">
        <f>Quantity_Sheet!H336</f>
        <v>0</v>
      </c>
      <c r="E336" s="5" t="e">
        <f>rate_1014</f>
        <v>#REF!</v>
      </c>
      <c r="F336" s="7" t="e">
        <f t="shared" si="5"/>
        <v>#REF!</v>
      </c>
    </row>
    <row r="337" spans="1:6" ht="63" x14ac:dyDescent="0.25">
      <c r="A337" s="5" t="s">
        <v>2052</v>
      </c>
      <c r="B337" s="7" t="s">
        <v>1254</v>
      </c>
      <c r="C337" s="7" t="s">
        <v>75</v>
      </c>
      <c r="D337" s="7">
        <f>Quantity_Sheet!H337</f>
        <v>0</v>
      </c>
      <c r="E337" s="5" t="e">
        <f>rate_1015</f>
        <v>#REF!</v>
      </c>
      <c r="F337" s="7" t="e">
        <f t="shared" si="5"/>
        <v>#REF!</v>
      </c>
    </row>
    <row r="338" spans="1:6" ht="78.75" x14ac:dyDescent="0.25">
      <c r="A338" s="5" t="s">
        <v>2053</v>
      </c>
      <c r="B338" s="7" t="s">
        <v>1256</v>
      </c>
      <c r="C338" s="7" t="s">
        <v>75</v>
      </c>
      <c r="D338" s="7">
        <f>Quantity_Sheet!H338</f>
        <v>0</v>
      </c>
      <c r="E338" s="5" t="e">
        <f>rate_1018</f>
        <v>#REF!</v>
      </c>
      <c r="F338" s="7" t="e">
        <f t="shared" si="5"/>
        <v>#REF!</v>
      </c>
    </row>
    <row r="339" spans="1:6" ht="78.75" x14ac:dyDescent="0.25">
      <c r="A339" s="5" t="s">
        <v>2054</v>
      </c>
      <c r="B339" s="7" t="s">
        <v>1266</v>
      </c>
      <c r="C339" s="7" t="s">
        <v>75</v>
      </c>
      <c r="D339" s="7">
        <f>Quantity_Sheet!H339</f>
        <v>0</v>
      </c>
      <c r="E339" s="5" t="e">
        <f>rate_1019</f>
        <v>#REF!</v>
      </c>
      <c r="F339" s="7" t="e">
        <f t="shared" si="5"/>
        <v>#REF!</v>
      </c>
    </row>
    <row r="340" spans="1:6" ht="15.75" x14ac:dyDescent="0.25">
      <c r="A340" s="423"/>
      <c r="B340" s="423"/>
      <c r="C340" s="423"/>
      <c r="D340" s="423"/>
      <c r="E340" s="423"/>
      <c r="F340" s="423"/>
    </row>
    <row r="341" spans="1:6" x14ac:dyDescent="0.25">
      <c r="A341" s="422" t="s">
        <v>2062</v>
      </c>
      <c r="B341" s="422"/>
      <c r="C341" s="422"/>
      <c r="D341" s="422"/>
      <c r="E341" s="422"/>
      <c r="F341" s="8" t="e">
        <f>SUM(F14:F339)</f>
        <v>#REF!</v>
      </c>
    </row>
    <row r="342" spans="1:6" x14ac:dyDescent="0.25">
      <c r="A342" s="422" t="s">
        <v>2063</v>
      </c>
      <c r="B342" s="422"/>
      <c r="C342" s="422"/>
      <c r="D342" s="422"/>
      <c r="E342" s="422"/>
      <c r="F342" s="8" t="e">
        <f>SUMIF(C14:C339,"PS",F14:F340)</f>
        <v>#REF!</v>
      </c>
    </row>
    <row r="343" spans="1:6" x14ac:dyDescent="0.25">
      <c r="A343" s="422" t="s">
        <v>2064</v>
      </c>
      <c r="B343" s="422"/>
      <c r="C343" s="422"/>
      <c r="D343" s="422"/>
      <c r="E343" s="422"/>
      <c r="F343" s="8" t="e">
        <f>0.13*(total-prov_sum)</f>
        <v>#REF!</v>
      </c>
    </row>
    <row r="344" spans="1:6" x14ac:dyDescent="0.25">
      <c r="A344" s="422" t="s">
        <v>2065</v>
      </c>
      <c r="B344" s="422"/>
      <c r="C344" s="422"/>
      <c r="D344" s="422"/>
      <c r="E344" s="422"/>
      <c r="F344" s="8" t="e">
        <f>0.05*(total-prov_sum)</f>
        <v>#REF!</v>
      </c>
    </row>
    <row r="345" spans="1:6" x14ac:dyDescent="0.25">
      <c r="A345" s="422" t="s">
        <v>2066</v>
      </c>
      <c r="B345" s="422"/>
      <c r="C345" s="422"/>
      <c r="D345" s="422"/>
      <c r="E345" s="422"/>
      <c r="F345" s="8" t="e">
        <f>0.1*(total-prov_sum)</f>
        <v>#REF!</v>
      </c>
    </row>
    <row r="346" spans="1:6" x14ac:dyDescent="0.25">
      <c r="A346" s="422" t="s">
        <v>2067</v>
      </c>
      <c r="B346" s="422"/>
      <c r="C346" s="422"/>
      <c r="D346" s="422"/>
      <c r="E346" s="422"/>
      <c r="F346" s="8" t="e">
        <f>0.1*(total-prov_sum)</f>
        <v>#REF!</v>
      </c>
    </row>
    <row r="347" spans="1:6" x14ac:dyDescent="0.25">
      <c r="A347" s="422" t="s">
        <v>2068</v>
      </c>
      <c r="B347" s="422"/>
      <c r="C347" s="422"/>
      <c r="D347" s="422"/>
      <c r="E347" s="422"/>
      <c r="F347" s="8" t="e">
        <f>SUM(F341:F346)-prov_sum</f>
        <v>#REF!</v>
      </c>
    </row>
  </sheetData>
  <mergeCells count="19">
    <mergeCell ref="A344:E344"/>
    <mergeCell ref="A345:E345"/>
    <mergeCell ref="A346:E346"/>
    <mergeCell ref="A347:E347"/>
    <mergeCell ref="A11:B11"/>
    <mergeCell ref="A340:F340"/>
    <mergeCell ref="A341:E341"/>
    <mergeCell ref="A342:E342"/>
    <mergeCell ref="A343:E343"/>
    <mergeCell ref="A6:G6"/>
    <mergeCell ref="A7:G7"/>
    <mergeCell ref="A8:B8"/>
    <mergeCell ref="A9:B9"/>
    <mergeCell ref="A10:B10"/>
    <mergeCell ref="A1:G1"/>
    <mergeCell ref="A2:G2"/>
    <mergeCell ref="A3:G3"/>
    <mergeCell ref="A4:G4"/>
    <mergeCell ref="A5:G5"/>
  </mergeCells>
  <conditionalFormatting sqref="A13:G340">
    <cfRule type="containsBlanks" dxfId="18" priority="1">
      <formula>LEN(TRIM(A13))=0</formula>
    </cfRule>
  </conditionalFormatting>
  <pageMargins left="0.5" right="0.5" top="0.5" bottom="0.5" header="0.3" footer="0.3"/>
  <pageSetup paperSize="9" scale="53" fitToHeight="0" orientation="portrait" useFirstPageNumber="1" r:id="rId1"/>
  <headerFooter>
    <oddHeader>&amp;L Abstract of Cost &amp;R Page &amp;P of &amp;N</oddHeader>
    <oddFooter>&amp;L Prepared By:________________            &amp;C Checked By:________________             Recommended By:________________            &amp;R Approved By:________________</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50"/>
  <sheetViews>
    <sheetView workbookViewId="0">
      <selection sqref="A1:G1"/>
    </sheetView>
  </sheetViews>
  <sheetFormatPr defaultRowHeight="15" x14ac:dyDescent="0.25"/>
  <cols>
    <col min="2" max="2" width="70.7109375" customWidth="1"/>
    <col min="3" max="4" width="8.7109375" customWidth="1"/>
    <col min="5" max="5" width="15.7109375" customWidth="1"/>
    <col min="6" max="6" width="50.7109375" customWidth="1"/>
    <col min="7" max="7" width="15.7109375" customWidth="1"/>
  </cols>
  <sheetData>
    <row r="1" spans="1:7" ht="15.75" x14ac:dyDescent="0.25">
      <c r="A1" s="415" t="s">
        <v>0</v>
      </c>
      <c r="B1" s="415"/>
      <c r="C1" s="415"/>
      <c r="D1" s="415"/>
      <c r="E1" s="415"/>
      <c r="F1" s="415"/>
      <c r="G1" s="415"/>
    </row>
    <row r="2" spans="1:7" ht="15.75" x14ac:dyDescent="0.25">
      <c r="A2" s="415" t="str">
        <f>ministry</f>
        <v>Ministry of Physical Infrastructure &amp; Transport</v>
      </c>
      <c r="B2" s="415"/>
      <c r="C2" s="415"/>
      <c r="D2" s="415"/>
      <c r="E2" s="415"/>
      <c r="F2" s="415"/>
      <c r="G2" s="415"/>
    </row>
    <row r="3" spans="1:7" ht="15.75" x14ac:dyDescent="0.25">
      <c r="A3" s="416" t="s">
        <v>2</v>
      </c>
      <c r="B3" s="416"/>
      <c r="C3" s="416"/>
      <c r="D3" s="416"/>
      <c r="E3" s="416"/>
      <c r="F3" s="416"/>
      <c r="G3" s="416"/>
    </row>
    <row r="4" spans="1:7" ht="15.75" x14ac:dyDescent="0.25">
      <c r="A4" s="415" t="str">
        <f>Region</f>
        <v>[Branch/Directorate/FHSMO]</v>
      </c>
      <c r="B4" s="415"/>
      <c r="C4" s="415"/>
      <c r="D4" s="415"/>
      <c r="E4" s="415"/>
      <c r="F4" s="415"/>
      <c r="G4" s="415"/>
    </row>
    <row r="5" spans="1:7" ht="15.75" x14ac:dyDescent="0.25">
      <c r="A5" s="416" t="str">
        <f>Division</f>
        <v>[Division/Project Office]</v>
      </c>
      <c r="B5" s="416"/>
      <c r="C5" s="416"/>
      <c r="D5" s="416"/>
      <c r="E5" s="416"/>
      <c r="F5" s="416"/>
      <c r="G5" s="416"/>
    </row>
    <row r="6" spans="1:7" ht="20.25" x14ac:dyDescent="0.25">
      <c r="A6" s="420" t="s">
        <v>2069</v>
      </c>
      <c r="B6" s="420"/>
      <c r="C6" s="420"/>
      <c r="D6" s="420"/>
      <c r="E6" s="420"/>
      <c r="F6" s="420"/>
      <c r="G6" s="420"/>
    </row>
    <row r="7" spans="1:7" ht="15.75" x14ac:dyDescent="0.25">
      <c r="A7" s="421" t="str">
        <f>"Contract Identification No :" &amp; contract_number</f>
        <v>Contract Identification No :</v>
      </c>
      <c r="B7" s="421"/>
    </row>
    <row r="8" spans="1:7" ht="15.75" x14ac:dyDescent="0.25">
      <c r="A8" s="421" t="str">
        <f>"BH No :" &amp; bh_number</f>
        <v>BH No :</v>
      </c>
      <c r="B8" s="421"/>
    </row>
    <row r="9" spans="1:7" ht="15.75" x14ac:dyDescent="0.25">
      <c r="A9" s="421" t="str">
        <f>"Nature of the work :" &amp; nature_of_work</f>
        <v>Nature of the work :</v>
      </c>
      <c r="B9" s="421"/>
    </row>
    <row r="10" spans="1:7" ht="15.75" x14ac:dyDescent="0.25">
      <c r="A10" s="421" t="str">
        <f>"Name of Road :" &amp; name_of_road</f>
        <v>Name of Road :</v>
      </c>
      <c r="B10" s="421"/>
    </row>
    <row r="11" spans="1:7" ht="47.25" x14ac:dyDescent="0.25">
      <c r="A11" s="4" t="s">
        <v>1272</v>
      </c>
      <c r="B11" s="4" t="s">
        <v>1716</v>
      </c>
      <c r="C11" s="4" t="s">
        <v>20</v>
      </c>
      <c r="D11" s="4" t="s">
        <v>21</v>
      </c>
      <c r="E11" s="4" t="s">
        <v>2070</v>
      </c>
      <c r="F11" s="4" t="s">
        <v>2071</v>
      </c>
      <c r="G11" s="4" t="s">
        <v>2072</v>
      </c>
    </row>
    <row r="12" spans="1:7" ht="15.75" x14ac:dyDescent="0.25">
      <c r="B12" s="6" t="s">
        <v>1721</v>
      </c>
    </row>
    <row r="13" spans="1:7" ht="31.5" x14ac:dyDescent="0.25">
      <c r="A13" s="3">
        <v>1</v>
      </c>
      <c r="B13" s="7" t="str">
        <f>description_95 &amp;  " [ 110 ]"</f>
        <v>Providing and installation of project signboards with size of 1.8 x 1.2 m as per specification  and instruction of engineer. [ 110 ]</v>
      </c>
      <c r="C13" s="3" t="s">
        <v>49</v>
      </c>
      <c r="D13" s="3">
        <f>Quantity_Sheet!H14</f>
        <v>0</v>
      </c>
      <c r="E13" s="5">
        <f>rate_95</f>
        <v>17930.8</v>
      </c>
      <c r="F13" s="9"/>
      <c r="G13" s="10">
        <f t="shared" ref="G13:G76" si="0">D13 * E13</f>
        <v>0</v>
      </c>
    </row>
    <row r="14" spans="1:7" ht="31.5" x14ac:dyDescent="0.25">
      <c r="A14" s="3">
        <v>2</v>
      </c>
      <c r="B14" s="7" t="str">
        <f>description_1049 &amp;  " [  ]"</f>
        <v>Engineer's Facilities: Establishment and maintenance of office and site camp etc, and providing furniture and other facilities as directed by the Engineer. [  ]</v>
      </c>
      <c r="C14" s="3" t="s">
        <v>1724</v>
      </c>
      <c r="D14" s="3">
        <f>Quantity_Sheet!H15</f>
        <v>0</v>
      </c>
      <c r="E14" s="5" t="e">
        <f>rate_1049</f>
        <v>#REF!</v>
      </c>
      <c r="F14" s="9"/>
      <c r="G14" s="10" t="e">
        <f t="shared" si="0"/>
        <v>#REF!</v>
      </c>
    </row>
    <row r="15" spans="1:7" ht="110.25" x14ac:dyDescent="0.25">
      <c r="A15" s="3">
        <v>3</v>
      </c>
      <c r="B15" s="7" t="str">
        <f>description_103 &amp;  " [ 201 ]"</f>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 [ 201 ]</v>
      </c>
      <c r="C15" s="3" t="s">
        <v>438</v>
      </c>
      <c r="D15" s="3">
        <f>Quantity_Sheet!H16</f>
        <v>0</v>
      </c>
      <c r="E15" s="5">
        <f>rate_103</f>
        <v>6.42</v>
      </c>
      <c r="F15" s="9"/>
      <c r="G15" s="10">
        <f t="shared" si="0"/>
        <v>0</v>
      </c>
    </row>
    <row r="16" spans="1:7" ht="94.5" x14ac:dyDescent="0.25">
      <c r="A16" s="3">
        <v>4</v>
      </c>
      <c r="B16" s="7" t="str">
        <f>description_121 &amp;  " [ 202 ]"</f>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Lime /Cement Concrete, By Mechanical Means, Cement Concrete Grade M-15 &amp; M-20 [ 202 ]</v>
      </c>
      <c r="C16" s="3" t="s">
        <v>84</v>
      </c>
      <c r="D16" s="3">
        <f>Quantity_Sheet!H17</f>
        <v>0</v>
      </c>
      <c r="E16" s="5">
        <f>rate_121</f>
        <v>2642.36</v>
      </c>
      <c r="F16" s="9"/>
      <c r="G16" s="10">
        <f t="shared" si="0"/>
        <v>0</v>
      </c>
    </row>
    <row r="17" spans="1:7" ht="94.5" x14ac:dyDescent="0.25">
      <c r="A17" s="3">
        <v>5</v>
      </c>
      <c r="B17" s="7" t="str">
        <f>description_124 &amp;  " [ 202 ]"</f>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 [ 202 ]</v>
      </c>
      <c r="C17" s="3" t="s">
        <v>84</v>
      </c>
      <c r="D17" s="3">
        <f>Quantity_Sheet!H18</f>
        <v>0</v>
      </c>
      <c r="E17" s="5">
        <f>rate_124</f>
        <v>1817.35</v>
      </c>
      <c r="F17" s="9"/>
      <c r="G17" s="10">
        <f t="shared" si="0"/>
        <v>0</v>
      </c>
    </row>
    <row r="18" spans="1:7" ht="94.5" x14ac:dyDescent="0.25">
      <c r="A18" s="3">
        <v>6</v>
      </c>
      <c r="B18" s="7" t="str">
        <f>description_128 &amp;  " [ 202 ]"</f>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Stone Masonry, Rubble stone masonry in cement mortar. [ 202 ]</v>
      </c>
      <c r="C18" s="3" t="s">
        <v>84</v>
      </c>
      <c r="D18" s="3">
        <f>Quantity_Sheet!H19</f>
        <v>0</v>
      </c>
      <c r="E18" s="5">
        <f>rate_128</f>
        <v>1817.35</v>
      </c>
      <c r="F18" s="9"/>
      <c r="G18" s="10">
        <f t="shared" si="0"/>
        <v>0</v>
      </c>
    </row>
    <row r="19" spans="1:7" ht="47.25" x14ac:dyDescent="0.25">
      <c r="A19" s="3">
        <v>7</v>
      </c>
      <c r="B19" s="7" t="str">
        <f>description_245 &amp;  " [ 701 ]"</f>
        <v>Providing, jointing and laying HDPE pipes with or without collar etc. complete in place as per Drawing and Technical Specifications., a) 110 mm/125 mm outer dia. [ 701 ]</v>
      </c>
      <c r="C19" s="3" t="s">
        <v>75</v>
      </c>
      <c r="D19" s="3">
        <f>Quantity_Sheet!H20</f>
        <v>0</v>
      </c>
      <c r="E19" s="5">
        <f>rate_245</f>
        <v>849.12</v>
      </c>
      <c r="F19" s="9"/>
      <c r="G19" s="10">
        <f t="shared" si="0"/>
        <v>0</v>
      </c>
    </row>
    <row r="20" spans="1:7" ht="47.25" x14ac:dyDescent="0.25">
      <c r="A20" s="3">
        <v>8</v>
      </c>
      <c r="B20" s="7" t="str">
        <f>description_246 &amp;  " [ 701 ]"</f>
        <v>Providing and Laying Reinforced cement concrete NP3 Flush jointed pipe for culverts including fixing with cement mortar 1:2 as per Drawing and Technical Specifications., 300 mm  internal dia. [ 701 ]</v>
      </c>
      <c r="C20" s="3" t="s">
        <v>75</v>
      </c>
      <c r="D20" s="3">
        <f>Quantity_Sheet!H21</f>
        <v>0</v>
      </c>
      <c r="E20" s="5">
        <f>rate_246</f>
        <v>4266.76</v>
      </c>
      <c r="F20" s="9"/>
      <c r="G20" s="10">
        <f t="shared" si="0"/>
        <v>0</v>
      </c>
    </row>
    <row r="21" spans="1:7" ht="47.25" x14ac:dyDescent="0.25">
      <c r="A21" s="3">
        <v>9</v>
      </c>
      <c r="B21" s="7" t="str">
        <f>description_247 &amp;  " [ 701 ]"</f>
        <v>Providing and Laying Reinforced cement concrete NP3 Flush jointed pipe for culverts including fixing with cement mortar 1:2 as per Drawing and Technical Specifications., 450 mm  internal dia. [ 701 ]</v>
      </c>
      <c r="C21" s="3" t="s">
        <v>75</v>
      </c>
      <c r="D21" s="3">
        <f>Quantity_Sheet!H22</f>
        <v>0</v>
      </c>
      <c r="E21" s="5">
        <f>rate_247</f>
        <v>5934.21</v>
      </c>
      <c r="F21" s="9"/>
      <c r="G21" s="10">
        <f t="shared" si="0"/>
        <v>0</v>
      </c>
    </row>
    <row r="22" spans="1:7" ht="47.25" x14ac:dyDescent="0.25">
      <c r="A22" s="3">
        <v>10</v>
      </c>
      <c r="B22" s="7" t="str">
        <f>description_248 &amp;  " [ 701 ]"</f>
        <v>Providing and Laying Reinforced cement concrete NP3 Flush jointed pipe for culverts including fixing with cement mortar 1:2 as per Drawing and Technical Specifications., 600 mm  internal dia. [ 701 ]</v>
      </c>
      <c r="C22" s="3" t="s">
        <v>75</v>
      </c>
      <c r="D22" s="3">
        <f>Quantity_Sheet!H23</f>
        <v>0</v>
      </c>
      <c r="E22" s="5">
        <f>rate_248</f>
        <v>7992.65</v>
      </c>
      <c r="F22" s="9"/>
      <c r="G22" s="10">
        <f t="shared" si="0"/>
        <v>0</v>
      </c>
    </row>
    <row r="23" spans="1:7" ht="47.25" x14ac:dyDescent="0.25">
      <c r="A23" s="3">
        <v>11</v>
      </c>
      <c r="B23" s="7" t="str">
        <f>description_249 &amp;  " [ 701 ]"</f>
        <v>Providing and Laying Reinforced cement concrete NP3 Flush jointed pipe for culverts including fixing with cement mortar 1:2 as per Drawing and Technical Specifications., 900 mm  internal dia. [ 701 ]</v>
      </c>
      <c r="C23" s="3" t="s">
        <v>75</v>
      </c>
      <c r="D23" s="3">
        <f>Quantity_Sheet!H24</f>
        <v>0</v>
      </c>
      <c r="E23" s="5">
        <f>rate_249</f>
        <v>14966.75</v>
      </c>
      <c r="F23" s="9"/>
      <c r="G23" s="10">
        <f t="shared" si="0"/>
        <v>0</v>
      </c>
    </row>
    <row r="24" spans="1:7" ht="47.25" x14ac:dyDescent="0.25">
      <c r="A24" s="3">
        <v>12</v>
      </c>
      <c r="B24" s="7" t="str">
        <f>description_250 &amp;  " [ 701 ]"</f>
        <v>Providing and Laying Reinforced cement concrete NP3 Flush jointed pipe for culverts including fixing with cement mortar 1:2 as per Drawing and Technical Specifications., 1000 mm  internal dia. [ 701 ]</v>
      </c>
      <c r="C24" s="3" t="s">
        <v>75</v>
      </c>
      <c r="D24" s="3">
        <f>Quantity_Sheet!H25</f>
        <v>0</v>
      </c>
      <c r="E24" s="5">
        <f>rate_250</f>
        <v>16776.59</v>
      </c>
      <c r="F24" s="9"/>
      <c r="G24" s="10">
        <f t="shared" si="0"/>
        <v>0</v>
      </c>
    </row>
    <row r="25" spans="1:7" ht="47.25" x14ac:dyDescent="0.25">
      <c r="A25" s="3">
        <v>13</v>
      </c>
      <c r="B25" s="7" t="str">
        <f>description_251 &amp;  " [ 701 ]"</f>
        <v>Providing and Laying Reinforced cement concrete NP3 Flush jointed pipe for culverts including fixing with cement mortar 1:2 as per Drawing and Technical Specifications., 1200 mm  internal dia. [ 701 ]</v>
      </c>
      <c r="C25" s="3" t="s">
        <v>75</v>
      </c>
      <c r="D25" s="3">
        <f>Quantity_Sheet!H26</f>
        <v>0</v>
      </c>
      <c r="E25" s="5">
        <f>rate_251</f>
        <v>20033.41</v>
      </c>
      <c r="F25" s="9"/>
      <c r="G25" s="10">
        <f t="shared" si="0"/>
        <v>0</v>
      </c>
    </row>
    <row r="26" spans="1:7" ht="47.25" x14ac:dyDescent="0.25">
      <c r="A26" s="3">
        <v>14</v>
      </c>
      <c r="B26" s="7" t="str">
        <f>description_252 &amp;  " [ 701 ]"</f>
        <v>Providing and Laying Reinforced cement concrete NP3 Collar jointed pipe for culverts including fixing collar with cement mortar 1:2 as per Drawing and Technical Specifications., 300 mm internal dia. [ 701 ]</v>
      </c>
      <c r="C26" s="3" t="s">
        <v>75</v>
      </c>
      <c r="D26" s="3">
        <f>Quantity_Sheet!H27</f>
        <v>0</v>
      </c>
      <c r="E26" s="5">
        <f>rate_252</f>
        <v>4554.8999999999996</v>
      </c>
      <c r="F26" s="9"/>
      <c r="G26" s="10">
        <f t="shared" si="0"/>
        <v>0</v>
      </c>
    </row>
    <row r="27" spans="1:7" ht="47.25" x14ac:dyDescent="0.25">
      <c r="A27" s="3">
        <v>15</v>
      </c>
      <c r="B27" s="7" t="str">
        <f>description_253 &amp;  " [ 701 ]"</f>
        <v>Providing and Laying Reinforced cement concrete NP3 Collar jointed pipe for culverts including fixing collar with cement mortar 1:2 as per Drawing and Technical Specifications., 450 mm internal dia. [ 701 ]</v>
      </c>
      <c r="C27" s="3" t="s">
        <v>75</v>
      </c>
      <c r="D27" s="3">
        <f>Quantity_Sheet!H28</f>
        <v>0</v>
      </c>
      <c r="E27" s="5">
        <f>rate_253</f>
        <v>6348.21</v>
      </c>
      <c r="F27" s="9"/>
      <c r="G27" s="10">
        <f t="shared" si="0"/>
        <v>0</v>
      </c>
    </row>
    <row r="28" spans="1:7" ht="47.25" x14ac:dyDescent="0.25">
      <c r="A28" s="3">
        <v>16</v>
      </c>
      <c r="B28" s="7" t="str">
        <f>description_254 &amp;  " [ 701 ]"</f>
        <v>Providing and Laying Reinforced cement concrete NP3 Collar jointed pipe for culverts including fixing collar with cement mortar 1:2 as per Drawing and Technical Specifications., 600 mm internal dia. [ 701 ]</v>
      </c>
      <c r="C28" s="3" t="s">
        <v>75</v>
      </c>
      <c r="D28" s="3">
        <f>Quantity_Sheet!H29</f>
        <v>0</v>
      </c>
      <c r="E28" s="5">
        <f>rate_254</f>
        <v>8415.85</v>
      </c>
      <c r="F28" s="9"/>
      <c r="G28" s="10">
        <f t="shared" si="0"/>
        <v>0</v>
      </c>
    </row>
    <row r="29" spans="1:7" ht="47.25" x14ac:dyDescent="0.25">
      <c r="A29" s="3">
        <v>17</v>
      </c>
      <c r="B29" s="7" t="str">
        <f>description_255 &amp;  " [ 701 ]"</f>
        <v>Providing and Laying Reinforced cement concrete NP3 Collar jointed pipe for culverts including fixing collar with cement mortar 1:2 as per Drawing and Technical Specifications., 900 mm internal dia. [ 701 ]</v>
      </c>
      <c r="C29" s="3" t="s">
        <v>75</v>
      </c>
      <c r="D29" s="3">
        <f>Quantity_Sheet!H30</f>
        <v>0</v>
      </c>
      <c r="E29" s="5">
        <f>rate_255</f>
        <v>16086.21</v>
      </c>
      <c r="F29" s="9"/>
      <c r="G29" s="10">
        <f t="shared" si="0"/>
        <v>0</v>
      </c>
    </row>
    <row r="30" spans="1:7" ht="47.25" x14ac:dyDescent="0.25">
      <c r="A30" s="3">
        <v>18</v>
      </c>
      <c r="B30" s="7" t="str">
        <f>description_256 &amp;  " [ 701 ]"</f>
        <v>Providing and Laying Reinforced cement concrete NP3 Collar jointed pipe for culverts including fixing collar with cement mortar 1:2 as per Drawing and Technical Specifications., 1000 mm internal dia. [ 701 ]</v>
      </c>
      <c r="C30" s="3" t="s">
        <v>75</v>
      </c>
      <c r="D30" s="3">
        <f>Quantity_Sheet!H31</f>
        <v>0</v>
      </c>
      <c r="E30" s="5">
        <f>rate_256</f>
        <v>18021.169999999998</v>
      </c>
      <c r="F30" s="9"/>
      <c r="G30" s="10">
        <f t="shared" si="0"/>
        <v>0</v>
      </c>
    </row>
    <row r="31" spans="1:7" ht="47.25" x14ac:dyDescent="0.25">
      <c r="A31" s="3">
        <v>19</v>
      </c>
      <c r="B31" s="7" t="str">
        <f>description_257 &amp;  " [ 701 ]"</f>
        <v>Providing and Laying Reinforced cement concrete NP3 Collar jointed pipe for culverts including fixing collar with cement mortar 1:2 as per Drawing and Technical Specifications., 1200 mm internal dia. [ 701 ]</v>
      </c>
      <c r="C31" s="3" t="s">
        <v>75</v>
      </c>
      <c r="D31" s="3">
        <f>Quantity_Sheet!H32</f>
        <v>0</v>
      </c>
      <c r="E31" s="5">
        <f>rate_257</f>
        <v>21515.41</v>
      </c>
      <c r="F31" s="9"/>
      <c r="G31" s="10">
        <f t="shared" si="0"/>
        <v>0</v>
      </c>
    </row>
    <row r="32" spans="1:7" ht="78.75" x14ac:dyDescent="0.25">
      <c r="A32" s="3">
        <v>20</v>
      </c>
      <c r="B32" s="7" t="str">
        <f>description_261 &amp;  " [ 905 ]"</f>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 [ 905 ]</v>
      </c>
      <c r="C32" s="3" t="s">
        <v>84</v>
      </c>
      <c r="D32" s="3">
        <f>Quantity_Sheet!H33</f>
        <v>0</v>
      </c>
      <c r="E32" s="5">
        <f>rate_261</f>
        <v>861.23</v>
      </c>
      <c r="F32" s="9"/>
      <c r="G32" s="10">
        <f t="shared" si="0"/>
        <v>0</v>
      </c>
    </row>
    <row r="33" spans="1:7" ht="63" x14ac:dyDescent="0.25">
      <c r="A33" s="3">
        <v>21</v>
      </c>
      <c r="B33" s="7" t="str">
        <f>description_262 &amp;  " [ 905 ]"</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[ 905 ]</v>
      </c>
      <c r="C33" s="3" t="s">
        <v>84</v>
      </c>
      <c r="D33" s="3">
        <f>Quantity_Sheet!H34</f>
        <v>0</v>
      </c>
      <c r="E33" s="5">
        <f>rate_262</f>
        <v>72.39</v>
      </c>
      <c r="F33" s="9"/>
      <c r="G33" s="10">
        <f t="shared" si="0"/>
        <v>0</v>
      </c>
    </row>
    <row r="34" spans="1:7" ht="63" x14ac:dyDescent="0.25">
      <c r="A34" s="3">
        <v>22</v>
      </c>
      <c r="B34" s="7" t="str">
        <f>description_263 &amp;  " [ 905 ]"</f>
        <v>Earthwork Excavation in Cutting., Roadway Excavation in ordinary rock  by Manual Means ., Roadway Excavation  in ordinary rock as per Drawing and Technical specification, including all lift and lead  as per Drawing and instruction of the Engineer. [ 905 ]</v>
      </c>
      <c r="C34" s="3" t="s">
        <v>84</v>
      </c>
      <c r="D34" s="3">
        <f>Quantity_Sheet!H35</f>
        <v>0</v>
      </c>
      <c r="E34" s="5">
        <f>rate_263</f>
        <v>996.66</v>
      </c>
      <c r="F34" s="9"/>
      <c r="G34" s="10">
        <f t="shared" si="0"/>
        <v>0</v>
      </c>
    </row>
    <row r="35" spans="1:7" ht="63" x14ac:dyDescent="0.25">
      <c r="A35" s="3">
        <v>23</v>
      </c>
      <c r="B35" s="7" t="str">
        <f>description_264 &amp;  " [ 905 ]"</f>
        <v>Earthwork Excavation in Cutting., Roadway Excavation in ordinary rock by Mechanical  Means ., Roadway Excavation  in ordinary rock as per Drawing and Technical specification, including  all lift and lead  as per Drawing and instruction of the Engineer. [ 905 ]</v>
      </c>
      <c r="C35" s="3" t="s">
        <v>84</v>
      </c>
      <c r="D35" s="3">
        <f>Quantity_Sheet!H36</f>
        <v>0</v>
      </c>
      <c r="E35" s="5">
        <f>rate_264</f>
        <v>217.18</v>
      </c>
      <c r="F35" s="9"/>
      <c r="G35" s="10">
        <f t="shared" si="0"/>
        <v>0</v>
      </c>
    </row>
    <row r="36" spans="1:7" ht="63" x14ac:dyDescent="0.25">
      <c r="A36" s="3">
        <v>24</v>
      </c>
      <c r="B36" s="7" t="str">
        <f>description_265 &amp;  " [ 905 ]"</f>
        <v>Earthwork Excavation in Cutting., Roadway Excavation in Hard Rock, mechanical Drilling, Roadway Excavation in hard rock with mechanical  drilling, including  blasting and breaking, and disposal of cut road within all lifts and leads  as per Drawing and instruction of the Engineer. [ 905 ]</v>
      </c>
      <c r="C36" s="3" t="s">
        <v>84</v>
      </c>
      <c r="D36" s="3">
        <f>Quantity_Sheet!H37</f>
        <v>0</v>
      </c>
      <c r="E36" s="5">
        <f>rate_265</f>
        <v>-536.95000000000005</v>
      </c>
      <c r="F36" s="9"/>
      <c r="G36" s="10">
        <f t="shared" si="0"/>
        <v>0</v>
      </c>
    </row>
    <row r="37" spans="1:7" ht="47.25" x14ac:dyDescent="0.25">
      <c r="A37" s="3">
        <v>25</v>
      </c>
      <c r="B37" s="7" t="str">
        <f>description_266 &amp;  " [ 905 ]"</f>
        <v>Earthwork Excavation in Cutting., Excavation in Hard Rock, manual Drilling, Roadway  excavation in hard rock with manual drilling, blasting, breaking,   lifts and leads  all complete  as per Drawing and instruction of the Engineer. [ 905 ]</v>
      </c>
      <c r="C37" s="3" t="s">
        <v>84</v>
      </c>
      <c r="D37" s="3">
        <f>Quantity_Sheet!H38</f>
        <v>0</v>
      </c>
      <c r="E37" s="5" t="e">
        <f>rate_266</f>
        <v>#REF!</v>
      </c>
      <c r="F37" s="9"/>
      <c r="G37" s="10" t="e">
        <f t="shared" si="0"/>
        <v>#REF!</v>
      </c>
    </row>
    <row r="38" spans="1:7" ht="78.75" x14ac:dyDescent="0.25">
      <c r="A38" s="3">
        <v>26</v>
      </c>
      <c r="B38" s="7" t="str">
        <f>description_273 &amp;  " [ 907 ]"</f>
        <v>Excavation for Structures Foundation, Earth work in excavation of foundation of structures, including  construction of shoring and bracing, removal of stumps and other deleterious matter and backfilling with approved Material as per Drawing and Technical Specifications., Ordinary soil by Manual Means, Depth upto 3 m [ 907 ]</v>
      </c>
      <c r="C38" s="3" t="s">
        <v>84</v>
      </c>
      <c r="D38" s="3">
        <f>Quantity_Sheet!H39</f>
        <v>0</v>
      </c>
      <c r="E38" s="5">
        <f>rate_273</f>
        <v>1003.38</v>
      </c>
      <c r="F38" s="9"/>
      <c r="G38" s="10">
        <f t="shared" si="0"/>
        <v>0</v>
      </c>
    </row>
    <row r="39" spans="1:7" ht="78.75" x14ac:dyDescent="0.25">
      <c r="A39" s="3">
        <v>27</v>
      </c>
      <c r="B39" s="7" t="str">
        <f>description_276 &amp;  " [ 907 ]"</f>
        <v>Excavation for Structures Foundation, Earth work in excavation of foundation of structures, including  construction of shoring and bracing, removal of stumps and other deleterious matter and backfilling with approved Material as per Drawing and Technical Specifications., Ordinary soil by Mechanical Means, Depth upto 3 m [ 907 ]</v>
      </c>
      <c r="C39" s="3" t="s">
        <v>84</v>
      </c>
      <c r="D39" s="3">
        <f>Quantity_Sheet!H40</f>
        <v>0</v>
      </c>
      <c r="E39" s="5">
        <f>rate_276</f>
        <v>108.59</v>
      </c>
      <c r="F39" s="9"/>
      <c r="G39" s="10">
        <f t="shared" si="0"/>
        <v>0</v>
      </c>
    </row>
    <row r="40" spans="1:7" ht="78.75" x14ac:dyDescent="0.25">
      <c r="A40" s="3">
        <v>28</v>
      </c>
      <c r="B40" s="7" t="str">
        <f>description_277 &amp;  " [ 907 ]"</f>
        <v>Excavation for Structures Foundation, Earth work in excavation of foundation of structures, including  construction of shoring and bracing, removal of stumps and other deleterious matter and backfilling with approved Material as per Drawing and Technical Specifications., Ordinary soil by Mechanical Means, Depth 3 m to 6 m [ 907 ]</v>
      </c>
      <c r="C40" s="3" t="s">
        <v>84</v>
      </c>
      <c r="D40" s="3">
        <f>Quantity_Sheet!H41</f>
        <v>0</v>
      </c>
      <c r="E40" s="5">
        <f>rate_277</f>
        <v>124.1</v>
      </c>
      <c r="F40" s="9"/>
      <c r="G40" s="10">
        <f t="shared" si="0"/>
        <v>0</v>
      </c>
    </row>
    <row r="41" spans="1:7" ht="78.75" x14ac:dyDescent="0.25">
      <c r="A41" s="3">
        <v>29</v>
      </c>
      <c r="B41" s="7" t="str">
        <f>description_278 &amp;  " [ 907 ]"</f>
        <v>Excavation for Structures Foundation, Earth work in excavation of foundation of structures, including  construction of shoring and bracing, removal of stumps and other deleterious matter and backfilling with approved Material as per Drawing and Technical Specifications., Ordinary soil by Mechanical Means, Depth above 6 m [ 907 ]</v>
      </c>
      <c r="C41" s="3" t="s">
        <v>84</v>
      </c>
      <c r="D41" s="3">
        <f>Quantity_Sheet!H42</f>
        <v>0</v>
      </c>
      <c r="E41" s="5">
        <f>rate_278</f>
        <v>158.71</v>
      </c>
      <c r="F41" s="9"/>
      <c r="G41" s="10">
        <f t="shared" si="0"/>
        <v>0</v>
      </c>
    </row>
    <row r="42" spans="1:7" ht="78.75" x14ac:dyDescent="0.25">
      <c r="A42" s="3">
        <v>30</v>
      </c>
      <c r="B42" s="7" t="str">
        <f>description_280 &amp;  " [ 907 ]"</f>
        <v>Excavation for Structures Foundation, Earth work in excavation of foundation of structures, including  construction of shoring and bracing, removal of stumps and other deleterious matter and backfilling with approved Material as per Drawing and Technical Specifications., Ordinary Rock (not requiring blasting) by Mechanical Means, Depth upto 3 m [ 907 ]</v>
      </c>
      <c r="C42" s="3" t="s">
        <v>84</v>
      </c>
      <c r="D42" s="3">
        <f>Quantity_Sheet!H43</f>
        <v>0</v>
      </c>
      <c r="E42" s="5">
        <f>rate_280</f>
        <v>289.57</v>
      </c>
      <c r="F42" s="9"/>
      <c r="G42" s="10">
        <f t="shared" si="0"/>
        <v>0</v>
      </c>
    </row>
    <row r="43" spans="1:7" ht="47.25" x14ac:dyDescent="0.25">
      <c r="A43" s="3">
        <v>31</v>
      </c>
      <c r="B43" s="7" t="str">
        <f>description_289 &amp;  " [ 909910 ]"</f>
        <v>Construction of Embankment  with Material obtained from Borrow pits, Providing, laying, spreading and compacting embankment with borrow material as per Drawing and Technical Specifications. [ 909910 ]</v>
      </c>
      <c r="C43" s="3" t="s">
        <v>84</v>
      </c>
      <c r="D43" s="3">
        <f>Quantity_Sheet!H44</f>
        <v>0</v>
      </c>
      <c r="E43" s="5">
        <f>rate_289</f>
        <v>549.26</v>
      </c>
      <c r="F43" s="9"/>
      <c r="G43" s="10">
        <f t="shared" si="0"/>
        <v>0</v>
      </c>
    </row>
    <row r="44" spans="1:7" ht="63" x14ac:dyDescent="0.25">
      <c r="A44" s="3">
        <v>32</v>
      </c>
      <c r="B44" s="7" t="str">
        <f>description_291 &amp;  " [ 909910 ]"</f>
        <v>Construction of Embankment with Material Deposited from Roadway Cutting, Providing, laying, spreading and compacting embankment with roadway cutting  material  and compact to the required density as per Drawing and Technical Specifications. (With machine) [ 909910 ]</v>
      </c>
      <c r="C44" s="3" t="s">
        <v>84</v>
      </c>
      <c r="D44" s="3">
        <f>Quantity_Sheet!H45</f>
        <v>0</v>
      </c>
      <c r="E44" s="5">
        <f>rate_291</f>
        <v>326.76</v>
      </c>
      <c r="F44" s="9"/>
      <c r="G44" s="10">
        <f t="shared" si="0"/>
        <v>0</v>
      </c>
    </row>
    <row r="45" spans="1:7" ht="47.25" x14ac:dyDescent="0.25">
      <c r="A45" s="3">
        <v>33</v>
      </c>
      <c r="B45" s="7" t="str">
        <f>description_293 &amp;  " [ 908 ]"</f>
        <v>Providing suitable material and Back filling behind abutment, wing wall and return wall complete as per Drawing and Technical Specifications., Granular Material [ 908 ]</v>
      </c>
      <c r="C45" s="3" t="s">
        <v>84</v>
      </c>
      <c r="D45" s="3">
        <f>Quantity_Sheet!H46</f>
        <v>0</v>
      </c>
      <c r="E45" s="5">
        <f>rate_293</f>
        <v>1422.01</v>
      </c>
      <c r="F45" s="9"/>
      <c r="G45" s="10">
        <f t="shared" si="0"/>
        <v>0</v>
      </c>
    </row>
    <row r="46" spans="1:7" ht="47.25" x14ac:dyDescent="0.25">
      <c r="A46" s="3">
        <v>34</v>
      </c>
      <c r="B46" s="7" t="str">
        <f>description_294 &amp;  " [ 908 ]"</f>
        <v>Providing suitable material and Back filling behind abutment, wing wall and return wall complete as per Drawing and Technical Specifications., Sandy Material [ 908 ]</v>
      </c>
      <c r="C46" s="3" t="s">
        <v>84</v>
      </c>
      <c r="D46" s="3">
        <f>Quantity_Sheet!H47</f>
        <v>0</v>
      </c>
      <c r="E46" s="5">
        <f>rate_294</f>
        <v>5009.6499999999996</v>
      </c>
      <c r="F46" s="9"/>
      <c r="G46" s="10">
        <f t="shared" si="0"/>
        <v>0</v>
      </c>
    </row>
    <row r="47" spans="1:7" ht="94.5" x14ac:dyDescent="0.25">
      <c r="A47" s="3">
        <v>35</v>
      </c>
      <c r="B47" s="7" t="str">
        <f>description_297 &amp;  " [ 909910 ]"</f>
        <v>Providing and laying of Filter media with granular Material/stone crushed aggregates  to a thickness of not less than 600 mm with smaller size towards the soil and bigger size towards the wall and provided over the entire surface behind abutment, wing wall and return wall to the full height compacted to a firm condition complete as per drawing and Technical Specification. [ 909910 ]</v>
      </c>
      <c r="C47" s="3" t="s">
        <v>84</v>
      </c>
      <c r="D47" s="3">
        <f>Quantity_Sheet!H48</f>
        <v>0</v>
      </c>
      <c r="E47" s="5">
        <f>rate_297</f>
        <v>2014.18</v>
      </c>
      <c r="F47" s="9"/>
      <c r="G47" s="10">
        <f t="shared" si="0"/>
        <v>0</v>
      </c>
    </row>
    <row r="48" spans="1:7" ht="47.25" x14ac:dyDescent="0.25">
      <c r="A48" s="3">
        <v>36</v>
      </c>
      <c r="B48" s="7" t="str">
        <f>description_271 &amp;  " [ 900 ]"</f>
        <v>Removal of Unserviceable Soil with Disposal upto 1000 meters, Removal of unserviceable soil including excavation, loading and disposal upto 1000 meters lead [ 900 ]</v>
      </c>
      <c r="C48" s="3" t="s">
        <v>84</v>
      </c>
      <c r="D48" s="3">
        <f>Quantity_Sheet!H49</f>
        <v>0</v>
      </c>
      <c r="E48" s="5">
        <f>rate_271</f>
        <v>154.96</v>
      </c>
      <c r="F48" s="9"/>
      <c r="G48" s="10">
        <f t="shared" si="0"/>
        <v>0</v>
      </c>
    </row>
    <row r="49" spans="1:7" ht="47.25" x14ac:dyDescent="0.25">
      <c r="A49" s="3">
        <v>37</v>
      </c>
      <c r="B49" s="7" t="str">
        <f>description_270 &amp;  " [ 905 ]"</f>
        <v>Earthwork Excavation in Cutting., Excavation in Marshy Soil, Roadway Excavation  in marshy soil  as per Drawing and Technical Specifications [ 905 ]</v>
      </c>
      <c r="C49" s="3" t="s">
        <v>84</v>
      </c>
      <c r="D49" s="3">
        <f>Quantity_Sheet!H50</f>
        <v>0</v>
      </c>
      <c r="E49" s="5">
        <f>rate_270</f>
        <v>185.95</v>
      </c>
      <c r="F49" s="9"/>
      <c r="G49" s="10">
        <f t="shared" si="0"/>
        <v>0</v>
      </c>
    </row>
    <row r="50" spans="1:7" ht="31.5" x14ac:dyDescent="0.25">
      <c r="A50" s="3">
        <v>38</v>
      </c>
      <c r="B50" s="7" t="str">
        <f>description_298 &amp;  " [ 909910 ]"</f>
        <v>Providing and filling sand  in Foundation Trenches as per Drawing &amp; Technical Specification [ 909910 ]</v>
      </c>
      <c r="C50" s="3" t="s">
        <v>84</v>
      </c>
      <c r="D50" s="3">
        <f>Quantity_Sheet!H51</f>
        <v>0</v>
      </c>
      <c r="E50" s="5">
        <f>rate_298</f>
        <v>4621.3</v>
      </c>
      <c r="F50" s="9"/>
      <c r="G50" s="10">
        <f t="shared" si="0"/>
        <v>0</v>
      </c>
    </row>
    <row r="51" spans="1:7" ht="47.25" x14ac:dyDescent="0.25">
      <c r="A51" s="3">
        <v>39</v>
      </c>
      <c r="B51" s="7" t="str">
        <f>description_296 &amp;  " [ 908 ]"</f>
        <v>Providing suitable material and Back filling behind abutment, wing wall and return wall complete as per Drawing and Technical Specifications., Locally available Material, with out watering and compaction by tamping rod [ 908 ]</v>
      </c>
      <c r="C51" s="3" t="s">
        <v>84</v>
      </c>
      <c r="D51" s="3">
        <f>Quantity_Sheet!H52</f>
        <v>0</v>
      </c>
      <c r="E51" s="5">
        <f>rate_296</f>
        <v>472.5</v>
      </c>
      <c r="F51" s="9"/>
      <c r="G51" s="10">
        <f t="shared" si="0"/>
        <v>0</v>
      </c>
    </row>
    <row r="52" spans="1:7" ht="63" x14ac:dyDescent="0.25">
      <c r="A52" s="3">
        <v>40</v>
      </c>
      <c r="B52" s="7" t="str">
        <f>description_301 &amp;  " [ 1003 ]"</f>
        <v>Scarifying Existing road Surface to a depth of 50 mm by Mechanical Means, Scarifying the existing road surface to a depth of 50 mm and disposal of scarified Material with in all lifts and lead as per Drawing and Technical Specifications. [ 1003 ]</v>
      </c>
      <c r="C52" s="3" t="s">
        <v>438</v>
      </c>
      <c r="D52" s="3">
        <f>Quantity_Sheet!H53</f>
        <v>0</v>
      </c>
      <c r="E52" s="5">
        <f>rate_301</f>
        <v>24.54</v>
      </c>
      <c r="F52" s="9"/>
      <c r="G52" s="10">
        <f t="shared" si="0"/>
        <v>0</v>
      </c>
    </row>
    <row r="53" spans="1:7" ht="63" x14ac:dyDescent="0.25">
      <c r="A53" s="3">
        <v>41</v>
      </c>
      <c r="B53" s="7" t="str">
        <f>description_299 &amp;  " [ 1003 ]"</f>
        <v>Scarifying Existing road Surface to a Depth of 50 mm by
Manual Means, Scarifying the existing road surface to a depth of 50 mm and disposal of scarified Material with all lifts and leads as per Drawing and Technical Specifications. [ 1003 ]</v>
      </c>
      <c r="C53" s="3" t="s">
        <v>438</v>
      </c>
      <c r="D53" s="3">
        <f>Quantity_Sheet!H54</f>
        <v>0</v>
      </c>
      <c r="E53" s="5">
        <f>rate_299</f>
        <v>39.25</v>
      </c>
      <c r="F53" s="9"/>
      <c r="G53" s="10">
        <f t="shared" si="0"/>
        <v>0</v>
      </c>
    </row>
    <row r="54" spans="1:7" ht="63" x14ac:dyDescent="0.25">
      <c r="A54" s="3">
        <v>42</v>
      </c>
      <c r="B54" s="7" t="str">
        <f>description_302 &amp;  " [ 1003 ]"</f>
        <v>Scarifying Existing road Surface to a depth of 50 mm by Mechanical Means, Scarifying the existing bituminous road surface to a depth of 50 mm and disposal of scarified Material with in all lifts and lead as per Drawing and Technical Specifications. [ 1003 ]</v>
      </c>
      <c r="C54" s="3" t="s">
        <v>438</v>
      </c>
      <c r="D54" s="3">
        <f>Quantity_Sheet!H55</f>
        <v>0</v>
      </c>
      <c r="E54" s="5">
        <f>rate_302</f>
        <v>13.48</v>
      </c>
      <c r="F54" s="9"/>
      <c r="G54" s="10">
        <f t="shared" si="0"/>
        <v>0</v>
      </c>
    </row>
    <row r="55" spans="1:7" ht="63" x14ac:dyDescent="0.25">
      <c r="A55" s="3">
        <v>43</v>
      </c>
      <c r="B55" s="7" t="str">
        <f>description_303 &amp;  " [ 1004 ]"</f>
        <v>Construction of Subgrade and Earthen Shoulders with approved Material ( capping layer), Providing and laying sub-grade and earthen shoulders with approved Material obtained from borrow pits with all lifts &amp; leads as per Drawing and Technical Specifications. [ 1004 ]</v>
      </c>
      <c r="C55" s="3" t="s">
        <v>438</v>
      </c>
      <c r="D55" s="3">
        <f>Quantity_Sheet!H56</f>
        <v>0</v>
      </c>
      <c r="E55" s="5">
        <f>rate_303</f>
        <v>899.82</v>
      </c>
      <c r="F55" s="9"/>
      <c r="G55" s="10">
        <f t="shared" si="0"/>
        <v>0</v>
      </c>
    </row>
    <row r="56" spans="1:7" ht="63" x14ac:dyDescent="0.25">
      <c r="A56" s="3">
        <v>44</v>
      </c>
      <c r="B56" s="7" t="str">
        <f>description_304 &amp;  " [ 1003, 1005 ]"</f>
        <v>Compacting Original Ground, Compacting original ground supporting sub-grade, Loosening of the ground upto a level of 500 mm below the sub-grade level, watered, graded and compacted in layers as per Drawing and Technical Specifications. [ 1003, 1005 ]</v>
      </c>
      <c r="C56" s="3" t="s">
        <v>438</v>
      </c>
      <c r="D56" s="3">
        <f>Quantity_Sheet!H57</f>
        <v>0</v>
      </c>
      <c r="E56" s="5">
        <f>rate_304</f>
        <v>119.14</v>
      </c>
      <c r="F56" s="9"/>
      <c r="G56" s="10">
        <f t="shared" si="0"/>
        <v>0</v>
      </c>
    </row>
    <row r="57" spans="1:7" ht="94.5" x14ac:dyDescent="0.25">
      <c r="A57" s="3">
        <v>45</v>
      </c>
      <c r="B57" s="7" t="str">
        <f>description_305 &amp;  " [ 1003, 1005 ]"</f>
        <v>Compacting Original Ground, Compacting original ground supporting embankment, Loosening, leveling and Compacting original ground supporting embankment to facilitate placement of first layer of embankment, scarified to a depth of 150 mm, mixed with water at OMC and then compacted by rolling so as to achieve dry density as per Drawing and Technical Specifications. [ 1003, 1005 ]</v>
      </c>
      <c r="C57" s="3" t="s">
        <v>438</v>
      </c>
      <c r="D57" s="3">
        <f>Quantity_Sheet!H58</f>
        <v>0</v>
      </c>
      <c r="E57" s="5">
        <f>rate_305</f>
        <v>72.430000000000007</v>
      </c>
      <c r="F57" s="9"/>
      <c r="G57" s="10">
        <f t="shared" si="0"/>
        <v>0</v>
      </c>
    </row>
    <row r="58" spans="1:7" ht="78.75" x14ac:dyDescent="0.25">
      <c r="A58" s="3">
        <v>46</v>
      </c>
      <c r="B58" s="7" t="str">
        <f>description_306 &amp;  " [ 1006 ]"</f>
        <v>Lime Stabilization for Improving Sub-grade, Providing , laying and spreading available soil with 3 per cent slaked lime having minimum content of 70 per cent of CaO, mixing, grading and compacting at OMC to the desired density to form a layer of sub grade as per Drawing and Technical Specifications., By Mechanical Means [ 1006 ]</v>
      </c>
      <c r="C58" s="3" t="s">
        <v>438</v>
      </c>
      <c r="D58" s="3">
        <f>Quantity_Sheet!H59</f>
        <v>0</v>
      </c>
      <c r="E58" s="5">
        <f>rate_306</f>
        <v>694.75</v>
      </c>
      <c r="F58" s="9"/>
      <c r="G58" s="10">
        <f t="shared" si="0"/>
        <v>0</v>
      </c>
    </row>
    <row r="59" spans="1:7" ht="47.25" x14ac:dyDescent="0.25">
      <c r="A59" s="3">
        <v>47</v>
      </c>
      <c r="B59" s="7" t="str">
        <f>description_310 &amp;  " [ N/A ]"</f>
        <v>Providing and laying of hand pack Stone soling with 150 to 200 mm thick stones and packing with smaller stone on prepared surface as per Drawing and Technical Specifications. [ N/A ]</v>
      </c>
      <c r="C59" s="3" t="s">
        <v>1768</v>
      </c>
      <c r="D59" s="3">
        <f>Quantity_Sheet!H60</f>
        <v>0</v>
      </c>
      <c r="E59" s="5">
        <f>rate_310</f>
        <v>5273.36</v>
      </c>
      <c r="F59" s="9"/>
      <c r="G59" s="10">
        <f t="shared" si="0"/>
        <v>0</v>
      </c>
    </row>
    <row r="60" spans="1:7" ht="47.25" x14ac:dyDescent="0.25">
      <c r="A60" s="3">
        <v>48</v>
      </c>
      <c r="B60" s="7" t="str">
        <f>description_312 &amp;  " [  ]"</f>
        <v>Providing and laying  granular sub-base   on prepared surface, mixing  at OMC, and compacting  to achieve the desired density, complete as per Drawing and Technical Specifications., By Mechanical means [  ]</v>
      </c>
      <c r="C60" s="3" t="s">
        <v>84</v>
      </c>
      <c r="D60" s="3">
        <f>Quantity_Sheet!H61</f>
        <v>0</v>
      </c>
      <c r="E60" s="5">
        <f>rate_312</f>
        <v>3423.21</v>
      </c>
      <c r="F60" s="9"/>
      <c r="G60" s="10">
        <f t="shared" si="0"/>
        <v>0</v>
      </c>
    </row>
    <row r="61" spans="1:7" ht="78.75" x14ac:dyDescent="0.25">
      <c r="A61" s="3">
        <v>49</v>
      </c>
      <c r="B61" s="7" t="str">
        <f>description_315 &amp;  " [  ]"</f>
        <v>Providing, laying and spreading Material on a prepared sub grade, adding the designed quantity of cement to the spread Material, mixing in place , grading and compacting  at OMC to achieve the desired unconfined compressive strength and to form a layer of sub-base/base as per Drawing and Technical Specifications. [  ]</v>
      </c>
      <c r="C61" s="3" t="s">
        <v>84</v>
      </c>
      <c r="D61" s="3">
        <f>Quantity_Sheet!H62</f>
        <v>0</v>
      </c>
      <c r="E61" s="5">
        <f>rate_315</f>
        <v>5755.12</v>
      </c>
      <c r="F61" s="9"/>
      <c r="G61" s="10">
        <f t="shared" si="0"/>
        <v>0</v>
      </c>
    </row>
    <row r="62" spans="1:7" ht="63" x14ac:dyDescent="0.25">
      <c r="A62" s="3">
        <v>50</v>
      </c>
      <c r="B62" s="7" t="str">
        <f>description_326 &amp;  " [  ]"</f>
        <v>Providing and laying Crusher Run Macadam  on a prepared surface, spreading and mixing , watering and compacting  to  form a layer of sub-base/Base course as per Drawing and Technical Specifications., By Mix in Place Method [  ]</v>
      </c>
      <c r="C62" s="3" t="s">
        <v>84</v>
      </c>
      <c r="D62" s="3">
        <f>Quantity_Sheet!H63</f>
        <v>0</v>
      </c>
      <c r="E62" s="5">
        <f>rate_326</f>
        <v>4726.4399999999996</v>
      </c>
      <c r="F62" s="9"/>
      <c r="G62" s="10">
        <f t="shared" si="0"/>
        <v>0</v>
      </c>
    </row>
    <row r="63" spans="1:7" ht="63" x14ac:dyDescent="0.25">
      <c r="A63" s="3">
        <v>51</v>
      </c>
      <c r="B63" s="7" t="str">
        <f>description_327 &amp;  " [  ]"</f>
        <v>Providing and laying Crusher Run Macadam  on a prepared surface, spreading and mixing , watering and compacting  to  form a layer of sub-base/Base course as per Drawing and Technical Specifications., By Mix in Place Method [  ]</v>
      </c>
      <c r="C63" s="3" t="s">
        <v>84</v>
      </c>
      <c r="D63" s="3">
        <f>Quantity_Sheet!H64</f>
        <v>0</v>
      </c>
      <c r="E63" s="5">
        <f>rate_327</f>
        <v>5130.12</v>
      </c>
      <c r="F63" s="9"/>
      <c r="G63" s="10">
        <f t="shared" si="0"/>
        <v>0</v>
      </c>
    </row>
    <row r="64" spans="1:7" ht="94.5" x14ac:dyDescent="0.25">
      <c r="A64" s="3">
        <v>52</v>
      </c>
      <c r="B64" s="7" t="str">
        <f>description_2051 &amp;  " [  ]"</f>
        <v>Providing, laying, spreading and compacting graded stone aggregate to wet mix macadam specification including premixing the Material with water at OMC laying in uniform layers  in sub- base / base course on well prepared surface and compacting  to achieve required density as per Drawing and Technical Specifications., Sub Base course with S1 material, Vibratory Road Roller [  ]</v>
      </c>
      <c r="C64" s="3" t="s">
        <v>84</v>
      </c>
      <c r="D64" s="3">
        <f>Quantity_Sheet!H65</f>
        <v>0</v>
      </c>
      <c r="E64" s="5">
        <f>rate_2051</f>
        <v>5245.32</v>
      </c>
      <c r="F64" s="9"/>
      <c r="G64" s="10">
        <f t="shared" si="0"/>
        <v>0</v>
      </c>
    </row>
    <row r="65" spans="1:7" ht="94.5" x14ac:dyDescent="0.25">
      <c r="A65" s="3">
        <v>53</v>
      </c>
      <c r="B65" s="7" t="str">
        <f>description_2052 &amp;  " [  ]"</f>
        <v>Providing, laying, spreading and compacting graded stone aggregate to wet mix macadam specification including premixing the Material with water at OMC laying in uniform layers  in sub- base / base course on well prepared surface and compacting  to achieve required density as per Drawing and Technical Specifications., Sub Base course with S2 material, Vibratory Road Roller [  ]</v>
      </c>
      <c r="C65" s="3" t="s">
        <v>84</v>
      </c>
      <c r="D65" s="3">
        <f>Quantity_Sheet!H66</f>
        <v>0</v>
      </c>
      <c r="E65" s="5">
        <f>rate_2052</f>
        <v>5245.3</v>
      </c>
      <c r="F65" s="9"/>
      <c r="G65" s="10">
        <f t="shared" si="0"/>
        <v>0</v>
      </c>
    </row>
    <row r="66" spans="1:7" ht="78.75" x14ac:dyDescent="0.25">
      <c r="A66" s="3">
        <v>54</v>
      </c>
      <c r="B66" s="7" t="str">
        <f>description_331 &amp;  " [  ]"</f>
        <v>Providing and making  footpath/separator  of  150 mm compacted granular sub base and 25 mm thick cement concrete grade M 15, over laid with pre-cast concrete tiles in cement mortar 1:3 including provision of all drainage arrangements but excluding Kerb channel as per Drawing and Technical Specifications. [  ]</v>
      </c>
      <c r="C66" s="3" t="s">
        <v>84</v>
      </c>
      <c r="D66" s="3">
        <f>Quantity_Sheet!H67</f>
        <v>0</v>
      </c>
      <c r="E66" s="5">
        <f>rate_331</f>
        <v>1141.1400000000001</v>
      </c>
      <c r="F66" s="9"/>
      <c r="G66" s="10">
        <f t="shared" si="0"/>
        <v>0</v>
      </c>
    </row>
    <row r="67" spans="1:7" ht="47.25" x14ac:dyDescent="0.25">
      <c r="A67" s="3">
        <v>55</v>
      </c>
      <c r="B67" s="7" t="str">
        <f>description_328 &amp;  " [  ]"</f>
        <v>Providing and laying  Median and Island above road level with approved Material deposited including compacted as per Drawing and Specifications. ( using material from Roadway excavation). [  ]</v>
      </c>
      <c r="C67" s="3" t="s">
        <v>84</v>
      </c>
      <c r="D67" s="3">
        <f>Quantity_Sheet!H68</f>
        <v>0</v>
      </c>
      <c r="E67" s="5">
        <f>rate_328</f>
        <v>842.29</v>
      </c>
      <c r="F67" s="9"/>
      <c r="G67" s="10">
        <f t="shared" si="0"/>
        <v>0</v>
      </c>
    </row>
    <row r="68" spans="1:7" ht="47.25" x14ac:dyDescent="0.25">
      <c r="A68" s="3">
        <v>56</v>
      </c>
      <c r="B68" s="7" t="str">
        <f>description_329 &amp;  " [  ]"</f>
        <v>Providing and laying  Median and Island above road level with approved Material deposited including compacted as per Drawing and Specifications. ( using material from borrow area). [  ]</v>
      </c>
      <c r="C68" s="3" t="s">
        <v>84</v>
      </c>
      <c r="D68" s="3">
        <f>Quantity_Sheet!H69</f>
        <v>0</v>
      </c>
      <c r="E68" s="5">
        <f>rate_329</f>
        <v>912.36</v>
      </c>
      <c r="F68" s="9"/>
      <c r="G68" s="10">
        <f t="shared" si="0"/>
        <v>0</v>
      </c>
    </row>
    <row r="69" spans="1:7" ht="78.75" x14ac:dyDescent="0.25">
      <c r="A69" s="3">
        <v>57</v>
      </c>
      <c r="B69" s="7" t="str">
        <f>description_340 &amp;  " [ 1302 ]"</f>
        <v>Prime Coat, Prime Coat, with MC 30 / 70  by Mechanical Means, Providing and applying prime coat with Hot Bitumen ( including cutter) on prepared surface of granular base including cleaning of road surface and spraying by mechanical means as per Technical Specification ., Bitumen ( cutback) MC 30 ( for stabilized soil base/ crusher run macadam) [ 1302 ]</v>
      </c>
      <c r="C69" s="3" t="s">
        <v>1133</v>
      </c>
      <c r="D69" s="3">
        <f>Quantity_Sheet!H70</f>
        <v>0</v>
      </c>
      <c r="E69" s="5">
        <f>rate_340</f>
        <v>154.06</v>
      </c>
      <c r="F69" s="9"/>
      <c r="G69" s="10">
        <f t="shared" si="0"/>
        <v>0</v>
      </c>
    </row>
    <row r="70" spans="1:7" ht="63" x14ac:dyDescent="0.25">
      <c r="A70" s="3">
        <v>58</v>
      </c>
      <c r="B70" s="7" t="str">
        <f>description_343 &amp;  " [ 1302 ]"</f>
        <v>, Prime Coat,  with Emulsion by Mechanical Means, Providing and applying primer coat with Bitumen emulsion  on prepared surface of granular base including cleaning of road surface and spraying primer at  specified  rate  using mechanical means as per Technical Specification .  [ 1302 ]</v>
      </c>
      <c r="C70" s="3" t="s">
        <v>1133</v>
      </c>
      <c r="D70" s="3">
        <f>Quantity_Sheet!H71</f>
        <v>0</v>
      </c>
      <c r="E70" s="5">
        <f>rate_343</f>
        <v>129.47</v>
      </c>
      <c r="F70" s="9"/>
      <c r="G70" s="10">
        <f t="shared" si="0"/>
        <v>0</v>
      </c>
    </row>
    <row r="71" spans="1:7" ht="47.25" x14ac:dyDescent="0.25">
      <c r="A71" s="3">
        <v>59</v>
      </c>
      <c r="B71" s="7" t="str">
        <f>description_345 &amp;  " [ 1302 ]"</f>
        <v>Tack Coat, Tack coat with Bitumen By Mechanical Means, Providing and applying tack coat with hot  Bitumen  at specified rate on the prepared non-bituminous surfaces including cleaning as per Technical Speciation . [ 1302 ]</v>
      </c>
      <c r="C71" s="3" t="s">
        <v>1133</v>
      </c>
      <c r="D71" s="3">
        <f>Quantity_Sheet!H72</f>
        <v>0</v>
      </c>
      <c r="E71" s="5">
        <f>rate_345</f>
        <v>143.07</v>
      </c>
      <c r="F71" s="9"/>
      <c r="G71" s="10">
        <f t="shared" si="0"/>
        <v>0</v>
      </c>
    </row>
    <row r="72" spans="1:7" ht="78.75" x14ac:dyDescent="0.25">
      <c r="A72" s="3">
        <v>60</v>
      </c>
      <c r="B72" s="7" t="str">
        <f>description_350 &amp;  " [ 1307 ]"</f>
        <v>Bituminous Macadam, Providing and laying bituminous macadam with  hot mix plant  using crushed aggregates of  grading as per specification premixed with bituminous binder, laid over a previously prepared surface  as per Drawing and  Technical Specifications. , Grading I ( 40 mm nominal size ),  In case BM is laid over freshly laid tack coat [ 1307 ]</v>
      </c>
      <c r="C72" s="3" t="s">
        <v>84</v>
      </c>
      <c r="D72" s="3">
        <f>Quantity_Sheet!H73</f>
        <v>0</v>
      </c>
      <c r="E72" s="5">
        <f>rate_350</f>
        <v>17014.53</v>
      </c>
      <c r="F72" s="9"/>
      <c r="G72" s="10">
        <f t="shared" si="0"/>
        <v>0</v>
      </c>
    </row>
    <row r="73" spans="1:7" ht="78.75" x14ac:dyDescent="0.25">
      <c r="A73" s="3">
        <v>61</v>
      </c>
      <c r="B73" s="7" t="str">
        <f>description_352 &amp;  " [ 1307 ]"</f>
        <v>Bituminous Macadam, Providing and laying bituminous macadam with  hot mix plant  using crushed aggregates of  grading as per specification premixed with bituminous binder, laid over a previously prepared surface  as per Drawing and  Technical Specifications. , Grading II(19 mm nominal size),  In case BM is laid over freshly laid tack coat [ 1307 ]</v>
      </c>
      <c r="C73" s="3" t="s">
        <v>84</v>
      </c>
      <c r="D73" s="3">
        <f>Quantity_Sheet!H74</f>
        <v>0</v>
      </c>
      <c r="E73" s="5">
        <f>rate_352</f>
        <v>16999.45</v>
      </c>
      <c r="F73" s="9"/>
      <c r="G73" s="10">
        <f t="shared" si="0"/>
        <v>0</v>
      </c>
    </row>
    <row r="74" spans="1:7" ht="63" x14ac:dyDescent="0.25">
      <c r="A74" s="3">
        <v>62</v>
      </c>
      <c r="B74" s="7" t="str">
        <f>description_353 &amp;  " [ 1304 ]"</f>
        <v>Bituminous Penetration Macadam, Providing and laying penetration macadam over prepared Base by providing a layer of compacted crushed coarse aggregate with applications of bituminous binder and key aggregates as per Drawing and Technical Specifications., 50 mm thick [ 1304 ]</v>
      </c>
      <c r="C74" s="3" t="s">
        <v>438</v>
      </c>
      <c r="D74" s="3">
        <f>Quantity_Sheet!H75</f>
        <v>0</v>
      </c>
      <c r="E74" s="5">
        <f>rate_353</f>
        <v>711.17</v>
      </c>
      <c r="F74" s="9"/>
      <c r="G74" s="10">
        <f t="shared" si="0"/>
        <v>0</v>
      </c>
    </row>
    <row r="75" spans="1:7" ht="63" x14ac:dyDescent="0.25">
      <c r="A75" s="3">
        <v>63</v>
      </c>
      <c r="B75" s="7" t="str">
        <f>description_354 &amp;  " [ 1304 ]"</f>
        <v>Bituminous Penetration Macadam, Providing and laying  penetration macadam over prepared Base by providing a layer of compacted crushed coarse aggregate  with  applications of bituminous binder and key aggregates as per Drawing and Technical Specifications., 75 mm thick [ 1304 ]</v>
      </c>
      <c r="C75" s="3" t="s">
        <v>438</v>
      </c>
      <c r="D75" s="3">
        <f>Quantity_Sheet!H76</f>
        <v>0</v>
      </c>
      <c r="E75" s="5">
        <f>rate_354</f>
        <v>966.69</v>
      </c>
      <c r="F75" s="9"/>
      <c r="G75" s="10">
        <f t="shared" si="0"/>
        <v>0</v>
      </c>
    </row>
    <row r="76" spans="1:7" ht="78.75" x14ac:dyDescent="0.25">
      <c r="A76" s="3">
        <v>64</v>
      </c>
      <c r="B76" s="7" t="str">
        <f>description_2063 &amp;  " [ 1308 ]"</f>
        <v>Dense Graded Bituminous Macadam, Providing and laying dense bituminous macadam  using crushed aggregates of specified grading, premixed with bituminous binder and filler as per Drawing and Technical Specifications., Grading - I 40 mm (Nominal Size),  In case DBM is laid over freshly laid tack coat [ 1308 ]</v>
      </c>
      <c r="C76" s="3" t="s">
        <v>1786</v>
      </c>
      <c r="D76" s="3">
        <f>Quantity_Sheet!H77</f>
        <v>0</v>
      </c>
      <c r="E76" s="5">
        <f>rate_2063</f>
        <v>20395.400000000001</v>
      </c>
      <c r="F76" s="9"/>
      <c r="G76" s="10">
        <f t="shared" si="0"/>
        <v>0</v>
      </c>
    </row>
    <row r="77" spans="1:7" ht="78.75" x14ac:dyDescent="0.25">
      <c r="A77" s="3">
        <v>65</v>
      </c>
      <c r="B77" s="7" t="str">
        <f>description_2064 &amp;  " [ 1308 ]"</f>
        <v>Dense Graded Bituminous Macadam, Providing and laying dense bituminous macadam  using crushed aggregates of specified grading, premixed with bituminous binder and filler as per Drawing and Technical Specifications., Grading - II 19 mm (Nominal Size),  In case DBM is laid over freshly laid tack coat [ 1308 ]</v>
      </c>
      <c r="C77" s="3" t="s">
        <v>84</v>
      </c>
      <c r="D77" s="3">
        <f>Quantity_Sheet!H78</f>
        <v>0</v>
      </c>
      <c r="E77" s="5">
        <f>rate_2064</f>
        <v>20445.82</v>
      </c>
      <c r="F77" s="9"/>
      <c r="G77" s="10">
        <f t="shared" ref="G77:G140" si="1">D77 * E77</f>
        <v>0</v>
      </c>
    </row>
    <row r="78" spans="1:7" ht="78.75" x14ac:dyDescent="0.25">
      <c r="A78" s="3">
        <v>66</v>
      </c>
      <c r="B78" s="7" t="str">
        <f>description_2065 &amp;  " [ 1309 ]"</f>
        <v>Bituminous Concrete / Asphalt Concrete, Providing and laying Bituminous concrete/ Asphalt concrete   using crushed aggregates of specified grading, premixed with bituminous binder  and filler as per Drawing and Technical  Specifications, Grading - I-19 mm (Nominal Size), In case BC is laid over freshly laid tack coat [ 1309 ]</v>
      </c>
      <c r="C78" s="3" t="s">
        <v>84</v>
      </c>
      <c r="D78" s="3">
        <f>Quantity_Sheet!H79</f>
        <v>0</v>
      </c>
      <c r="E78" s="5">
        <f>rate_2065</f>
        <v>25127.759999999998</v>
      </c>
      <c r="F78" s="9"/>
      <c r="G78" s="10">
        <f t="shared" si="1"/>
        <v>0</v>
      </c>
    </row>
    <row r="79" spans="1:7" ht="78.75" x14ac:dyDescent="0.25">
      <c r="A79" s="3">
        <v>67</v>
      </c>
      <c r="B79" s="7" t="str">
        <f>description_2066 &amp;  " [ 1309 ]"</f>
        <v>Bituminous Concrete / Asphalt Concrete, Providing and laying Bituminous concrete/ Asphalt concrete   using crushed aggregates of specified grading, premixed with bituminous binder  and filler as per Drawing and Technical  Specifications, Grading - II-13 mm (Nominal Size),  In case BC is laid over freshly laid tack coat [ 1309 ]</v>
      </c>
      <c r="C79" s="3" t="s">
        <v>84</v>
      </c>
      <c r="D79" s="3">
        <f>Quantity_Sheet!H80</f>
        <v>0</v>
      </c>
      <c r="E79" s="5">
        <f>rate_2066</f>
        <v>25112.36</v>
      </c>
      <c r="F79" s="9"/>
      <c r="G79" s="10">
        <f t="shared" si="1"/>
        <v>0</v>
      </c>
    </row>
    <row r="80" spans="1:7" ht="78.75" x14ac:dyDescent="0.25">
      <c r="A80" s="3">
        <v>68</v>
      </c>
      <c r="B80" s="7" t="str">
        <f>description_363 &amp;  " [ 1303 ]"</f>
        <v>Surface Dressing, Providing and laying surface dressing as wearing course in single coat using gravel  of specified size on a recently applied layer of bituminous binder on prepared surface  as per Drawing and Technical Specifications., MECHANICAL MEANS, 19 mm nominal chipping size [ 1303 ]</v>
      </c>
      <c r="C80" s="3" t="s">
        <v>438</v>
      </c>
      <c r="D80" s="3">
        <f>Quantity_Sheet!H81</f>
        <v>0</v>
      </c>
      <c r="E80" s="5">
        <f>rate_363</f>
        <v>74.98</v>
      </c>
      <c r="F80" s="9"/>
      <c r="G80" s="10">
        <f t="shared" si="1"/>
        <v>0</v>
      </c>
    </row>
    <row r="81" spans="1:7" ht="78.75" x14ac:dyDescent="0.25">
      <c r="A81" s="3">
        <v>69</v>
      </c>
      <c r="B81" s="7" t="str">
        <f>description_364 &amp;  " [ 1303 ]"</f>
        <v>Surface Dressing, Providing and laying surface dressing as wearing course in single coat using gravel  of specified size on a recently applied layer of bituminous binder on prepared surface  as per Drawing and Technical Specifications., MECHANICAL MEANS, 13 mm nominal size chipping [ 1303 ]</v>
      </c>
      <c r="C81" s="3" t="s">
        <v>438</v>
      </c>
      <c r="D81" s="3">
        <f>Quantity_Sheet!H82</f>
        <v>0</v>
      </c>
      <c r="E81" s="5">
        <f>rate_364</f>
        <v>49.92</v>
      </c>
      <c r="F81" s="9"/>
      <c r="G81" s="10">
        <f t="shared" si="1"/>
        <v>0</v>
      </c>
    </row>
    <row r="82" spans="1:7" ht="78.75" x14ac:dyDescent="0.25">
      <c r="A82" s="3">
        <v>70</v>
      </c>
      <c r="B82" s="7" t="str">
        <f>description_365 &amp;  " [ 1303 ]"</f>
        <v>Surface Dressing, Providing and laying surface dressing as wearing course in single coat using gravel  of specified size on a recently applied layer of bituminous binder on prepared surface  as per Drawing and Technical Specifications., MECHANICAL MEANS, 10 mm nominal size chipping [ 1303 ]</v>
      </c>
      <c r="C82" s="3" t="s">
        <v>438</v>
      </c>
      <c r="D82" s="3">
        <f>Quantity_Sheet!H83</f>
        <v>0</v>
      </c>
      <c r="E82" s="5">
        <f>rate_365</f>
        <v>38.880000000000003</v>
      </c>
      <c r="F82" s="9"/>
      <c r="G82" s="10">
        <f t="shared" si="1"/>
        <v>0</v>
      </c>
    </row>
    <row r="83" spans="1:7" ht="78.75" x14ac:dyDescent="0.25">
      <c r="A83" s="3">
        <v>71</v>
      </c>
      <c r="B83" s="7" t="str">
        <f>description_366 &amp;  " [ 1303 ]"</f>
        <v>Surface Dressing, Providing and laying surface dressing as wearing course in single coat using gravel  of specified size on a recently applied layer of bituminous binder on prepared surface  as per Drawing and Technical Specifications., MECHANICAL MEANS, 6.0 mm nominal size chipping [ 1303 ]</v>
      </c>
      <c r="C83" s="3" t="s">
        <v>438</v>
      </c>
      <c r="D83" s="3">
        <f>Quantity_Sheet!H84</f>
        <v>0</v>
      </c>
      <c r="E83" s="5">
        <f>rate_366</f>
        <v>25.86</v>
      </c>
      <c r="F83" s="9"/>
      <c r="G83" s="10">
        <f t="shared" si="1"/>
        <v>0</v>
      </c>
    </row>
    <row r="84" spans="1:7" ht="31.5" x14ac:dyDescent="0.25">
      <c r="A84" s="3">
        <v>72</v>
      </c>
      <c r="B84" s="7" t="str">
        <f>description_376 &amp;  " [ 1310 ]"</f>
        <v>Seal Surfacing, Providing and laying seal coat sealing the voids in a bituminous surface as per Drawing and Technical Specifications. [ 1310 ]</v>
      </c>
      <c r="C84" s="3" t="s">
        <v>438</v>
      </c>
      <c r="D84" s="3">
        <f>Quantity_Sheet!H85</f>
        <v>0</v>
      </c>
      <c r="E84" s="5">
        <f>rate_376</f>
        <v>123.29</v>
      </c>
      <c r="F84" s="9"/>
      <c r="G84" s="10">
        <f t="shared" si="1"/>
        <v>0</v>
      </c>
    </row>
    <row r="85" spans="1:7" ht="78.75" x14ac:dyDescent="0.25">
      <c r="A85" s="3">
        <v>73</v>
      </c>
      <c r="B85" s="7" t="str">
        <f>description_377 &amp;  " [ 1310 ]"</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as per Drawing and Technical Specifications., 5 mm thickness [ 1310 ]</v>
      </c>
      <c r="C85" s="3" t="s">
        <v>438</v>
      </c>
      <c r="D85" s="3">
        <f>Quantity_Sheet!H86</f>
        <v>0</v>
      </c>
      <c r="E85" s="5">
        <f>rate_377</f>
        <v>157.94</v>
      </c>
      <c r="F85" s="9"/>
      <c r="G85" s="10">
        <f t="shared" si="1"/>
        <v>0</v>
      </c>
    </row>
    <row r="86" spans="1:7" ht="78.75" x14ac:dyDescent="0.25">
      <c r="A86" s="3">
        <v>74</v>
      </c>
      <c r="B86" s="7" t="str">
        <f>description_378 &amp;  " [ 1310 ]"</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as per Drawing and Technical Specifications., 3 mm thickness [ 1310 ]</v>
      </c>
      <c r="C86" s="3" t="s">
        <v>438</v>
      </c>
      <c r="D86" s="3">
        <f>Quantity_Sheet!H87</f>
        <v>0</v>
      </c>
      <c r="E86" s="5">
        <f>rate_378</f>
        <v>108.63</v>
      </c>
      <c r="F86" s="9"/>
      <c r="G86" s="10">
        <f t="shared" si="1"/>
        <v>0</v>
      </c>
    </row>
    <row r="87" spans="1:7" ht="78.75" x14ac:dyDescent="0.25">
      <c r="A87" s="3">
        <v>75</v>
      </c>
      <c r="B87" s="7" t="str">
        <f>description_379 &amp;  " [ 1310 ]"</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as per Drawing and Technical Specifications., 1.5 mm thickness [ 1310 ]</v>
      </c>
      <c r="C87" s="3" t="s">
        <v>438</v>
      </c>
      <c r="D87" s="3">
        <f>Quantity_Sheet!H88</f>
        <v>0</v>
      </c>
      <c r="E87" s="5">
        <f>rate_379</f>
        <v>65.44</v>
      </c>
      <c r="F87" s="9"/>
      <c r="G87" s="10">
        <f t="shared" si="1"/>
        <v>0</v>
      </c>
    </row>
    <row r="88" spans="1:7" ht="47.25" x14ac:dyDescent="0.25">
      <c r="A88" s="3">
        <v>76</v>
      </c>
      <c r="B88" s="7" t="str">
        <f>description_380 &amp;  " [ 1310 ]"</f>
        <v>Fog Spray, Providing and applying low viscosity bitumen emulsion for sealing cracks less than 3 mm wide or incipient fretting or disintegration in an existing bituminous surfacing as per Drawing and Technical Specifications. [ 1310 ]</v>
      </c>
      <c r="C88" s="3" t="s">
        <v>438</v>
      </c>
      <c r="D88" s="3">
        <f>Quantity_Sheet!H89</f>
        <v>0</v>
      </c>
      <c r="E88" s="5">
        <f>rate_380</f>
        <v>83.86</v>
      </c>
      <c r="F88" s="9"/>
      <c r="G88" s="10">
        <f t="shared" si="1"/>
        <v>0</v>
      </c>
    </row>
    <row r="89" spans="1:7" ht="78.75" x14ac:dyDescent="0.25">
      <c r="A89" s="3">
        <v>77</v>
      </c>
      <c r="B89" s="7" t="str">
        <f>description_382 &amp;  " [ 1313 ]"</f>
        <v>Bituminous Cold Mix ( Including Gravel Emulsion), Providing, laying and rolling of bituminous cold mix on prepared base consisting of a mixture of unheated mineral aggregate and emulsified or cutback bitumen, including mixing in a plant of suitable type as per Drawing and Technical Specifications., Using bitumen emulsion and 9.5 mm or 13.2 mm  size aggregate  [ 1313 ]</v>
      </c>
      <c r="C89" s="3" t="s">
        <v>84</v>
      </c>
      <c r="D89" s="3">
        <f>Quantity_Sheet!H90</f>
        <v>0</v>
      </c>
      <c r="E89" s="5">
        <f>rate_382</f>
        <v>25212.91</v>
      </c>
      <c r="F89" s="9"/>
      <c r="G89" s="10">
        <f t="shared" si="1"/>
        <v>0</v>
      </c>
    </row>
    <row r="90" spans="1:7" ht="78.75" x14ac:dyDescent="0.25">
      <c r="A90" s="3">
        <v>78</v>
      </c>
      <c r="B90" s="7" t="str">
        <f>description_383 &amp;  " [ 1313 ]"</f>
        <v>Bituminous Cold Mix ( Including Gravel Emulsion), Providing, laying and rolling of bituminous cold mix on prepared base consisting of a mixture of unheated mineral aggregate and emulsified or cutback bitumen, including mixing in a plant of suitable type as per Drawing and Technical Specifications., Using bitumen emulsion and 19 mm or 26.5 mm nominal size aggregate [ 1313 ]</v>
      </c>
      <c r="C90" s="3" t="s">
        <v>84</v>
      </c>
      <c r="D90" s="3">
        <f>Quantity_Sheet!H91</f>
        <v>0</v>
      </c>
      <c r="E90" s="5">
        <f>rate_383</f>
        <v>25227.759999999998</v>
      </c>
      <c r="F90" s="9"/>
      <c r="G90" s="10">
        <f t="shared" si="1"/>
        <v>0</v>
      </c>
    </row>
    <row r="91" spans="1:7" ht="78.75" x14ac:dyDescent="0.25">
      <c r="A91" s="3">
        <v>79</v>
      </c>
      <c r="B91" s="7" t="str">
        <f>description_384 &amp;  " [ 1313 ]"</f>
        <v>Bituminous Cold Mix ( Including Gravel Emulsion), Providing, laying and rolling of bituminous cold mix on prepared base consisting of a mixture of unheated mineral aggregate and emulsified or cutback bitumen, including mixing in a plant of suitable type as per Drawing and Technical Specifications., Using cutback bitumen and 9.5 mm or 13.2 mm nominal size aggregate [ 1313 ]</v>
      </c>
      <c r="C91" s="3" t="s">
        <v>84</v>
      </c>
      <c r="D91" s="3">
        <f>Quantity_Sheet!H92</f>
        <v>0</v>
      </c>
      <c r="E91" s="5">
        <f>rate_384</f>
        <v>20024.48</v>
      </c>
      <c r="F91" s="9"/>
      <c r="G91" s="10">
        <f t="shared" si="1"/>
        <v>0</v>
      </c>
    </row>
    <row r="92" spans="1:7" ht="78.75" x14ac:dyDescent="0.25">
      <c r="A92" s="3">
        <v>80</v>
      </c>
      <c r="B92" s="7" t="str">
        <f>description_385 &amp;  " [ 1313 ]"</f>
        <v>Bituminous Cold Mix ( Including Gravel Emulsion), Providing, laying and rolling of bituminous cold mix on prepared base consisting of a mixture of unheated mineral aggregate and emulsified or cutback bitumen, including mixing in a plant of suitable type as per Drawing and Technical Specifications., Using cutback bitumen and 19 mm or 26.5 mm nominal size aggregate [ 1313 ]</v>
      </c>
      <c r="C92" s="3" t="s">
        <v>84</v>
      </c>
      <c r="D92" s="3">
        <f>Quantity_Sheet!H93</f>
        <v>0</v>
      </c>
      <c r="E92" s="5">
        <f>rate_385</f>
        <v>20036.36</v>
      </c>
      <c r="F92" s="9"/>
      <c r="G92" s="10">
        <f t="shared" si="1"/>
        <v>0</v>
      </c>
    </row>
    <row r="93" spans="1:7" ht="31.5" x14ac:dyDescent="0.25">
      <c r="A93" s="3">
        <v>81</v>
      </c>
      <c r="B93" s="7" t="str">
        <f>description_387 &amp;  " [ 1300 ]"</f>
        <v>Anti- Stripping agent,  Providing and mixing  of Anti stripping agent  as per Design/ direction of Engineer [ 1300 ]</v>
      </c>
      <c r="C93" s="3" t="s">
        <v>144</v>
      </c>
      <c r="D93" s="3">
        <f>Quantity_Sheet!H94</f>
        <v>0</v>
      </c>
      <c r="E93" s="5">
        <f>rate_387</f>
        <v>395.03</v>
      </c>
      <c r="F93" s="9"/>
      <c r="G93" s="10">
        <f t="shared" si="1"/>
        <v>0</v>
      </c>
    </row>
    <row r="94" spans="1:7" ht="78.75" x14ac:dyDescent="0.25">
      <c r="A94" s="3">
        <v>82</v>
      </c>
      <c r="B94" s="7" t="str">
        <f>description_394 &amp;  " [ 1300 ]"</f>
        <v>Mastic Asphalt, Providing and laying 25 mm thick mastic asphalt wearing course excluding prime coat with paving grade bitumen  including providing antiskid surface with bitumen pre-coated fine grained hard stone chipping  at an  spacing of 10 cm center to center in both directions all complete as per Drawing and Technical  specifications. [ 1300 ]</v>
      </c>
      <c r="C94" s="3" t="s">
        <v>438</v>
      </c>
      <c r="D94" s="3">
        <f>Quantity_Sheet!H95</f>
        <v>0</v>
      </c>
      <c r="E94" s="5">
        <f>rate_394</f>
        <v>1476.82</v>
      </c>
      <c r="F94" s="9"/>
      <c r="G94" s="10">
        <f t="shared" si="1"/>
        <v>0</v>
      </c>
    </row>
    <row r="95" spans="1:7" ht="78.75" x14ac:dyDescent="0.25">
      <c r="A95" s="3">
        <v>83</v>
      </c>
      <c r="B95" s="7" t="str">
        <f>description_395 &amp;  " [ 1401 ]"</f>
        <v>Precast Cement Concrete M 20 Kerb , Providing and laying of /20 precast  cement concrete Kerb  38 cm * 20 cm * 25  cm ( H*B*L)  with 12 mm thick 1:3 cement sand mortar bedding and joints including foundation excavation levelling but excluding foundation concrete for foundation or sand gravel material, all complete as per Drawing and Technical Specifications. [ 1401 ]</v>
      </c>
      <c r="C95" s="3" t="s">
        <v>75</v>
      </c>
      <c r="D95" s="3">
        <f>Quantity_Sheet!H96</f>
        <v>0</v>
      </c>
      <c r="E95" s="5">
        <f>rate_395</f>
        <v>1727.64</v>
      </c>
      <c r="F95" s="9"/>
      <c r="G95" s="10">
        <f t="shared" si="1"/>
        <v>0</v>
      </c>
    </row>
    <row r="96" spans="1:7" ht="63" x14ac:dyDescent="0.25">
      <c r="A96" s="3">
        <v>84</v>
      </c>
      <c r="B96" s="7" t="str">
        <f>description_396 &amp;  " [ 1401 ]"</f>
        <v>Cast in Situ Cement Concrete or natural stone block  for footpath, Providing and laying of precast / cast in situ  50 mm thick  cement concrete slab  footpath on 12 mm thick 1: 3 cement sand mortar over the prepared base, all complete as per Drawing and Technical Specifications. [ 1401 ]</v>
      </c>
      <c r="C96" s="3" t="s">
        <v>438</v>
      </c>
      <c r="D96" s="3">
        <f>Quantity_Sheet!H97</f>
        <v>0</v>
      </c>
      <c r="E96" s="5">
        <f>rate_396</f>
        <v>1519.35</v>
      </c>
      <c r="F96" s="9"/>
      <c r="G96" s="10">
        <f t="shared" si="1"/>
        <v>0</v>
      </c>
    </row>
    <row r="97" spans="1:7" ht="47.25" x14ac:dyDescent="0.25">
      <c r="A97" s="3">
        <v>85</v>
      </c>
      <c r="B97" s="7" t="str">
        <f>description_397 &amp;  " [ 1401 ]"</f>
        <v>, Providing and laying  25 mm thick  Natural stone  slab  footpath on 12 mm thick 1: 3 cement sand mortar over the prepared base, all complete as per specification. [ 1401 ]</v>
      </c>
      <c r="C97" s="3" t="s">
        <v>438</v>
      </c>
      <c r="D97" s="3">
        <f>Quantity_Sheet!H98</f>
        <v>0</v>
      </c>
      <c r="E97" s="5" t="e">
        <f>rate_397</f>
        <v>#REF!</v>
      </c>
      <c r="F97" s="9"/>
      <c r="G97" s="10" t="e">
        <f t="shared" si="1"/>
        <v>#REF!</v>
      </c>
    </row>
    <row r="98" spans="1:7" ht="94.5" x14ac:dyDescent="0.25">
      <c r="A98" s="3">
        <v>86</v>
      </c>
      <c r="B98" s="7" t="str">
        <f>description_398 &amp;  " [ 1401 ]"</f>
        <v>Cast in Situ Cement Concrete  Kerb , Providing and laying cement concrete Kerb with top and bottom width 115 and 165 mm respectively, 250 mm high in M 20 grade PCC on M-10 grade foundation 150 mm thick, foundation having 50 mm projection beyond Kerb stone, Kerb stone laid with Kerb laying machine, foundation concrete laid manually, all complete as per Drawing and Technical Specifications. [ 1401 ]</v>
      </c>
      <c r="C98" s="3" t="s">
        <v>75</v>
      </c>
      <c r="D98" s="3">
        <f>Quantity_Sheet!H99</f>
        <v>0</v>
      </c>
      <c r="E98" s="5">
        <f>rate_398</f>
        <v>931.92</v>
      </c>
      <c r="F98" s="9"/>
      <c r="G98" s="10">
        <f t="shared" si="1"/>
        <v>0</v>
      </c>
    </row>
    <row r="99" spans="1:7" ht="47.25" x14ac:dyDescent="0.25">
      <c r="A99" s="3">
        <v>87</v>
      </c>
      <c r="B99" s="7" t="str">
        <f>description_400 &amp;  " [ 1403 ]"</f>
        <v>Brick work for footpath, Providing and laying  brick on edge  over  60 mm thick  sand bed in footpath including excavation sand bedding all complete as  per Drawing and Technical Specifications. [ 1403 ]</v>
      </c>
      <c r="C99" s="3" t="s">
        <v>438</v>
      </c>
      <c r="D99" s="3">
        <f>Quantity_Sheet!H100</f>
        <v>0</v>
      </c>
      <c r="E99" s="5">
        <f>rate_400</f>
        <v>1983.65</v>
      </c>
      <c r="F99" s="9"/>
      <c r="G99" s="10">
        <f t="shared" si="1"/>
        <v>0</v>
      </c>
    </row>
    <row r="100" spans="1:7" ht="47.25" x14ac:dyDescent="0.25">
      <c r="A100" s="3">
        <v>88</v>
      </c>
      <c r="B100" s="7" t="str">
        <f>description_401 &amp;  " [ 1403 ]"</f>
        <v>Brick work for footpath, Providing and laying   flat brick   over  60 mm thick  sand bed in footpath including excavation sand bedding all complete as  per specification. [ 1403 ]</v>
      </c>
      <c r="C100" s="3" t="s">
        <v>438</v>
      </c>
      <c r="D100" s="3">
        <f>Quantity_Sheet!H101</f>
        <v>0</v>
      </c>
      <c r="E100" s="5">
        <f>rate_401</f>
        <v>1230.95</v>
      </c>
      <c r="F100" s="9"/>
      <c r="G100" s="10">
        <f t="shared" si="1"/>
        <v>0</v>
      </c>
    </row>
    <row r="101" spans="1:7" ht="110.25" x14ac:dyDescent="0.25">
      <c r="A101" s="3">
        <v>89</v>
      </c>
      <c r="B101" s="7" t="str">
        <f>description_2088 &amp;  " [ 1501 ]"</f>
        <v>Non Reflective Traffic Signs, Providing and fixing of Non reflective warning, mandatory and informatory sign board of 2 mm thick MS Sheet with back support frame fixed on heavy 50 mm tube or Channel section of 75 mm X 40 mm firmly fixed to the ground by means of properly designed foundation with M 10/40 grade cement concrete 300 mm x 300 mm x 300 mm, l as per drawings and Technical Specification/ DOR Publication., Heavy Duty Steel Tube internal 50 mm dia., 80 mm * 60 mm rectangular [ 1501 ]</v>
      </c>
      <c r="C101" s="3" t="s">
        <v>1812</v>
      </c>
      <c r="D101" s="3">
        <f>Quantity_Sheet!H102</f>
        <v>0</v>
      </c>
      <c r="E101" s="5" t="e">
        <f>rate_2088</f>
        <v>#REF!</v>
      </c>
      <c r="F101" s="9"/>
      <c r="G101" s="10" t="e">
        <f t="shared" si="1"/>
        <v>#REF!</v>
      </c>
    </row>
    <row r="102" spans="1:7" ht="126" x14ac:dyDescent="0.25">
      <c r="A102" s="3">
        <v>90</v>
      </c>
      <c r="B102" s="7" t="str">
        <f>description_2089 &amp;  " [ 1501 ]"</f>
        <v>Retro-Reflectorized Traffic Signs, Providing and fixing of retro- reflectorized warning, Regulatory and informatory sign as per specification clause 1501 made of high intensity grade sheeting , fixed over aluminum sheeting, 1.5 mm thick supported on a 50 mm internal dia steel tube or mild steel angle iron post 75 mm x 40 mm x 6 mm firmly fixed to the ground by means of properly designed foundation with M 10/40 grade cement concrete 30 cm x 30 cm , 30 cm below ground level or as per Drawing and Technical Specifications., 80 mm * 60 mm rectangular, Heavy Duty Steel Tube internal 50 mm dia. [ 1501 ]</v>
      </c>
      <c r="C102" s="3" t="s">
        <v>1812</v>
      </c>
      <c r="D102" s="3">
        <f>Quantity_Sheet!H103</f>
        <v>0</v>
      </c>
      <c r="E102" s="5" t="e">
        <f>rate_2089</f>
        <v>#REF!</v>
      </c>
      <c r="F102" s="9"/>
      <c r="G102" s="10" t="e">
        <f t="shared" si="1"/>
        <v>#REF!</v>
      </c>
    </row>
    <row r="103" spans="1:7" ht="110.25" x14ac:dyDescent="0.25">
      <c r="A103" s="3">
        <v>91</v>
      </c>
      <c r="B103" s="7" t="str">
        <f>description_404 &amp;  " [ 1502 ]"</f>
        <v>Overhead Signs, Providing and erecting overhead signs with a corrosion resistant 2 mm thick aluminum alloy sheet reflectorized with micro prismatic retro-reflective type with vertical and lateral clearance as per drawing and installed as per Specification over a designed support system of aluminum alloy or galvanized steel trusses of sections and type as per structural design requirements , Drawing and Technical Specifications., Truss and Vertical Support [ 1502 ]</v>
      </c>
      <c r="C103" s="3" t="s">
        <v>35</v>
      </c>
      <c r="D103" s="3">
        <f>Quantity_Sheet!H104</f>
        <v>0</v>
      </c>
      <c r="E103" s="5" t="e">
        <f>rate_404</f>
        <v>#REF!</v>
      </c>
      <c r="F103" s="9"/>
      <c r="G103" s="10" t="e">
        <f t="shared" si="1"/>
        <v>#REF!</v>
      </c>
    </row>
    <row r="104" spans="1:7" ht="110.25" x14ac:dyDescent="0.25">
      <c r="A104" s="3">
        <v>92</v>
      </c>
      <c r="B104" s="7" t="str">
        <f>description_405 &amp;  " [ 1502 ]"</f>
        <v>Overhead Signs, Providing and erecting overhead signs with a corrosion resistant 2 mm thick aluminum alloy sheet reflectorized with micro prismatic retro-reflective type with vertical and lateral clearance as per drawing and installed as per Specification over a designed support system of aluminum alloy or galvanized steel trusses of sections and type as per structural design requirements , Drawing and Technical Specifications., Aluminum Alloy Plate for Over Head Sign [ 1502 ]</v>
      </c>
      <c r="C104" s="3" t="s">
        <v>438</v>
      </c>
      <c r="D104" s="3">
        <f>Quantity_Sheet!H105</f>
        <v>0</v>
      </c>
      <c r="E104" s="5" t="e">
        <f>rate_405</f>
        <v>#REF!</v>
      </c>
      <c r="F104" s="9"/>
      <c r="G104" s="10" t="e">
        <f t="shared" si="1"/>
        <v>#REF!</v>
      </c>
    </row>
    <row r="105" spans="1:7" ht="47.25" x14ac:dyDescent="0.25">
      <c r="A105" s="3">
        <v>93</v>
      </c>
      <c r="B105" s="7" t="str">
        <f>description_406 &amp;  " [ 1501 ]"</f>
        <v>Painting Two Coats on Concrete Surfaces, Providing and Painting two coats after filling the surface with synthetic enamel paint in all shades on concrete / plaster surfaces as per Drawing and Technical Specifications. [ 1501 ]</v>
      </c>
      <c r="C105" s="3" t="s">
        <v>438</v>
      </c>
      <c r="D105" s="3">
        <f>Quantity_Sheet!H106</f>
        <v>0</v>
      </c>
      <c r="E105" s="5">
        <f>rate_406</f>
        <v>1052.02</v>
      </c>
      <c r="F105" s="9"/>
      <c r="G105" s="10">
        <f t="shared" si="1"/>
        <v>0</v>
      </c>
    </row>
    <row r="106" spans="1:7" ht="63" x14ac:dyDescent="0.25">
      <c r="A106" s="3">
        <v>94</v>
      </c>
      <c r="B106" s="7" t="str">
        <f>description_407 &amp;  " [ 1501 ]"</f>
        <v>Painting Two Coats on Steel Surfaces, Providing and applying two coats of ready mix paint of approved brand on steel surface after through cleaning of surface to give an even shade as per Drawing and Technical Specifications. [ 1501 ]</v>
      </c>
      <c r="C106" s="3" t="s">
        <v>438</v>
      </c>
      <c r="D106" s="3">
        <f>Quantity_Sheet!H107</f>
        <v>0</v>
      </c>
      <c r="E106" s="5">
        <f>rate_407</f>
        <v>200.19</v>
      </c>
      <c r="F106" s="9"/>
      <c r="G106" s="10">
        <f t="shared" si="1"/>
        <v>0</v>
      </c>
    </row>
    <row r="107" spans="1:7" ht="47.25" x14ac:dyDescent="0.25">
      <c r="A107" s="3">
        <v>95</v>
      </c>
      <c r="B107" s="7" t="str">
        <f>description_408 &amp;  " [ 1509 ]"</f>
        <v>`, Providing and applying two coats of ready mix paint of approved brand on wood surface after thorough cleaning of surface to give an even shade as per Drawing and Technical Specifications. [ 1509 ]</v>
      </c>
      <c r="C107" s="3" t="s">
        <v>438</v>
      </c>
      <c r="D107" s="3">
        <f>Quantity_Sheet!H108</f>
        <v>0</v>
      </c>
      <c r="E107" s="5">
        <f>rate_408</f>
        <v>216.08</v>
      </c>
      <c r="F107" s="9"/>
      <c r="G107" s="10">
        <f t="shared" si="1"/>
        <v>0</v>
      </c>
    </row>
    <row r="108" spans="1:7" ht="94.5" x14ac:dyDescent="0.25">
      <c r="A108" s="3">
        <v>96</v>
      </c>
      <c r="B108" s="7" t="str">
        <f>description_409 &amp;  " [ 1503 ]"</f>
        <v>Painting Lines, Dashes, Arrows etc. on Roads in Two Coats, Providing required material and Painting lines, dashes, arrows etc. on roads in two coats on new work with ready mixed road marking paint conforming to NS 408/ IS 164 on bituminous surface, including cleaning the surface of all dirt, dust and other foreign matter, demarcation at site and traffic control as per Drawing and Technical Specifications., Over 10 cm in width [ 1503 ]</v>
      </c>
      <c r="C108" s="3" t="s">
        <v>438</v>
      </c>
      <c r="D108" s="3">
        <f>Quantity_Sheet!H109</f>
        <v>0</v>
      </c>
      <c r="E108" s="5">
        <f>rate_409</f>
        <v>395.5</v>
      </c>
      <c r="F108" s="9"/>
      <c r="G108" s="10">
        <f t="shared" si="1"/>
        <v>0</v>
      </c>
    </row>
    <row r="109" spans="1:7" ht="94.5" x14ac:dyDescent="0.25">
      <c r="A109" s="3">
        <v>97</v>
      </c>
      <c r="B109" s="7" t="str">
        <f>description_410 &amp;  " [ 1503 ]"</f>
        <v>Painting Lines, Dashes, Arrows etc. on Roads in Two Coats, Providing required material and Painting lines, dashes, arrows etc. on roads in two coats on new work with ready mixed road marking paint conforming to NS 408/ IS 164 on bituminous surface, including cleaning the surface of all dirt, dust and other foreign matter, demarcation at site and traffic control as per Drawing and Technical Specifications., Up to 10 cm in width [ 1503 ]</v>
      </c>
      <c r="C109" s="3" t="s">
        <v>438</v>
      </c>
      <c r="D109" s="3">
        <f>Quantity_Sheet!H110</f>
        <v>0</v>
      </c>
      <c r="E109" s="5">
        <f>rate_410</f>
        <v>395.5</v>
      </c>
      <c r="F109" s="9"/>
      <c r="G109" s="10">
        <f t="shared" si="1"/>
        <v>0</v>
      </c>
    </row>
    <row r="110" spans="1:7" ht="94.5" x14ac:dyDescent="0.25">
      <c r="A110" s="3">
        <v>98</v>
      </c>
      <c r="B110" s="7" t="str">
        <f>description_411 &amp;  " [ 1503 ]"</f>
        <v>Painting Lines, Dashes, Arrows etc. on Roads in Two Coats on Old Work, Providing required materials and Painting lines, dashes, arrows etc. on roads in two coats on old work with ready mixed road marking paint conforming to NS 408/ IS: 164 on bituminous surface, including cleaning the surface of all dirt, dust and other foreign matter, demarcation at site and traffic control as per Drawing and Technical Specifications., over 10 cm in width [ 1503 ]</v>
      </c>
      <c r="C110" s="3" t="s">
        <v>438</v>
      </c>
      <c r="D110" s="3">
        <f>Quantity_Sheet!H111</f>
        <v>0</v>
      </c>
      <c r="E110" s="5">
        <f>rate_411</f>
        <v>380.89</v>
      </c>
      <c r="F110" s="9"/>
      <c r="G110" s="10">
        <f t="shared" si="1"/>
        <v>0</v>
      </c>
    </row>
    <row r="111" spans="1:7" ht="94.5" x14ac:dyDescent="0.25">
      <c r="A111" s="3">
        <v>99</v>
      </c>
      <c r="B111" s="7" t="str">
        <f>description_412 &amp;  " [ 1503 ]"</f>
        <v>Painting Lines, Dashes, Arrows etc. on Roads in Two Coats on Old Work, Providing required materials and Painting lines, dashes, arrows etc. on roads in two coats on old work with ready mixed road marking paint conforming to NS 408/ IS: 164 on bituminous surface, including cleaning the surface of all dirt, dust and other foreign matter, demarcation at site and traffic control as per Drawing and Technical Specifications., Up to 10 cm in width [ 1503 ]</v>
      </c>
      <c r="C111" s="3" t="s">
        <v>438</v>
      </c>
      <c r="D111" s="3">
        <f>Quantity_Sheet!H112</f>
        <v>0</v>
      </c>
      <c r="E111" s="5">
        <f>rate_412</f>
        <v>380.89</v>
      </c>
      <c r="F111" s="9"/>
      <c r="G111" s="10">
        <f t="shared" si="1"/>
        <v>0</v>
      </c>
    </row>
    <row r="112" spans="1:7" ht="94.5" x14ac:dyDescent="0.25">
      <c r="A112" s="3">
        <v>100</v>
      </c>
      <c r="B112" s="7" t="str">
        <f>description_413 &amp;  " [ 1504 ]"</f>
        <v>Road Marking with Hot Applied Thermoplastic Compound with Reflectorizing Glass Beads on Bituminous Surface, On smooth surface (similar to Asphalt concrete and rigid pavement), Providing and laying of hot applied thermoplastic compound at least 2 mm thick including reflectorizing glass beads as per DOR Traffic sign manual/ Specifications .The finished surface to be level, uniform and free from streaks and holes. [ 1504 ]</v>
      </c>
      <c r="C112" s="3" t="s">
        <v>438</v>
      </c>
      <c r="D112" s="3">
        <f>Quantity_Sheet!H113</f>
        <v>0</v>
      </c>
      <c r="E112" s="5">
        <f>rate_413</f>
        <v>1606.55</v>
      </c>
      <c r="F112" s="9"/>
      <c r="G112" s="10">
        <f t="shared" si="1"/>
        <v>0</v>
      </c>
    </row>
    <row r="113" spans="1:7" ht="94.5" x14ac:dyDescent="0.25">
      <c r="A113" s="3">
        <v>101</v>
      </c>
      <c r="B113" s="7" t="str">
        <f>description_414 &amp;  " [ 1504 ]"</f>
        <v>Road Marking with Hot Applied Thermoplastic Compound with Reflectorizing Glass Beads on Bituminous Surface, On rough surface ( similar to surface dressing), Providing and laying of hot applied thermoplastic compound at least 2 mm thick including reflectorizing glass beads as per DOR Traffic sign manual/ Specifications .The finished surface to be level, uniform and free from streaks and holes. [ 1504 ]</v>
      </c>
      <c r="C113" s="3" t="s">
        <v>438</v>
      </c>
      <c r="D113" s="3">
        <f>Quantity_Sheet!H114</f>
        <v>0</v>
      </c>
      <c r="E113" s="5">
        <f>rate_414</f>
        <v>2753.83</v>
      </c>
      <c r="F113" s="9"/>
      <c r="G113" s="10">
        <f t="shared" si="1"/>
        <v>0</v>
      </c>
    </row>
    <row r="114" spans="1:7" ht="157.5" x14ac:dyDescent="0.25">
      <c r="A114" s="3">
        <v>102</v>
      </c>
      <c r="B114" s="7" t="str">
        <f>description_2101 &amp;  " [ 1505 ]"</f>
        <v>Providing and fixing of road stud 100x 100 mm, die-cast in aluminum, resistant to corrosive effect of salt and grit, fitted with lenses reflectors, installed in concrete or asphaltic surface by drilling hole 30 mm upto a depth of 60 mm and bedded in a suitable bituminous grout or epoxy mortar, all as per Specification clause 1505., Providing and fixing of road stud 100 x 100 mm, die-cast in aluminum, resistant to corrosive effect of salt and grit, fitted with lenses reflectors, installed in concrete or asphaltic surface by drilling hole 30 mm upto a depth of 60 mm and bedded in a suitable bituminous grout or epoxy mortar, all as per Drawing and Technical Specifications., Cats Eye [ 1505 ]</v>
      </c>
      <c r="C114" s="3" t="s">
        <v>1812</v>
      </c>
      <c r="D114" s="3">
        <f>Quantity_Sheet!H115</f>
        <v>0</v>
      </c>
      <c r="E114" s="5">
        <f>rate_2101</f>
        <v>1368.27</v>
      </c>
      <c r="F114" s="9"/>
      <c r="G114" s="10">
        <f t="shared" si="1"/>
        <v>0</v>
      </c>
    </row>
    <row r="115" spans="1:7" ht="63" x14ac:dyDescent="0.25">
      <c r="A115" s="3">
        <v>103</v>
      </c>
      <c r="B115" s="7" t="str">
        <f>description_2102 &amp;  " [ 1506 ]"</f>
        <v>Kilometer Stone, Providing and Fixing Reinforced cement concrete M 15 grade kilometer Post including painting and printing as per Standard Drawing-2070 and Technical Specifications. position, Five kilometer Post (precast) [ 1506 ]</v>
      </c>
      <c r="C115" s="3" t="s">
        <v>1812</v>
      </c>
      <c r="D115" s="3">
        <f>Quantity_Sheet!H116</f>
        <v>0</v>
      </c>
      <c r="E115" s="5">
        <f>rate_2102</f>
        <v>5021.08</v>
      </c>
      <c r="F115" s="9"/>
      <c r="G115" s="10">
        <f t="shared" si="1"/>
        <v>0</v>
      </c>
    </row>
    <row r="116" spans="1:7" ht="63" x14ac:dyDescent="0.25">
      <c r="A116" s="3">
        <v>104</v>
      </c>
      <c r="B116" s="7" t="str">
        <f>description_2103 &amp;  " [ 1506 ]"</f>
        <v>Kilometer Stone, Providing and Fixing Reinforced cement concrete M 15 grade kilometer Post including painting and printing as per Standard Drawing-2070 and Technical Specifications. position, One kilometer post (precast) [ 1506 ]</v>
      </c>
      <c r="C116" s="3" t="s">
        <v>1812</v>
      </c>
      <c r="D116" s="3">
        <f>Quantity_Sheet!H117</f>
        <v>0</v>
      </c>
      <c r="E116" s="5">
        <f>rate_2103</f>
        <v>2701.65</v>
      </c>
      <c r="F116" s="9"/>
      <c r="G116" s="10">
        <f t="shared" si="1"/>
        <v>0</v>
      </c>
    </row>
    <row r="117" spans="1:7" ht="78.75" x14ac:dyDescent="0.25">
      <c r="A117" s="3">
        <v>105</v>
      </c>
      <c r="B117" s="7" t="str">
        <f>description_418 &amp;  " [ 1507 ]"</f>
        <v>Road Delineators Post, Providing and installation of 150 mm * 150 mm 1. 5 m long delineators (road way indicators, hazard markers, object markers), 80-100 cm high above ground level, painted black and white in 20 cm wide strips, buried or pressed into the ground and conforming to the drawings and Technical Specifications. [ 1507 ]</v>
      </c>
      <c r="C117" s="3" t="s">
        <v>1812</v>
      </c>
      <c r="D117" s="3">
        <f>Quantity_Sheet!H118</f>
        <v>0</v>
      </c>
      <c r="E117" s="5">
        <f>rate_418</f>
        <v>1839.71</v>
      </c>
      <c r="F117" s="9"/>
      <c r="G117" s="10">
        <f t="shared" si="1"/>
        <v>0</v>
      </c>
    </row>
    <row r="118" spans="1:7" ht="110.25" x14ac:dyDescent="0.25">
      <c r="A118" s="3">
        <v>106</v>
      </c>
      <c r="B118" s="7" t="str">
        <f>description_419 &amp;  " [ 1508 ]"</f>
        <v>Reinforced Cement Concrete Crash Barrier, Providing and Fixing Reinforced cement concrete crash barrier at the edges of the road, approaches to bridge structures and medians, constructed with M-20 grade concrete with HYSD reinforcement and dowel bars 25 mm dia, 450 mm long at expansion joints filled with pre-molded asphalt filler board, keyed to the structure on which it is built and installed as per design, Drawing and Technical Specifications. [ 1508 ]</v>
      </c>
      <c r="C118" s="3" t="s">
        <v>75</v>
      </c>
      <c r="D118" s="3">
        <f>Quantity_Sheet!H119</f>
        <v>0</v>
      </c>
      <c r="E118" s="5" t="e">
        <f>rate_419</f>
        <v>#REF!</v>
      </c>
      <c r="F118" s="9"/>
      <c r="G118" s="10" t="e">
        <f t="shared" si="1"/>
        <v>#REF!</v>
      </c>
    </row>
    <row r="119" spans="1:7" ht="110.25" x14ac:dyDescent="0.25">
      <c r="A119" s="3">
        <v>107</v>
      </c>
      <c r="B119" s="7" t="str">
        <f>description_420 &amp;  " [ 1509 ]"</f>
        <v>Metal Beam Crash Barrier, Type - A, "W" : Metal Beam Crash Barrier, Providing and erecting a "W" metal beam crash barrier comprising of 3 mm thick corrugated sheet metal beam rail, 70 cm above road/ground level, fixed on ISMC series channel vertical post, 150 x 75 x 5 mm spaced 2 m center to center, 1.8 m high, 1.1 m below ground/road level metal beam rail to be fixed on the vertical post with a spacer of channel section 150 x 75 x 5 mm, 330 mm long complete as per Drawing and Technical Specifications. [ 1509 ]</v>
      </c>
      <c r="C119" s="3" t="s">
        <v>75</v>
      </c>
      <c r="D119" s="3">
        <f>Quantity_Sheet!H120</f>
        <v>0</v>
      </c>
      <c r="E119" s="5" t="e">
        <f>rate_420</f>
        <v>#REF!</v>
      </c>
      <c r="F119" s="9"/>
      <c r="G119" s="10" t="e">
        <f t="shared" si="1"/>
        <v>#REF!</v>
      </c>
    </row>
    <row r="120" spans="1:7" ht="110.25" x14ac:dyDescent="0.25">
      <c r="A120" s="3">
        <v>108</v>
      </c>
      <c r="B120" s="7" t="str">
        <f>description_421 &amp;  " [ 1509 ]"</f>
        <v>Metal Beam Crash Barrier, Type - B, "THRIE" : Metal Beam Crash Barrier, Providing and erecting a "Thrie" metal beam crash barrier comprising of 3 mm thick corrugated sheet metal beam rail, 85 cm above road/ground level, fixed on ISMC series channel vertical post, 150 x 75 x 5 mm spaced 2 m center to center, 2.1 m high with 1.3 m below ground level, metal beam rail to be fixed on the vertical post with a space of channel section 150 x 75 x 5 mm, 546 mm long complete as per Drawing and Technical specifications. [ 1509 ]</v>
      </c>
      <c r="C120" s="3" t="s">
        <v>75</v>
      </c>
      <c r="D120" s="3">
        <f>Quantity_Sheet!H121</f>
        <v>0</v>
      </c>
      <c r="E120" s="5" t="e">
        <f>rate_421</f>
        <v>#REF!</v>
      </c>
      <c r="F120" s="9"/>
      <c r="G120" s="10" t="e">
        <f t="shared" si="1"/>
        <v>#REF!</v>
      </c>
    </row>
    <row r="121" spans="1:7" ht="173.25" x14ac:dyDescent="0.25">
      <c r="A121" s="3">
        <v>109</v>
      </c>
      <c r="B121" s="7" t="str">
        <f>description_422 &amp;  " [ 1509 ]"</f>
        <v>Metal Beam Crash Barrier, Flexible Crash Barrier, Wire Rope Safety Barrier, Providing and erecting a wire rope safety barrier with vertical posts of medium weight RS Joist (ISMB series) 100 mm x 75 mm (11.50 kg/m), 1.50 m long 0.85 m above ground and 0.65 m below ground level, split at the bottom for better grip, embedded in M 15 grade cement concrete 450 x 450 x 450 mm, 1.50 m center to center and with 4 horizontal steel wire rope 40 mm dia and anchored at terminal posts 15 m apart. Terminal post to be embedded in M 15 grade cement concrete foundation 2400 x 450 x 900 mm (depth), strengthened by a strut of RS joist 100 x 75 mm, 2 m long at 450 inclination and a tie 100 x 8 mm, 1.50 m long at the bottom, all embedded in foundation concrete as per design , Drawing and Technical Specifications. [ 1509 ]</v>
      </c>
      <c r="C121" s="3" t="s">
        <v>75</v>
      </c>
      <c r="D121" s="3">
        <f>Quantity_Sheet!H122</f>
        <v>0</v>
      </c>
      <c r="E121" s="5" t="e">
        <f>rate_422</f>
        <v>#REF!</v>
      </c>
      <c r="F121" s="9"/>
      <c r="G121" s="10" t="e">
        <f t="shared" si="1"/>
        <v>#REF!</v>
      </c>
    </row>
    <row r="122" spans="1:7" ht="47.25" x14ac:dyDescent="0.25">
      <c r="A122" s="3">
        <v>110</v>
      </c>
      <c r="B122" s="7" t="str">
        <f>description_423 &amp;  " [ 2800/1500 ]"</f>
        <v>Anti-Glare Devices in Median, Plantation, Providing and Plantation of shrubs and plants of approved species in the median. apart from cutting off glare from vehicle coming from opposite direction, [ 2800/1500 ]</v>
      </c>
      <c r="C122" s="3"/>
      <c r="D122" s="3">
        <f>Quantity_Sheet!H123</f>
        <v>0</v>
      </c>
      <c r="E122" s="5">
        <v>0</v>
      </c>
      <c r="F122" s="9"/>
      <c r="G122" s="10">
        <f t="shared" si="1"/>
        <v>0</v>
      </c>
    </row>
    <row r="123" spans="1:7" ht="141.75" x14ac:dyDescent="0.25">
      <c r="A123" s="3">
        <v>111</v>
      </c>
      <c r="B123" s="7" t="str">
        <f>description_424 &amp;  " [ 2800/1500 ]"</f>
        <v>Anti-Glare Devices in Median, Anti-glare screen with 25 mm steel pipe framework fixed with circular and rectangular vans, Providing and erecting an anti - glare screen with 25 mm dia vertical pipes fabricated and framed in the form of panels of one meter length and 1.75 meter height fixed with circular vane 250 mm dia at top and rectangular vane 600 x 300 mm at the middle, made out of steel sheet of 3 mm thickness, end vertical pipes of the panel made larger for embedding in foundation concrete, applying 2 coats of paint on all exposed surfaces, all as per design , drawings and Technical Specifications. [ 2800/1500 ]</v>
      </c>
      <c r="C123" s="3" t="s">
        <v>75</v>
      </c>
      <c r="D123" s="3">
        <f>Quantity_Sheet!H124</f>
        <v>0</v>
      </c>
      <c r="E123" s="5" t="e">
        <f>rate_424</f>
        <v>#REF!</v>
      </c>
      <c r="F123" s="9"/>
      <c r="G123" s="10" t="e">
        <f t="shared" si="1"/>
        <v>#REF!</v>
      </c>
    </row>
    <row r="124" spans="1:7" ht="126" x14ac:dyDescent="0.25">
      <c r="A124" s="3">
        <v>112</v>
      </c>
      <c r="B124" s="7" t="str">
        <f>description_425 &amp;  " [ 2800/1500 ]"</f>
        <v>Anti-Glare Devices in Median, Anti-glare screen with rectangular vane of MS sheet, Providing and erecting anti - glare screen with rectangular vanes of size 750 x 500 mm made from MS sheet, 3 mm thick and fixed on MS angle 50 x 50 x 6 mm at an angle of 450 to the direction of flow of traffic, 1.5 m center to center, top edge of the screen 1.75 m above ground level, vertical post firmly embedded in M-15 cement concrete foundation 0.60 m below ground level, applying 2 coats of paint on exposed faces, all complete as per design , Drawing and Technical Specifications. [ 2800/1500 ]</v>
      </c>
      <c r="C124" s="3" t="s">
        <v>75</v>
      </c>
      <c r="D124" s="3">
        <f>Quantity_Sheet!H125</f>
        <v>0</v>
      </c>
      <c r="E124" s="5" t="e">
        <f>rate_425</f>
        <v>#REF!</v>
      </c>
      <c r="F124" s="9"/>
      <c r="G124" s="10" t="e">
        <f t="shared" si="1"/>
        <v>#REF!</v>
      </c>
    </row>
    <row r="125" spans="1:7" ht="110.25" x14ac:dyDescent="0.25">
      <c r="A125" s="3">
        <v>113</v>
      </c>
      <c r="B125" s="7" t="str">
        <f>description_427 &amp;  " [ 1300 ]"</f>
        <v>Rumble Strips, Providing and making of Rumble strips with premix bituminous carpet, 15-20 mm high at center, 250 mm wide placed at 1 m center to center at approved locations to control speed, marked with white strips of road marking paint., Provision of 15 Nos rumble strips covered with premix bituminous carpet, 15-20 mm high at center, 250 mm wide placed at 1 m center to center at approved locations to control speed, marked with white strips of road marking paint. [ 1300 ]</v>
      </c>
      <c r="C125" s="3" t="s">
        <v>438</v>
      </c>
      <c r="D125" s="3">
        <f>Quantity_Sheet!H126</f>
        <v>0</v>
      </c>
      <c r="E125" s="5" t="e">
        <f>rate_427</f>
        <v>#REF!</v>
      </c>
      <c r="F125" s="9"/>
      <c r="G125" s="10" t="e">
        <f t="shared" si="1"/>
        <v>#REF!</v>
      </c>
    </row>
    <row r="126" spans="1:7" ht="94.5" x14ac:dyDescent="0.25">
      <c r="A126" s="3">
        <v>114</v>
      </c>
      <c r="B126" s="7" t="str">
        <f>description_426 &amp;  " [ missing ]"</f>
        <v>Street Lighting, Providing and erecting street light mounted on a steel circular hollow pole of standard specifications for street lighting, 9 m high spaced 40 m apart, 1.8 m overhang on both sides if fixed in the median and on one side if fixed on the footpath, fitted with sodium vapor lamp and fixed firmly in concrete foundation as per design , Drawing and Technical Specifications.. [ missing ]</v>
      </c>
      <c r="C126" s="3" t="s">
        <v>1812</v>
      </c>
      <c r="D126" s="3">
        <f>Quantity_Sheet!H127</f>
        <v>0</v>
      </c>
      <c r="E126" s="5" t="e">
        <f>rate_426</f>
        <v>#REF!</v>
      </c>
      <c r="F126" s="9"/>
      <c r="G126" s="10" t="e">
        <f t="shared" si="1"/>
        <v>#REF!</v>
      </c>
    </row>
    <row r="127" spans="1:7" ht="47.25" x14ac:dyDescent="0.25">
      <c r="A127" s="3">
        <v>115</v>
      </c>
      <c r="B127" s="7" t="str">
        <f>description_428 &amp;  " [ 1506 ]"</f>
        <v>Lettering new Letter and Figures of any Shade, Providing and lettering new letter and figures of any shade with synthetic enamel paint black or any other approved color to give an even shade, Nepali [ 1506 ]</v>
      </c>
      <c r="C127" s="3" t="s">
        <v>1839</v>
      </c>
      <c r="D127" s="3">
        <f>Quantity_Sheet!H128</f>
        <v>0</v>
      </c>
      <c r="E127" s="5">
        <f>rate_428</f>
        <v>5.18</v>
      </c>
      <c r="F127" s="9"/>
      <c r="G127" s="10">
        <f t="shared" si="1"/>
        <v>0</v>
      </c>
    </row>
    <row r="128" spans="1:7" ht="47.25" x14ac:dyDescent="0.25">
      <c r="A128" s="3">
        <v>116</v>
      </c>
      <c r="B128" s="7" t="str">
        <f>description_429 &amp;  " [ 1506 ]"</f>
        <v>Lettering new Letter and Figures of any Shade, Providing and lettering new letter and figures of any shade with synthetic enamel paint black or any other approved color to give an even shade, English and Roman [ 1506 ]</v>
      </c>
      <c r="C128" s="3" t="s">
        <v>1839</v>
      </c>
      <c r="D128" s="3">
        <f>Quantity_Sheet!H129</f>
        <v>0</v>
      </c>
      <c r="E128" s="5">
        <f>rate_429</f>
        <v>3.21</v>
      </c>
      <c r="F128" s="9"/>
      <c r="G128" s="10">
        <f t="shared" si="1"/>
        <v>0</v>
      </c>
    </row>
    <row r="129" spans="1:7" ht="78.75" x14ac:dyDescent="0.25">
      <c r="A129" s="3">
        <v>117</v>
      </c>
      <c r="B129" s="7" t="str">
        <f>description_430 &amp;  " [ 1612 ]"</f>
        <v>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diameter-500 mm [ 1612 ]</v>
      </c>
      <c r="C129" s="3" t="s">
        <v>75</v>
      </c>
      <c r="D129" s="3">
        <f>Quantity_Sheet!H130</f>
        <v>0</v>
      </c>
      <c r="E129" s="5">
        <f>rate_430</f>
        <v>5952.4</v>
      </c>
      <c r="F129" s="9"/>
      <c r="G129" s="10">
        <f t="shared" si="1"/>
        <v>0</v>
      </c>
    </row>
    <row r="130" spans="1:7" ht="78.75" x14ac:dyDescent="0.25">
      <c r="A130" s="3">
        <v>118</v>
      </c>
      <c r="B130" s="7" t="str">
        <f>description_431 &amp;  " [ 1612 ]"</f>
        <v>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diameter-600 mm [ 1612 ]</v>
      </c>
      <c r="C130" s="3" t="s">
        <v>75</v>
      </c>
      <c r="D130" s="3">
        <f>Quantity_Sheet!H131</f>
        <v>0</v>
      </c>
      <c r="E130" s="5">
        <f>rate_431</f>
        <v>7475.69</v>
      </c>
      <c r="F130" s="9"/>
      <c r="G130" s="10">
        <f t="shared" si="1"/>
        <v>0</v>
      </c>
    </row>
    <row r="131" spans="1:7" ht="78.75" x14ac:dyDescent="0.25">
      <c r="A131" s="3">
        <v>119</v>
      </c>
      <c r="B131" s="7" t="str">
        <f>description_432 &amp;  " [ 1612 ]"</f>
        <v>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diameter-750 mm [ 1612 ]</v>
      </c>
      <c r="C131" s="3" t="s">
        <v>75</v>
      </c>
      <c r="D131" s="3">
        <f>Quantity_Sheet!H132</f>
        <v>0</v>
      </c>
      <c r="E131" s="5">
        <f>rate_432</f>
        <v>11356.71</v>
      </c>
      <c r="F131" s="9"/>
      <c r="G131" s="10">
        <f t="shared" si="1"/>
        <v>0</v>
      </c>
    </row>
    <row r="132" spans="1:7" ht="78.75" x14ac:dyDescent="0.25">
      <c r="A132" s="3">
        <v>120</v>
      </c>
      <c r="B132" s="7" t="str">
        <f>description_433 &amp;  " [ 1612 ]"</f>
        <v>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diameter-1000 mm [ 1612 ]</v>
      </c>
      <c r="C132" s="3" t="s">
        <v>75</v>
      </c>
      <c r="D132" s="3">
        <f>Quantity_Sheet!H133</f>
        <v>0</v>
      </c>
      <c r="E132" s="5">
        <f>rate_433</f>
        <v>15043.38</v>
      </c>
      <c r="F132" s="9"/>
      <c r="G132" s="10">
        <f t="shared" si="1"/>
        <v>0</v>
      </c>
    </row>
    <row r="133" spans="1:7" ht="78.75" x14ac:dyDescent="0.25">
      <c r="A133" s="3">
        <v>121</v>
      </c>
      <c r="B133" s="7" t="str">
        <f>description_434 &amp;  " [ 1612 ]"</f>
        <v>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diameter-1200 mm [ 1612 ]</v>
      </c>
      <c r="C133" s="3" t="s">
        <v>75</v>
      </c>
      <c r="D133" s="3">
        <f>Quantity_Sheet!H134</f>
        <v>0</v>
      </c>
      <c r="E133" s="5">
        <f>rate_434</f>
        <v>19154.400000000001</v>
      </c>
      <c r="F133" s="9"/>
      <c r="G133" s="10">
        <f t="shared" si="1"/>
        <v>0</v>
      </c>
    </row>
    <row r="134" spans="1:7" ht="78.75" x14ac:dyDescent="0.25">
      <c r="A134" s="3">
        <v>122</v>
      </c>
      <c r="B134" s="7" t="str">
        <f>description_435 &amp;  " [ 1612 ]"</f>
        <v>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diameter-300 mm [ 1612 ]</v>
      </c>
      <c r="C134" s="3" t="s">
        <v>75</v>
      </c>
      <c r="D134" s="3">
        <f>Quantity_Sheet!H135</f>
        <v>0</v>
      </c>
      <c r="E134" s="5">
        <f>rate_435</f>
        <v>8492.2900000000009</v>
      </c>
      <c r="F134" s="9"/>
      <c r="G134" s="10">
        <f t="shared" si="1"/>
        <v>0</v>
      </c>
    </row>
    <row r="135" spans="1:7" ht="78.75" x14ac:dyDescent="0.25">
      <c r="A135" s="3">
        <v>123</v>
      </c>
      <c r="B135" s="7" t="str">
        <f>description_436 &amp;  " [ 1612 ]"</f>
        <v>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diameter-500 mm [ 1612 ]</v>
      </c>
      <c r="C135" s="3" t="s">
        <v>75</v>
      </c>
      <c r="D135" s="3">
        <f>Quantity_Sheet!H136</f>
        <v>0</v>
      </c>
      <c r="E135" s="5">
        <f>rate_436</f>
        <v>11208.82</v>
      </c>
      <c r="F135" s="9"/>
      <c r="G135" s="10">
        <f t="shared" si="1"/>
        <v>0</v>
      </c>
    </row>
    <row r="136" spans="1:7" ht="78.75" x14ac:dyDescent="0.25">
      <c r="A136" s="3">
        <v>124</v>
      </c>
      <c r="B136" s="7" t="str">
        <f>description_437 &amp;  " [ 1612 ]"</f>
        <v>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diameter-600 mm [ 1612 ]</v>
      </c>
      <c r="C136" s="3" t="s">
        <v>75</v>
      </c>
      <c r="D136" s="3">
        <f>Quantity_Sheet!H137</f>
        <v>0</v>
      </c>
      <c r="E136" s="5">
        <f>rate_437</f>
        <v>15401.95</v>
      </c>
      <c r="F136" s="9"/>
      <c r="G136" s="10">
        <f t="shared" si="1"/>
        <v>0</v>
      </c>
    </row>
    <row r="137" spans="1:7" ht="78.75" x14ac:dyDescent="0.25">
      <c r="A137" s="3">
        <v>125</v>
      </c>
      <c r="B137" s="7" t="str">
        <f>description_438 &amp;  " [ 1612 ]"</f>
        <v>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diameter-750 mm [ 1612 ]</v>
      </c>
      <c r="C137" s="3" t="s">
        <v>75</v>
      </c>
      <c r="D137" s="3">
        <f>Quantity_Sheet!H138</f>
        <v>0</v>
      </c>
      <c r="E137" s="5">
        <f>rate_438</f>
        <v>16698.23</v>
      </c>
      <c r="F137" s="9"/>
      <c r="G137" s="10">
        <f t="shared" si="1"/>
        <v>0</v>
      </c>
    </row>
    <row r="138" spans="1:7" ht="78.75" x14ac:dyDescent="0.25">
      <c r="A138" s="3">
        <v>126</v>
      </c>
      <c r="B138" s="7" t="str">
        <f>description_439 &amp;  " [ 1612 ]"</f>
        <v>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diameter-1000 mm [ 1612 ]</v>
      </c>
      <c r="C138" s="3" t="s">
        <v>75</v>
      </c>
      <c r="D138" s="3">
        <f>Quantity_Sheet!H139</f>
        <v>0</v>
      </c>
      <c r="E138" s="5">
        <f>rate_439</f>
        <v>26265.77</v>
      </c>
      <c r="F138" s="9"/>
      <c r="G138" s="10">
        <f t="shared" si="1"/>
        <v>0</v>
      </c>
    </row>
    <row r="139" spans="1:7" ht="31.5" x14ac:dyDescent="0.25">
      <c r="A139" s="3">
        <v>127</v>
      </c>
      <c r="B139" s="7" t="str">
        <f>description_444 &amp;  " [ 1613 ]"</f>
        <v>Driving Vertical Steel Piles / Sheet piles excluding cost of steel complete as per Drawing and &amp; Technical Specification [ 1613 ]</v>
      </c>
      <c r="C139" s="3" t="s">
        <v>35</v>
      </c>
      <c r="D139" s="3">
        <f>Quantity_Sheet!H140</f>
        <v>0</v>
      </c>
      <c r="E139" s="5">
        <f>rate_444</f>
        <v>20213.32</v>
      </c>
      <c r="F139" s="9"/>
      <c r="G139" s="10">
        <f t="shared" si="1"/>
        <v>0</v>
      </c>
    </row>
    <row r="140" spans="1:7" ht="47.25" x14ac:dyDescent="0.25">
      <c r="A140" s="3">
        <v>128</v>
      </c>
      <c r="B140" s="7" t="str">
        <f>description_564 &amp;  " [ 1804, 1805 ]"</f>
        <v>Providing , Preparing and Installing form work including necessary supports and removing after completion for foundation and footings., (Class F1 Finish), Using timber (soft wood ) [ 1804, 1805 ]</v>
      </c>
      <c r="C140" s="3" t="s">
        <v>438</v>
      </c>
      <c r="D140" s="3">
        <f>Quantity_Sheet!H141</f>
        <v>0</v>
      </c>
      <c r="E140" s="5">
        <f>rate_564</f>
        <v>885.88</v>
      </c>
      <c r="F140" s="9"/>
      <c r="G140" s="10">
        <f t="shared" si="1"/>
        <v>0</v>
      </c>
    </row>
    <row r="141" spans="1:7" ht="47.25" x14ac:dyDescent="0.25">
      <c r="A141" s="3">
        <v>129</v>
      </c>
      <c r="B141" s="7" t="str">
        <f>description_565 &amp;  " [ 1804, 1805 ]"</f>
        <v>Providing , Preparing and Installing form work including necessary supports and removing after completion for foundation and footings., (Class F1 Finish), Using steel [ 1804, 1805 ]</v>
      </c>
      <c r="C141" s="3" t="s">
        <v>438</v>
      </c>
      <c r="D141" s="3">
        <f>Quantity_Sheet!H142</f>
        <v>0</v>
      </c>
      <c r="E141" s="5">
        <f>rate_565</f>
        <v>529.91</v>
      </c>
      <c r="F141" s="9"/>
      <c r="G141" s="10">
        <f t="shared" ref="G141:G204" si="2">D141 * E141</f>
        <v>0</v>
      </c>
    </row>
    <row r="142" spans="1:7" ht="47.25" x14ac:dyDescent="0.25">
      <c r="A142" s="3">
        <v>130</v>
      </c>
      <c r="B142" s="7" t="str">
        <f>description_566 &amp;  " [ 1804, 1805 ]"</f>
        <v>Providing , Preparing and Installing form work including necessary supports and removing after completion for walls., (Class F2 Finish), vertical plain surface, Using timber (soft wood ), Height upto 3 m [ 1804, 1805 ]</v>
      </c>
      <c r="C142" s="3" t="s">
        <v>438</v>
      </c>
      <c r="D142" s="3">
        <f>Quantity_Sheet!H143</f>
        <v>0</v>
      </c>
      <c r="E142" s="5">
        <f>rate_566</f>
        <v>863.77</v>
      </c>
      <c r="F142" s="9"/>
      <c r="G142" s="10">
        <f t="shared" si="2"/>
        <v>0</v>
      </c>
    </row>
    <row r="143" spans="1:7" ht="47.25" x14ac:dyDescent="0.25">
      <c r="A143" s="3">
        <v>131</v>
      </c>
      <c r="B143" s="7" t="str">
        <f>description_567 &amp;  " [ 1804, 1805 ]"</f>
        <v>Providing , Preparing and Installing form work including necessary supports and removing after completion for walls., (Class F2 Finish), vertical plain surface, Using timber (soft wood ), Height above 3 m to 6 m [ 1804, 1805 ]</v>
      </c>
      <c r="C143" s="3" t="s">
        <v>438</v>
      </c>
      <c r="D143" s="3">
        <f>Quantity_Sheet!H144</f>
        <v>0</v>
      </c>
      <c r="E143" s="5">
        <f>rate_567</f>
        <v>1053.1400000000001</v>
      </c>
      <c r="F143" s="9"/>
      <c r="G143" s="10">
        <f t="shared" si="2"/>
        <v>0</v>
      </c>
    </row>
    <row r="144" spans="1:7" ht="47.25" x14ac:dyDescent="0.25">
      <c r="A144" s="3">
        <v>132</v>
      </c>
      <c r="B144" s="7" t="str">
        <f>description_568 &amp;  " [ 1804, 1805 ]"</f>
        <v>Providing , Preparing and Installing form work including necessary supports and removing after completion for walls., (Class F2 Finish), vertical plain surface, Using timber (soft wood ), Height above 6 m to 9 m [ 1804, 1805 ]</v>
      </c>
      <c r="C144" s="3" t="s">
        <v>438</v>
      </c>
      <c r="D144" s="3">
        <f>Quantity_Sheet!H145</f>
        <v>0</v>
      </c>
      <c r="E144" s="5">
        <f>rate_568</f>
        <v>1335.66</v>
      </c>
      <c r="F144" s="9"/>
      <c r="G144" s="10">
        <f t="shared" si="2"/>
        <v>0</v>
      </c>
    </row>
    <row r="145" spans="1:7" ht="47.25" x14ac:dyDescent="0.25">
      <c r="A145" s="3">
        <v>133</v>
      </c>
      <c r="B145" s="7" t="str">
        <f>description_569 &amp;  " [ 1804, 1805 ]"</f>
        <v>Providing , Preparing and Installing form work including necessary supports and removing after completion for walls., (Class F2 Finish), vertical plain surface, Using timber (soft wood ), Height above 9 m [ 1804, 1805 ]</v>
      </c>
      <c r="C145" s="3" t="s">
        <v>438</v>
      </c>
      <c r="D145" s="3">
        <f>Quantity_Sheet!H146</f>
        <v>0</v>
      </c>
      <c r="E145" s="5" t="e">
        <f>rate_569</f>
        <v>#REF!</v>
      </c>
      <c r="F145" s="9"/>
      <c r="G145" s="10" t="e">
        <f t="shared" si="2"/>
        <v>#REF!</v>
      </c>
    </row>
    <row r="146" spans="1:7" ht="47.25" x14ac:dyDescent="0.25">
      <c r="A146" s="3">
        <v>134</v>
      </c>
      <c r="B146" s="7" t="str">
        <f>description_598 &amp;  " [ 1804, 1805 ]"</f>
        <v>Providing , Preparing and Installing form work including necessary supports and removing after completion for slab structure., Class F2 Finish, False work not included, Using timber [ 1804, 1805 ]</v>
      </c>
      <c r="C146" s="3" t="s">
        <v>438</v>
      </c>
      <c r="D146" s="3">
        <f>Quantity_Sheet!H147</f>
        <v>0</v>
      </c>
      <c r="E146" s="5">
        <f>rate_598</f>
        <v>1158.57</v>
      </c>
      <c r="F146" s="9"/>
      <c r="G146" s="10">
        <f t="shared" si="2"/>
        <v>0</v>
      </c>
    </row>
    <row r="147" spans="1:7" ht="47.25" x14ac:dyDescent="0.25">
      <c r="A147" s="3">
        <v>135</v>
      </c>
      <c r="B147" s="7" t="str">
        <f>description_600 &amp;  " [ 1804, 1805 ]"</f>
        <v>Providing , Preparing and Installing form work including necessary supports and removing after completion for slab structure., Class F2 Finish, False work not included, Using shuttering Ply [ 1804, 1805 ]</v>
      </c>
      <c r="C147" s="3" t="s">
        <v>438</v>
      </c>
      <c r="D147" s="3">
        <f>Quantity_Sheet!H148</f>
        <v>0</v>
      </c>
      <c r="E147" s="5">
        <f>rate_600</f>
        <v>1324.29</v>
      </c>
      <c r="F147" s="9"/>
      <c r="G147" s="10">
        <f t="shared" si="2"/>
        <v>0</v>
      </c>
    </row>
    <row r="148" spans="1:7" ht="47.25" x14ac:dyDescent="0.25">
      <c r="A148" s="3">
        <v>136</v>
      </c>
      <c r="B148" s="7" t="str">
        <f>description_599 &amp;  " [ 1804, 1805 ]"</f>
        <v>Providing , Preparing and Installing form work including necessary supports and removing after completion for slab structure., Class F2 Finish, False work not included, Using steel [ 1804, 1805 ]</v>
      </c>
      <c r="C148" s="3" t="s">
        <v>438</v>
      </c>
      <c r="D148" s="3">
        <f>Quantity_Sheet!H149</f>
        <v>0</v>
      </c>
      <c r="E148" s="5">
        <f>rate_599</f>
        <v>450.06</v>
      </c>
      <c r="F148" s="9"/>
      <c r="G148" s="10">
        <f t="shared" si="2"/>
        <v>0</v>
      </c>
    </row>
    <row r="149" spans="1:7" ht="63" x14ac:dyDescent="0.25">
      <c r="A149" s="3">
        <v>137</v>
      </c>
      <c r="B149" s="7" t="str">
        <f>description_610 &amp;  " [ 1803 ]"</f>
        <v>Providing and assembling in position falsework for the construction of RCC superstructure and removing after completion including design &amp; drawings as per specification For Slab and Box culverts, Using timber, Height upto 2 m [ 1803 ]</v>
      </c>
      <c r="C149" s="3" t="s">
        <v>438</v>
      </c>
      <c r="D149" s="3">
        <f>Quantity_Sheet!H150</f>
        <v>0</v>
      </c>
      <c r="E149" s="5">
        <f>rate_610</f>
        <v>2672.54</v>
      </c>
      <c r="F149" s="9"/>
      <c r="G149" s="10">
        <f t="shared" si="2"/>
        <v>0</v>
      </c>
    </row>
    <row r="150" spans="1:7" ht="63" x14ac:dyDescent="0.25">
      <c r="A150" s="3">
        <v>138</v>
      </c>
      <c r="B150" s="7" t="str">
        <f>description_611 &amp;  " [ 1803 ]"</f>
        <v>Providing and assembling in position falsework for the construction of RCC superstructure and removing after completion including design &amp; drawings as per specification For Slab and Box culverts, Using timber, Height above 2 m to 4 m [ 1803 ]</v>
      </c>
      <c r="C150" s="3" t="s">
        <v>438</v>
      </c>
      <c r="D150" s="3">
        <f>Quantity_Sheet!H151</f>
        <v>0</v>
      </c>
      <c r="E150" s="5">
        <f>rate_611</f>
        <v>5387.71</v>
      </c>
      <c r="F150" s="9"/>
      <c r="G150" s="10">
        <f t="shared" si="2"/>
        <v>0</v>
      </c>
    </row>
    <row r="151" spans="1:7" ht="63" x14ac:dyDescent="0.25">
      <c r="A151" s="3">
        <v>139</v>
      </c>
      <c r="B151" s="7" t="str">
        <f>description_612 &amp;  " [ 1803 ]"</f>
        <v>Providing and assembling in position falsework for the construction of RCC superstructure and removing after completion including design &amp; drawings as per specification For Slab and Box culverts, Using timber, Height above 4 m to 6 m [ 1803 ]</v>
      </c>
      <c r="C151" s="3" t="s">
        <v>438</v>
      </c>
      <c r="D151" s="3">
        <f>Quantity_Sheet!H152</f>
        <v>0</v>
      </c>
      <c r="E151" s="5">
        <f>rate_612</f>
        <v>8024.25</v>
      </c>
      <c r="F151" s="9"/>
      <c r="G151" s="10">
        <f t="shared" si="2"/>
        <v>0</v>
      </c>
    </row>
    <row r="152" spans="1:7" ht="63" x14ac:dyDescent="0.25">
      <c r="A152" s="3">
        <v>140</v>
      </c>
      <c r="B152" s="7" t="str">
        <f>description_613 &amp;  " [ 1803 ]"</f>
        <v>Providing and assembling in position falsework for the construction of RCC superstructure and removing after completion including design &amp; drawings as per specification For Slab and Box culverts, Using timber, For Height above 6 m [ 1803 ]</v>
      </c>
      <c r="C152" s="3"/>
      <c r="D152" s="3">
        <f>Quantity_Sheet!H153</f>
        <v>0</v>
      </c>
      <c r="E152" s="5">
        <v>0</v>
      </c>
      <c r="F152" s="9"/>
      <c r="G152" s="10">
        <f t="shared" si="2"/>
        <v>0</v>
      </c>
    </row>
    <row r="153" spans="1:7" ht="63" x14ac:dyDescent="0.25">
      <c r="A153" s="3">
        <v>141</v>
      </c>
      <c r="B153" s="7" t="str">
        <f>description_615 &amp;  " [ 1803 ]"</f>
        <v>Providing and assembling in position falsework for the construction of RCC superstructure and removing after completion including design &amp; drawings as per specification For Slab and Box culverts, Using steel, Height above 2 m to 4 m [ 1803 ]</v>
      </c>
      <c r="C153" s="3" t="s">
        <v>438</v>
      </c>
      <c r="D153" s="3">
        <f>Quantity_Sheet!H154</f>
        <v>0</v>
      </c>
      <c r="E153" s="5">
        <f>rate_615</f>
        <v>2808.19</v>
      </c>
      <c r="F153" s="9"/>
      <c r="G153" s="10">
        <f t="shared" si="2"/>
        <v>0</v>
      </c>
    </row>
    <row r="154" spans="1:7" ht="63" x14ac:dyDescent="0.25">
      <c r="A154" s="3">
        <v>142</v>
      </c>
      <c r="B154" s="7" t="str">
        <f>description_614 &amp;  " [ 1803 ]"</f>
        <v>Providing and assembling in position falsework for the construction of RCC superstructure and removing after completion including design &amp; drawings as per specification For Slab and Box culverts, Using steel, Height upto 2 m [ 1803 ]</v>
      </c>
      <c r="C154" s="3" t="s">
        <v>438</v>
      </c>
      <c r="D154" s="3">
        <f>Quantity_Sheet!H155</f>
        <v>0</v>
      </c>
      <c r="E154" s="5">
        <f>rate_614</f>
        <v>1741.12</v>
      </c>
      <c r="F154" s="9"/>
      <c r="G154" s="10">
        <f t="shared" si="2"/>
        <v>0</v>
      </c>
    </row>
    <row r="155" spans="1:7" ht="63" x14ac:dyDescent="0.25">
      <c r="A155" s="3">
        <v>143</v>
      </c>
      <c r="B155" s="7" t="str">
        <f>description_616 &amp;  " [ 1803 ]"</f>
        <v>Providing and assembling in position falsework for the construction of RCC superstructure and removing after completion including design &amp; drawings as per specification For Slab and Box culverts, Using steel, Height above 4 m to 6 m [ 1803 ]</v>
      </c>
      <c r="C155" s="3" t="s">
        <v>438</v>
      </c>
      <c r="D155" s="3">
        <f>Quantity_Sheet!H156</f>
        <v>0</v>
      </c>
      <c r="E155" s="5">
        <f>rate_616</f>
        <v>5001.6000000000004</v>
      </c>
      <c r="F155" s="9"/>
      <c r="G155" s="10">
        <f t="shared" si="2"/>
        <v>0</v>
      </c>
    </row>
    <row r="156" spans="1:7" ht="63" x14ac:dyDescent="0.25">
      <c r="A156" s="3">
        <v>144</v>
      </c>
      <c r="B156" s="7" t="str">
        <f>description_617 &amp;  " [ 1803 ]"</f>
        <v>Providing and assembling in position falsework for the construction of RCC superstructure and removing after completion including design &amp; drawings as per specification For Slab and Box culverts, Using steel, Height above 6 m [ 1803 ]</v>
      </c>
      <c r="C156" s="3" t="s">
        <v>438</v>
      </c>
      <c r="D156" s="3">
        <f>Quantity_Sheet!H157</f>
        <v>0</v>
      </c>
      <c r="E156" s="5" t="e">
        <f>rate_617</f>
        <v>#REF!</v>
      </c>
      <c r="F156" s="9"/>
      <c r="G156" s="10" t="e">
        <f t="shared" si="2"/>
        <v>#REF!</v>
      </c>
    </row>
    <row r="157" spans="1:7" ht="63" x14ac:dyDescent="0.25">
      <c r="A157" s="3">
        <v>145</v>
      </c>
      <c r="B157" s="7" t="str">
        <f>description_618 &amp;  " [ 1803 ]"</f>
        <v>Providing and assembling in position falsework for the construction of RCC superstructure and removing after completion including design &amp; drawings as per specification, for RCC Beam Bridge, Using timber, Height upto 3 m [ 1803 ]</v>
      </c>
      <c r="C157" s="3" t="s">
        <v>438</v>
      </c>
      <c r="D157" s="3">
        <f>Quantity_Sheet!H158</f>
        <v>0</v>
      </c>
      <c r="E157" s="5">
        <f>rate_618</f>
        <v>5173.3599999999997</v>
      </c>
      <c r="F157" s="9"/>
      <c r="G157" s="10">
        <f t="shared" si="2"/>
        <v>0</v>
      </c>
    </row>
    <row r="158" spans="1:7" ht="63" x14ac:dyDescent="0.25">
      <c r="A158" s="3">
        <v>146</v>
      </c>
      <c r="B158" s="7" t="str">
        <f>description_619 &amp;  " [ 1803 ]"</f>
        <v>Providing and assembling in position falsework for the construction of RCC superstructure and removing after completion including design &amp; drawings as per specification, for RCC Beam Bridge, Using timber, Height above 3 m to 6 m [ 1803 ]</v>
      </c>
      <c r="C158" s="3" t="s">
        <v>438</v>
      </c>
      <c r="D158" s="3">
        <f>Quantity_Sheet!H159</f>
        <v>0</v>
      </c>
      <c r="E158" s="5">
        <f>rate_619</f>
        <v>10776.82</v>
      </c>
      <c r="F158" s="9"/>
      <c r="G158" s="10">
        <f t="shared" si="2"/>
        <v>0</v>
      </c>
    </row>
    <row r="159" spans="1:7" ht="63" x14ac:dyDescent="0.25">
      <c r="A159" s="3">
        <v>147</v>
      </c>
      <c r="B159" s="7" t="str">
        <f>description_620 &amp;  " [ 1803 ]"</f>
        <v>Providing and assembling in position falsework for the construction of RCC superstructure and removing after completion including design &amp; drawings as per specification, for RCC Beam Bridge, Using timber, Height above 6 m to 9 m [ 1803 ]</v>
      </c>
      <c r="C159" s="3" t="s">
        <v>438</v>
      </c>
      <c r="D159" s="3">
        <f>Quantity_Sheet!H160</f>
        <v>0</v>
      </c>
      <c r="E159" s="5">
        <f>rate_620</f>
        <v>16925.71</v>
      </c>
      <c r="F159" s="9"/>
      <c r="G159" s="10">
        <f t="shared" si="2"/>
        <v>0</v>
      </c>
    </row>
    <row r="160" spans="1:7" ht="63" x14ac:dyDescent="0.25">
      <c r="A160" s="3">
        <v>148</v>
      </c>
      <c r="B160" s="7" t="str">
        <f>description_623 &amp;  " [ 1803 ]"</f>
        <v>Providing and assembling in position falsework for the construction of RCC superstructure and removing after completion including design &amp; drawings as per specification, for RCC Beam Bridge, Using steel, Height above 3 m to 6m [ 1803 ]</v>
      </c>
      <c r="C160" s="3" t="s">
        <v>438</v>
      </c>
      <c r="D160" s="3">
        <f>Quantity_Sheet!H161</f>
        <v>0</v>
      </c>
      <c r="E160" s="5">
        <f>rate_623</f>
        <v>5881.01</v>
      </c>
      <c r="F160" s="9"/>
      <c r="G160" s="10">
        <f t="shared" si="2"/>
        <v>0</v>
      </c>
    </row>
    <row r="161" spans="1:7" ht="47.25" x14ac:dyDescent="0.25">
      <c r="A161" s="3">
        <v>149</v>
      </c>
      <c r="B161" s="7" t="str">
        <f>description_622 &amp;  " [ 1803 ]"</f>
        <v>Providing and assembling in position falsework for the construction of RCC superstructure and removing after completion including design &amp; drawings as per specification, for RCC Beam Bridge, Using steel, Height upto 3 m [ 1803 ]</v>
      </c>
      <c r="C161" s="3" t="s">
        <v>438</v>
      </c>
      <c r="D161" s="3">
        <f>Quantity_Sheet!H162</f>
        <v>0</v>
      </c>
      <c r="E161" s="5">
        <f>rate_622</f>
        <v>2819.13</v>
      </c>
      <c r="F161" s="9"/>
      <c r="G161" s="10">
        <f t="shared" si="2"/>
        <v>0</v>
      </c>
    </row>
    <row r="162" spans="1:7" ht="31.5" x14ac:dyDescent="0.25">
      <c r="A162" s="3">
        <v>150</v>
      </c>
      <c r="B162" s="7" t="str">
        <f>description_637 &amp;  " [ 1902 ]"</f>
        <v>Supplying, fitting and fixing in position true to line and level elastomeric bearing  including all accessories as per Drawing and Technical Specifications. [ 1902 ]</v>
      </c>
      <c r="C162" s="3" t="s">
        <v>1875</v>
      </c>
      <c r="D162" s="3">
        <f>Quantity_Sheet!H163</f>
        <v>0</v>
      </c>
      <c r="E162" s="5">
        <f>rate_637</f>
        <v>2247.89</v>
      </c>
      <c r="F162" s="9"/>
      <c r="G162" s="10">
        <f t="shared" si="2"/>
        <v>0</v>
      </c>
    </row>
    <row r="163" spans="1:7" ht="63" x14ac:dyDescent="0.25">
      <c r="A163" s="3">
        <v>151</v>
      </c>
      <c r="B163" s="7" t="str">
        <f>description_641 &amp;  " [ 1901 ]"</f>
        <v>Elastomeric Slab Steel Expansion Joint, Providing and laying of an elastomeric slab steel expansion joint, catering to right or skew (less than 20 deg., moderately curved with maximum horizontal movement upto 50 mm, complete as per Drawings and Technical specifications  [ 1901 ]</v>
      </c>
      <c r="C163" s="3" t="s">
        <v>75</v>
      </c>
      <c r="D163" s="3">
        <f>Quantity_Sheet!H164</f>
        <v>0</v>
      </c>
      <c r="E163" s="5">
        <f>rate_641</f>
        <v>23429.14</v>
      </c>
      <c r="F163" s="9"/>
      <c r="G163" s="10">
        <f t="shared" si="2"/>
        <v>0</v>
      </c>
    </row>
    <row r="164" spans="1:7" ht="47.25" x14ac:dyDescent="0.25">
      <c r="A164" s="3">
        <v>152</v>
      </c>
      <c r="B164" s="7" t="str">
        <f>description_643 &amp;  " [ 1901 ]"</f>
        <v>Strip Seal Expansion Joint, Providing and laying of a strip seal expansion joint catering to maximum horizontal movement upto 70 mm, complete as per approved Drawings and Technical specifications. [ 1901 ]</v>
      </c>
      <c r="C164" s="3" t="s">
        <v>75</v>
      </c>
      <c r="D164" s="3">
        <f>Quantity_Sheet!H165</f>
        <v>0</v>
      </c>
      <c r="E164" s="5">
        <f>rate_643</f>
        <v>12858.92</v>
      </c>
      <c r="F164" s="9"/>
      <c r="G164" s="10">
        <f t="shared" si="2"/>
        <v>0</v>
      </c>
    </row>
    <row r="165" spans="1:7" ht="94.5" x14ac:dyDescent="0.25">
      <c r="A165" s="3">
        <v>153</v>
      </c>
      <c r="B165" s="7" t="str">
        <f>description_642 &amp;  " [ 1901 ]"</f>
        <v>Compression Seal Joint, Providing and laying of compression seal joint consisting of steel armored nosing at two edges of the joint gap suitably anchored to the deck concrete and a preformed chloroprene elastomer or closed cell foam joint sealer compressed and fixed into the joint gap with special adhesive binder to cater for a horizontal movement and vertical movement  all complete as per Drawing and Technical Specifications. [ 1901 ]</v>
      </c>
      <c r="C165" s="3" t="s">
        <v>75</v>
      </c>
      <c r="D165" s="3">
        <f>Quantity_Sheet!H166</f>
        <v>0</v>
      </c>
      <c r="E165" s="5" t="e">
        <f>rate_642</f>
        <v>#REF!</v>
      </c>
      <c r="F165" s="9"/>
      <c r="G165" s="10" t="e">
        <f t="shared" si="2"/>
        <v>#REF!</v>
      </c>
    </row>
    <row r="166" spans="1:7" ht="47.25" x14ac:dyDescent="0.25">
      <c r="A166" s="3">
        <v>154</v>
      </c>
      <c r="B166" s="7" t="str">
        <f>description_1 &amp;  " [ 2000 ]"</f>
        <v>Providing and laying of Plain Cement Concrete M 10 ( or 1:3:6 for nominal mix) in Foundation complete as per Drawing and Technical Specifications. [ 2000 ]</v>
      </c>
      <c r="C166" s="3" t="s">
        <v>84</v>
      </c>
      <c r="D166" s="3">
        <f>Quantity_Sheet!H167</f>
        <v>0</v>
      </c>
      <c r="E166" s="5">
        <f>rate_1</f>
        <v>10721.12</v>
      </c>
      <c r="F166" s="9"/>
      <c r="G166" s="10">
        <f t="shared" si="2"/>
        <v>0</v>
      </c>
    </row>
    <row r="167" spans="1:7" ht="47.25" x14ac:dyDescent="0.25">
      <c r="A167" s="3">
        <v>155</v>
      </c>
      <c r="B167" s="7" t="str">
        <f>description_2 &amp;  " [ 2000 ]"</f>
        <v>Providing and laying of Plain Cement Concrete M 10 ( or 1:3:6 for nominal mix) in Foundation complete as per Drawing and Technical Specifications., Manual Mixing [ 2000 ]</v>
      </c>
      <c r="C167" s="3" t="s">
        <v>84</v>
      </c>
      <c r="D167" s="3">
        <f>Quantity_Sheet!H168</f>
        <v>0</v>
      </c>
      <c r="E167" s="5">
        <f>rate_2</f>
        <v>11075.63</v>
      </c>
      <c r="F167" s="9"/>
      <c r="G167" s="10">
        <f t="shared" si="2"/>
        <v>0</v>
      </c>
    </row>
    <row r="168" spans="1:7" ht="47.25" x14ac:dyDescent="0.25">
      <c r="A168" s="3">
        <v>156</v>
      </c>
      <c r="B168" s="7" t="str">
        <f>description_3 &amp;  " [ 2000 ]"</f>
        <v>Providing and laying of Plain/Reinforced Cement Concrete in Foundation complete as per Drawing and Technical Specifications, PCC Grade M 15 [ 2000 ]</v>
      </c>
      <c r="C168" s="3" t="s">
        <v>84</v>
      </c>
      <c r="D168" s="3">
        <f>Quantity_Sheet!H169</f>
        <v>0</v>
      </c>
      <c r="E168" s="5">
        <f>rate_3</f>
        <v>12609.13</v>
      </c>
      <c r="F168" s="9"/>
      <c r="G168" s="10">
        <f t="shared" si="2"/>
        <v>0</v>
      </c>
    </row>
    <row r="169" spans="1:7" ht="47.25" x14ac:dyDescent="0.25">
      <c r="A169" s="3">
        <v>157</v>
      </c>
      <c r="B169" s="7" t="str">
        <f>description_4 &amp;  " [ 2000 ]"</f>
        <v>Providing and laying of Plain/Reinforced Cement Concrete in Foundation complete as per Drawing and Technical Specifications, PCC Grade M 15, Manual Mixing [ 2000 ]</v>
      </c>
      <c r="C169" s="3" t="s">
        <v>84</v>
      </c>
      <c r="D169" s="3">
        <f>Quantity_Sheet!H170</f>
        <v>0</v>
      </c>
      <c r="E169" s="5">
        <f>rate_4</f>
        <v>13325.65</v>
      </c>
      <c r="F169" s="9"/>
      <c r="G169" s="10">
        <f t="shared" si="2"/>
        <v>0</v>
      </c>
    </row>
    <row r="170" spans="1:7" ht="47.25" x14ac:dyDescent="0.25">
      <c r="A170" s="3">
        <v>158</v>
      </c>
      <c r="B170" s="7" t="str">
        <f>description_5 &amp;  " [ 2000 ]"</f>
        <v>Providing and laying of Plain/Reinforced Cement Concrete in Foundation complete as per Drawing and Technical Specifications, PCC Grade M 20 [ 2000 ]</v>
      </c>
      <c r="C170" s="3" t="s">
        <v>84</v>
      </c>
      <c r="D170" s="3">
        <f>Quantity_Sheet!H171</f>
        <v>0</v>
      </c>
      <c r="E170" s="5">
        <f>rate_5</f>
        <v>13710.65</v>
      </c>
      <c r="F170" s="9"/>
      <c r="G170" s="10">
        <f t="shared" si="2"/>
        <v>0</v>
      </c>
    </row>
    <row r="171" spans="1:7" ht="47.25" x14ac:dyDescent="0.25">
      <c r="A171" s="3">
        <v>159</v>
      </c>
      <c r="B171" s="7" t="str">
        <f>description_6 &amp;  " [ 2000 ]"</f>
        <v>Providing and laying of Plain/Reinforced Cement Concrete in Foundation complete as per Drawing and Technical Specifications., RCC Grade M 20 [ 2000 ]</v>
      </c>
      <c r="C171" s="3" t="s">
        <v>84</v>
      </c>
      <c r="D171" s="3">
        <f>Quantity_Sheet!H172</f>
        <v>0</v>
      </c>
      <c r="E171" s="5">
        <f>rate_6</f>
        <v>13800.58</v>
      </c>
      <c r="F171" s="9"/>
      <c r="G171" s="10">
        <f t="shared" si="2"/>
        <v>0</v>
      </c>
    </row>
    <row r="172" spans="1:7" ht="47.25" x14ac:dyDescent="0.25">
      <c r="A172" s="3">
        <v>160</v>
      </c>
      <c r="B172" s="7" t="str">
        <f>description_7 &amp;  " [ 2000 ]"</f>
        <v>Providing and laying of Plain/Reinforced Cement Concrete in Foundation complete as per Drawing and Technical Specifications., PCC Grade M 25 [ 2000 ]</v>
      </c>
      <c r="C172" s="3" t="s">
        <v>84</v>
      </c>
      <c r="D172" s="3">
        <f>Quantity_Sheet!H173</f>
        <v>0</v>
      </c>
      <c r="E172" s="5">
        <f>rate_7</f>
        <v>15057.27</v>
      </c>
      <c r="F172" s="9"/>
      <c r="G172" s="10">
        <f t="shared" si="2"/>
        <v>0</v>
      </c>
    </row>
    <row r="173" spans="1:7" ht="47.25" x14ac:dyDescent="0.25">
      <c r="A173" s="3">
        <v>161</v>
      </c>
      <c r="B173" s="7" t="str">
        <f>description_8 &amp;  " [ 2000 ]"</f>
        <v>Providing and laying of Plain/Reinforced Cement Concrete in Foundation complete as per Drawing and Technical Specifications., RCC Grade M 25 [ 2000 ]</v>
      </c>
      <c r="C173" s="3" t="s">
        <v>84</v>
      </c>
      <c r="D173" s="3">
        <f>Quantity_Sheet!H174</f>
        <v>0</v>
      </c>
      <c r="E173" s="5">
        <f>rate_8</f>
        <v>15198.96</v>
      </c>
      <c r="F173" s="9"/>
      <c r="G173" s="10">
        <f t="shared" si="2"/>
        <v>0</v>
      </c>
    </row>
    <row r="174" spans="1:7" ht="47.25" x14ac:dyDescent="0.25">
      <c r="A174" s="3">
        <v>162</v>
      </c>
      <c r="B174" s="7" t="str">
        <f>description_10 &amp;  " [ 2000 ]"</f>
        <v>Providing and laying of Plain/Reinforced Cement Concrete in Foundation complete as per Drawing and Technical Specifications., RCC Grade M30 [ 2000 ]</v>
      </c>
      <c r="C174" s="3" t="s">
        <v>84</v>
      </c>
      <c r="D174" s="3">
        <f>Quantity_Sheet!H175</f>
        <v>0</v>
      </c>
      <c r="E174" s="5">
        <f>rate_10</f>
        <v>15181.81</v>
      </c>
      <c r="F174" s="9"/>
      <c r="G174" s="10">
        <f t="shared" si="2"/>
        <v>0</v>
      </c>
    </row>
    <row r="175" spans="1:7" ht="47.25" x14ac:dyDescent="0.25">
      <c r="A175" s="3">
        <v>163</v>
      </c>
      <c r="B175" s="7" t="str">
        <f>description_11 &amp;  " [ 2000 ]"</f>
        <v>Providing and laying of Plain/Reinforced Cement Concrete in Foundation complete as per Drawing and Technical Specifications., RCC Grade M 35 [ 2000 ]</v>
      </c>
      <c r="C175" s="3" t="s">
        <v>84</v>
      </c>
      <c r="D175" s="3">
        <f>Quantity_Sheet!H176</f>
        <v>0</v>
      </c>
      <c r="E175" s="5">
        <f>rate_11</f>
        <v>15364.46</v>
      </c>
      <c r="F175" s="9"/>
      <c r="G175" s="10">
        <f t="shared" si="2"/>
        <v>0</v>
      </c>
    </row>
    <row r="176" spans="1:7" ht="47.25" x14ac:dyDescent="0.25">
      <c r="A176" s="3">
        <v>164</v>
      </c>
      <c r="B176" s="7" t="str">
        <f>description_13 &amp;  " [ 2000 ]"</f>
        <v>Providing and laying of Plain/Reinforced cement concrete in sub-structure complete as per drawing and Technical Specifications, PCC Grade M 15, Height upto 5 m [ 2000 ]</v>
      </c>
      <c r="C176" s="3" t="s">
        <v>84</v>
      </c>
      <c r="D176" s="3">
        <f>Quantity_Sheet!H177</f>
        <v>0</v>
      </c>
      <c r="E176" s="5">
        <f>rate_13</f>
        <v>13336.58</v>
      </c>
      <c r="F176" s="9"/>
      <c r="G176" s="10">
        <f t="shared" si="2"/>
        <v>0</v>
      </c>
    </row>
    <row r="177" spans="1:7" ht="47.25" x14ac:dyDescent="0.25">
      <c r="A177" s="3">
        <v>165</v>
      </c>
      <c r="B177" s="7" t="str">
        <f>description_14 &amp;  " [ 2000 ]"</f>
        <v>Providing and laying of Plain/Reinforced cement concrete in sub-structure complete as per drawing and Technical Specifications, PCC Grade M20, Height upto 5 m [ 2000 ]</v>
      </c>
      <c r="C177" s="3" t="s">
        <v>84</v>
      </c>
      <c r="D177" s="3">
        <f>Quantity_Sheet!H178</f>
        <v>0</v>
      </c>
      <c r="E177" s="5">
        <f>rate_14</f>
        <v>14501.65</v>
      </c>
      <c r="F177" s="9"/>
      <c r="G177" s="10">
        <f t="shared" si="2"/>
        <v>0</v>
      </c>
    </row>
    <row r="178" spans="1:7" ht="47.25" x14ac:dyDescent="0.25">
      <c r="A178" s="3">
        <v>166</v>
      </c>
      <c r="B178" s="7" t="str">
        <f>description_15 &amp;  " [ 2000 ]"</f>
        <v>Providing and laying of Plain/Reinforced cement concrete in sub-structure complete as per drawing and Technical Specifications, PCC Grade M 25, Height upto 5 m [ 2000 ]</v>
      </c>
      <c r="C178" s="3" t="s">
        <v>84</v>
      </c>
      <c r="D178" s="3">
        <f>Quantity_Sheet!H179</f>
        <v>0</v>
      </c>
      <c r="E178" s="5">
        <f>rate_15</f>
        <v>15964.33</v>
      </c>
      <c r="F178" s="9"/>
      <c r="G178" s="10">
        <f t="shared" si="2"/>
        <v>0</v>
      </c>
    </row>
    <row r="179" spans="1:7" ht="47.25" x14ac:dyDescent="0.25">
      <c r="A179" s="3">
        <v>167</v>
      </c>
      <c r="B179" s="7" t="str">
        <f>description_16 &amp;  " [ 2000 ]"</f>
        <v>Providing and laying of Plain/Reinforced cement concrete in sub-structure complete as per drawing and Technical Specifications, PCC Grade M 25, Height above 5 m to 10 m [ 2000 ]</v>
      </c>
      <c r="C179" s="3" t="s">
        <v>84</v>
      </c>
      <c r="D179" s="3">
        <f>Quantity_Sheet!H180</f>
        <v>0</v>
      </c>
      <c r="E179" s="5">
        <f>rate_16</f>
        <v>16544.86</v>
      </c>
      <c r="F179" s="9"/>
      <c r="G179" s="10">
        <f t="shared" si="2"/>
        <v>0</v>
      </c>
    </row>
    <row r="180" spans="1:7" ht="47.25" x14ac:dyDescent="0.25">
      <c r="A180" s="3">
        <v>168</v>
      </c>
      <c r="B180" s="7" t="str">
        <f>description_17 &amp;  " [ 2000 ]"</f>
        <v>Providing and laying of Plain/Reinforced cement concrete in sub-structure complete as per drawing and Technical Specifications, PCC Grade M 25, Height above 10 m [ 2000 ]</v>
      </c>
      <c r="C180" s="3" t="s">
        <v>84</v>
      </c>
      <c r="D180" s="3">
        <f>Quantity_Sheet!H181</f>
        <v>0</v>
      </c>
      <c r="E180" s="5">
        <f>rate_17</f>
        <v>17270.509999999998</v>
      </c>
      <c r="F180" s="9"/>
      <c r="G180" s="10">
        <f t="shared" si="2"/>
        <v>0</v>
      </c>
    </row>
    <row r="181" spans="1:7" ht="47.25" x14ac:dyDescent="0.25">
      <c r="A181" s="3">
        <v>169</v>
      </c>
      <c r="B181" s="7" t="str">
        <f>description_18 &amp;  " [ 2000 ]"</f>
        <v>Providing and laying of Plain/Reinforced cement concrete in sub-structure complete as per drawing and Technical Specifications, PCC Grade M 30, Height upto 5 m [ 2000 ]</v>
      </c>
      <c r="C181" s="3" t="s">
        <v>84</v>
      </c>
      <c r="D181" s="3">
        <f>Quantity_Sheet!H182</f>
        <v>0</v>
      </c>
      <c r="E181" s="5">
        <f>rate_18</f>
        <v>20981.38</v>
      </c>
      <c r="F181" s="9"/>
      <c r="G181" s="10">
        <f t="shared" si="2"/>
        <v>0</v>
      </c>
    </row>
    <row r="182" spans="1:7" ht="47.25" x14ac:dyDescent="0.25">
      <c r="A182" s="3">
        <v>170</v>
      </c>
      <c r="B182" s="7" t="str">
        <f>description_19 &amp;  " [ 2000 ]"</f>
        <v>Providing and laying of Plain/Reinforced cement concrete in sub-structure complete as per drawing and Technical Specifications, PCC Grade M 30, Height above 5 m to 10 m [ 2000 ]</v>
      </c>
      <c r="C182" s="3" t="s">
        <v>84</v>
      </c>
      <c r="D182" s="3">
        <f>Quantity_Sheet!H183</f>
        <v>0</v>
      </c>
      <c r="E182" s="5">
        <f>rate_19</f>
        <v>21744.34</v>
      </c>
      <c r="F182" s="9"/>
      <c r="G182" s="10">
        <f t="shared" si="2"/>
        <v>0</v>
      </c>
    </row>
    <row r="183" spans="1:7" ht="47.25" x14ac:dyDescent="0.25">
      <c r="A183" s="3">
        <v>171</v>
      </c>
      <c r="B183" s="7" t="str">
        <f>description_20 &amp;  " [ 2000 ]"</f>
        <v>Providing and laying of Plain/Reinforced cement concrete in sub-structure complete as per drawing and Technical Specifications, PCC Grade M 30, Height above 10 m [ 2000 ]</v>
      </c>
      <c r="C183" s="3" t="s">
        <v>84</v>
      </c>
      <c r="D183" s="3">
        <f>Quantity_Sheet!H184</f>
        <v>0</v>
      </c>
      <c r="E183" s="5">
        <f>rate_20</f>
        <v>22698.04</v>
      </c>
      <c r="F183" s="9"/>
      <c r="G183" s="10">
        <f t="shared" si="2"/>
        <v>0</v>
      </c>
    </row>
    <row r="184" spans="1:7" ht="47.25" x14ac:dyDescent="0.25">
      <c r="A184" s="3">
        <v>172</v>
      </c>
      <c r="B184" s="7" t="str">
        <f>description_21 &amp;  " [ 2000 ]"</f>
        <v>Providing and laying of Plain/Reinforced cement concrete in sub-structure complete as per drawing and Technical Specifications, RCC Grade M 20, Height upto 5 m [ 2000 ]</v>
      </c>
      <c r="C184" s="3" t="s">
        <v>84</v>
      </c>
      <c r="D184" s="3">
        <f>Quantity_Sheet!H185</f>
        <v>0</v>
      </c>
      <c r="E184" s="5">
        <f>rate_21</f>
        <v>14596.76</v>
      </c>
      <c r="F184" s="9"/>
      <c r="G184" s="10">
        <f t="shared" si="2"/>
        <v>0</v>
      </c>
    </row>
    <row r="185" spans="1:7" ht="47.25" x14ac:dyDescent="0.25">
      <c r="A185" s="3">
        <v>173</v>
      </c>
      <c r="B185" s="7" t="str">
        <f>description_22 &amp;  " [ 2000 ]"</f>
        <v>Providing and laying of Plain/Reinforced cement concrete in sub-structure complete as per drawing and Technical Specifications, RCC Grade M 20, Height above 5 m to 10 m [ 2000 ]</v>
      </c>
      <c r="C185" s="3" t="s">
        <v>84</v>
      </c>
      <c r="D185" s="3">
        <f>Quantity_Sheet!H186</f>
        <v>0</v>
      </c>
      <c r="E185" s="5">
        <f>rate_22</f>
        <v>15127.55</v>
      </c>
      <c r="F185" s="9"/>
      <c r="G185" s="10">
        <f t="shared" si="2"/>
        <v>0</v>
      </c>
    </row>
    <row r="186" spans="1:7" ht="47.25" x14ac:dyDescent="0.25">
      <c r="A186" s="3">
        <v>174</v>
      </c>
      <c r="B186" s="7" t="str">
        <f>description_23 &amp;  " [ 2000 ]"</f>
        <v>Providing and laying of Plain/Reinforced cement concrete in sub-structure complete as per drawing and Technical Specifications, RCC Grade M 20, Height above 10 m [ 2000 ]</v>
      </c>
      <c r="C186" s="3" t="s">
        <v>84</v>
      </c>
      <c r="D186" s="3">
        <f>Quantity_Sheet!H187</f>
        <v>0</v>
      </c>
      <c r="E186" s="5">
        <f>rate_23</f>
        <v>15791.04</v>
      </c>
      <c r="F186" s="9"/>
      <c r="G186" s="10">
        <f t="shared" si="2"/>
        <v>0</v>
      </c>
    </row>
    <row r="187" spans="1:7" ht="47.25" x14ac:dyDescent="0.25">
      <c r="A187" s="3">
        <v>175</v>
      </c>
      <c r="B187" s="7" t="str">
        <f>description_24 &amp;  " [ 2000 ]"</f>
        <v>Providing and laying of Plain/Reinforced cement concrete in sub-structure complete as per drawing and Technical Specifications, RCC Grade M 25, Height upto 5 m [ 2000 ]</v>
      </c>
      <c r="C187" s="3" t="s">
        <v>84</v>
      </c>
      <c r="D187" s="3">
        <f>Quantity_Sheet!H188</f>
        <v>0</v>
      </c>
      <c r="E187" s="5">
        <f>rate_24</f>
        <v>16075.82</v>
      </c>
      <c r="F187" s="9"/>
      <c r="G187" s="10">
        <f t="shared" si="2"/>
        <v>0</v>
      </c>
    </row>
    <row r="188" spans="1:7" ht="47.25" x14ac:dyDescent="0.25">
      <c r="A188" s="3">
        <v>176</v>
      </c>
      <c r="B188" s="7" t="str">
        <f>description_25 &amp;  " [ 2000 ]"</f>
        <v>Providing and laying of Plain/Reinforced cement concrete in sub-structure complete as per drawing and Technical Specifications, RCC Grade M 25, Height above 5 m to 10 m [ 2000 ]</v>
      </c>
      <c r="C188" s="3" t="s">
        <v>84</v>
      </c>
      <c r="D188" s="3">
        <f>Quantity_Sheet!H189</f>
        <v>0</v>
      </c>
      <c r="E188" s="5">
        <f>rate_25</f>
        <v>16660.400000000001</v>
      </c>
      <c r="F188" s="9"/>
      <c r="G188" s="10">
        <f t="shared" si="2"/>
        <v>0</v>
      </c>
    </row>
    <row r="189" spans="1:7" ht="47.25" x14ac:dyDescent="0.25">
      <c r="A189" s="3">
        <v>177</v>
      </c>
      <c r="B189" s="7" t="str">
        <f>description_26 &amp;  " [ 2000 ]"</f>
        <v>Providing and laying of Plain/Reinforced cement concrete in sub-structure complete as per drawing and Technical Specifications, RCC Grade M 25, Height above 10 m [ 2000 ]</v>
      </c>
      <c r="C189" s="3" t="s">
        <v>84</v>
      </c>
      <c r="D189" s="3">
        <f>Quantity_Sheet!H190</f>
        <v>0</v>
      </c>
      <c r="E189" s="5">
        <f>rate_26</f>
        <v>17391.12</v>
      </c>
      <c r="F189" s="9"/>
      <c r="G189" s="10">
        <f t="shared" si="2"/>
        <v>0</v>
      </c>
    </row>
    <row r="190" spans="1:7" ht="47.25" x14ac:dyDescent="0.25">
      <c r="A190" s="3">
        <v>178</v>
      </c>
      <c r="B190" s="7" t="str">
        <f>description_27 &amp;  " [ 2000 ]"</f>
        <v>Providing and laying of Plain/Reinforced cement concrete in sub-structure complete as per drawing and Technical Specifications, RCC Grade M 30, Height upto 5 m [ 2000 ]</v>
      </c>
      <c r="C190" s="3" t="s">
        <v>84</v>
      </c>
      <c r="D190" s="3">
        <f>Quantity_Sheet!H191</f>
        <v>0</v>
      </c>
      <c r="E190" s="5">
        <f>rate_27</f>
        <v>16135.26</v>
      </c>
      <c r="F190" s="9"/>
      <c r="G190" s="10">
        <f t="shared" si="2"/>
        <v>0</v>
      </c>
    </row>
    <row r="191" spans="1:7" ht="47.25" x14ac:dyDescent="0.25">
      <c r="A191" s="3">
        <v>179</v>
      </c>
      <c r="B191" s="7" t="str">
        <f>description_28 &amp;  " [ 2000 ]"</f>
        <v>Providing and laying of Plain/Reinforced cement concrete in sub-structure complete as per drawing and Technical Specifications, RCC Grade M 30, Height above 5 m to 10 m [ 2000 ]</v>
      </c>
      <c r="C191" s="3" t="s">
        <v>84</v>
      </c>
      <c r="D191" s="3">
        <f>Quantity_Sheet!H192</f>
        <v>0</v>
      </c>
      <c r="E191" s="5">
        <f>rate_28</f>
        <v>16721.990000000002</v>
      </c>
      <c r="F191" s="9"/>
      <c r="G191" s="10">
        <f t="shared" si="2"/>
        <v>0</v>
      </c>
    </row>
    <row r="192" spans="1:7" ht="47.25" x14ac:dyDescent="0.25">
      <c r="A192" s="3">
        <v>180</v>
      </c>
      <c r="B192" s="7" t="str">
        <f>description_29 &amp;  " [ 2000 ]"</f>
        <v>Providing and laying of Plain/Reinforced cement concrete in sub-structure complete as per drawing and Technical Specifications, RCC Grade M 30, Height above 10 m [ 2000 ]</v>
      </c>
      <c r="C192" s="3" t="s">
        <v>84</v>
      </c>
      <c r="D192" s="3">
        <f>Quantity_Sheet!H193</f>
        <v>0</v>
      </c>
      <c r="E192" s="5">
        <f>rate_29</f>
        <v>17455.41</v>
      </c>
      <c r="F192" s="9"/>
      <c r="G192" s="10">
        <f t="shared" si="2"/>
        <v>0</v>
      </c>
    </row>
    <row r="193" spans="1:7" ht="47.25" x14ac:dyDescent="0.25">
      <c r="A193" s="3">
        <v>181</v>
      </c>
      <c r="B193" s="7" t="str">
        <f>description_30 &amp;  " [ 2000 ]"</f>
        <v>Providing and laying of Plain/Reinforced cement concrete in sub-structure complete as per drawing and Technical Specifications, RCC Grade M 35, Height upto 5 m [ 2000 ]</v>
      </c>
      <c r="C193" s="3" t="s">
        <v>84</v>
      </c>
      <c r="D193" s="3">
        <f>Quantity_Sheet!H194</f>
        <v>0</v>
      </c>
      <c r="E193" s="5">
        <f>rate_30</f>
        <v>16408.650000000001</v>
      </c>
      <c r="F193" s="9"/>
      <c r="G193" s="10">
        <f t="shared" si="2"/>
        <v>0</v>
      </c>
    </row>
    <row r="194" spans="1:7" ht="47.25" x14ac:dyDescent="0.25">
      <c r="A194" s="3">
        <v>182</v>
      </c>
      <c r="B194" s="7" t="str">
        <f>description_31 &amp;  " [ 2000 ]"</f>
        <v>Providing and laying of Plain/Reinforced cement concrete in sub-structure complete as per drawing and Technical Specifications, RCC Grade M 35, Height above 5 m to 10 m [ 2000 ]</v>
      </c>
      <c r="C194" s="3" t="s">
        <v>84</v>
      </c>
      <c r="D194" s="3">
        <f>Quantity_Sheet!H195</f>
        <v>0</v>
      </c>
      <c r="E194" s="5">
        <f>rate_31</f>
        <v>17005.330000000002</v>
      </c>
      <c r="F194" s="9"/>
      <c r="G194" s="10">
        <f t="shared" si="2"/>
        <v>0</v>
      </c>
    </row>
    <row r="195" spans="1:7" ht="47.25" x14ac:dyDescent="0.25">
      <c r="A195" s="3">
        <v>183</v>
      </c>
      <c r="B195" s="7" t="str">
        <f>description_37 &amp;  " [ 2000 ]"</f>
        <v>Providing and laying of Reinforced/ Pre-stressed cement concrete in super-structure as per drawing and Technical Specification, RCC Grade M 20 [ 2000 ]</v>
      </c>
      <c r="C195" s="3" t="s">
        <v>75</v>
      </c>
      <c r="D195" s="3">
        <f>Quantity_Sheet!H196</f>
        <v>0</v>
      </c>
      <c r="E195" s="5">
        <f>rate_37</f>
        <v>6595.88</v>
      </c>
      <c r="F195" s="9"/>
      <c r="G195" s="10">
        <f t="shared" si="2"/>
        <v>0</v>
      </c>
    </row>
    <row r="196" spans="1:7" ht="47.25" x14ac:dyDescent="0.25">
      <c r="A196" s="3">
        <v>184</v>
      </c>
      <c r="B196" s="7" t="str">
        <f>description_38 &amp;  " [ 2000 ]"</f>
        <v>Providing and laying of Reinforced/ Pre-stressed cement concrete in solid slab super-structure as per drawing and Technical Specification, RCC Grade M 20, Height upto 5 m [ 2000 ]</v>
      </c>
      <c r="C196" s="3" t="s">
        <v>75</v>
      </c>
      <c r="D196" s="3">
        <f>Quantity_Sheet!H197</f>
        <v>0</v>
      </c>
      <c r="E196" s="5">
        <f>rate_38</f>
        <v>7915.05</v>
      </c>
      <c r="F196" s="9"/>
      <c r="G196" s="10">
        <f t="shared" si="2"/>
        <v>0</v>
      </c>
    </row>
    <row r="197" spans="1:7" ht="63" x14ac:dyDescent="0.25">
      <c r="A197" s="3">
        <v>185</v>
      </c>
      <c r="B197" s="7" t="str">
        <f>description_36 &amp;  " [ 3109 ]"</f>
        <v>Providing and laying weep holes in Stone Masonry/Plain/ Reinforced concrete abutment, wing wall/ return wall with 150mm dia HDPE pipe, extending through the full width of the structure with slope of 1V :20H towards drawing face Complete as per Drawing and Technical Specifications. [ 3109 ]</v>
      </c>
      <c r="C197" s="3" t="s">
        <v>75</v>
      </c>
      <c r="D197" s="3">
        <f>Quantity_Sheet!H198</f>
        <v>0</v>
      </c>
      <c r="E197" s="5" t="e">
        <f>rate_36</f>
        <v>#REF!</v>
      </c>
      <c r="F197" s="9"/>
      <c r="G197" s="10" t="e">
        <f t="shared" si="2"/>
        <v>#REF!</v>
      </c>
    </row>
    <row r="198" spans="1:7" ht="47.25" x14ac:dyDescent="0.25">
      <c r="A198" s="3">
        <v>186</v>
      </c>
      <c r="B198" s="7" t="str">
        <f>description_39 &amp;  " [ 2000 ]"</f>
        <v>Providing and laying of Reinforced/ Pre-stressed cement concrete in solid slab super-structure as per drawing and Technical Specification, RCC Grade M 20, Height above 5 m to 10 m [ 2000 ]</v>
      </c>
      <c r="C198" s="3" t="s">
        <v>75</v>
      </c>
      <c r="D198" s="3">
        <f>Quantity_Sheet!H199</f>
        <v>0</v>
      </c>
      <c r="E198" s="5">
        <f>rate_39</f>
        <v>8244.85</v>
      </c>
      <c r="F198" s="9"/>
      <c r="G198" s="10">
        <f t="shared" si="2"/>
        <v>0</v>
      </c>
    </row>
    <row r="199" spans="1:7" ht="47.25" x14ac:dyDescent="0.25">
      <c r="A199" s="3">
        <v>187</v>
      </c>
      <c r="B199" s="7" t="str">
        <f>description_40 &amp;  " [ 2000 ]"</f>
        <v>Providing and laying of Reinforced/ Pre-stressed cement concrete in solid slab super-structure as per drawing and Technical Specification, RCC Grade M 20, Height above 10 m [ 2000 ]</v>
      </c>
      <c r="C199" s="3" t="s">
        <v>75</v>
      </c>
      <c r="D199" s="3">
        <f>Quantity_Sheet!H200</f>
        <v>0</v>
      </c>
      <c r="E199" s="5">
        <f>rate_40</f>
        <v>8574.64</v>
      </c>
      <c r="F199" s="9"/>
      <c r="G199" s="10">
        <f t="shared" si="2"/>
        <v>0</v>
      </c>
    </row>
    <row r="200" spans="1:7" ht="47.25" x14ac:dyDescent="0.25">
      <c r="A200" s="3">
        <v>188</v>
      </c>
      <c r="B200" s="7" t="str">
        <f>description_41 &amp;  " [ 2000 ]"</f>
        <v>Providing and laying of Reinforced/ Pre-stressed cement concrete in T-beam and slab super-structure as per drawing and Technical Specification, RCC Grade M 20, Height upto 5 m [ 2000 ]</v>
      </c>
      <c r="C200" s="3" t="s">
        <v>75</v>
      </c>
      <c r="D200" s="3">
        <f>Quantity_Sheet!H201</f>
        <v>0</v>
      </c>
      <c r="E200" s="5">
        <f>rate_41</f>
        <v>8244.85</v>
      </c>
      <c r="F200" s="9"/>
      <c r="G200" s="10">
        <f t="shared" si="2"/>
        <v>0</v>
      </c>
    </row>
    <row r="201" spans="1:7" ht="47.25" x14ac:dyDescent="0.25">
      <c r="A201" s="3">
        <v>189</v>
      </c>
      <c r="B201" s="7" t="str">
        <f>description_42 &amp;  " [ 2000 ]"</f>
        <v>Providing and laying of Reinforced/ Pre-stressed cement concrete in T-beam and slab super-structure as per drawing and Technical Specification, RCC Grade M 20, Height above 5 m to 10 m [ 2000 ]</v>
      </c>
      <c r="C201" s="3" t="s">
        <v>75</v>
      </c>
      <c r="D201" s="3">
        <f>Quantity_Sheet!H202</f>
        <v>0</v>
      </c>
      <c r="E201" s="5">
        <f>rate_42</f>
        <v>8574.64</v>
      </c>
      <c r="F201" s="9"/>
      <c r="G201" s="10">
        <f t="shared" si="2"/>
        <v>0</v>
      </c>
    </row>
    <row r="202" spans="1:7" ht="47.25" x14ac:dyDescent="0.25">
      <c r="A202" s="3">
        <v>190</v>
      </c>
      <c r="B202" s="7" t="str">
        <f>description_43 &amp;  " [ 2000 ]"</f>
        <v>Providing and laying of Reinforced/ Pre-stressed cement concrete in T-beam and slab super-structure as per drawing and Technical Specification, RCC Grade M 20, Height above 10 m [ 2000 ]</v>
      </c>
      <c r="C202" s="3" t="s">
        <v>75</v>
      </c>
      <c r="D202" s="3">
        <f>Quantity_Sheet!H203</f>
        <v>0</v>
      </c>
      <c r="E202" s="5">
        <f>rate_43</f>
        <v>8904.43</v>
      </c>
      <c r="F202" s="9"/>
      <c r="G202" s="10">
        <f t="shared" si="2"/>
        <v>0</v>
      </c>
    </row>
    <row r="203" spans="1:7" ht="47.25" x14ac:dyDescent="0.25">
      <c r="A203" s="3">
        <v>191</v>
      </c>
      <c r="B203" s="7" t="str">
        <f>description_44 &amp;  " [ 2000 ]"</f>
        <v>Providing and laying of Reinforced/ Pre-stressed cement concrete in super-structure as per drawing and Technical Specification, RCC Grade M 25 [ 2000 ]</v>
      </c>
      <c r="C203" s="3" t="s">
        <v>84</v>
      </c>
      <c r="D203" s="3">
        <f>Quantity_Sheet!H204</f>
        <v>0</v>
      </c>
      <c r="E203" s="5">
        <f>rate_44</f>
        <v>14549.55</v>
      </c>
      <c r="F203" s="9"/>
      <c r="G203" s="10">
        <f t="shared" si="2"/>
        <v>0</v>
      </c>
    </row>
    <row r="204" spans="1:7" ht="47.25" x14ac:dyDescent="0.25">
      <c r="A204" s="3">
        <v>192</v>
      </c>
      <c r="B204" s="7" t="str">
        <f>description_45 &amp;  " [ 2000 ]"</f>
        <v>Providing and laying of Reinforced/ Pre-stressed cement concrete in solid slab super-structure as per drawing and Technical Specification, RCC Grade M 25, Height upto 5 m [ 2000 ]</v>
      </c>
      <c r="C204" s="3" t="s">
        <v>84</v>
      </c>
      <c r="D204" s="3">
        <f>Quantity_Sheet!H205</f>
        <v>0</v>
      </c>
      <c r="E204" s="5">
        <f>rate_45</f>
        <v>17459.46</v>
      </c>
      <c r="F204" s="9"/>
      <c r="G204" s="10">
        <f t="shared" si="2"/>
        <v>0</v>
      </c>
    </row>
    <row r="205" spans="1:7" ht="47.25" x14ac:dyDescent="0.25">
      <c r="A205" s="3">
        <v>193</v>
      </c>
      <c r="B205" s="7" t="str">
        <f>description_46 &amp;  " [ 2000 ]"</f>
        <v>Providing and laying of Reinforced/ Pre-stressed cement concrete in solid slab super-structure as per drawing and Technical Specification, RCC Grade M 25, Height above 5 m to 10 m [ 2000 ]</v>
      </c>
      <c r="C205" s="3" t="s">
        <v>84</v>
      </c>
      <c r="D205" s="3">
        <f>Quantity_Sheet!H206</f>
        <v>0</v>
      </c>
      <c r="E205" s="5">
        <f>rate_46</f>
        <v>18186.93</v>
      </c>
      <c r="F205" s="9"/>
      <c r="G205" s="10">
        <f t="shared" ref="G205:G268" si="3">D205 * E205</f>
        <v>0</v>
      </c>
    </row>
    <row r="206" spans="1:7" ht="47.25" x14ac:dyDescent="0.25">
      <c r="A206" s="3">
        <v>194</v>
      </c>
      <c r="B206" s="7" t="str">
        <f>description_47 &amp;  " [ 2000 ]"</f>
        <v>Providing and laying of Reinforced/ Pre-stressed cement concrete in solid slab super-structure as per drawing and Technical Specification, RCC Grade M 25, Height above 10 m [ 2000 ]</v>
      </c>
      <c r="C206" s="3" t="s">
        <v>84</v>
      </c>
      <c r="D206" s="3">
        <f>Quantity_Sheet!H207</f>
        <v>0</v>
      </c>
      <c r="E206" s="5">
        <f>rate_47</f>
        <v>18914.41</v>
      </c>
      <c r="F206" s="9"/>
      <c r="G206" s="10">
        <f t="shared" si="3"/>
        <v>0</v>
      </c>
    </row>
    <row r="207" spans="1:7" ht="47.25" x14ac:dyDescent="0.25">
      <c r="A207" s="3">
        <v>195</v>
      </c>
      <c r="B207" s="7" t="str">
        <f>description_48 &amp;  " [ 2000 ]"</f>
        <v>Providing and laying of Reinforced/ Pre-stressed cement concrete in T-beam and slab super-structure as per drawing and Technical Specification, RCC Grade M 25, Height upto 5 m [ 2000 ]</v>
      </c>
      <c r="C207" s="3" t="s">
        <v>84</v>
      </c>
      <c r="D207" s="3">
        <f>Quantity_Sheet!H208</f>
        <v>0</v>
      </c>
      <c r="E207" s="5">
        <f>rate_48</f>
        <v>18186.93</v>
      </c>
      <c r="F207" s="9"/>
      <c r="G207" s="10">
        <f t="shared" si="3"/>
        <v>0</v>
      </c>
    </row>
    <row r="208" spans="1:7" ht="47.25" x14ac:dyDescent="0.25">
      <c r="A208" s="3">
        <v>196</v>
      </c>
      <c r="B208" s="7" t="str">
        <f>description_49 &amp;  " [ 2000 ]"</f>
        <v>Providing and laying of Reinforced/ Pre-stressed cement concrete in T-beam and slab super-structure as per drawing and Technical Specification, RCC Grade M 25, Height above 5 m to 10 m [ 2000 ]</v>
      </c>
      <c r="C208" s="3" t="s">
        <v>84</v>
      </c>
      <c r="D208" s="3">
        <f>Quantity_Sheet!H209</f>
        <v>0</v>
      </c>
      <c r="E208" s="5">
        <f>rate_49</f>
        <v>18914.41</v>
      </c>
      <c r="F208" s="9"/>
      <c r="G208" s="10">
        <f t="shared" si="3"/>
        <v>0</v>
      </c>
    </row>
    <row r="209" spans="1:7" ht="47.25" x14ac:dyDescent="0.25">
      <c r="A209" s="3">
        <v>197</v>
      </c>
      <c r="B209" s="7" t="str">
        <f>description_50 &amp;  " [ 2000 ]"</f>
        <v>Providing and laying of Reinforced/ Pre-stressed cement concrete in T-beam and slab super-structure as per drawing and Technical Specification, RCC Grade M 25, Height above 10 m [ 2000 ]</v>
      </c>
      <c r="C209" s="3" t="s">
        <v>84</v>
      </c>
      <c r="D209" s="3">
        <f>Quantity_Sheet!H210</f>
        <v>0</v>
      </c>
      <c r="E209" s="5">
        <f>rate_50</f>
        <v>19641.89</v>
      </c>
      <c r="F209" s="9"/>
      <c r="G209" s="10">
        <f t="shared" si="3"/>
        <v>0</v>
      </c>
    </row>
    <row r="210" spans="1:7" ht="47.25" x14ac:dyDescent="0.25">
      <c r="A210" s="3">
        <v>198</v>
      </c>
      <c r="B210" s="7" t="str">
        <f>description_51 &amp;  " [ 2000 ]"</f>
        <v>Providing and laying of Reinforced/ Pre-stressed cement concrete in super-structure as per drawing and Technical Specification, RCC Grade M 30 [ 2000 ]</v>
      </c>
      <c r="C210" s="3" t="s">
        <v>84</v>
      </c>
      <c r="D210" s="3">
        <f>Quantity_Sheet!H211</f>
        <v>0</v>
      </c>
      <c r="E210" s="5">
        <f>rate_51</f>
        <v>14811.78</v>
      </c>
      <c r="F210" s="9"/>
      <c r="G210" s="10">
        <f t="shared" si="3"/>
        <v>0</v>
      </c>
    </row>
    <row r="211" spans="1:7" ht="47.25" x14ac:dyDescent="0.25">
      <c r="A211" s="3">
        <v>199</v>
      </c>
      <c r="B211" s="7" t="str">
        <f>description_52 &amp;  " [ 2000 ]"</f>
        <v>Providing and laying of Reinforced/ Pre-stressed cement concrete in solid slab super-structure as per drawing and Technical Specification, RCC Grade M 30, Height upto 5 m [ 2000 ]</v>
      </c>
      <c r="C211" s="3" t="s">
        <v>84</v>
      </c>
      <c r="D211" s="3">
        <f>Quantity_Sheet!H212</f>
        <v>0</v>
      </c>
      <c r="E211" s="5">
        <f>rate_52</f>
        <v>17774.14</v>
      </c>
      <c r="F211" s="9"/>
      <c r="G211" s="10">
        <f t="shared" si="3"/>
        <v>0</v>
      </c>
    </row>
    <row r="212" spans="1:7" ht="47.25" x14ac:dyDescent="0.25">
      <c r="A212" s="3">
        <v>200</v>
      </c>
      <c r="B212" s="7" t="str">
        <f>description_53 &amp;  " [ 2000 ]"</f>
        <v>Providing and laying of Reinforced/ Pre-stressed cement concrete in solid slab super-structure as per drawing and Technical Specification, RCC Grade M 30, Height above 5 m to 10 m [ 2000 ]</v>
      </c>
      <c r="C212" s="3" t="s">
        <v>84</v>
      </c>
      <c r="D212" s="3">
        <f>Quantity_Sheet!H213</f>
        <v>0</v>
      </c>
      <c r="E212" s="5">
        <f>rate_53</f>
        <v>18514.73</v>
      </c>
      <c r="F212" s="9"/>
      <c r="G212" s="10">
        <f t="shared" si="3"/>
        <v>0</v>
      </c>
    </row>
    <row r="213" spans="1:7" ht="47.25" x14ac:dyDescent="0.25">
      <c r="A213" s="3">
        <v>201</v>
      </c>
      <c r="B213" s="7" t="str">
        <f>description_54 &amp;  " [ 2000 ]"</f>
        <v>Providing and laying of Reinforced/ Pre-stressed cement concrete in solid slab super-structure as per drawing and Technical Specification, RCC Grade M 30, Height above 10 m [ 2000 ]</v>
      </c>
      <c r="C213" s="3" t="s">
        <v>84</v>
      </c>
      <c r="D213" s="3">
        <f>Quantity_Sheet!H214</f>
        <v>0</v>
      </c>
      <c r="E213" s="5">
        <f>rate_54</f>
        <v>19255.310000000001</v>
      </c>
      <c r="F213" s="9"/>
      <c r="G213" s="10">
        <f t="shared" si="3"/>
        <v>0</v>
      </c>
    </row>
    <row r="214" spans="1:7" ht="47.25" x14ac:dyDescent="0.25">
      <c r="A214" s="3">
        <v>202</v>
      </c>
      <c r="B214" s="7" t="str">
        <f>description_55 &amp;  " [ 2000 ]"</f>
        <v>Providing and laying of Reinforced/ Pre-stressed cement concrete in T-beam and slab super-structure as per drawing and Technical Specification, RCC Grade M 30, Height upto 5 m [ 2000 ]</v>
      </c>
      <c r="C214" s="3" t="s">
        <v>84</v>
      </c>
      <c r="D214" s="3">
        <f>Quantity_Sheet!H215</f>
        <v>0</v>
      </c>
      <c r="E214" s="5">
        <f>rate_55</f>
        <v>18514.73</v>
      </c>
      <c r="F214" s="9"/>
      <c r="G214" s="10">
        <f t="shared" si="3"/>
        <v>0</v>
      </c>
    </row>
    <row r="215" spans="1:7" ht="47.25" x14ac:dyDescent="0.25">
      <c r="A215" s="3">
        <v>203</v>
      </c>
      <c r="B215" s="7" t="str">
        <f>description_56 &amp;  " [ 2000 ]"</f>
        <v>Providing and laying of Reinforced/ Pre-stressed cement concrete in T-beam and slab super-structure as per drawing and Technical Specification, RCC Grade M 30, Height above 5 m to 10 m [ 2000 ]</v>
      </c>
      <c r="C215" s="3" t="s">
        <v>84</v>
      </c>
      <c r="D215" s="3">
        <f>Quantity_Sheet!H216</f>
        <v>0</v>
      </c>
      <c r="E215" s="5">
        <f>rate_56</f>
        <v>19255.310000000001</v>
      </c>
      <c r="F215" s="9"/>
      <c r="G215" s="10">
        <f t="shared" si="3"/>
        <v>0</v>
      </c>
    </row>
    <row r="216" spans="1:7" ht="47.25" x14ac:dyDescent="0.25">
      <c r="A216" s="3">
        <v>204</v>
      </c>
      <c r="B216" s="7" t="str">
        <f>description_57 &amp;  " [ 2000 ]"</f>
        <v>Providing and laying of Reinforced/ Pre-stressed cement concrete in T-beam and slab super-structure as per drawing and Technical Specification, RCC Grade M 30, Height above 10 m [ 2000 ]</v>
      </c>
      <c r="C216" s="3" t="s">
        <v>84</v>
      </c>
      <c r="D216" s="3">
        <f>Quantity_Sheet!H217</f>
        <v>0</v>
      </c>
      <c r="E216" s="5">
        <f>rate_57</f>
        <v>19995.900000000001</v>
      </c>
      <c r="F216" s="9"/>
      <c r="G216" s="10">
        <f t="shared" si="3"/>
        <v>0</v>
      </c>
    </row>
    <row r="217" spans="1:7" ht="47.25" x14ac:dyDescent="0.25">
      <c r="A217" s="3">
        <v>205</v>
      </c>
      <c r="B217" s="7" t="str">
        <f>description_58 &amp;  " [ 2000 ]"</f>
        <v>Providing and laying of Reinforced/ Pre-stressed cement concrete in super-structure as per drawing and Technical Specification, RCC/PSC Grade M 35 [ 2000 ]</v>
      </c>
      <c r="C217" s="3" t="s">
        <v>84</v>
      </c>
      <c r="D217" s="3">
        <f>Quantity_Sheet!H218</f>
        <v>0</v>
      </c>
      <c r="E217" s="5">
        <f>rate_58</f>
        <v>15060.32</v>
      </c>
      <c r="F217" s="9"/>
      <c r="G217" s="10">
        <f t="shared" si="3"/>
        <v>0</v>
      </c>
    </row>
    <row r="218" spans="1:7" ht="47.25" x14ac:dyDescent="0.25">
      <c r="A218" s="3">
        <v>206</v>
      </c>
      <c r="B218" s="7" t="str">
        <f>description_59 &amp;  " [ 2000 ]"</f>
        <v>Providing and laying of Reinforced/ Pre-stressed cement concrete in solid slab super-structure as per drawing and Technical Specification, RCC/PSC Grade M 35, Height upto 5 m [ 2000 ]</v>
      </c>
      <c r="C218" s="3" t="s">
        <v>84</v>
      </c>
      <c r="D218" s="3">
        <f>Quantity_Sheet!H219</f>
        <v>0</v>
      </c>
      <c r="E218" s="5">
        <f>rate_59</f>
        <v>17771.18</v>
      </c>
      <c r="F218" s="9"/>
      <c r="G218" s="10">
        <f t="shared" si="3"/>
        <v>0</v>
      </c>
    </row>
    <row r="219" spans="1:7" ht="47.25" x14ac:dyDescent="0.25">
      <c r="A219" s="3">
        <v>207</v>
      </c>
      <c r="B219" s="7" t="str">
        <f>description_60 &amp;  " [ 2000 ]"</f>
        <v>Providing and laying of Reinforced/ Pre-stressed cement concrete in solid slab super-structure as per drawing and Technical Specification, RCC/PSC Grade M 35, Height above 5 m to 10 m [ 2000 ]</v>
      </c>
      <c r="C219" s="3" t="s">
        <v>84</v>
      </c>
      <c r="D219" s="3">
        <f>Quantity_Sheet!H220</f>
        <v>0</v>
      </c>
      <c r="E219" s="5">
        <f>rate_60</f>
        <v>18524.2</v>
      </c>
      <c r="F219" s="9"/>
      <c r="G219" s="10">
        <f t="shared" si="3"/>
        <v>0</v>
      </c>
    </row>
    <row r="220" spans="1:7" ht="47.25" x14ac:dyDescent="0.25">
      <c r="A220" s="3">
        <v>208</v>
      </c>
      <c r="B220" s="7" t="str">
        <f>description_61 &amp;  " [ 2000 ]"</f>
        <v>Providing and laying of Reinforced/ Pre-stressed cement concrete in solid slab super-structure as per drawing and Technical Specification, RCC/PSC Grade M 35, Height above 10 m [ 2000 ]</v>
      </c>
      <c r="C220" s="3" t="s">
        <v>84</v>
      </c>
      <c r="D220" s="3">
        <f>Quantity_Sheet!H221</f>
        <v>0</v>
      </c>
      <c r="E220" s="5">
        <f>rate_61</f>
        <v>19277.21</v>
      </c>
      <c r="F220" s="9"/>
      <c r="G220" s="10">
        <f t="shared" si="3"/>
        <v>0</v>
      </c>
    </row>
    <row r="221" spans="1:7" ht="47.25" x14ac:dyDescent="0.25">
      <c r="A221" s="3">
        <v>209</v>
      </c>
      <c r="B221" s="7" t="str">
        <f>description_62 &amp;  " [ 2000 ]"</f>
        <v>Providing and laying of Reinforced/ Pre-stressed cement concrete in T-beam and slab super-structure as per drawing and Technical Specification, RCC/PSC Grade M 35, Height upto 5 m [ 2000 ]</v>
      </c>
      <c r="C221" s="3" t="s">
        <v>84</v>
      </c>
      <c r="D221" s="3">
        <f>Quantity_Sheet!H222</f>
        <v>0</v>
      </c>
      <c r="E221" s="5">
        <f>rate_62</f>
        <v>18524.2</v>
      </c>
      <c r="F221" s="9"/>
      <c r="G221" s="10">
        <f t="shared" si="3"/>
        <v>0</v>
      </c>
    </row>
    <row r="222" spans="1:7" ht="47.25" x14ac:dyDescent="0.25">
      <c r="A222" s="3">
        <v>210</v>
      </c>
      <c r="B222" s="7" t="str">
        <f>description_69 &amp;  " [ 2000 ]"</f>
        <v>Providing and laying of Reinforced/ Pre-stressed cement concrete in sollid slab super-structure as per drawing and Technical Specification, PSC Grade M-40, Height upto 5 m [ 2000 ]</v>
      </c>
      <c r="C222" s="3" t="s">
        <v>84</v>
      </c>
      <c r="D222" s="3">
        <f>Quantity_Sheet!H223</f>
        <v>0</v>
      </c>
      <c r="E222" s="5">
        <f>rate_69</f>
        <v>18428.560000000001</v>
      </c>
      <c r="F222" s="9"/>
      <c r="G222" s="10">
        <f t="shared" si="3"/>
        <v>0</v>
      </c>
    </row>
    <row r="223" spans="1:7" ht="47.25" x14ac:dyDescent="0.25">
      <c r="A223" s="3">
        <v>211</v>
      </c>
      <c r="B223" s="7" t="str">
        <f>description_68 &amp;  " [ 2000 ]"</f>
        <v>Providing and laying of Reinforced/ Pre-stressed cement concrete in super-structure as per drawing and Technical Specification, PSC Grade M-40 [ 2000 ]</v>
      </c>
      <c r="C223" s="3" t="s">
        <v>84</v>
      </c>
      <c r="D223" s="3">
        <f>Quantity_Sheet!H224</f>
        <v>0</v>
      </c>
      <c r="E223" s="5">
        <f>rate_68</f>
        <v>15357.13</v>
      </c>
      <c r="F223" s="9"/>
      <c r="G223" s="10">
        <f t="shared" si="3"/>
        <v>0</v>
      </c>
    </row>
    <row r="224" spans="1:7" ht="31.5" x14ac:dyDescent="0.25">
      <c r="A224" s="3">
        <v>212</v>
      </c>
      <c r="B224" s="7" t="str">
        <f>description_90 &amp;  " [ no number ]"</f>
        <v>Providing and laying of PCC M 15 Grade leveling course below approach slab complete as per drawing and Technical specification [ no number ]</v>
      </c>
      <c r="C224" s="3" t="s">
        <v>84</v>
      </c>
      <c r="D224" s="3">
        <f>Quantity_Sheet!H225</f>
        <v>0</v>
      </c>
      <c r="E224" s="5">
        <f>rate_90</f>
        <v>12124.16</v>
      </c>
      <c r="F224" s="9"/>
      <c r="G224" s="10">
        <f t="shared" si="3"/>
        <v>0</v>
      </c>
    </row>
    <row r="225" spans="1:7" ht="47.25" x14ac:dyDescent="0.25">
      <c r="A225" s="3">
        <v>213</v>
      </c>
      <c r="B225" s="7" t="str">
        <f>description_2212 &amp;  " [ 2014 ]"</f>
        <v>Providing and laying of Reinforced cement concrete approach slab including reinforcement and formwork complete as per drawing and Technical specification [ 2014 ]</v>
      </c>
      <c r="C225" s="3" t="s">
        <v>84</v>
      </c>
      <c r="D225" s="3">
        <f>Quantity_Sheet!H226</f>
        <v>0</v>
      </c>
      <c r="E225" s="5">
        <f>rate_2212</f>
        <v>21112.28</v>
      </c>
      <c r="F225" s="9"/>
      <c r="G225" s="10">
        <f t="shared" si="3"/>
        <v>0</v>
      </c>
    </row>
    <row r="226" spans="1:7" ht="63" x14ac:dyDescent="0.25">
      <c r="A226" s="3">
        <v>214</v>
      </c>
      <c r="B226" s="7" t="str">
        <f>description_649 &amp;  " [ 2200 ]"</f>
        <v>Providing , Fabricating , assembling and erecting structural steel components / elements including nut, bolt, gusset plate, including shop drawings, facilities for inspection &amp; testing and trial assembling all complete as per specification., RS Joist, Heavy Zinc Coating [ 2200 ]</v>
      </c>
      <c r="C226" s="3" t="s">
        <v>35</v>
      </c>
      <c r="D226" s="3">
        <f>Quantity_Sheet!H227</f>
        <v>0</v>
      </c>
      <c r="E226" s="5">
        <f>rate_649</f>
        <v>176355.95</v>
      </c>
      <c r="F226" s="9"/>
      <c r="G226" s="10">
        <f t="shared" si="3"/>
        <v>0</v>
      </c>
    </row>
    <row r="227" spans="1:7" ht="78.75" x14ac:dyDescent="0.25">
      <c r="A227" s="3">
        <v>215</v>
      </c>
      <c r="B227" s="7" t="str">
        <f>description_650 &amp;  " [ 2200 ]"</f>
        <v>Providing , Fabricating , assembling and erecting structural steel components / elements including nut, bolt, gusset plate, including shop drawings, facilities for inspection &amp; testing and trial assembling all complete as per specification., RS Joist, painting one shop coat with red oxide primer and two coats of synthetic enamel [ 2200 ]</v>
      </c>
      <c r="C227" s="3" t="s">
        <v>35</v>
      </c>
      <c r="D227" s="3">
        <f>Quantity_Sheet!H228</f>
        <v>0</v>
      </c>
      <c r="E227" s="5">
        <f>rate_650</f>
        <v>167855.15</v>
      </c>
      <c r="F227" s="9"/>
      <c r="G227" s="10">
        <f t="shared" si="3"/>
        <v>0</v>
      </c>
    </row>
    <row r="228" spans="1:7" ht="63" x14ac:dyDescent="0.25">
      <c r="A228" s="3">
        <v>216</v>
      </c>
      <c r="B228" s="7" t="str">
        <f>description_651 &amp;  " [ 2200 ]"</f>
        <v>Providing , Fabricating , assembling and erecting structural steel components / elements including nut, bolt, gusset plate, including shop drawings, facilities for inspection &amp; testing and trial assembling all complete as per specification., RS Joist, Height upto 5 m [ 2200 ]</v>
      </c>
      <c r="C228" s="3" t="s">
        <v>35</v>
      </c>
      <c r="D228" s="3">
        <f>Quantity_Sheet!H229</f>
        <v>0</v>
      </c>
      <c r="E228" s="5">
        <f>rate_651</f>
        <v>176355.95</v>
      </c>
      <c r="F228" s="9"/>
      <c r="G228" s="10">
        <f t="shared" si="3"/>
        <v>0</v>
      </c>
    </row>
    <row r="229" spans="1:7" ht="63" x14ac:dyDescent="0.25">
      <c r="A229" s="3">
        <v>217</v>
      </c>
      <c r="B229" s="7" t="str">
        <f>description_652 &amp;  " [  ]"</f>
        <v>Providing , Fabricating , assembling and erecting structural steel components / elements including nut, bolt, gusset plate, including shop drawings, facilities for inspection &amp; testing and trial assembling all complete as per specification., RS Joist, Height above 10 m [  ]</v>
      </c>
      <c r="C229" s="3" t="s">
        <v>35</v>
      </c>
      <c r="D229" s="3">
        <f>Quantity_Sheet!H230</f>
        <v>0</v>
      </c>
      <c r="E229" s="5">
        <f>rate_652</f>
        <v>176355.95</v>
      </c>
      <c r="F229" s="9"/>
      <c r="G229" s="10">
        <f t="shared" si="3"/>
        <v>0</v>
      </c>
    </row>
    <row r="230" spans="1:7" ht="63" x14ac:dyDescent="0.25">
      <c r="A230" s="3">
        <v>218</v>
      </c>
      <c r="B230" s="7" t="str">
        <f>description_653 &amp;  " [ 2200 ]"</f>
        <v>Providing , Fabricating , assembling and erecting structural steel components / elements including nut, bolt, gusset plate, including shop drawings, facilities for inspection &amp; testing and trial assembling all complete as per specification., Built up beam, Plate Girder etc. [ 2200 ]</v>
      </c>
      <c r="C230" s="3" t="s">
        <v>35</v>
      </c>
      <c r="D230" s="3">
        <f>Quantity_Sheet!H231</f>
        <v>0</v>
      </c>
      <c r="E230" s="5">
        <f>rate_653</f>
        <v>207239.2</v>
      </c>
      <c r="F230" s="9"/>
      <c r="G230" s="10">
        <f t="shared" si="3"/>
        <v>0</v>
      </c>
    </row>
    <row r="231" spans="1:7" ht="63" x14ac:dyDescent="0.25">
      <c r="A231" s="3">
        <v>219</v>
      </c>
      <c r="B231" s="7" t="str">
        <f>description_654 &amp;  " [ 2200 ]"</f>
        <v>Providing , Fabricating , assembling and erecting structural steel components / elements including nut, bolt, gusset plate, including shop drawings, facilities for inspection &amp; testing and trial assembling all complete as per specification., Built up beam, Plate Girder etc. [ 2200 ]</v>
      </c>
      <c r="C231" s="3" t="s">
        <v>35</v>
      </c>
      <c r="D231" s="3">
        <f>Quantity_Sheet!H232</f>
        <v>0</v>
      </c>
      <c r="E231" s="5">
        <f>rate_654</f>
        <v>198738.4</v>
      </c>
      <c r="F231" s="9"/>
      <c r="G231" s="10">
        <f t="shared" si="3"/>
        <v>0</v>
      </c>
    </row>
    <row r="232" spans="1:7" ht="63" x14ac:dyDescent="0.25">
      <c r="A232" s="3">
        <v>220</v>
      </c>
      <c r="B232" s="7" t="str">
        <f>description_655 &amp;  " [ 2200 ]"</f>
        <v>Providing , Fabricating , assembling and erecting structural steel components / elements including nut, bolt, gusset plate, including shop drawings, facilities for inspection &amp; testing and trial assembling all complete as per specification., Built up beam, Plate Girder etc., Height upto 5 m [ 2200 ]</v>
      </c>
      <c r="C232" s="3" t="s">
        <v>35</v>
      </c>
      <c r="D232" s="3">
        <f>Quantity_Sheet!H233</f>
        <v>0</v>
      </c>
      <c r="E232" s="5">
        <f>rate_655</f>
        <v>259049</v>
      </c>
      <c r="F232" s="9"/>
      <c r="G232" s="10">
        <f t="shared" si="3"/>
        <v>0</v>
      </c>
    </row>
    <row r="233" spans="1:7" ht="63" x14ac:dyDescent="0.25">
      <c r="A233" s="3">
        <v>221</v>
      </c>
      <c r="B233" s="7" t="str">
        <f>description_656 &amp;  " [ 2200 ]"</f>
        <v>Providing , Fabricating , assembling and erecting structural steel components / elements including nut, bolt, gusset plate, including shop drawings, facilities for inspection &amp; testing and trial assembling all complete as per specification., Built up beam, Plate Girder etc., Height 5 m to 10 m [ 2200 ]</v>
      </c>
      <c r="C233" s="3" t="s">
        <v>35</v>
      </c>
      <c r="D233" s="3">
        <f>Quantity_Sheet!H234</f>
        <v>0</v>
      </c>
      <c r="E233" s="5">
        <f>rate_656</f>
        <v>269410.96000000002</v>
      </c>
      <c r="F233" s="9"/>
      <c r="G233" s="10">
        <f t="shared" si="3"/>
        <v>0</v>
      </c>
    </row>
    <row r="234" spans="1:7" ht="63" x14ac:dyDescent="0.25">
      <c r="A234" s="3">
        <v>222</v>
      </c>
      <c r="B234" s="7" t="str">
        <f>description_657 &amp;  " [ 2200 ]"</f>
        <v>Providing , Fabricating , assembling and erecting structural steel components / elements including nut, bolt, gusset plate, including shop drawings, facilities for inspection &amp; testing and trial assembling all complete as per specification., Built up beam, Plate Girder etc., Height above 10 m [ 2200 ]</v>
      </c>
      <c r="C234" s="3" t="s">
        <v>35</v>
      </c>
      <c r="D234" s="3">
        <f>Quantity_Sheet!H235</f>
        <v>0</v>
      </c>
      <c r="E234" s="5">
        <f>rate_657</f>
        <v>279772.92</v>
      </c>
      <c r="F234" s="9"/>
      <c r="G234" s="10">
        <f t="shared" si="3"/>
        <v>0</v>
      </c>
    </row>
    <row r="235" spans="1:7" ht="63" x14ac:dyDescent="0.25">
      <c r="A235" s="3">
        <v>223</v>
      </c>
      <c r="B235" s="7" t="str">
        <f>description_658 &amp;  " [ 2200 ]"</f>
        <v>Providing , Fabricating , assembling and erecting structural steel components / elements including nut, bolt, gusset plate, including shop drawings, facilities for inspection &amp; testing and trial assembling all complete as per specification., Truss [ 2200 ]</v>
      </c>
      <c r="C235" s="3" t="s">
        <v>35</v>
      </c>
      <c r="D235" s="3">
        <f>Quantity_Sheet!H236</f>
        <v>0</v>
      </c>
      <c r="E235" s="5">
        <f>rate_658</f>
        <v>218796.7</v>
      </c>
      <c r="F235" s="9"/>
      <c r="G235" s="10">
        <f t="shared" si="3"/>
        <v>0</v>
      </c>
    </row>
    <row r="236" spans="1:7" ht="63" x14ac:dyDescent="0.25">
      <c r="A236" s="3">
        <v>224</v>
      </c>
      <c r="B236" s="7" t="str">
        <f>description_671 &amp;  " [ 2401 ]"</f>
        <v>Gabion Structure for Retaining Earth, Mesh wire- 10 Swg(0.0615 kg/m), Selvedge Wire 8 Swg ( 0.1057 kg/m), binding wire 12 Swg (0.0409 kg/m) Hexagonal mesh Type 100 mm X 120 mm,, Box size 3 X 1 X 1 m ( 16 sqm) [ 2401 ]</v>
      </c>
      <c r="C236" s="3" t="s">
        <v>84</v>
      </c>
      <c r="D236" s="3">
        <f>Quantity_Sheet!H237</f>
        <v>0</v>
      </c>
      <c r="E236" s="5">
        <f>rate_671</f>
        <v>7240.57</v>
      </c>
      <c r="F236" s="9"/>
      <c r="G236" s="10">
        <f t="shared" si="3"/>
        <v>0</v>
      </c>
    </row>
    <row r="237" spans="1:7" ht="63" x14ac:dyDescent="0.25">
      <c r="A237" s="3">
        <v>225</v>
      </c>
      <c r="B237" s="7" t="str">
        <f>description_672 &amp;  " [ 2401 ]"</f>
        <v>Gabion Structure for Retaining Earth, Mesh wire- 10 Swg(0.0615 kg/m), Selvedge Wire 8 Swg ( 0.1057 kg/m), binding wire 12 Swg (0.0409 kg/m) Hexagonal mesh Type 100 mm X 120 mm,, Box size 2 X 1 X 1 m ( 11 sqm) [ 2401 ]</v>
      </c>
      <c r="C237" s="3" t="s">
        <v>84</v>
      </c>
      <c r="D237" s="3">
        <f>Quantity_Sheet!H238</f>
        <v>0</v>
      </c>
      <c r="E237" s="5">
        <f>rate_672</f>
        <v>7328.85</v>
      </c>
      <c r="F237" s="9"/>
      <c r="G237" s="10">
        <f t="shared" si="3"/>
        <v>0</v>
      </c>
    </row>
    <row r="238" spans="1:7" ht="63" x14ac:dyDescent="0.25">
      <c r="A238" s="3">
        <v>226</v>
      </c>
      <c r="B238" s="7" t="str">
        <f>description_673 &amp;  " [ 2401 ]"</f>
        <v>Gabion Structure for Retaining Earth, Mesh wire- 10 Swg(0.0615 kg/m), Selvedge Wire 8 Swg ( 0.1057 kg/m), binding wire 12 Swg (0.0409 kg/m) Hexagonal mesh Type 100 mm X 120 mm,, Box size 1.5 X 1 X 1 m ( 9 sqm ) [ 2401 ]</v>
      </c>
      <c r="C238" s="3" t="s">
        <v>84</v>
      </c>
      <c r="D238" s="3">
        <f>Quantity_Sheet!H239</f>
        <v>0</v>
      </c>
      <c r="E238" s="5">
        <f>rate_673</f>
        <v>7742.78</v>
      </c>
      <c r="F238" s="9"/>
      <c r="G238" s="10">
        <f t="shared" si="3"/>
        <v>0</v>
      </c>
    </row>
    <row r="239" spans="1:7" ht="63" x14ac:dyDescent="0.25">
      <c r="A239" s="3">
        <v>227</v>
      </c>
      <c r="B239" s="7" t="str">
        <f>description_674 &amp;  " [ 2401 ]"</f>
        <v>Gabion Structure for Retaining Earth, Mesh wire- 10 Swg(0.0615 kg/m), Selvedge Wire 8 Swg ( 0.1057 kg/m), binding wire 12 Swg (0.0409 kg/m) Hexagonal mesh Type 100 mm X 120 mm,, Box size 1.0 X 1 X 1 m ( 6 sqm) [ 2401 ]</v>
      </c>
      <c r="C239" s="3" t="s">
        <v>84</v>
      </c>
      <c r="D239" s="3">
        <f>Quantity_Sheet!H240</f>
        <v>0</v>
      </c>
      <c r="E239" s="5">
        <f>rate_674</f>
        <v>7762.82</v>
      </c>
      <c r="F239" s="9"/>
      <c r="G239" s="10">
        <f t="shared" si="3"/>
        <v>0</v>
      </c>
    </row>
    <row r="240" spans="1:7" ht="63" x14ac:dyDescent="0.25">
      <c r="A240" s="3">
        <v>228</v>
      </c>
      <c r="B240" s="7" t="str">
        <f>description_675 &amp;  " [ 2401 ]"</f>
        <v>Gabion Structure for Retaining Earth, Mesh wire- 10 Swg(0.0615 kg/m), Selvedge Wire 8 Swg ( 0.1057 kg/m), binding wire 12 Swg (0.0409 kg/m) Hexagonal mesh Type 100 mm X 120 mm,, Box size 3.0 X 1 X 0 .75 m ( 13.5 sqm) [ 2401 ]</v>
      </c>
      <c r="C240" s="3" t="s">
        <v>84</v>
      </c>
      <c r="D240" s="3">
        <f>Quantity_Sheet!H241</f>
        <v>0</v>
      </c>
      <c r="E240" s="5">
        <f>rate_675</f>
        <v>7620</v>
      </c>
      <c r="F240" s="9"/>
      <c r="G240" s="10">
        <f t="shared" si="3"/>
        <v>0</v>
      </c>
    </row>
    <row r="241" spans="1:7" ht="63" x14ac:dyDescent="0.25">
      <c r="A241" s="3">
        <v>229</v>
      </c>
      <c r="B241" s="7" t="str">
        <f>description_676 &amp;  " [ 2401 ]"</f>
        <v>Gabion Structure for Retaining Earth, Mesh wire- 10 Swg(0.0615 kg/m), Selvedge Wire 8 Swg ( 0.1057 kg/m), binding wire 12 Swg (0.0409 kg/m) Hexagonal mesh Type 100 mm X 120 mm,, Box size 2.0 X 1 X 0 .75 m ( 9. 25 sqm) [ 2401 ]</v>
      </c>
      <c r="C241" s="3" t="s">
        <v>84</v>
      </c>
      <c r="D241" s="3">
        <f>Quantity_Sheet!H242</f>
        <v>0</v>
      </c>
      <c r="E241" s="5">
        <f>rate_676</f>
        <v>7789.74</v>
      </c>
      <c r="F241" s="9"/>
      <c r="G241" s="10">
        <f t="shared" si="3"/>
        <v>0</v>
      </c>
    </row>
    <row r="242" spans="1:7" ht="63" x14ac:dyDescent="0.25">
      <c r="A242" s="3">
        <v>230</v>
      </c>
      <c r="B242" s="7" t="str">
        <f>description_678 &amp;  " [ 2401 ]"</f>
        <v>Gabion Structure for Retaining Earth, Mesh wire- 10 Swg(0.0615 kg/m), Selvedge Wire 8 Swg ( 0.1057 kg/m), binding wire 12 Swg (0.0409 kg/m) Hexagonal mesh Type 100 mm X 120 mm,, Box size 3.0 X 1 X 0 .5 m ( 11 sqm) [ 2401 ]</v>
      </c>
      <c r="C242" s="3" t="s">
        <v>84</v>
      </c>
      <c r="D242" s="3">
        <f>Quantity_Sheet!H243</f>
        <v>0</v>
      </c>
      <c r="E242" s="5">
        <f>rate_678</f>
        <v>8229.7800000000007</v>
      </c>
      <c r="F242" s="9"/>
      <c r="G242" s="10">
        <f t="shared" si="3"/>
        <v>0</v>
      </c>
    </row>
    <row r="243" spans="1:7" ht="63" x14ac:dyDescent="0.25">
      <c r="A243" s="3">
        <v>231</v>
      </c>
      <c r="B243" s="7" t="str">
        <f>description_677 &amp;  " [ 2401 ]"</f>
        <v>Gabion Structure for Retaining Earth, Mesh wire- 10 Swg(0.0615 kg/m), Selvedge Wire 8 Swg ( 0.1057 kg/m), binding wire 12 Swg (0.0409 kg/m) Hexagonal mesh Type 100 mm X 120 mm,, Box size 1.0 X 1 X 0 .75 m ( 5 sqm m) [ 2401 ]</v>
      </c>
      <c r="C243" s="3" t="s">
        <v>84</v>
      </c>
      <c r="D243" s="3">
        <f>Quantity_Sheet!H244</f>
        <v>0</v>
      </c>
      <c r="E243" s="5">
        <f>rate_677</f>
        <v>8069.54</v>
      </c>
      <c r="F243" s="9"/>
      <c r="G243" s="10">
        <f t="shared" si="3"/>
        <v>0</v>
      </c>
    </row>
    <row r="244" spans="1:7" ht="63" x14ac:dyDescent="0.25">
      <c r="A244" s="3">
        <v>232</v>
      </c>
      <c r="B244" s="7" t="str">
        <f>description_680 &amp;  " [ 2401 ]"</f>
        <v>Gabion Structure for Retaining Earth, Mesh wire- 10 Swg(0.0615 kg/m), Selvedge Wire 8 Swg ( 0.1057 kg/m), binding wire 12 Swg (0.0409 kg/m) Hexagonal mesh Type 100 mm X 120 mm,, Box size 1 X 1 X 0 .5 m (4 sqm) [ 2401 ]</v>
      </c>
      <c r="C244" s="3" t="s">
        <v>84</v>
      </c>
      <c r="D244" s="3">
        <f>Quantity_Sheet!H245</f>
        <v>0</v>
      </c>
      <c r="E244" s="5">
        <f>rate_680</f>
        <v>9045.61</v>
      </c>
      <c r="F244" s="9"/>
      <c r="G244" s="10">
        <f t="shared" si="3"/>
        <v>0</v>
      </c>
    </row>
    <row r="245" spans="1:7" ht="63" x14ac:dyDescent="0.25">
      <c r="A245" s="3">
        <v>233</v>
      </c>
      <c r="B245" s="7" t="str">
        <f>description_679 &amp;  " [ 2401 ]"</f>
        <v>Gabion Structure for Retaining Earth, Mesh wire- 10 Swg(0.0615 kg/m), Selvedge Wire 8 Swg ( 0.1057 kg/m), binding wire 12 Swg (0.0409 kg/m) Hexagonal mesh Type 100 mm X 120 mm,, Box size 2.0 X 1 X 0 .5 m ( 7.5 sqm m) [ 2401 ]</v>
      </c>
      <c r="C245" s="3" t="s">
        <v>84</v>
      </c>
      <c r="D245" s="3">
        <f>Quantity_Sheet!H246</f>
        <v>0</v>
      </c>
      <c r="E245" s="5">
        <f>rate_679</f>
        <v>8504.58</v>
      </c>
      <c r="F245" s="9"/>
      <c r="G245" s="10">
        <f t="shared" si="3"/>
        <v>0</v>
      </c>
    </row>
    <row r="246" spans="1:7" ht="63" x14ac:dyDescent="0.25">
      <c r="A246" s="3">
        <v>234</v>
      </c>
      <c r="B246" s="7" t="str">
        <f>description_682 &amp;  " [ 2401 ]"</f>
        <v>Gabion Structure for Retaining Earth, Mesh wire- 10 Swg(0.0615 kg/m), Selvedge Wire 8 Swg ( 0.1057 kg/m), binding wire 12 Swg (0.0409 kg/m) Hexagonal mesh Type 100 mm X 120 mm,, Box size 2 X 1 X 0 .3 m ( 6.1 sqm) [ 2401 ]</v>
      </c>
      <c r="C246" s="3" t="s">
        <v>84</v>
      </c>
      <c r="D246" s="3">
        <f>Quantity_Sheet!H247</f>
        <v>0</v>
      </c>
      <c r="E246" s="5">
        <f>rate_682</f>
        <v>9582.1299999999992</v>
      </c>
      <c r="F246" s="9"/>
      <c r="G246" s="10">
        <f t="shared" si="3"/>
        <v>0</v>
      </c>
    </row>
    <row r="247" spans="1:7" ht="47.25" x14ac:dyDescent="0.25">
      <c r="A247" s="3">
        <v>235</v>
      </c>
      <c r="B247" s="7" t="str">
        <f>description_684 &amp;  " [ 2401 ]"</f>
        <v>Gabion Structure for Retaining Earth, Mesh wire- 10 Swg(0.0615 kg/m), Selvedge Wire 8 Swg ( /m), binding wire 12 Swg (0.0409 kg/m) Hexagonal mesh Type 80 mm X 100 mm,, Box  size 3 X 1 X 1 m ( 16 sqm) [ 2401 ]</v>
      </c>
      <c r="C247" s="3" t="s">
        <v>84</v>
      </c>
      <c r="D247" s="3">
        <f>Quantity_Sheet!H248</f>
        <v>0</v>
      </c>
      <c r="E247" s="5">
        <f>rate_684</f>
        <v>7737.87</v>
      </c>
      <c r="F247" s="9"/>
      <c r="G247" s="10">
        <f t="shared" si="3"/>
        <v>0</v>
      </c>
    </row>
    <row r="248" spans="1:7" ht="47.25" x14ac:dyDescent="0.25">
      <c r="A248" s="3">
        <v>236</v>
      </c>
      <c r="B248" s="7" t="str">
        <f>description_685 &amp;  " [ 2401 ]"</f>
        <v>Gabion Structure for Retaining Earth, Mesh wire- 10 Swg(0.0615 kg/m), Selvedge Wire 8 Swg ( /m), binding wire 12 Swg (0.0409 kg/m) Hexagonal mesh Type 80 mm X 100 mm,, Box size 2 X 1 X 1 m ( 11 sqm) [ 2401 ]</v>
      </c>
      <c r="C248" s="3" t="s">
        <v>84</v>
      </c>
      <c r="D248" s="3">
        <f>Quantity_Sheet!H249</f>
        <v>0</v>
      </c>
      <c r="E248" s="5">
        <f>rate_685</f>
        <v>7834.09</v>
      </c>
      <c r="F248" s="9"/>
      <c r="G248" s="10">
        <f t="shared" si="3"/>
        <v>0</v>
      </c>
    </row>
    <row r="249" spans="1:7" ht="47.25" x14ac:dyDescent="0.25">
      <c r="A249" s="3">
        <v>237</v>
      </c>
      <c r="B249" s="7" t="str">
        <f>description_686 &amp;  " [ 2401 ]"</f>
        <v>Gabion Structure for Retaining Earth, Mesh wire- 10 Swg(0.0615 kg/m), Selvedge Wire 8 Swg ( /m), binding wire 12 Swg (0.0409 kg/m) Hexagonal mesh Type 80 mm X 100 mm,, Box size 1.5 X 1 X 1 m ( 9 sqm) [ 2401 ]</v>
      </c>
      <c r="C249" s="3" t="s">
        <v>84</v>
      </c>
      <c r="D249" s="3">
        <f>Quantity_Sheet!H250</f>
        <v>0</v>
      </c>
      <c r="E249" s="5">
        <f>rate_686</f>
        <v>8103.33</v>
      </c>
      <c r="F249" s="9"/>
      <c r="G249" s="10">
        <f t="shared" si="3"/>
        <v>0</v>
      </c>
    </row>
    <row r="250" spans="1:7" ht="47.25" x14ac:dyDescent="0.25">
      <c r="A250" s="3">
        <v>238</v>
      </c>
      <c r="B250" s="7" t="str">
        <f>description_687 &amp;  " [ 2401 ]"</f>
        <v>Gabion Structure for Retaining Earth, Mesh wire- 10 Swg(0.0615 kg/m), Selvedge Wire 8 Swg ( /m), binding wire 12 Swg (0.0409 kg/m) Hexagonal mesh Type 80 mm X 100 mm,, Box size 1 X 1 X 1 m (6 sqm) [ 2401 ]</v>
      </c>
      <c r="C250" s="3" t="s">
        <v>84</v>
      </c>
      <c r="D250" s="3">
        <f>Quantity_Sheet!H251</f>
        <v>0</v>
      </c>
      <c r="E250" s="5">
        <f>rate_687</f>
        <v>8123.91</v>
      </c>
      <c r="F250" s="9"/>
      <c r="G250" s="10">
        <f t="shared" si="3"/>
        <v>0</v>
      </c>
    </row>
    <row r="251" spans="1:7" ht="63" x14ac:dyDescent="0.25">
      <c r="A251" s="3">
        <v>239</v>
      </c>
      <c r="B251" s="7" t="str">
        <f>description_688 &amp;  " [ 2401 ]"</f>
        <v>Gabion Structure for Retaining Earth, Mesh wire- 10 Swg(0.0615 kg/m), Selvedge Wire 8 Swg ( /m), binding wire 12 Swg (0.0409 kg/m) Hexagonal mesh Type 80 mm X 100 mm,, Box size 3.0 X 1 X 0 .75 m (13.5 sqm) [ 2401 ]</v>
      </c>
      <c r="C251" s="3" t="s">
        <v>84</v>
      </c>
      <c r="D251" s="3">
        <f>Quantity_Sheet!H252</f>
        <v>0</v>
      </c>
      <c r="E251" s="5">
        <f>rate_688</f>
        <v>8775</v>
      </c>
      <c r="F251" s="9"/>
      <c r="G251" s="10">
        <f t="shared" si="3"/>
        <v>0</v>
      </c>
    </row>
    <row r="252" spans="1:7" ht="63" x14ac:dyDescent="0.25">
      <c r="A252" s="3">
        <v>240</v>
      </c>
      <c r="B252" s="7" t="str">
        <f>description_689 &amp;  " [ 2401 ]"</f>
        <v>Gabion Structure for Retaining Earth, Mesh wire- 10 Swg(0.0615 kg/m), Selvedge Wire 8 Swg ( /m), binding wire 12 Swg (0.0409 kg/m) Hexagonal mesh Type 80 mm X 100 mm,, Box  size 2.0 X 1 X 0 .75 m ( 9.25 sqm) [ 2401 ]</v>
      </c>
      <c r="C252" s="3" t="s">
        <v>84</v>
      </c>
      <c r="D252" s="3">
        <f>Quantity_Sheet!H253</f>
        <v>0</v>
      </c>
      <c r="E252" s="5">
        <f>rate_689</f>
        <v>8160.19</v>
      </c>
      <c r="F252" s="9"/>
      <c r="G252" s="10">
        <f t="shared" si="3"/>
        <v>0</v>
      </c>
    </row>
    <row r="253" spans="1:7" ht="47.25" x14ac:dyDescent="0.25">
      <c r="A253" s="3">
        <v>241</v>
      </c>
      <c r="B253" s="7" t="str">
        <f>description_690 &amp;  " [ 2401 ]"</f>
        <v>Gabion Structure for Retaining Earth, Mesh wire- 10 Swg(0.0615 kg/m), Selvedge Wire 8 Swg ( /m), binding wire 12 Swg (0.0409 kg/m) Hexagonal mesh Type 80 mm X 100 mm,, Box size 1.0 X 1 X 0 .75 m ( 5 sqm) [ 2401 ]</v>
      </c>
      <c r="C253" s="3" t="s">
        <v>84</v>
      </c>
      <c r="D253" s="3">
        <f>Quantity_Sheet!H254</f>
        <v>0</v>
      </c>
      <c r="E253" s="5">
        <f>rate_690</f>
        <v>8642.5300000000007</v>
      </c>
      <c r="F253" s="9"/>
      <c r="G253" s="10">
        <f t="shared" si="3"/>
        <v>0</v>
      </c>
    </row>
    <row r="254" spans="1:7" ht="47.25" x14ac:dyDescent="0.25">
      <c r="A254" s="3">
        <v>242</v>
      </c>
      <c r="B254" s="7" t="str">
        <f>description_691 &amp;  " [ 2401 ]"</f>
        <v>Gabion Structure for Retaining Earth, Mesh wire- 10 Swg(0.0615 kg/m), Selvedge Wire 8 Swg ( /m), binding wire 12 Swg (0.0409 kg/m) Hexagonal mesh Type 80 mm X 100 mm,, Box size 3.0 X 1 X 0 .5 m ( 11 sqm) [ 2401 ]</v>
      </c>
      <c r="C254" s="3" t="s">
        <v>84</v>
      </c>
      <c r="D254" s="3">
        <f>Quantity_Sheet!H255</f>
        <v>0</v>
      </c>
      <c r="E254" s="5">
        <f>rate_691</f>
        <v>8844.7099999999991</v>
      </c>
      <c r="F254" s="9"/>
      <c r="G254" s="10">
        <f t="shared" si="3"/>
        <v>0</v>
      </c>
    </row>
    <row r="255" spans="1:7" ht="63" x14ac:dyDescent="0.25">
      <c r="A255" s="3">
        <v>243</v>
      </c>
      <c r="B255" s="7" t="str">
        <f>description_692 &amp;  " [ 2401 ]"</f>
        <v>Gabion Structure for Retaining Earth, Mesh wire- 10 Swg(0.0615 kg/m), Selvedge Wire 8 Swg ( /m), binding wire 12 Swg (0.0409 kg/m) Hexagonal mesh Type 80 mm X 100 mm,, Box  size 2.0 X 1 X 0 .5 m ( 7.5 sqm) [ 2401 ]</v>
      </c>
      <c r="C255" s="3" t="s">
        <v>84</v>
      </c>
      <c r="D255" s="3">
        <f>Quantity_Sheet!H256</f>
        <v>0</v>
      </c>
      <c r="E255" s="5">
        <f>rate_692</f>
        <v>8967.0499999999993</v>
      </c>
      <c r="F255" s="9"/>
      <c r="G255" s="10">
        <f t="shared" si="3"/>
        <v>0</v>
      </c>
    </row>
    <row r="256" spans="1:7" ht="47.25" x14ac:dyDescent="0.25">
      <c r="A256" s="3">
        <v>244</v>
      </c>
      <c r="B256" s="7" t="str">
        <f>description_693 &amp;  " [ 2401 ]"</f>
        <v>Gabion Structure for Retaining Earth, Mesh wire- 10 Swg(0.0615 kg/m), Selvedge Wire 8 Swg ( /m), binding wire 12 Swg (0.0409 kg/m) Hexagonal mesh Type 80 mm X 100 mm,, Box  size 1 X 1 X 0 .5 m ( 4 sqm) [ 2401 ]</v>
      </c>
      <c r="C256" s="3" t="s">
        <v>84</v>
      </c>
      <c r="D256" s="3">
        <f>Quantity_Sheet!H257</f>
        <v>0</v>
      </c>
      <c r="E256" s="5">
        <f>rate_693</f>
        <v>9475.44</v>
      </c>
      <c r="F256" s="9"/>
      <c r="G256" s="10">
        <f t="shared" si="3"/>
        <v>0</v>
      </c>
    </row>
    <row r="257" spans="1:7" ht="78.75" x14ac:dyDescent="0.25">
      <c r="A257" s="3">
        <v>245</v>
      </c>
      <c r="B257" s="7" t="str">
        <f>description_697 &amp;  " [ 2402 ]"</f>
        <v>Providing mechanically  woven double twisted  crates / mattress  including rolling, cutting and  with lacing  wire and binding wire as per specification.           
                                                                                                                                       , Hexagonal mesh type 100 mm x 120 mm, mesh wire 3 mm, selvage wire 3.9 mm, lacing wire 2.4 mm [ 2402 ]</v>
      </c>
      <c r="C257" s="3" t="s">
        <v>438</v>
      </c>
      <c r="D257" s="3">
        <f>Quantity_Sheet!H258</f>
        <v>0</v>
      </c>
      <c r="E257" s="5">
        <f>rate_697</f>
        <v>377.2</v>
      </c>
      <c r="F257" s="9"/>
      <c r="G257" s="10">
        <f t="shared" si="3"/>
        <v>0</v>
      </c>
    </row>
    <row r="258" spans="1:7" ht="78.75" x14ac:dyDescent="0.25">
      <c r="A258" s="3">
        <v>246</v>
      </c>
      <c r="B258" s="7" t="str">
        <f>description_698 &amp;  " [ 2402 ]"</f>
        <v>Providing mechanically  woven double twisted  crates / mattress  including rolling, cutting and  with lacing  wire and binding wire as per specification.           
                                                                                                                                       , Hexagonal mesh type 100 mm x 120 mm, mesh wire 2.7 mm, selvage wire 3.4 mm, lacing wire 2.2 mm [ 2402 ]</v>
      </c>
      <c r="C258" s="3" t="s">
        <v>438</v>
      </c>
      <c r="D258" s="3">
        <f>Quantity_Sheet!H259</f>
        <v>0</v>
      </c>
      <c r="E258" s="5">
        <f>rate_698</f>
        <v>310.5</v>
      </c>
      <c r="F258" s="9"/>
      <c r="G258" s="10">
        <f t="shared" si="3"/>
        <v>0</v>
      </c>
    </row>
    <row r="259" spans="1:7" ht="78.75" x14ac:dyDescent="0.25">
      <c r="A259" s="3">
        <v>247</v>
      </c>
      <c r="B259" s="7" t="str">
        <f>description_699 &amp;  " [ 2402 ]"</f>
        <v>Providing mechanically  woven double twisted  crates / mattress  including rolling, cutting and  with lacing  wire and binding wire as per specification.           
                                                                                                                                       , Hexagonal mesh type 80 mm x 100 mm, mesh wire 3 mm, selvage wire 3.9 mm, lacing wire 2.4 mm [ 2402 ]</v>
      </c>
      <c r="C259" s="3" t="s">
        <v>438</v>
      </c>
      <c r="D259" s="3">
        <f>Quantity_Sheet!H260</f>
        <v>0</v>
      </c>
      <c r="E259" s="5">
        <v>0</v>
      </c>
      <c r="F259" s="9"/>
      <c r="G259" s="10">
        <f t="shared" si="3"/>
        <v>0</v>
      </c>
    </row>
    <row r="260" spans="1:7" ht="78.75" x14ac:dyDescent="0.25">
      <c r="A260" s="3">
        <v>248</v>
      </c>
      <c r="B260" s="7" t="str">
        <f>description_700 &amp;  " [ 2402 ]"</f>
        <v>Providing mechanically  woven double twisted  crates / mattress  including rolling, cutting and  with lacing  wire and binding wire as per specification.           
                                                                                                                                       , Hexagonal mesh type 80 mm x 100 mm, mesh wire 2.7 mm, selvage wire 3.4 mm, lacing wire 2.2 mm [ 2402 ]</v>
      </c>
      <c r="C260" s="3" t="s">
        <v>438</v>
      </c>
      <c r="D260" s="3">
        <f>Quantity_Sheet!H261</f>
        <v>0</v>
      </c>
      <c r="E260" s="5">
        <f>rate_700</f>
        <v>310.5</v>
      </c>
      <c r="F260" s="9"/>
      <c r="G260" s="10">
        <f t="shared" si="3"/>
        <v>0</v>
      </c>
    </row>
    <row r="261" spans="1:7" ht="78.75" x14ac:dyDescent="0.25">
      <c r="A261" s="3">
        <v>249</v>
      </c>
      <c r="B261" s="7" t="str">
        <f>description_701 &amp;  " [ 2402 ]"</f>
        <v>Providing mechanically  woven double twisted  crates / mattress  including rolling, cutting and  with lacing  wire and binding wire as per specification.           
                                                                                                                                       , Hexagonal mesh type 60 mm x 80 mm, mesh wire 2.7 mm, selvage wire 3.4 mm, lacing wire 2.2 mm [ 2402 ]</v>
      </c>
      <c r="C261" s="3" t="s">
        <v>438</v>
      </c>
      <c r="D261" s="3">
        <f>Quantity_Sheet!H262</f>
        <v>0</v>
      </c>
      <c r="E261" s="5">
        <f>rate_701</f>
        <v>322</v>
      </c>
      <c r="F261" s="9"/>
      <c r="G261" s="10">
        <f t="shared" si="3"/>
        <v>0</v>
      </c>
    </row>
    <row r="262" spans="1:7" ht="94.5" x14ac:dyDescent="0.25">
      <c r="A262" s="3">
        <v>250</v>
      </c>
      <c r="B262" s="7" t="str">
        <f>description_702 &amp;  " [ 2402 ]"</f>
        <v>Providing mechanically  woven double twisted  crates / mattress  including rolling, cutting and  with lacing  wire and binding wire as per specification.           
                                                                                                                                       , Zinc + PVC coated Hexagonal mesh type 100 mm x 120 mm, mesh wire 2.7 mm/3.7 mm, selvage wire 3.4 mm/4.4 mm, lacing wire 2.2 mm/3.2 mm with Pac coating thickness nominal 0.5 mm ( minimum 0.38 mm) [ 2402 ]</v>
      </c>
      <c r="C262" s="3" t="s">
        <v>438</v>
      </c>
      <c r="D262" s="3">
        <f>Quantity_Sheet!H263</f>
        <v>0</v>
      </c>
      <c r="E262" s="5">
        <f>rate_702</f>
        <v>365.7</v>
      </c>
      <c r="F262" s="9"/>
      <c r="G262" s="10">
        <f t="shared" si="3"/>
        <v>0</v>
      </c>
    </row>
    <row r="263" spans="1:7" ht="94.5" x14ac:dyDescent="0.25">
      <c r="A263" s="3">
        <v>251</v>
      </c>
      <c r="B263" s="7" t="str">
        <f>description_703 &amp;  " [ 2402 ]"</f>
        <v>Providing mechanically  woven double twisted  crates / mattress  including rolling, cutting and  with lacing  wire and binding wire as per specification.           
                                                                                                                                       , Zinc + PVC coated Hexagonal mesh type 80 mm x 100 mm, mesh wire 2.2 mm/3.2 mm, selvage wire 2.7 mm/3.7 mm, lacing wire 2.2 mm/3.2 mm with Pac coating thickness nominal 0.5 mm ( minimum 0.38 mm) [ 2402 ]</v>
      </c>
      <c r="C263" s="3" t="s">
        <v>438</v>
      </c>
      <c r="D263" s="3">
        <f>Quantity_Sheet!H264</f>
        <v>0</v>
      </c>
      <c r="E263" s="5">
        <f>rate_703</f>
        <v>365.7</v>
      </c>
      <c r="F263" s="9"/>
      <c r="G263" s="10">
        <f t="shared" si="3"/>
        <v>0</v>
      </c>
    </row>
    <row r="264" spans="1:7" ht="47.25" x14ac:dyDescent="0.25">
      <c r="A264" s="3">
        <v>252</v>
      </c>
      <c r="B264" s="7" t="str">
        <f>description_706 &amp;  " [ 2404 ]"</f>
        <v>Laying and fixing of Geo-Textile all complete as per specification., Providing  and laying of a geotextile filter between pitching and embankment slopes as per Drawing and Technical Specifications. [ 2404 ]</v>
      </c>
      <c r="C264" s="3" t="s">
        <v>438</v>
      </c>
      <c r="D264" s="3">
        <f>Quantity_Sheet!H265</f>
        <v>0</v>
      </c>
      <c r="E264" s="5">
        <f>rate_706</f>
        <v>185.82</v>
      </c>
      <c r="F264" s="9"/>
      <c r="G264" s="10">
        <f t="shared" si="3"/>
        <v>0</v>
      </c>
    </row>
    <row r="265" spans="1:7" ht="47.25" x14ac:dyDescent="0.25">
      <c r="A265" s="3">
        <v>253</v>
      </c>
      <c r="B265" s="7" t="str">
        <f>description_707 &amp;  " [ 2404 ]"</f>
        <v>Laying and fixing of Geo-Textile all complete as per specification., Providing and  laying and fixing of Geo-membrane all complete as per specification. [ 2404 ]</v>
      </c>
      <c r="C265" s="3" t="s">
        <v>438</v>
      </c>
      <c r="D265" s="3">
        <f>Quantity_Sheet!H266</f>
        <v>0</v>
      </c>
      <c r="E265" s="5">
        <f>rate_707</f>
        <v>185.82</v>
      </c>
      <c r="F265" s="9"/>
      <c r="G265" s="10">
        <f t="shared" si="3"/>
        <v>0</v>
      </c>
    </row>
    <row r="266" spans="1:7" ht="47.25" x14ac:dyDescent="0.25">
      <c r="A266" s="3">
        <v>254</v>
      </c>
      <c r="B266" s="7" t="str">
        <f>description_746 &amp;  " [ 2421 ]"</f>
        <v>Providing and laying Plum concrete ( Boulder mixed concrete) as per Drawing and Specifications, 60% M 15  concrete and 40% boulders/stones, using Mechanical Aids [ 2421 ]</v>
      </c>
      <c r="C266" s="3" t="s">
        <v>84</v>
      </c>
      <c r="D266" s="3">
        <f>Quantity_Sheet!H267</f>
        <v>0</v>
      </c>
      <c r="E266" s="5">
        <f>rate_746</f>
        <v>11339.5</v>
      </c>
      <c r="F266" s="9"/>
      <c r="G266" s="10">
        <f t="shared" si="3"/>
        <v>0</v>
      </c>
    </row>
    <row r="267" spans="1:7" ht="47.25" x14ac:dyDescent="0.25">
      <c r="A267" s="3">
        <v>255</v>
      </c>
      <c r="B267" s="7" t="str">
        <f>description_747 &amp;  " [ 2421 ]"</f>
        <v>Providing and laying Plum concrete ( Boulder mixed concrete) as per Drawing and Specifications, 60% M 15  concrete and 40% boulders/stones, Manual means [ 2421 ]</v>
      </c>
      <c r="C267" s="3" t="s">
        <v>84</v>
      </c>
      <c r="D267" s="3">
        <f>Quantity_Sheet!H268</f>
        <v>0</v>
      </c>
      <c r="E267" s="5">
        <f>rate_747</f>
        <v>13320.46</v>
      </c>
      <c r="F267" s="9"/>
      <c r="G267" s="10">
        <f t="shared" si="3"/>
        <v>0</v>
      </c>
    </row>
    <row r="268" spans="1:7" ht="47.25" x14ac:dyDescent="0.25">
      <c r="A268" s="3">
        <v>256</v>
      </c>
      <c r="B268" s="7" t="str">
        <f>description_748 &amp;  " [ 2421 ]"</f>
        <v>Providing and laying Plum concrete ( Boulder mixed concrete) as per Drawing and Specifications, 70% M 15 concrete and 30% boulders/stones, Using Mechanical Aids [ 2421 ]</v>
      </c>
      <c r="C268" s="3" t="s">
        <v>84</v>
      </c>
      <c r="D268" s="3">
        <f>Quantity_Sheet!H269</f>
        <v>0</v>
      </c>
      <c r="E268" s="5">
        <f>rate_748</f>
        <v>12043.84</v>
      </c>
      <c r="F268" s="9"/>
      <c r="G268" s="10">
        <f t="shared" si="3"/>
        <v>0</v>
      </c>
    </row>
    <row r="269" spans="1:7" ht="47.25" x14ac:dyDescent="0.25">
      <c r="A269" s="3">
        <v>257</v>
      </c>
      <c r="B269" s="7" t="str">
        <f>description_749 &amp;  " [ 2421 ]"</f>
        <v>Providing and laying Plum concrete ( Boulder mixed concrete) as per Drawing and Specifications, 70% M 15 concrete and 30% boulders/stones, Manual means [ 2421 ]</v>
      </c>
      <c r="C269" s="3" t="s">
        <v>84</v>
      </c>
      <c r="D269" s="3">
        <f>Quantity_Sheet!H270</f>
        <v>0</v>
      </c>
      <c r="E269" s="5">
        <f>rate_749</f>
        <v>14134.19</v>
      </c>
      <c r="F269" s="9"/>
      <c r="G269" s="10">
        <f t="shared" ref="G269:G332" si="4">D269 * E269</f>
        <v>0</v>
      </c>
    </row>
    <row r="270" spans="1:7" ht="94.5" x14ac:dyDescent="0.25">
      <c r="A270" s="3">
        <v>258</v>
      </c>
      <c r="B270" s="7" t="str">
        <f>description_750 &amp;  " [ 2414 ]"</f>
        <v>Sub-Surface Drains with Perforated Pipe, Providing and laying subsurface drain with perforated pipe of 100 mm internal diameter of metal/ asbestos cement/ cement concrete/PVC, closely jointed, perforations ranging from 3 mm to 6 mm depending upon size of material surrounding the pipe, with 150 mm bedding below the pipe and 300 mm cushion above the pipe,.  as per Drawing and Specifications. [ 2414 ]</v>
      </c>
      <c r="C270" s="3" t="s">
        <v>75</v>
      </c>
      <c r="D270" s="3">
        <f>Quantity_Sheet!H271</f>
        <v>0</v>
      </c>
      <c r="E270" s="5" t="e">
        <f>rate_750</f>
        <v>#REF!</v>
      </c>
      <c r="F270" s="9"/>
      <c r="G270" s="10" t="e">
        <f t="shared" si="4"/>
        <v>#REF!</v>
      </c>
    </row>
    <row r="271" spans="1:7" ht="47.25" x14ac:dyDescent="0.25">
      <c r="A271" s="3">
        <v>259</v>
      </c>
      <c r="B271" s="7" t="str">
        <f>description_753 &amp;  " [ 2500 ]"</f>
        <v>Providing and laying Brick Masonry Work in Cement mortar  in Foundation / structure complete excluding Pointing and Plastering, as per Drawing and Technical Specifications., Cement sand mortar (1:2) [ 2500 ]</v>
      </c>
      <c r="C271" s="3" t="s">
        <v>84</v>
      </c>
      <c r="D271" s="3">
        <f>Quantity_Sheet!H272</f>
        <v>0</v>
      </c>
      <c r="E271" s="5">
        <f>rate_753</f>
        <v>17271.63</v>
      </c>
      <c r="F271" s="9"/>
      <c r="G271" s="10">
        <f t="shared" si="4"/>
        <v>0</v>
      </c>
    </row>
    <row r="272" spans="1:7" ht="63" x14ac:dyDescent="0.25">
      <c r="A272" s="3">
        <v>260</v>
      </c>
      <c r="B272" s="7" t="str">
        <f>description_754 &amp;  " [ 2500 ]"</f>
        <v>Providing and laying Brick Masonry Work in Cement mortar  in Foundation / structure complete excluding Pointing and Plastering, as per Drawing and Technical Specifications., Cement sand mortar (1:2), Using Concrete Mixer [ 2500 ]</v>
      </c>
      <c r="C272" s="3" t="s">
        <v>84</v>
      </c>
      <c r="D272" s="3">
        <f>Quantity_Sheet!H273</f>
        <v>0</v>
      </c>
      <c r="E272" s="5">
        <f>rate_754</f>
        <v>16626.48</v>
      </c>
      <c r="F272" s="9"/>
      <c r="G272" s="10">
        <f t="shared" si="4"/>
        <v>0</v>
      </c>
    </row>
    <row r="273" spans="1:7" ht="47.25" x14ac:dyDescent="0.25">
      <c r="A273" s="3">
        <v>261</v>
      </c>
      <c r="B273" s="7" t="str">
        <f>description_755 &amp;  " [ 2500 ]"</f>
        <v>Providing and laying Brick Masonry Work in Cement mortar  in Foundation / structure complete excluding Pointing and Plastering, as per Drawing and Technical Specifications., Cement sand mortar (1:3) [ 2500 ]</v>
      </c>
      <c r="C273" s="3" t="s">
        <v>84</v>
      </c>
      <c r="D273" s="3">
        <f>Quantity_Sheet!H274</f>
        <v>0</v>
      </c>
      <c r="E273" s="5">
        <f>rate_755</f>
        <v>16804.41</v>
      </c>
      <c r="F273" s="9"/>
      <c r="G273" s="10">
        <f t="shared" si="4"/>
        <v>0</v>
      </c>
    </row>
    <row r="274" spans="1:7" ht="63" x14ac:dyDescent="0.25">
      <c r="A274" s="3">
        <v>262</v>
      </c>
      <c r="B274" s="7" t="str">
        <f>description_756 &amp;  " [ 2500 ]"</f>
        <v>Providing and laying Brick Masonry Work in Cement mortar  in Foundation / structure complete excluding Pointing and Plastering, as per Drawing and Technical Specifications., Cement sand mortar (1:3), Using Concrete Mixer [ 2500 ]</v>
      </c>
      <c r="C274" s="3" t="s">
        <v>84</v>
      </c>
      <c r="D274" s="3">
        <f>Quantity_Sheet!H275</f>
        <v>0</v>
      </c>
      <c r="E274" s="5">
        <f>rate_756</f>
        <v>16210.32</v>
      </c>
      <c r="F274" s="9"/>
      <c r="G274" s="10">
        <f t="shared" si="4"/>
        <v>0</v>
      </c>
    </row>
    <row r="275" spans="1:7" ht="47.25" x14ac:dyDescent="0.25">
      <c r="A275" s="3">
        <v>263</v>
      </c>
      <c r="B275" s="7" t="str">
        <f>description_757 &amp;  " [ 2500 ]"</f>
        <v>Providing and laying Brick Masonry Work in Cement mortar  in Foundation / structure complete excluding Pointing and Plastering, as per Drawing and Technical Specifications., Cement sand mortar (1:4) [ 2500 ]</v>
      </c>
      <c r="C275" s="3" t="s">
        <v>84</v>
      </c>
      <c r="D275" s="3">
        <f>Quantity_Sheet!H276</f>
        <v>0</v>
      </c>
      <c r="E275" s="5">
        <f>rate_757</f>
        <v>16480.509999999998</v>
      </c>
      <c r="F275" s="9"/>
      <c r="G275" s="10">
        <f t="shared" si="4"/>
        <v>0</v>
      </c>
    </row>
    <row r="276" spans="1:7" ht="63" x14ac:dyDescent="0.25">
      <c r="A276" s="3">
        <v>264</v>
      </c>
      <c r="B276" s="7" t="str">
        <f>description_758 &amp;  " [ 2500 ]"</f>
        <v>Providing and laying Brick Masonry Work in Cement mortar  in Foundation / structure complete excluding Pointing and Plastering, as per Drawing and Technical Specifications., Cement sand mortar (1:4), Using Concrete Mixer [ 2500 ]</v>
      </c>
      <c r="C276" s="3" t="s">
        <v>84</v>
      </c>
      <c r="D276" s="3">
        <f>Quantity_Sheet!H277</f>
        <v>0</v>
      </c>
      <c r="E276" s="5">
        <f>rate_758</f>
        <v>15886.42</v>
      </c>
      <c r="F276" s="9"/>
      <c r="G276" s="10">
        <f t="shared" si="4"/>
        <v>0</v>
      </c>
    </row>
    <row r="277" spans="1:7" ht="47.25" x14ac:dyDescent="0.25">
      <c r="A277" s="3">
        <v>265</v>
      </c>
      <c r="B277" s="7" t="str">
        <f>description_759 &amp;  " [ 2500 ]"</f>
        <v>Providing and laying Brick Masonry Work in Cement mortar  in Foundation / structure complete excluding Pointing and Plastering, as per Drawing and Technical Specifications., Cement sand mortar (1:6) [ 2500 ]</v>
      </c>
      <c r="C277" s="3" t="s">
        <v>84</v>
      </c>
      <c r="D277" s="3">
        <f>Quantity_Sheet!H278</f>
        <v>0</v>
      </c>
      <c r="E277" s="5">
        <f>rate_759</f>
        <v>16163.91</v>
      </c>
      <c r="F277" s="9"/>
      <c r="G277" s="10">
        <f t="shared" si="4"/>
        <v>0</v>
      </c>
    </row>
    <row r="278" spans="1:7" ht="63" x14ac:dyDescent="0.25">
      <c r="A278" s="3">
        <v>266</v>
      </c>
      <c r="B278" s="7" t="str">
        <f>description_760 &amp;  " [ 2500 ]"</f>
        <v>Providing and laying Brick Masonry Work in Cement mortar  in Foundation / structure complete excluding Pointing and Plastering, as per Drawing and Technical Specifications., Cement sand mortar (1:6), Using Concrete Mixer [ 2500 ]</v>
      </c>
      <c r="C278" s="3" t="s">
        <v>84</v>
      </c>
      <c r="D278" s="3">
        <f>Quantity_Sheet!H279</f>
        <v>0</v>
      </c>
      <c r="E278" s="5">
        <f>rate_760</f>
        <v>15569.82</v>
      </c>
      <c r="F278" s="9"/>
      <c r="G278" s="10">
        <f t="shared" si="4"/>
        <v>0</v>
      </c>
    </row>
    <row r="279" spans="1:7" ht="47.25" x14ac:dyDescent="0.25">
      <c r="A279" s="3">
        <v>267</v>
      </c>
      <c r="B279" s="7" t="str">
        <f>description_761 &amp;  " [ 2500 ]"</f>
        <v>Providing and laying Brick masonry work in superstructure/ sub-structure complete excluding pointing and plastering, as per drawing and Technical Specifications, Cement Mortar 1:2 (1 cement : 2 sand) [ 2500 ]</v>
      </c>
      <c r="C279" s="3" t="s">
        <v>84</v>
      </c>
      <c r="D279" s="3">
        <f>Quantity_Sheet!H280</f>
        <v>0</v>
      </c>
      <c r="E279" s="5">
        <f>rate_761</f>
        <v>17644.63</v>
      </c>
      <c r="F279" s="9"/>
      <c r="G279" s="10">
        <f t="shared" si="4"/>
        <v>0</v>
      </c>
    </row>
    <row r="280" spans="1:7" ht="63" x14ac:dyDescent="0.25">
      <c r="A280" s="3">
        <v>268</v>
      </c>
      <c r="B280" s="7" t="str">
        <f>description_762 &amp;  " [ 2500 ]"</f>
        <v>Providing and laying Brick masonry work in superstructure/ sub-structure complete excluding pointing and plastering, as per drawing and Technical Specifications, Cement Mortar 1:2 (1 cement : 2 sand), Using Concrete Mixer [ 2500 ]</v>
      </c>
      <c r="C280" s="3" t="s">
        <v>84</v>
      </c>
      <c r="D280" s="3">
        <f>Quantity_Sheet!H281</f>
        <v>0</v>
      </c>
      <c r="E280" s="5">
        <f>rate_762</f>
        <v>17018.29</v>
      </c>
      <c r="F280" s="9"/>
      <c r="G280" s="10">
        <f t="shared" si="4"/>
        <v>0</v>
      </c>
    </row>
    <row r="281" spans="1:7" ht="47.25" x14ac:dyDescent="0.25">
      <c r="A281" s="3">
        <v>269</v>
      </c>
      <c r="B281" s="7" t="str">
        <f>description_763 &amp;  " [ 2500 ]"</f>
        <v>Providing and laying Brick masonry work in superstructure/ sub-structure complete excluding pointing and plastering, as per drawing and Technical Specifications, Cement Mortar 1:3 (1 cement : 3 sand) [ 2500 ]</v>
      </c>
      <c r="C281" s="3" t="s">
        <v>84</v>
      </c>
      <c r="D281" s="3">
        <f>Quantity_Sheet!H282</f>
        <v>0</v>
      </c>
      <c r="E281" s="5">
        <f>rate_763</f>
        <v>18396.91</v>
      </c>
      <c r="F281" s="9"/>
      <c r="G281" s="10">
        <f t="shared" si="4"/>
        <v>0</v>
      </c>
    </row>
    <row r="282" spans="1:7" ht="63" x14ac:dyDescent="0.25">
      <c r="A282" s="3">
        <v>270</v>
      </c>
      <c r="B282" s="7" t="str">
        <f>description_764 &amp;  " [ 2500 ]"</f>
        <v>Providing and laying Brick masonry work in superstructure/ sub-structure complete excluding pointing and plastering, as per drawing and Technical Specifications, Cement Mortar 1:3 (1 cement : 3 sand), Using Concrete Mixer [ 2500 ]</v>
      </c>
      <c r="C282" s="3" t="s">
        <v>84</v>
      </c>
      <c r="D282" s="3">
        <f>Quantity_Sheet!H283</f>
        <v>0</v>
      </c>
      <c r="E282" s="5">
        <f>rate_764</f>
        <v>17770.560000000001</v>
      </c>
      <c r="F282" s="9"/>
      <c r="G282" s="10">
        <f t="shared" si="4"/>
        <v>0</v>
      </c>
    </row>
    <row r="283" spans="1:7" ht="47.25" x14ac:dyDescent="0.25">
      <c r="A283" s="3">
        <v>271</v>
      </c>
      <c r="B283" s="7" t="str">
        <f>description_765 &amp;  " [ 2500 ]"</f>
        <v>Providing and laying Brick masonry work in superstructure/ sub-structure complete excluding pointing and plastering, as per drawing and Technical Specifications, Cement Mortar 1:4 (1 cement : 4 sand) [ 2500 ]</v>
      </c>
      <c r="C283" s="3" t="s">
        <v>84</v>
      </c>
      <c r="D283" s="3">
        <f>Quantity_Sheet!H284</f>
        <v>0</v>
      </c>
      <c r="E283" s="5">
        <f>rate_765</f>
        <v>18056.810000000001</v>
      </c>
      <c r="F283" s="9"/>
      <c r="G283" s="10">
        <f t="shared" si="4"/>
        <v>0</v>
      </c>
    </row>
    <row r="284" spans="1:7" ht="63" x14ac:dyDescent="0.25">
      <c r="A284" s="3">
        <v>272</v>
      </c>
      <c r="B284" s="7" t="str">
        <f>description_766 &amp;  " [ 2500 ]"</f>
        <v>Providing and laying Brick masonry work in superstructure/ sub-structure complete excluding pointing and plastering, as per drawing and Technical Specifications, Cement Mortar 1:4 (1 cement : 4 sand), Using Concrete Mixer [ 2500 ]</v>
      </c>
      <c r="C284" s="3" t="s">
        <v>84</v>
      </c>
      <c r="D284" s="3">
        <f>Quantity_Sheet!H285</f>
        <v>0</v>
      </c>
      <c r="E284" s="5">
        <f>rate_766</f>
        <v>17430.46</v>
      </c>
      <c r="F284" s="9"/>
      <c r="G284" s="10">
        <f t="shared" si="4"/>
        <v>0</v>
      </c>
    </row>
    <row r="285" spans="1:7" ht="47.25" x14ac:dyDescent="0.25">
      <c r="A285" s="3">
        <v>273</v>
      </c>
      <c r="B285" s="7" t="str">
        <f>description_767 &amp;  " [ 2500 ]"</f>
        <v>Providing and laying Brick masonry work in superstructure/ sub-structure complete excluding pointing and plastering, as per drawing and Technical Specifications, Cement Mortar 1:6 (1 cement : 6 sand) [ 2500 ]</v>
      </c>
      <c r="C285" s="3" t="s">
        <v>84</v>
      </c>
      <c r="D285" s="3">
        <f>Quantity_Sheet!H286</f>
        <v>0</v>
      </c>
      <c r="E285" s="5">
        <f>rate_767</f>
        <v>17724.38</v>
      </c>
      <c r="F285" s="9"/>
      <c r="G285" s="10">
        <f t="shared" si="4"/>
        <v>0</v>
      </c>
    </row>
    <row r="286" spans="1:7" ht="63" x14ac:dyDescent="0.25">
      <c r="A286" s="3">
        <v>274</v>
      </c>
      <c r="B286" s="7" t="str">
        <f>description_768 &amp;  " [ 2500 ]"</f>
        <v>Providing and laying Brick masonry work in superstructure/ sub-structure complete excluding pointing and plastering, as per drawing and Technical Specifications, Cement Mortar 1:6 (1 cement : 6 sand), Using Concrete Mixer [ 2500 ]</v>
      </c>
      <c r="C286" s="3" t="s">
        <v>84</v>
      </c>
      <c r="D286" s="3">
        <f>Quantity_Sheet!H287</f>
        <v>0</v>
      </c>
      <c r="E286" s="5">
        <f>rate_768</f>
        <v>17098.04</v>
      </c>
      <c r="F286" s="9"/>
      <c r="G286" s="10">
        <f t="shared" si="4"/>
        <v>0</v>
      </c>
    </row>
    <row r="287" spans="1:7" ht="31.5" x14ac:dyDescent="0.25">
      <c r="A287" s="3">
        <v>275</v>
      </c>
      <c r="B287" s="7" t="str">
        <f>description_769 &amp;  " [ 2500 ]"</f>
        <v>Providing, and applying Pointing with cement mortar (1:3 ) on brick work in structure as per Technical Specifications . [ 2500 ]</v>
      </c>
      <c r="C287" s="3" t="s">
        <v>438</v>
      </c>
      <c r="D287" s="3">
        <f>Quantity_Sheet!H288</f>
        <v>0</v>
      </c>
      <c r="E287" s="5">
        <f>rate_769</f>
        <v>309.93</v>
      </c>
      <c r="F287" s="9"/>
      <c r="G287" s="10">
        <f t="shared" si="4"/>
        <v>0</v>
      </c>
    </row>
    <row r="288" spans="1:7" ht="47.25" x14ac:dyDescent="0.25">
      <c r="A288" s="3">
        <v>276</v>
      </c>
      <c r="B288" s="7" t="str">
        <f>description_770 &amp;  " [ 2500 ]"</f>
        <v>Providing and applying 12.5 mm thick  Plaster with cement mortar  on brick work structure as per Technical Specifications , Cement Mortar 1:2 (1 cement : 2 sand) [ 2500 ]</v>
      </c>
      <c r="C288" s="3" t="s">
        <v>438</v>
      </c>
      <c r="D288" s="3">
        <f>Quantity_Sheet!H289</f>
        <v>0</v>
      </c>
      <c r="E288" s="5">
        <f>rate_770</f>
        <v>4675.2700000000004</v>
      </c>
      <c r="F288" s="9"/>
      <c r="G288" s="10">
        <f t="shared" si="4"/>
        <v>0</v>
      </c>
    </row>
    <row r="289" spans="1:7" ht="47.25" x14ac:dyDescent="0.25">
      <c r="A289" s="3">
        <v>277</v>
      </c>
      <c r="B289" s="7" t="str">
        <f>description_771 &amp;  " [ 2500 ]"</f>
        <v>Providing and applying 12.5 mm thick  Plaster with cement mortar  on brick work structure as per Technical Specifications , Cement Mortar 1:2 (1 cement : 2 sand), Using Concrete Mixer [ 2500 ]</v>
      </c>
      <c r="C289" s="3" t="s">
        <v>438</v>
      </c>
      <c r="D289" s="3">
        <f>Quantity_Sheet!H290</f>
        <v>0</v>
      </c>
      <c r="E289" s="5">
        <f>rate_771</f>
        <v>4485.75</v>
      </c>
      <c r="F289" s="9"/>
      <c r="G289" s="10">
        <f t="shared" si="4"/>
        <v>0</v>
      </c>
    </row>
    <row r="290" spans="1:7" ht="47.25" x14ac:dyDescent="0.25">
      <c r="A290" s="3">
        <v>278</v>
      </c>
      <c r="B290" s="7" t="str">
        <f>description_776 &amp;  " [ 2500 ]"</f>
        <v>Providing  and laying weep holes in Brick works / Masonry/ Plain/ Reinforced concrete abutment, wing wall/ return wall with 100 mm dia HDPE pipe  as per Drawing and Technical Specifications. [ 2500 ]</v>
      </c>
      <c r="C290" s="3" t="s">
        <v>75</v>
      </c>
      <c r="D290" s="3">
        <f>Quantity_Sheet!H291</f>
        <v>0</v>
      </c>
      <c r="E290" s="5" t="e">
        <f>rate_776</f>
        <v>#REF!</v>
      </c>
      <c r="F290" s="9"/>
      <c r="G290" s="10" t="e">
        <f t="shared" si="4"/>
        <v>#REF!</v>
      </c>
    </row>
    <row r="291" spans="1:7" ht="47.25" x14ac:dyDescent="0.25">
      <c r="A291" s="3">
        <v>279</v>
      </c>
      <c r="B291" s="7" t="str">
        <f>description_775 &amp;  " [ 2500 ]"</f>
        <v>Providing and applying 12.5 mm thick  Plaster with cement mortar  on brick work structure as per Technical Specifications , Cement Mortar 1:4 (1 cement : 4 sand), Using Concrete Mixer [ 2500 ]</v>
      </c>
      <c r="C291" s="3" t="s">
        <v>438</v>
      </c>
      <c r="D291" s="3">
        <f>Quantity_Sheet!H292</f>
        <v>0</v>
      </c>
      <c r="E291" s="5">
        <f>rate_775</f>
        <v>3992</v>
      </c>
      <c r="F291" s="9"/>
      <c r="G291" s="10">
        <f t="shared" si="4"/>
        <v>0</v>
      </c>
    </row>
    <row r="292" spans="1:7" ht="47.25" x14ac:dyDescent="0.25">
      <c r="A292" s="3">
        <v>280</v>
      </c>
      <c r="B292" s="7" t="str">
        <f>description_774 &amp;  " [ 2500 ]"</f>
        <v>Providing and applying 12.5 mm thick  Plaster with cement mortar  on brick work structure as per Technical Specifications , Cement Mortar 1:4 (1 cement : 4 sand) [ 2500 ]</v>
      </c>
      <c r="C292" s="3" t="s">
        <v>438</v>
      </c>
      <c r="D292" s="3">
        <f>Quantity_Sheet!H293</f>
        <v>0</v>
      </c>
      <c r="E292" s="5">
        <f>rate_774</f>
        <v>4181.5200000000004</v>
      </c>
      <c r="F292" s="9"/>
      <c r="G292" s="10">
        <f t="shared" si="4"/>
        <v>0</v>
      </c>
    </row>
    <row r="293" spans="1:7" ht="47.25" x14ac:dyDescent="0.25">
      <c r="A293" s="3">
        <v>281</v>
      </c>
      <c r="B293" s="7" t="str">
        <f>description_773 &amp;  " [ 2500 ]"</f>
        <v>Providing and applying 12.5 mm thick  Plaster with cement mortar  on brick work structure as per Technical Specifications , Cement Mortar 1:3 (1 cement : 3 sand), Using Concrete Mixer [ 2500 ]</v>
      </c>
      <c r="C293" s="3" t="s">
        <v>438</v>
      </c>
      <c r="D293" s="3">
        <f>Quantity_Sheet!H294</f>
        <v>0</v>
      </c>
      <c r="E293" s="5">
        <f>rate_773</f>
        <v>4166.3500000000004</v>
      </c>
      <c r="F293" s="9"/>
      <c r="G293" s="10">
        <f t="shared" si="4"/>
        <v>0</v>
      </c>
    </row>
    <row r="294" spans="1:7" ht="47.25" x14ac:dyDescent="0.25">
      <c r="A294" s="3">
        <v>282</v>
      </c>
      <c r="B294" s="7" t="str">
        <f>description_772 &amp;  " [ 2500 ]"</f>
        <v>Providing and applying 12.5 mm thick  Plaster with cement mortar  on brick work structure as per Technical Specifications , Cement Mortar 1:3 (1 cement : 3 sand) [ 2500 ]</v>
      </c>
      <c r="C294" s="3" t="s">
        <v>438</v>
      </c>
      <c r="D294" s="3">
        <f>Quantity_Sheet!H295</f>
        <v>0</v>
      </c>
      <c r="E294" s="5">
        <f>rate_772</f>
        <v>4355.87</v>
      </c>
      <c r="F294" s="9"/>
      <c r="G294" s="10">
        <f t="shared" si="4"/>
        <v>0</v>
      </c>
    </row>
    <row r="295" spans="1:7" ht="47.25" x14ac:dyDescent="0.25">
      <c r="A295" s="3">
        <v>283</v>
      </c>
      <c r="B295" s="7" t="str">
        <f>description_779 &amp;  " [ 2602, 2603, 2607 ]"</f>
        <v>Random Rubble Masonry, Providing and laying of Stone Masonry Work in Cement Mortar 1:3 in Foundation complete as per Drawing and Technical Specifications. [ 2602, 2603, 2607 ]</v>
      </c>
      <c r="C295" s="3" t="s">
        <v>84</v>
      </c>
      <c r="D295" s="3">
        <f>Quantity_Sheet!H296</f>
        <v>0</v>
      </c>
      <c r="E295" s="5">
        <f>rate_779</f>
        <v>12301.34</v>
      </c>
      <c r="F295" s="9"/>
      <c r="G295" s="10">
        <f t="shared" si="4"/>
        <v>0</v>
      </c>
    </row>
    <row r="296" spans="1:7" ht="47.25" x14ac:dyDescent="0.25">
      <c r="A296" s="3">
        <v>284</v>
      </c>
      <c r="B296" s="7" t="str">
        <f>description_780 &amp;  " [ 2602, 2603, 2607 ]"</f>
        <v>Random Rubble Masonry, Providing and laying of Stone Masonry Work in Cement Mortar 1:3 in Foundation complete as per Drawing and Technical Specifications., Using Concrete Mixer [ 2602, 2603, 2607 ]</v>
      </c>
      <c r="C296" s="3" t="s">
        <v>84</v>
      </c>
      <c r="D296" s="3">
        <f>Quantity_Sheet!H297</f>
        <v>0</v>
      </c>
      <c r="E296" s="5">
        <f>rate_780</f>
        <v>11026.39</v>
      </c>
      <c r="F296" s="9"/>
      <c r="G296" s="10">
        <f t="shared" si="4"/>
        <v>0</v>
      </c>
    </row>
    <row r="297" spans="1:7" ht="47.25" x14ac:dyDescent="0.25">
      <c r="A297" s="3">
        <v>285</v>
      </c>
      <c r="B297" s="7" t="str">
        <f>description_782 &amp;  " [ 2602, 2603, 2607 ]"</f>
        <v>Random Rubble Masonry, Providing and laying of Stone Masonry Work in Cement Mortar 1:4 in Foundation complete as per Drawing and Technical Specifications., Using Concrete Mixer [ 2602, 2603, 2607 ]</v>
      </c>
      <c r="C297" s="3" t="s">
        <v>84</v>
      </c>
      <c r="D297" s="3">
        <f>Quantity_Sheet!H298</f>
        <v>0</v>
      </c>
      <c r="E297" s="5">
        <f>rate_782</f>
        <v>10597.22</v>
      </c>
      <c r="F297" s="9"/>
      <c r="G297" s="10">
        <f t="shared" si="4"/>
        <v>0</v>
      </c>
    </row>
    <row r="298" spans="1:7" ht="47.25" x14ac:dyDescent="0.25">
      <c r="A298" s="3">
        <v>286</v>
      </c>
      <c r="B298" s="7" t="str">
        <f>description_781 &amp;  " [ 2602, 2603, 2607 ]"</f>
        <v>Random Rubble Masonry, Providing and laying of Stone Masonry Work in Cement Mortar 1:4 in Foundation complete as per Drawing and Technical Specifications. [ 2602, 2603, 2607 ]</v>
      </c>
      <c r="C298" s="3" t="s">
        <v>84</v>
      </c>
      <c r="D298" s="3">
        <f>Quantity_Sheet!H299</f>
        <v>0</v>
      </c>
      <c r="E298" s="5">
        <f>rate_781</f>
        <v>11872.16</v>
      </c>
      <c r="F298" s="9"/>
      <c r="G298" s="10">
        <f t="shared" si="4"/>
        <v>0</v>
      </c>
    </row>
    <row r="299" spans="1:7" ht="47.25" x14ac:dyDescent="0.25">
      <c r="A299" s="3">
        <v>287</v>
      </c>
      <c r="B299" s="7" t="str">
        <f>description_784 &amp;  " [ 2602, 2603, 2607 ]"</f>
        <v>Random Rubble Masonry, Providing and laying of Stone Masonry Work in Cement Mortar 1:6 in Foundation complete as per Drawing and Technical Specifications., Using Concrete Mixer [ 2602, 2603, 2607 ]</v>
      </c>
      <c r="C299" s="3" t="s">
        <v>84</v>
      </c>
      <c r="D299" s="3">
        <f>Quantity_Sheet!H300</f>
        <v>0</v>
      </c>
      <c r="E299" s="5">
        <f>rate_784</f>
        <v>10336</v>
      </c>
      <c r="F299" s="9"/>
      <c r="G299" s="10">
        <f t="shared" si="4"/>
        <v>0</v>
      </c>
    </row>
    <row r="300" spans="1:7" ht="47.25" x14ac:dyDescent="0.25">
      <c r="A300" s="3">
        <v>288</v>
      </c>
      <c r="B300" s="7" t="str">
        <f>description_783 &amp;  " [ 2602, 2603, 2607 ]"</f>
        <v>Random Rubble Masonry, Providing and laying of Stone Masonry Work in Cement Mortar 1:6 in Foundation complete as per Drawing and Technical Specifications. [ 2602, 2603, 2607 ]</v>
      </c>
      <c r="C300" s="3" t="s">
        <v>84</v>
      </c>
      <c r="D300" s="3">
        <f>Quantity_Sheet!H301</f>
        <v>0</v>
      </c>
      <c r="E300" s="5">
        <f>rate_783</f>
        <v>11360.19</v>
      </c>
      <c r="F300" s="9"/>
      <c r="G300" s="10">
        <f t="shared" si="4"/>
        <v>0</v>
      </c>
    </row>
    <row r="301" spans="1:7" ht="47.25" x14ac:dyDescent="0.25">
      <c r="A301" s="3">
        <v>289</v>
      </c>
      <c r="B301" s="7" t="str">
        <f>description_810 &amp;  " [ 2709 ]"</f>
        <v>Providing and Sealing of cracks/porous concrete by injection process through nipples/Grouting complete as per Technical Specification., Cement Grout [ 2709 ]</v>
      </c>
      <c r="C301" s="3" t="s">
        <v>144</v>
      </c>
      <c r="D301" s="3">
        <f>Quantity_Sheet!H302</f>
        <v>0</v>
      </c>
      <c r="E301" s="5">
        <f>rate_810</f>
        <v>441.88</v>
      </c>
      <c r="F301" s="9"/>
      <c r="G301" s="10">
        <f t="shared" si="4"/>
        <v>0</v>
      </c>
    </row>
    <row r="302" spans="1:7" ht="47.25" x14ac:dyDescent="0.25">
      <c r="A302" s="3">
        <v>290</v>
      </c>
      <c r="B302" s="7" t="str">
        <f>description_811 &amp;  " [ 2709 ]"</f>
        <v>Providing and Sealing of cracks/porous concrete by injection process through nipples/Grouting complete as per Technical Specification., Cement Mortar (1:1) Grouting [ 2709 ]</v>
      </c>
      <c r="C302" s="3" t="s">
        <v>144</v>
      </c>
      <c r="D302" s="3">
        <f>Quantity_Sheet!H303</f>
        <v>0</v>
      </c>
      <c r="E302" s="5">
        <f>rate_811</f>
        <v>540.77</v>
      </c>
      <c r="F302" s="9"/>
      <c r="G302" s="10">
        <f t="shared" si="4"/>
        <v>0</v>
      </c>
    </row>
    <row r="303" spans="1:7" ht="31.5" x14ac:dyDescent="0.25">
      <c r="A303" s="3">
        <v>291</v>
      </c>
      <c r="B303" s="7" t="str">
        <f>description_2290 &amp;  " [ 2700 ]"</f>
        <v>Providing and replacement of Expansion Joints complete as per drawings, Technical specifications and direction of the Engineer. [ 2700 ]</v>
      </c>
      <c r="C303" s="3" t="s">
        <v>75</v>
      </c>
      <c r="D303" s="3">
        <f>Quantity_Sheet!H304</f>
        <v>0</v>
      </c>
      <c r="E303" s="5" t="e">
        <f>rate_2290</f>
        <v>#REF!</v>
      </c>
      <c r="F303" s="9"/>
      <c r="G303" s="10" t="e">
        <f t="shared" si="4"/>
        <v>#REF!</v>
      </c>
    </row>
    <row r="304" spans="1:7" ht="31.5" x14ac:dyDescent="0.25">
      <c r="A304" s="3">
        <v>292</v>
      </c>
      <c r="B304" s="7" t="str">
        <f>description_822 &amp;  " [ 2711 ]"</f>
        <v>Providing required parts and rectification of Bearings as per Technical Specifications and direction of the Engineer. [ 2711 ]</v>
      </c>
      <c r="C304" s="3" t="s">
        <v>49</v>
      </c>
      <c r="D304" s="3">
        <f>Quantity_Sheet!H305</f>
        <v>0</v>
      </c>
      <c r="E304" s="5" t="e">
        <f>rate_822</f>
        <v>#REF!</v>
      </c>
      <c r="F304" s="9"/>
      <c r="G304" s="10" t="e">
        <f t="shared" si="4"/>
        <v>#REF!</v>
      </c>
    </row>
    <row r="305" spans="1:7" ht="31.5" x14ac:dyDescent="0.25">
      <c r="A305" s="3">
        <v>293</v>
      </c>
      <c r="B305" s="7" t="str">
        <f>description_824 &amp;  " [ 2700 ]"</f>
        <v>Providing and replacement of Damaged Concrete Railing as per Drawing, Technical Specifications and direction of the Engineer,. [ 2700 ]</v>
      </c>
      <c r="C305" s="3" t="s">
        <v>75</v>
      </c>
      <c r="D305" s="3">
        <f>Quantity_Sheet!H306</f>
        <v>0</v>
      </c>
      <c r="E305" s="5">
        <f>rate_824</f>
        <v>677.47</v>
      </c>
      <c r="F305" s="9"/>
      <c r="G305" s="10">
        <f t="shared" si="4"/>
        <v>0</v>
      </c>
    </row>
    <row r="306" spans="1:7" ht="31.5" x14ac:dyDescent="0.25">
      <c r="A306" s="3">
        <v>294</v>
      </c>
      <c r="B306" s="7" t="str">
        <f>description_825 &amp;  " [ 2700 ]"</f>
        <v>Providing and replacement of Crash Barrier as per Drawing, Technical Specifications and instruction of the Engineer. [ 2700 ]</v>
      </c>
      <c r="C306" s="3" t="s">
        <v>75</v>
      </c>
      <c r="D306" s="3">
        <f>Quantity_Sheet!H307</f>
        <v>0</v>
      </c>
      <c r="E306" s="5">
        <f>rate_825</f>
        <v>964.2</v>
      </c>
      <c r="F306" s="9"/>
      <c r="G306" s="10">
        <f t="shared" si="4"/>
        <v>0</v>
      </c>
    </row>
    <row r="307" spans="1:7" ht="31.5" x14ac:dyDescent="0.25">
      <c r="A307" s="3">
        <v>295</v>
      </c>
      <c r="B307" s="7" t="str">
        <f>description_826 &amp;  " [ 2700 ]"</f>
        <v>Providing and replacement of Damaged  mild steel railing as per Drawing, Technical Specifications and direction of the Engineer. [ 2700 ]</v>
      </c>
      <c r="C307" s="3" t="s">
        <v>75</v>
      </c>
      <c r="D307" s="3">
        <f>Quantity_Sheet!H308</f>
        <v>0</v>
      </c>
      <c r="E307" s="5">
        <f>rate_826</f>
        <v>644.19000000000005</v>
      </c>
      <c r="F307" s="9"/>
      <c r="G307" s="10">
        <f t="shared" si="4"/>
        <v>0</v>
      </c>
    </row>
    <row r="308" spans="1:7" ht="63" x14ac:dyDescent="0.25">
      <c r="A308" s="3">
        <v>296</v>
      </c>
      <c r="B308" s="7" t="str">
        <f>description_827 &amp;  " [ 2700 ]"</f>
        <v>Repair of Crash Barrier, Providing and repair of concrete crash barrier with cement concrete M-30 grade by cutting and trimming the damaged portion to a regular shape, cleaning the area to be repaired thoroughly, applying cement concert after erection of proper form work. [ 2700 ]</v>
      </c>
      <c r="C308" s="3" t="s">
        <v>75</v>
      </c>
      <c r="D308" s="3">
        <f>Quantity_Sheet!H309</f>
        <v>0</v>
      </c>
      <c r="E308" s="5">
        <f>rate_827</f>
        <v>661.31</v>
      </c>
      <c r="F308" s="9"/>
      <c r="G308" s="10">
        <f t="shared" si="4"/>
        <v>0</v>
      </c>
    </row>
    <row r="309" spans="1:7" ht="47.25" x14ac:dyDescent="0.25">
      <c r="A309" s="3">
        <v>297</v>
      </c>
      <c r="B309" s="7" t="str">
        <f>description_828 &amp;  " [ 2700 ]"</f>
        <v>Providing and  repair of  RCC  railing to bring it to the original shape as per Drawing, Technical Specifications and instruction of the Engineer., Repair of RCC Railing [ 2700 ]</v>
      </c>
      <c r="C309" s="3" t="s">
        <v>75</v>
      </c>
      <c r="D309" s="3">
        <f>Quantity_Sheet!H310</f>
        <v>0</v>
      </c>
      <c r="E309" s="5">
        <f>rate_828</f>
        <v>417.46</v>
      </c>
      <c r="F309" s="9"/>
      <c r="G309" s="10">
        <f t="shared" si="4"/>
        <v>0</v>
      </c>
    </row>
    <row r="310" spans="1:7" ht="47.25" x14ac:dyDescent="0.25">
      <c r="A310" s="3">
        <v>298</v>
      </c>
      <c r="B310" s="7" t="str">
        <f>description_829 &amp;  " [ 2700 ]"</f>
        <v>Repair of Steel Railing, Providing and repair of steel railing to bring it to the original shape as per Drawing, Technical Specifications and direction of the Engineer. [ 2700 ]</v>
      </c>
      <c r="C310" s="3" t="s">
        <v>75</v>
      </c>
      <c r="D310" s="3">
        <f>Quantity_Sheet!H311</f>
        <v>0</v>
      </c>
      <c r="E310" s="5">
        <f>rate_829</f>
        <v>354.87</v>
      </c>
      <c r="F310" s="9"/>
      <c r="G310" s="10">
        <f t="shared" si="4"/>
        <v>0</v>
      </c>
    </row>
    <row r="311" spans="1:7" ht="63" x14ac:dyDescent="0.25">
      <c r="A311" s="3">
        <v>299</v>
      </c>
      <c r="B311" s="7" t="str">
        <f>description_830 &amp;  " [ 2713 ]"</f>
        <v>Painting of Steel Bridge, Providing and painting steel bridge including removal of old paints by sand blasting cleaning and repairing of metal surfaces for the application of new paints as per specification and direction of the Engineer. [ 2713 ]</v>
      </c>
      <c r="C311" s="3" t="s">
        <v>438</v>
      </c>
      <c r="D311" s="3">
        <f>Quantity_Sheet!H312</f>
        <v>0</v>
      </c>
      <c r="E311" s="5">
        <f>rate_830</f>
        <v>1433.71</v>
      </c>
      <c r="F311" s="9"/>
      <c r="G311" s="10">
        <f t="shared" si="4"/>
        <v>0</v>
      </c>
    </row>
    <row r="312" spans="1:7" ht="31.5" x14ac:dyDescent="0.25">
      <c r="A312" s="3">
        <v>300</v>
      </c>
      <c r="B312" s="7" t="str">
        <f>description_831 &amp;  " [ 2713 ]"</f>
        <v>Providing and Painting of steel bridges with one coat of primer, one coat of epoxy and 2 coats of acrylic polyurethane as per specification. [ 2713 ]</v>
      </c>
      <c r="C312" s="3" t="s">
        <v>438</v>
      </c>
      <c r="D312" s="3">
        <f>Quantity_Sheet!H313</f>
        <v>0</v>
      </c>
      <c r="E312" s="5" t="e">
        <f>rate_831</f>
        <v>#REF!</v>
      </c>
      <c r="F312" s="9"/>
      <c r="G312" s="10" t="e">
        <f t="shared" si="4"/>
        <v>#REF!</v>
      </c>
    </row>
    <row r="313" spans="1:7" ht="47.25" x14ac:dyDescent="0.25">
      <c r="A313" s="3">
        <v>301</v>
      </c>
      <c r="B313" s="7" t="str">
        <f>description_832 &amp;  " [ 2713 ]"</f>
        <v>Providing and painting of steel bridges with one coat of primer, one coat of epoxy and 2 coats of acrylic polyurethane, without sprayer machine as per specification [ 2713 ]</v>
      </c>
      <c r="C313" s="3" t="s">
        <v>438</v>
      </c>
      <c r="D313" s="3">
        <f>Quantity_Sheet!H314</f>
        <v>0</v>
      </c>
      <c r="E313" s="5" t="e">
        <f>rate_832</f>
        <v>#REF!</v>
      </c>
      <c r="F313" s="9"/>
      <c r="G313" s="10" t="e">
        <f t="shared" si="4"/>
        <v>#REF!</v>
      </c>
    </row>
    <row r="314" spans="1:7" ht="47.25" x14ac:dyDescent="0.25">
      <c r="A314" s="3">
        <v>302</v>
      </c>
      <c r="B314" s="7" t="str">
        <f>description_934 &amp;  " [ 2902 ]"</f>
        <v>Maintenance,Carryout Routine ( regular maintenance) of Black top/ Gravel  road in plain area (  Terai) as per Technical Specifications and direction of the Engineer, [ 2902 ]</v>
      </c>
      <c r="C314" s="3" t="s">
        <v>2028</v>
      </c>
      <c r="D314" s="3">
        <f>Quantity_Sheet!H315</f>
        <v>0</v>
      </c>
      <c r="E314" s="5">
        <f>rate_934</f>
        <v>343.97</v>
      </c>
      <c r="F314" s="9"/>
      <c r="G314" s="10">
        <f t="shared" si="4"/>
        <v>0</v>
      </c>
    </row>
    <row r="315" spans="1:7" ht="47.25" x14ac:dyDescent="0.25">
      <c r="A315" s="3">
        <v>303</v>
      </c>
      <c r="B315" s="7" t="str">
        <f>description_935 &amp;  " [ 2902 ]"</f>
        <v>Maintenance, Carryout Routine ( regular maintenance) of Black top/ Gravel  road in Hilly area as per Technical Specifications and direction of the Engineer, [ 2902 ]</v>
      </c>
      <c r="C315" s="3" t="s">
        <v>2028</v>
      </c>
      <c r="D315" s="3">
        <f>Quantity_Sheet!H316</f>
        <v>0</v>
      </c>
      <c r="E315" s="5">
        <f>rate_935</f>
        <v>511.7</v>
      </c>
      <c r="F315" s="9"/>
      <c r="G315" s="10">
        <f t="shared" si="4"/>
        <v>0</v>
      </c>
    </row>
    <row r="316" spans="1:7" ht="47.25" x14ac:dyDescent="0.25">
      <c r="A316" s="3">
        <v>304</v>
      </c>
      <c r="B316" s="7" t="str">
        <f>description_936 &amp;  " [ 2900 ]"</f>
        <v>Maintenance, Carryout Routine ( regular maintenance) of Black top/ Gravel  road in Hilly area as per Technical Specifications and direction of the Engineer, [ 2900 ]</v>
      </c>
      <c r="C316" s="3" t="s">
        <v>2031</v>
      </c>
      <c r="D316" s="3">
        <f>Quantity_Sheet!H317</f>
        <v>0</v>
      </c>
      <c r="E316" s="5" t="e">
        <f>rate_936</f>
        <v>#REF!</v>
      </c>
      <c r="F316" s="9"/>
      <c r="G316" s="10" t="e">
        <f t="shared" si="4"/>
        <v>#REF!</v>
      </c>
    </row>
    <row r="317" spans="1:7" ht="31.5" x14ac:dyDescent="0.25">
      <c r="A317" s="3">
        <v>305</v>
      </c>
      <c r="B317" s="7" t="str">
        <f>description_937 &amp;  " [ 2909 ]"</f>
        <v>Restoration of Rain Cuts. Providing and restoration of rain cuts in embankment slopes as per specification and direction of the Engineer. [ 2909 ]</v>
      </c>
      <c r="C317" s="3" t="s">
        <v>84</v>
      </c>
      <c r="D317" s="3">
        <f>Quantity_Sheet!H318</f>
        <v>0</v>
      </c>
      <c r="E317" s="5">
        <f>rate_937</f>
        <v>949.61</v>
      </c>
      <c r="F317" s="9"/>
      <c r="G317" s="10">
        <f t="shared" si="4"/>
        <v>0</v>
      </c>
    </row>
    <row r="318" spans="1:7" ht="63" x14ac:dyDescent="0.25">
      <c r="A318" s="3">
        <v>306</v>
      </c>
      <c r="B318" s="7" t="str">
        <f>description_938 &amp;  " [ 2909 ]"</f>
        <v>Providing and restoration of rain cuts with surrounding  material benching for 300 mm width, laying fresh Material in layers not exceeding 250 mm and compacting to restore the original alignment, levels and slopes as per Technical Specification and direction of the Engineer.Manual means [ 2909 ]</v>
      </c>
      <c r="C318" s="3" t="s">
        <v>84</v>
      </c>
      <c r="D318" s="3">
        <f>Quantity_Sheet!H319</f>
        <v>0</v>
      </c>
      <c r="E318" s="5" t="e">
        <f>rate_938</f>
        <v>#REF!</v>
      </c>
      <c r="F318" s="9"/>
      <c r="G318" s="10" t="e">
        <f t="shared" si="4"/>
        <v>#REF!</v>
      </c>
    </row>
    <row r="319" spans="1:7" ht="78.75" x14ac:dyDescent="0.25">
      <c r="A319" s="3">
        <v>307</v>
      </c>
      <c r="B319" s="7" t="str">
        <f>description_943 &amp;  " [ 2903 ]"</f>
        <v>Maintenance of bituminous surface road with Emulsion, Providing required material and repair to pot holes including removal of failed material, trimming the sides to vertical , leveling the bottom, cleaning, filled with 75 mm Bituminous macadam  applying bitumen /emulsion prime coat  and  tack coat  as per Technical Specifications and direction of the Engineer. [ 2903 ]</v>
      </c>
      <c r="C319" s="3" t="s">
        <v>84</v>
      </c>
      <c r="D319" s="3">
        <f>Quantity_Sheet!H320</f>
        <v>0</v>
      </c>
      <c r="E319" s="5">
        <f>rate_943</f>
        <v>20869.310000000001</v>
      </c>
      <c r="F319" s="9"/>
      <c r="G319" s="10">
        <f t="shared" si="4"/>
        <v>0</v>
      </c>
    </row>
    <row r="320" spans="1:7" ht="78.75" x14ac:dyDescent="0.25">
      <c r="A320" s="3">
        <v>308</v>
      </c>
      <c r="B320" s="7" t="str">
        <f>description_950 &amp;  " [ 2903 ]"</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5 mm thickness [ 2903 ]</v>
      </c>
      <c r="C320" s="3" t="s">
        <v>438</v>
      </c>
      <c r="D320" s="3">
        <f>Quantity_Sheet!H321</f>
        <v>0</v>
      </c>
      <c r="E320" s="5">
        <f>rate_950</f>
        <v>371.31</v>
      </c>
      <c r="F320" s="9"/>
      <c r="G320" s="10">
        <f t="shared" si="4"/>
        <v>0</v>
      </c>
    </row>
    <row r="321" spans="1:7" ht="78.75" x14ac:dyDescent="0.25">
      <c r="A321" s="3">
        <v>309</v>
      </c>
      <c r="B321" s="7" t="str">
        <f>description_951 &amp;  " [ 2903 ]"</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3 mm thickness [ 2903 ]</v>
      </c>
      <c r="C321" s="3" t="s">
        <v>438</v>
      </c>
      <c r="D321" s="3">
        <f>Quantity_Sheet!H322</f>
        <v>0</v>
      </c>
      <c r="E321" s="5">
        <f>rate_951</f>
        <v>10938.21</v>
      </c>
      <c r="F321" s="9"/>
      <c r="G321" s="10">
        <f t="shared" si="4"/>
        <v>0</v>
      </c>
    </row>
    <row r="322" spans="1:7" ht="78.75" x14ac:dyDescent="0.25">
      <c r="A322" s="3">
        <v>310</v>
      </c>
      <c r="B322" s="7" t="str">
        <f>description_952 &amp;  " [  ]"</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1.5 mm thickness [  ]</v>
      </c>
      <c r="C322" s="3" t="s">
        <v>438</v>
      </c>
      <c r="D322" s="3">
        <f>Quantity_Sheet!H323</f>
        <v>0</v>
      </c>
      <c r="E322" s="5">
        <f>rate_952</f>
        <v>698.58</v>
      </c>
      <c r="F322" s="9"/>
      <c r="G322" s="10">
        <f t="shared" si="4"/>
        <v>0</v>
      </c>
    </row>
    <row r="323" spans="1:7" ht="47.25" x14ac:dyDescent="0.25">
      <c r="A323" s="3">
        <v>311</v>
      </c>
      <c r="B323" s="7" t="str">
        <f>description_953 &amp;  " [ 2903 ]"</f>
        <v>Fog Spray, Providing and applying low viscosity bitumen emulsion for sealing cracks less than 3 mm wide or incipient fretting or disintegration in an existing bituminous surfacing. [ 2903 ]</v>
      </c>
      <c r="C323" s="3" t="s">
        <v>438</v>
      </c>
      <c r="D323" s="3">
        <f>Quantity_Sheet!H324</f>
        <v>0</v>
      </c>
      <c r="E323" s="5">
        <f>rate_953</f>
        <v>92.44</v>
      </c>
      <c r="F323" s="9"/>
      <c r="G323" s="10">
        <f t="shared" si="4"/>
        <v>0</v>
      </c>
    </row>
    <row r="324" spans="1:7" ht="63" x14ac:dyDescent="0.25">
      <c r="A324" s="3">
        <v>312</v>
      </c>
      <c r="B324" s="7" t="str">
        <f>description_954 &amp;  " [ 2903 ]"</f>
        <v>Fog Spray, Providing and applying low viscosity bitumen emulsion for sealing cracks less than 3 mm wide or incipient fretting or disintegration in an existing bituminous surfacing., In case it is decided by the engineer to blind the fog spray. [ 2903 ]</v>
      </c>
      <c r="C324" s="3" t="s">
        <v>438</v>
      </c>
      <c r="D324" s="3">
        <f>Quantity_Sheet!H325</f>
        <v>0</v>
      </c>
      <c r="E324" s="5">
        <f>rate_954</f>
        <v>111.73</v>
      </c>
      <c r="F324" s="9"/>
      <c r="G324" s="10">
        <f t="shared" si="4"/>
        <v>0</v>
      </c>
    </row>
    <row r="325" spans="1:7" ht="63" x14ac:dyDescent="0.25">
      <c r="A325" s="3">
        <v>313</v>
      </c>
      <c r="B325" s="7" t="str">
        <f>description_959 &amp;  " [ 2903 ]"</f>
        <v>Surface Dressing for maintenance works., Providing and laying surfacing dressing as wearing course in single coat using gravel of specified size for maintenance / repair works as per Technical Specification and instruction of the Engineer., :-19 mm nominal chipping size [ 2903 ]</v>
      </c>
      <c r="C325" s="3" t="s">
        <v>438</v>
      </c>
      <c r="D325" s="3">
        <f>Quantity_Sheet!H326</f>
        <v>0</v>
      </c>
      <c r="E325" s="5" t="e">
        <f>rate_959</f>
        <v>#REF!</v>
      </c>
      <c r="F325" s="9"/>
      <c r="G325" s="10" t="e">
        <f t="shared" si="4"/>
        <v>#REF!</v>
      </c>
    </row>
    <row r="326" spans="1:7" ht="63" x14ac:dyDescent="0.25">
      <c r="A326" s="3">
        <v>314</v>
      </c>
      <c r="B326" s="7" t="str">
        <f>description_960 &amp;  " [ 2903 ]"</f>
        <v>Surface Dressing for maintenance works., Providing and laying surfacing dressing as wearing course in single coat using gravel of specified size for maintenance / repair works as per Technical Specification and instruction of the Engineer., 13 mm nominal size chipping [ 2903 ]</v>
      </c>
      <c r="C326" s="3" t="s">
        <v>438</v>
      </c>
      <c r="D326" s="3">
        <f>Quantity_Sheet!H327</f>
        <v>0</v>
      </c>
      <c r="E326" s="5" t="e">
        <f>rate_960</f>
        <v>#REF!</v>
      </c>
      <c r="F326" s="9"/>
      <c r="G326" s="10" t="e">
        <f t="shared" si="4"/>
        <v>#REF!</v>
      </c>
    </row>
    <row r="327" spans="1:7" ht="63" x14ac:dyDescent="0.25">
      <c r="A327" s="3">
        <v>315</v>
      </c>
      <c r="B327" s="7" t="str">
        <f>description_961 &amp;  " [ 2903 ]"</f>
        <v>Surface Dressing for maintenance works., Providing and laying surfacing dressing as wearing course in single coat using gravel of specified size for maintenance / repair works as per Technical Specification and instruction of the Engineer., 9.5 mm nominal size chipping [ 2903 ]</v>
      </c>
      <c r="C327" s="3" t="s">
        <v>438</v>
      </c>
      <c r="D327" s="3">
        <f>Quantity_Sheet!H328</f>
        <v>0</v>
      </c>
      <c r="E327" s="5" t="e">
        <f>rate_961</f>
        <v>#REF!</v>
      </c>
      <c r="F327" s="9"/>
      <c r="G327" s="10" t="e">
        <f t="shared" si="4"/>
        <v>#REF!</v>
      </c>
    </row>
    <row r="328" spans="1:7" ht="31.5" x14ac:dyDescent="0.25">
      <c r="A328" s="3">
        <v>316</v>
      </c>
      <c r="B328" s="7" t="str">
        <f>description_968 &amp;  " [ N/A ]"</f>
        <v>Carryout Routine using Labour based method for Local road as per direction of the Engineer,, District Road , Rural road class "A" [ N/A ]</v>
      </c>
      <c r="C328" s="3" t="s">
        <v>2044</v>
      </c>
      <c r="D328" s="3">
        <f>Quantity_Sheet!H329</f>
        <v>0</v>
      </c>
      <c r="E328" s="5" t="e">
        <f>rate_968</f>
        <v>#REF!</v>
      </c>
      <c r="F328" s="9"/>
      <c r="G328" s="10" t="e">
        <f t="shared" si="4"/>
        <v>#REF!</v>
      </c>
    </row>
    <row r="329" spans="1:7" ht="31.5" x14ac:dyDescent="0.25">
      <c r="A329" s="3">
        <v>317</v>
      </c>
      <c r="B329" s="7" t="str">
        <f>description_969 &amp;  " [ N/A ]"</f>
        <v>Carryout Routine using Labour based method for Local road as per direction of the Engineer,, Village Road , Rural road class "B" [ N/A ]</v>
      </c>
      <c r="C329" s="3" t="s">
        <v>2044</v>
      </c>
      <c r="D329" s="3">
        <f>Quantity_Sheet!H330</f>
        <v>0</v>
      </c>
      <c r="E329" s="5" t="e">
        <f>rate_969</f>
        <v>#REF!</v>
      </c>
      <c r="F329" s="9"/>
      <c r="G329" s="10" t="e">
        <f t="shared" si="4"/>
        <v>#REF!</v>
      </c>
    </row>
    <row r="330" spans="1:7" ht="31.5" x14ac:dyDescent="0.25">
      <c r="A330" s="3">
        <v>318</v>
      </c>
      <c r="B330" s="7" t="str">
        <f>description_970 &amp;  " [ N/A ]"</f>
        <v>Carryout Routine using Labour based method for Local road as per direction of the Engineer,, Main Trail  , Rural road Class "C" [ N/A ]</v>
      </c>
      <c r="C330" s="3"/>
      <c r="D330" s="3">
        <f>Quantity_Sheet!H331</f>
        <v>0</v>
      </c>
      <c r="E330" s="5" t="e">
        <f>rate_970</f>
        <v>#REF!</v>
      </c>
      <c r="F330" s="9"/>
      <c r="G330" s="10" t="e">
        <f t="shared" si="4"/>
        <v>#REF!</v>
      </c>
    </row>
    <row r="331" spans="1:7" ht="31.5" x14ac:dyDescent="0.25">
      <c r="A331" s="3">
        <v>319</v>
      </c>
      <c r="B331" s="7" t="str">
        <f>description_971 &amp;  " [ N/A ]"</f>
        <v>Carryout Routine using Labour based method for Local road as per direction of the Engineer,, Village Trail  , Rural road Class "D" [ N/A ]</v>
      </c>
      <c r="C331" s="3"/>
      <c r="D331" s="3">
        <f>Quantity_Sheet!H332</f>
        <v>0</v>
      </c>
      <c r="E331" s="5" t="e">
        <f>rate_971</f>
        <v>#REF!</v>
      </c>
      <c r="F331" s="9"/>
      <c r="G331" s="10" t="e">
        <f t="shared" si="4"/>
        <v>#REF!</v>
      </c>
    </row>
    <row r="332" spans="1:7" ht="31.5" x14ac:dyDescent="0.25">
      <c r="A332" s="3">
        <v>320</v>
      </c>
      <c r="B332" s="7" t="str">
        <f>description_1011 &amp;  " [ 3105 ]"</f>
        <v>Providing, fitting and fixing mild steel railing complete as per drawing and Technical Specification [ 3105 ]</v>
      </c>
      <c r="C332" s="3" t="s">
        <v>463</v>
      </c>
      <c r="D332" s="3">
        <f>Quantity_Sheet!H333</f>
        <v>0</v>
      </c>
      <c r="E332" s="5" t="e">
        <f>rate_1011</f>
        <v>#REF!</v>
      </c>
      <c r="F332" s="9"/>
      <c r="G332" s="10" t="e">
        <f t="shared" si="4"/>
        <v>#REF!</v>
      </c>
    </row>
    <row r="333" spans="1:7" ht="31.5" x14ac:dyDescent="0.25">
      <c r="A333" s="3">
        <v>321</v>
      </c>
      <c r="B333" s="7" t="str">
        <f>description_1012 &amp;  " [ N/A ]"</f>
        <v>Providing and fixing Drainage Spouts complete as per Drawing and Technical specifications. [ N/A ]</v>
      </c>
      <c r="C333" s="3" t="s">
        <v>1812</v>
      </c>
      <c r="D333" s="3">
        <f>Quantity_Sheet!H334</f>
        <v>0</v>
      </c>
      <c r="E333" s="5" t="e">
        <f>rate_1012</f>
        <v>#REF!</v>
      </c>
      <c r="F333" s="9"/>
      <c r="G333" s="10" t="e">
        <f t="shared" ref="G333:G338" si="5">D333 * E333</f>
        <v>#REF!</v>
      </c>
    </row>
    <row r="334" spans="1:7" ht="31.5" x14ac:dyDescent="0.25">
      <c r="A334" s="3">
        <v>322</v>
      </c>
      <c r="B334" s="7" t="str">
        <f>description_1013 &amp;  " [ 3103 ]"</f>
        <v>Filler joint, Providing &amp; fixing 2 mm thick corrugated copper plate in expansion joint complete as per drawing &amp; Technical Specification. [ 3103 ]</v>
      </c>
      <c r="C334" s="3" t="s">
        <v>75</v>
      </c>
      <c r="D334" s="3">
        <f>Quantity_Sheet!H335</f>
        <v>0</v>
      </c>
      <c r="E334" s="5" t="e">
        <f>rate_1013</f>
        <v>#REF!</v>
      </c>
      <c r="F334" s="9"/>
      <c r="G334" s="10" t="e">
        <f t="shared" si="5"/>
        <v>#REF!</v>
      </c>
    </row>
    <row r="335" spans="1:7" ht="31.5" x14ac:dyDescent="0.25">
      <c r="A335" s="3">
        <v>323</v>
      </c>
      <c r="B335" s="7" t="str">
        <f>description_1014 &amp;  " [  ]"</f>
        <v>, Providing &amp; fixing 20 mm thick compressible fiber board in expansion joint complete as per drawing &amp; Technical Specification. [  ]</v>
      </c>
      <c r="C335" s="3" t="s">
        <v>75</v>
      </c>
      <c r="D335" s="3">
        <f>Quantity_Sheet!H336</f>
        <v>0</v>
      </c>
      <c r="E335" s="5" t="e">
        <f>rate_1014</f>
        <v>#REF!</v>
      </c>
      <c r="F335" s="9"/>
      <c r="G335" s="10" t="e">
        <f t="shared" si="5"/>
        <v>#REF!</v>
      </c>
    </row>
    <row r="336" spans="1:7" ht="63" x14ac:dyDescent="0.25">
      <c r="A336" s="3">
        <v>324</v>
      </c>
      <c r="B336" s="7" t="str">
        <f>description_1015 &amp;  " [ N/A ]"</f>
        <v>, Providing and fixing in position 20 mm thick pre-moulded joint filler in expansion joint for fixed ends of simply supported spans not exceeding 10 m to cater for a horizontal movement upto 20 mm, covered with sealant complete as per Drawing and technical specifications. [ N/A ]</v>
      </c>
      <c r="C336" s="3" t="s">
        <v>75</v>
      </c>
      <c r="D336" s="3">
        <f>Quantity_Sheet!H337</f>
        <v>0</v>
      </c>
      <c r="E336" s="5" t="e">
        <f>rate_1015</f>
        <v>#REF!</v>
      </c>
      <c r="F336" s="9"/>
      <c r="G336" s="10" t="e">
        <f t="shared" si="5"/>
        <v>#REF!</v>
      </c>
    </row>
    <row r="337" spans="1:7" ht="78.75" x14ac:dyDescent="0.25">
      <c r="A337" s="3">
        <v>325</v>
      </c>
      <c r="B337" s="7" t="str">
        <f>description_1018 &amp;  " [ 3105 ]"</f>
        <v>Tubular Steel Railing on Medium Weight Steel Channel ( ISMC series) 100 mm x 50 mm, Providing, fixing and erecting 50 mm dia steel pipe railing in 3 rows duly painted on medium weight steel channels (ISMC series) 100 mm x 50 mm, 1.2 metres high above ground, 2 m center to center, complete as per Drawing and Technical specifications. [ 3105 ]</v>
      </c>
      <c r="C337" s="3" t="s">
        <v>75</v>
      </c>
      <c r="D337" s="3">
        <f>Quantity_Sheet!H338</f>
        <v>0</v>
      </c>
      <c r="E337" s="5" t="e">
        <f>rate_1018</f>
        <v>#REF!</v>
      </c>
      <c r="F337" s="9"/>
      <c r="G337" s="10" t="e">
        <f t="shared" si="5"/>
        <v>#REF!</v>
      </c>
    </row>
    <row r="338" spans="1:7" ht="78.75" x14ac:dyDescent="0.25">
      <c r="A338" s="3">
        <v>326</v>
      </c>
      <c r="B338" s="7" t="str">
        <f>description_1019 &amp;  " [ 3105 ]"</f>
        <v>Tubular Steel Railing on Precast RCC Posts, 1.2 m High Above Ground Level, Providing, fencing and erecting 50 mm dia painted steel pipe railing in 3 rows on precast M 20 grade RCC vertical posts 1.8 metres high (1.2 m above GL) with 3 holes 50 mm dia for pipe, fixed 2 metres center to, complete as per Drawing and Technical Specifications. [ 3105 ]</v>
      </c>
      <c r="C338" s="3" t="s">
        <v>75</v>
      </c>
      <c r="D338" s="3">
        <f>Quantity_Sheet!H339</f>
        <v>0</v>
      </c>
      <c r="E338" s="5" t="e">
        <f>rate_1019</f>
        <v>#REF!</v>
      </c>
      <c r="F338" s="9"/>
      <c r="G338" s="10" t="e">
        <f t="shared" si="5"/>
        <v>#REF!</v>
      </c>
    </row>
    <row r="339" spans="1:7" ht="15.75" x14ac:dyDescent="0.25">
      <c r="A339" s="419"/>
      <c r="B339" s="419"/>
      <c r="C339" s="419"/>
      <c r="D339" s="419"/>
      <c r="E339" s="419"/>
      <c r="F339" s="419"/>
    </row>
    <row r="340" spans="1:7" x14ac:dyDescent="0.25">
      <c r="A340" s="422" t="s">
        <v>2073</v>
      </c>
      <c r="B340" s="422"/>
      <c r="C340" s="422"/>
      <c r="D340" s="422"/>
      <c r="E340" s="422"/>
      <c r="F340" s="422"/>
    </row>
    <row r="341" spans="1:7" x14ac:dyDescent="0.25">
      <c r="A341" s="422" t="s">
        <v>2074</v>
      </c>
      <c r="B341" s="422"/>
      <c r="C341" s="422"/>
      <c r="D341" s="422"/>
      <c r="E341" s="422"/>
      <c r="F341" s="422"/>
    </row>
    <row r="342" spans="1:7" x14ac:dyDescent="0.25">
      <c r="A342" s="422" t="s">
        <v>2075</v>
      </c>
      <c r="B342" s="422"/>
      <c r="C342" s="422"/>
      <c r="D342" s="422"/>
      <c r="E342" s="422"/>
      <c r="F342" s="422"/>
    </row>
    <row r="345" spans="1:7" ht="15.75" x14ac:dyDescent="0.25">
      <c r="A345" s="4" t="s">
        <v>2076</v>
      </c>
      <c r="F345" s="8" t="s">
        <v>2080</v>
      </c>
      <c r="G345" s="1"/>
    </row>
    <row r="346" spans="1:7" ht="31.5" x14ac:dyDescent="0.25">
      <c r="B346" s="13" t="s">
        <v>2077</v>
      </c>
      <c r="F346" s="8" t="s">
        <v>2081</v>
      </c>
      <c r="G346" s="1"/>
    </row>
    <row r="347" spans="1:7" ht="47.25" x14ac:dyDescent="0.25">
      <c r="B347" s="13" t="s">
        <v>2078</v>
      </c>
      <c r="F347" s="8" t="s">
        <v>2082</v>
      </c>
      <c r="G347" s="1"/>
    </row>
    <row r="348" spans="1:7" ht="31.5" x14ac:dyDescent="0.25">
      <c r="B348" s="13" t="s">
        <v>2079</v>
      </c>
      <c r="F348" s="8" t="s">
        <v>2083</v>
      </c>
      <c r="G348" s="1"/>
    </row>
    <row r="349" spans="1:7" x14ac:dyDescent="0.25">
      <c r="F349" s="8" t="s">
        <v>2084</v>
      </c>
      <c r="G349" s="1"/>
    </row>
    <row r="350" spans="1:7" x14ac:dyDescent="0.25">
      <c r="F350" s="8" t="s">
        <v>2085</v>
      </c>
      <c r="G350" s="1"/>
    </row>
  </sheetData>
  <mergeCells count="14">
    <mergeCell ref="A339:F339"/>
    <mergeCell ref="A340:F340"/>
    <mergeCell ref="A341:F341"/>
    <mergeCell ref="A342:F342"/>
    <mergeCell ref="A6:G6"/>
    <mergeCell ref="A7:B7"/>
    <mergeCell ref="A8:B8"/>
    <mergeCell ref="A9:B9"/>
    <mergeCell ref="A10:B10"/>
    <mergeCell ref="A1:G1"/>
    <mergeCell ref="A2:G2"/>
    <mergeCell ref="A3:G3"/>
    <mergeCell ref="A4:G4"/>
    <mergeCell ref="A5:G5"/>
  </mergeCells>
  <conditionalFormatting sqref="A12:G339">
    <cfRule type="containsBlanks" dxfId="1" priority="1">
      <formula>LEN(TRIM(A12))=0</formula>
    </cfRule>
  </conditionalFormatting>
  <pageMargins left="0.5" right="0.5" top="0.5" bottom="0.5" header="0.3" footer="0.3"/>
  <pageSetup paperSize="9" scale="75" fitToHeight="0" orientation="landscape" useFirstPageNumber="1" r:id="rId1"/>
  <headerFooter>
    <oddHeader>&amp;L Bill of Quantities &amp;R Page &amp;P of &amp;N</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8"/>
  <sheetViews>
    <sheetView workbookViewId="0"/>
  </sheetViews>
  <sheetFormatPr defaultRowHeight="15" x14ac:dyDescent="0.25"/>
  <cols>
    <col min="1" max="1" width="15.7109375" customWidth="1"/>
    <col min="2" max="4" width="10.7109375" customWidth="1"/>
    <col min="5" max="7" width="20.7109375" customWidth="1"/>
    <col min="8" max="8" width="60.7109375" customWidth="1"/>
    <col min="9" max="11" width="8.7109375" customWidth="1"/>
  </cols>
  <sheetData>
    <row r="1" spans="1:11" ht="63" x14ac:dyDescent="0.25">
      <c r="A1" s="4" t="s">
        <v>2086</v>
      </c>
      <c r="B1" s="4" t="s">
        <v>2087</v>
      </c>
      <c r="C1" s="4" t="s">
        <v>2088</v>
      </c>
      <c r="D1" s="4" t="s">
        <v>2089</v>
      </c>
      <c r="E1" s="4" t="s">
        <v>2090</v>
      </c>
      <c r="F1" s="4" t="s">
        <v>2091</v>
      </c>
      <c r="G1" s="4" t="s">
        <v>2092</v>
      </c>
      <c r="H1" s="4" t="s">
        <v>2093</v>
      </c>
      <c r="I1" s="4" t="s">
        <v>20</v>
      </c>
      <c r="J1" s="4" t="s">
        <v>21</v>
      </c>
      <c r="K1" s="4" t="s">
        <v>2094</v>
      </c>
    </row>
    <row r="2" spans="1:11" ht="47.25" x14ac:dyDescent="0.25">
      <c r="A2" s="2" t="s">
        <v>2095</v>
      </c>
      <c r="I2" s="7" t="s">
        <v>2096</v>
      </c>
      <c r="J2" s="10">
        <v>1</v>
      </c>
      <c r="K2" s="10">
        <v>1</v>
      </c>
    </row>
    <row r="3" spans="1:11" ht="31.5" x14ac:dyDescent="0.25">
      <c r="A3" s="2" t="s">
        <v>1721</v>
      </c>
      <c r="H3" s="7" t="str">
        <f>description_95</f>
        <v>Providing and installation of project signboards with size of 1.8 x 1.2 m as per specification  and instruction of engineer.</v>
      </c>
      <c r="I3" s="3" t="s">
        <v>49</v>
      </c>
      <c r="J3" s="10">
        <f>Quantity_Sheet!H14</f>
        <v>0</v>
      </c>
      <c r="K3" s="10">
        <f>rate_95</f>
        <v>17930.8</v>
      </c>
    </row>
    <row r="4" spans="1:11" ht="47.25" x14ac:dyDescent="0.25">
      <c r="H4" s="7" t="str">
        <f>description_1049</f>
        <v>Engineer's Facilities: Establishment and maintenance of office and site camp etc, and providing furniture and other facilities as directed by the Engineer.</v>
      </c>
      <c r="I4" s="3" t="s">
        <v>1724</v>
      </c>
      <c r="J4" s="10">
        <f>Quantity_Sheet!H15</f>
        <v>0</v>
      </c>
      <c r="K4" s="10" t="e">
        <f>rate_1049</f>
        <v>#REF!</v>
      </c>
    </row>
    <row r="5" spans="1:11" ht="126" x14ac:dyDescent="0.25">
      <c r="H5" s="7" t="str">
        <f>description_103</f>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
      <c r="I5" s="3" t="s">
        <v>438</v>
      </c>
      <c r="J5" s="10">
        <f>Quantity_Sheet!H16</f>
        <v>0</v>
      </c>
      <c r="K5" s="10">
        <f>rate_103</f>
        <v>6.42</v>
      </c>
    </row>
    <row r="6" spans="1:11" ht="110.25" x14ac:dyDescent="0.25">
      <c r="H6" s="7" t="str">
        <f>description_121</f>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Lime /Cement Concrete, By Mechanical Means, Cement Concrete Grade M-15 &amp; M-20</v>
      </c>
      <c r="I6" s="3" t="s">
        <v>84</v>
      </c>
      <c r="J6" s="10">
        <f>Quantity_Sheet!H17</f>
        <v>0</v>
      </c>
      <c r="K6" s="10">
        <f>rate_121</f>
        <v>2642.36</v>
      </c>
    </row>
    <row r="7" spans="1:11" ht="94.5" x14ac:dyDescent="0.25">
      <c r="H7" s="7" t="str">
        <f>description_124</f>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
      <c r="I7" s="3" t="s">
        <v>84</v>
      </c>
      <c r="J7" s="10">
        <f>Quantity_Sheet!H18</f>
        <v>0</v>
      </c>
      <c r="K7" s="10">
        <f>rate_124</f>
        <v>1817.35</v>
      </c>
    </row>
    <row r="8" spans="1:11" ht="110.25" x14ac:dyDescent="0.25">
      <c r="H8" s="7" t="str">
        <f>description_128</f>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Stone Masonry, Rubble stone masonry in cement mortar.</v>
      </c>
      <c r="I8" s="3" t="s">
        <v>84</v>
      </c>
      <c r="J8" s="10">
        <f>Quantity_Sheet!H19</f>
        <v>0</v>
      </c>
      <c r="K8" s="10">
        <f>rate_128</f>
        <v>1817.35</v>
      </c>
    </row>
    <row r="9" spans="1:11" ht="47.25" x14ac:dyDescent="0.25">
      <c r="H9" s="7" t="str">
        <f>description_245</f>
        <v>Providing, jointing and laying HDPE pipes with or without collar etc. complete in place as per Drawing and Technical Specifications., a) 110 mm/125 mm outer dia.</v>
      </c>
      <c r="I9" s="3" t="s">
        <v>75</v>
      </c>
      <c r="J9" s="10">
        <f>Quantity_Sheet!H20</f>
        <v>0</v>
      </c>
      <c r="K9" s="10">
        <f>rate_245</f>
        <v>849.12</v>
      </c>
    </row>
    <row r="10" spans="1:11" ht="47.25" x14ac:dyDescent="0.25">
      <c r="H10" s="7" t="str">
        <f>description_246</f>
        <v>Providing and Laying Reinforced cement concrete NP3 Flush jointed pipe for culverts including fixing with cement mortar 1:2 as per Drawing and Technical Specifications., 300 mm  internal dia.</v>
      </c>
      <c r="I10" s="3" t="s">
        <v>75</v>
      </c>
      <c r="J10" s="10">
        <f>Quantity_Sheet!H21</f>
        <v>0</v>
      </c>
      <c r="K10" s="10">
        <f>rate_246</f>
        <v>4266.76</v>
      </c>
    </row>
    <row r="11" spans="1:11" ht="47.25" x14ac:dyDescent="0.25">
      <c r="H11" s="7" t="str">
        <f>description_247</f>
        <v>Providing and Laying Reinforced cement concrete NP3 Flush jointed pipe for culverts including fixing with cement mortar 1:2 as per Drawing and Technical Specifications., 450 mm  internal dia.</v>
      </c>
      <c r="I11" s="3" t="s">
        <v>75</v>
      </c>
      <c r="J11" s="10">
        <f>Quantity_Sheet!H22</f>
        <v>0</v>
      </c>
      <c r="K11" s="10">
        <f>rate_247</f>
        <v>5934.21</v>
      </c>
    </row>
    <row r="12" spans="1:11" ht="47.25" x14ac:dyDescent="0.25">
      <c r="H12" s="7" t="str">
        <f>description_248</f>
        <v>Providing and Laying Reinforced cement concrete NP3 Flush jointed pipe for culverts including fixing with cement mortar 1:2 as per Drawing and Technical Specifications., 600 mm  internal dia.</v>
      </c>
      <c r="I12" s="3" t="s">
        <v>75</v>
      </c>
      <c r="J12" s="10">
        <f>Quantity_Sheet!H23</f>
        <v>0</v>
      </c>
      <c r="K12" s="10">
        <f>rate_248</f>
        <v>7992.65</v>
      </c>
    </row>
    <row r="13" spans="1:11" ht="47.25" x14ac:dyDescent="0.25">
      <c r="H13" s="7" t="str">
        <f>description_249</f>
        <v>Providing and Laying Reinforced cement concrete NP3 Flush jointed pipe for culverts including fixing with cement mortar 1:2 as per Drawing and Technical Specifications., 900 mm  internal dia.</v>
      </c>
      <c r="I13" s="3" t="s">
        <v>75</v>
      </c>
      <c r="J13" s="10">
        <f>Quantity_Sheet!H24</f>
        <v>0</v>
      </c>
      <c r="K13" s="10">
        <f>rate_249</f>
        <v>14966.75</v>
      </c>
    </row>
    <row r="14" spans="1:11" ht="47.25" x14ac:dyDescent="0.25">
      <c r="H14" s="7" t="str">
        <f>description_250</f>
        <v>Providing and Laying Reinforced cement concrete NP3 Flush jointed pipe for culverts including fixing with cement mortar 1:2 as per Drawing and Technical Specifications., 1000 mm  internal dia.</v>
      </c>
      <c r="I14" s="3" t="s">
        <v>75</v>
      </c>
      <c r="J14" s="10">
        <f>Quantity_Sheet!H25</f>
        <v>0</v>
      </c>
      <c r="K14" s="10">
        <f>rate_250</f>
        <v>16776.59</v>
      </c>
    </row>
    <row r="15" spans="1:11" ht="47.25" x14ac:dyDescent="0.25">
      <c r="H15" s="7" t="str">
        <f>description_251</f>
        <v>Providing and Laying Reinforced cement concrete NP3 Flush jointed pipe for culverts including fixing with cement mortar 1:2 as per Drawing and Technical Specifications., 1200 mm  internal dia.</v>
      </c>
      <c r="I15" s="3" t="s">
        <v>75</v>
      </c>
      <c r="J15" s="10">
        <f>Quantity_Sheet!H26</f>
        <v>0</v>
      </c>
      <c r="K15" s="10">
        <f>rate_251</f>
        <v>20033.41</v>
      </c>
    </row>
    <row r="16" spans="1:11" ht="63" x14ac:dyDescent="0.25">
      <c r="H16" s="7" t="str">
        <f>description_252</f>
        <v>Providing and Laying Reinforced cement concrete NP3 Collar jointed pipe for culverts including fixing collar with cement mortar 1:2 as per Drawing and Technical Specifications., 300 mm internal dia.</v>
      </c>
      <c r="I16" s="3" t="s">
        <v>75</v>
      </c>
      <c r="J16" s="10">
        <f>Quantity_Sheet!H27</f>
        <v>0</v>
      </c>
      <c r="K16" s="10">
        <f>rate_252</f>
        <v>4554.8999999999996</v>
      </c>
    </row>
    <row r="17" spans="8:11" ht="63" x14ac:dyDescent="0.25">
      <c r="H17" s="7" t="str">
        <f>description_253</f>
        <v>Providing and Laying Reinforced cement concrete NP3 Collar jointed pipe for culverts including fixing collar with cement mortar 1:2 as per Drawing and Technical Specifications., 450 mm internal dia.</v>
      </c>
      <c r="I17" s="3" t="s">
        <v>75</v>
      </c>
      <c r="J17" s="10">
        <f>Quantity_Sheet!H28</f>
        <v>0</v>
      </c>
      <c r="K17" s="10">
        <f>rate_253</f>
        <v>6348.21</v>
      </c>
    </row>
    <row r="18" spans="8:11" ht="63" x14ac:dyDescent="0.25">
      <c r="H18" s="7" t="str">
        <f>description_254</f>
        <v>Providing and Laying Reinforced cement concrete NP3 Collar jointed pipe for culverts including fixing collar with cement mortar 1:2 as per Drawing and Technical Specifications., 600 mm internal dia.</v>
      </c>
      <c r="I18" s="3" t="s">
        <v>75</v>
      </c>
      <c r="J18" s="10">
        <f>Quantity_Sheet!H29</f>
        <v>0</v>
      </c>
      <c r="K18" s="10">
        <f>rate_254</f>
        <v>8415.85</v>
      </c>
    </row>
    <row r="19" spans="8:11" ht="63" x14ac:dyDescent="0.25">
      <c r="H19" s="7" t="str">
        <f>description_255</f>
        <v>Providing and Laying Reinforced cement concrete NP3 Collar jointed pipe for culverts including fixing collar with cement mortar 1:2 as per Drawing and Technical Specifications., 900 mm internal dia.</v>
      </c>
      <c r="I19" s="3" t="s">
        <v>75</v>
      </c>
      <c r="J19" s="10">
        <f>Quantity_Sheet!H30</f>
        <v>0</v>
      </c>
      <c r="K19" s="10">
        <f>rate_255</f>
        <v>16086.21</v>
      </c>
    </row>
    <row r="20" spans="8:11" ht="63" x14ac:dyDescent="0.25">
      <c r="H20" s="7" t="str">
        <f>description_256</f>
        <v>Providing and Laying Reinforced cement concrete NP3 Collar jointed pipe for culverts including fixing collar with cement mortar 1:2 as per Drawing and Technical Specifications., 1000 mm internal dia.</v>
      </c>
      <c r="I20" s="3" t="s">
        <v>75</v>
      </c>
      <c r="J20" s="10">
        <f>Quantity_Sheet!H31</f>
        <v>0</v>
      </c>
      <c r="K20" s="10">
        <f>rate_256</f>
        <v>18021.169999999998</v>
      </c>
    </row>
    <row r="21" spans="8:11" ht="63" x14ac:dyDescent="0.25">
      <c r="H21" s="7" t="str">
        <f>description_257</f>
        <v>Providing and Laying Reinforced cement concrete NP3 Collar jointed pipe for culverts including fixing collar with cement mortar 1:2 as per Drawing and Technical Specifications., 1200 mm internal dia.</v>
      </c>
      <c r="I21" s="3" t="s">
        <v>75</v>
      </c>
      <c r="J21" s="10">
        <f>Quantity_Sheet!H32</f>
        <v>0</v>
      </c>
      <c r="K21" s="10">
        <f>rate_257</f>
        <v>21515.41</v>
      </c>
    </row>
    <row r="22" spans="8:11" ht="78.75" x14ac:dyDescent="0.25">
      <c r="H22" s="7" t="str">
        <f>description_261</f>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
      <c r="I22" s="3" t="s">
        <v>84</v>
      </c>
      <c r="J22" s="10">
        <f>Quantity_Sheet!H33</f>
        <v>0</v>
      </c>
      <c r="K22" s="10">
        <f>rate_261</f>
        <v>861.23</v>
      </c>
    </row>
    <row r="23" spans="8:11" ht="78.75" x14ac:dyDescent="0.25">
      <c r="H23" s="7"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I23" s="3" t="s">
        <v>84</v>
      </c>
      <c r="J23" s="10">
        <f>Quantity_Sheet!H34</f>
        <v>0</v>
      </c>
      <c r="K23" s="10">
        <f>rate_262</f>
        <v>72.39</v>
      </c>
    </row>
    <row r="24" spans="8:11" ht="63" x14ac:dyDescent="0.25">
      <c r="H24" s="7" t="str">
        <f>description_263</f>
        <v>Earthwork Excavation in Cutting., Roadway Excavation in ordinary rock  by Manual Means ., Roadway Excavation  in ordinary rock as per Drawing and Technical specification, including all lift and lead  as per Drawing and instruction of the Engineer.</v>
      </c>
      <c r="I24" s="3" t="s">
        <v>84</v>
      </c>
      <c r="J24" s="10">
        <f>Quantity_Sheet!H35</f>
        <v>0</v>
      </c>
      <c r="K24" s="10">
        <f>rate_263</f>
        <v>996.66</v>
      </c>
    </row>
    <row r="25" spans="8:11" ht="63" x14ac:dyDescent="0.25">
      <c r="H25" s="7" t="str">
        <f>description_264</f>
        <v>Earthwork Excavation in Cutting., Roadway Excavation in ordinary rock by Mechanical  Means ., Roadway Excavation  in ordinary rock as per Drawing and Technical specification, including  all lift and lead  as per Drawing and instruction of the Engineer.</v>
      </c>
      <c r="I25" s="3" t="s">
        <v>84</v>
      </c>
      <c r="J25" s="10">
        <f>Quantity_Sheet!H36</f>
        <v>0</v>
      </c>
      <c r="K25" s="10">
        <f>rate_264</f>
        <v>217.18</v>
      </c>
    </row>
    <row r="26" spans="8:11" ht="78.75" x14ac:dyDescent="0.25">
      <c r="H26" s="7" t="str">
        <f>description_265</f>
        <v>Earthwork Excavation in Cutting., Roadway Excavation in Hard Rock, mechanical Drilling, Roadway Excavation in hard rock with mechanical  drilling, including  blasting and breaking, and disposal of cut road within all lifts and leads  as per Drawing and instruction of the Engineer.</v>
      </c>
      <c r="I26" s="3" t="s">
        <v>84</v>
      </c>
      <c r="J26" s="10">
        <f>Quantity_Sheet!H37</f>
        <v>0</v>
      </c>
      <c r="K26" s="10">
        <f>rate_265</f>
        <v>-536.95000000000005</v>
      </c>
    </row>
    <row r="27" spans="8:11" ht="63" x14ac:dyDescent="0.25">
      <c r="H27" s="7" t="str">
        <f>description_266</f>
        <v>Earthwork Excavation in Cutting., Excavation in Hard Rock, manual Drilling, Roadway  excavation in hard rock with manual drilling, blasting, breaking,   lifts and leads  all complete  as per Drawing and instruction of the Engineer.</v>
      </c>
      <c r="I27" s="3" t="s">
        <v>84</v>
      </c>
      <c r="J27" s="10">
        <f>Quantity_Sheet!H38</f>
        <v>0</v>
      </c>
      <c r="K27" s="10" t="e">
        <f>rate_266</f>
        <v>#REF!</v>
      </c>
    </row>
    <row r="28" spans="8:11" ht="78.75" x14ac:dyDescent="0.25">
      <c r="H28" s="7" t="str">
        <f>description_273</f>
        <v>Excavation for Structures Foundation, Earth work in excavation of foundation of structures, including  construction of shoring and bracing, removal of stumps and other deleterious matter and backfilling with approved Material as per Drawing and Technical Specifications., Ordinary soil by Manual Means, Depth upto 3 m</v>
      </c>
      <c r="I28" s="3" t="s">
        <v>84</v>
      </c>
      <c r="J28" s="10">
        <f>Quantity_Sheet!H39</f>
        <v>0</v>
      </c>
      <c r="K28" s="10">
        <f>rate_273</f>
        <v>1003.38</v>
      </c>
    </row>
    <row r="29" spans="8:11" ht="94.5" x14ac:dyDescent="0.25">
      <c r="H29" s="7" t="str">
        <f>description_276</f>
        <v>Excavation for Structures Foundation, Earth work in excavation of foundation of structures, including  construction of shoring and bracing, removal of stumps and other deleterious matter and backfilling with approved Material as per Drawing and Technical Specifications., Ordinary soil by Mechanical Means, Depth upto 3 m</v>
      </c>
      <c r="I29" s="3" t="s">
        <v>84</v>
      </c>
      <c r="J29" s="10">
        <f>Quantity_Sheet!H40</f>
        <v>0</v>
      </c>
      <c r="K29" s="10">
        <f>rate_276</f>
        <v>108.59</v>
      </c>
    </row>
    <row r="30" spans="8:11" ht="94.5" x14ac:dyDescent="0.25">
      <c r="H30" s="7" t="str">
        <f>description_277</f>
        <v>Excavation for Structures Foundation, Earth work in excavation of foundation of structures, including  construction of shoring and bracing, removal of stumps and other deleterious matter and backfilling with approved Material as per Drawing and Technical Specifications., Ordinary soil by Mechanical Means, Depth 3 m to 6 m</v>
      </c>
      <c r="I30" s="3" t="s">
        <v>84</v>
      </c>
      <c r="J30" s="10">
        <f>Quantity_Sheet!H41</f>
        <v>0</v>
      </c>
      <c r="K30" s="10">
        <f>rate_277</f>
        <v>124.1</v>
      </c>
    </row>
    <row r="31" spans="8:11" ht="94.5" x14ac:dyDescent="0.25">
      <c r="H31" s="7" t="str">
        <f>description_278</f>
        <v>Excavation for Structures Foundation, Earth work in excavation of foundation of structures, including  construction of shoring and bracing, removal of stumps and other deleterious matter and backfilling with approved Material as per Drawing and Technical Specifications., Ordinary soil by Mechanical Means, Depth above 6 m</v>
      </c>
      <c r="I31" s="3" t="s">
        <v>84</v>
      </c>
      <c r="J31" s="10">
        <f>Quantity_Sheet!H42</f>
        <v>0</v>
      </c>
      <c r="K31" s="10">
        <f>rate_278</f>
        <v>158.71</v>
      </c>
    </row>
    <row r="32" spans="8:11" ht="94.5" x14ac:dyDescent="0.25">
      <c r="H32" s="7" t="str">
        <f>description_280</f>
        <v>Excavation for Structures Foundation, Earth work in excavation of foundation of structures, including  construction of shoring and bracing, removal of stumps and other deleterious matter and backfilling with approved Material as per Drawing and Technical Specifications., Ordinary Rock (not requiring blasting) by Mechanical Means, Depth upto 3 m</v>
      </c>
      <c r="I32" s="3" t="s">
        <v>84</v>
      </c>
      <c r="J32" s="10">
        <f>Quantity_Sheet!H43</f>
        <v>0</v>
      </c>
      <c r="K32" s="10">
        <f>rate_280</f>
        <v>289.57</v>
      </c>
    </row>
    <row r="33" spans="8:11" ht="47.25" x14ac:dyDescent="0.25">
      <c r="H33" s="7" t="str">
        <f>description_289</f>
        <v>Construction of Embankment  with Material obtained from Borrow pits, Providing, laying, spreading and compacting embankment with borrow material as per Drawing and Technical Specifications.</v>
      </c>
      <c r="I33" s="3" t="s">
        <v>84</v>
      </c>
      <c r="J33" s="10">
        <f>Quantity_Sheet!H44</f>
        <v>0</v>
      </c>
      <c r="K33" s="10">
        <f>rate_289</f>
        <v>549.26</v>
      </c>
    </row>
    <row r="34" spans="8:11" ht="78.75" x14ac:dyDescent="0.25">
      <c r="H34" s="7" t="str">
        <f>description_291</f>
        <v>Construction of Embankment with Material Deposited from Roadway Cutting, Providing, laying, spreading and compacting embankment with roadway cutting  material  and compact to the required density as per Drawing and Technical Specifications. (With machine)</v>
      </c>
      <c r="I34" s="3" t="s">
        <v>84</v>
      </c>
      <c r="J34" s="10">
        <f>Quantity_Sheet!H45</f>
        <v>0</v>
      </c>
      <c r="K34" s="10">
        <f>rate_291</f>
        <v>326.76</v>
      </c>
    </row>
    <row r="35" spans="8:11" ht="47.25" x14ac:dyDescent="0.25">
      <c r="H35" s="7" t="str">
        <f>description_293</f>
        <v>Providing suitable material and Back filling behind abutment, wing wall and return wall complete as per Drawing and Technical Specifications., Granular Material</v>
      </c>
      <c r="I35" s="3" t="s">
        <v>84</v>
      </c>
      <c r="J35" s="10">
        <f>Quantity_Sheet!H46</f>
        <v>0</v>
      </c>
      <c r="K35" s="10">
        <f>rate_293</f>
        <v>1422.01</v>
      </c>
    </row>
    <row r="36" spans="8:11" ht="47.25" x14ac:dyDescent="0.25">
      <c r="H36" s="7" t="str">
        <f>description_294</f>
        <v>Providing suitable material and Back filling behind abutment, wing wall and return wall complete as per Drawing and Technical Specifications., Sandy Material</v>
      </c>
      <c r="I36" s="3" t="s">
        <v>84</v>
      </c>
      <c r="J36" s="10">
        <f>Quantity_Sheet!H47</f>
        <v>0</v>
      </c>
      <c r="K36" s="10">
        <f>rate_294</f>
        <v>5009.6499999999996</v>
      </c>
    </row>
    <row r="37" spans="8:11" ht="94.5" x14ac:dyDescent="0.25">
      <c r="H37" s="7" t="str">
        <f>description_297</f>
        <v>Providing and laying of Filter media with granular Material/stone crushed aggregates  to a thickness of not less than 600 mm with smaller size towards the soil and bigger size towards the wall and provided over the entire surface behind abutment, wing wall and return wall to the full height compacted to a firm condition complete as per drawing and Technical Specification.</v>
      </c>
      <c r="I37" s="3" t="s">
        <v>84</v>
      </c>
      <c r="J37" s="10">
        <f>Quantity_Sheet!H48</f>
        <v>0</v>
      </c>
      <c r="K37" s="10">
        <f>rate_297</f>
        <v>2014.18</v>
      </c>
    </row>
    <row r="38" spans="8:11" ht="47.25" x14ac:dyDescent="0.25">
      <c r="H38" s="7" t="str">
        <f>description_271</f>
        <v>Removal of Unserviceable Soil with Disposal upto 1000 meters, Removal of unserviceable soil including excavation, loading and disposal upto 1000 meters lead</v>
      </c>
      <c r="I38" s="3" t="s">
        <v>84</v>
      </c>
      <c r="J38" s="10">
        <f>Quantity_Sheet!H49</f>
        <v>0</v>
      </c>
      <c r="K38" s="10">
        <f>rate_271</f>
        <v>154.96</v>
      </c>
    </row>
    <row r="39" spans="8:11" ht="47.25" x14ac:dyDescent="0.25">
      <c r="H39" s="7" t="str">
        <f>description_270</f>
        <v>Earthwork Excavation in Cutting., Excavation in Marshy Soil, Roadway Excavation  in marshy soil  as per Drawing and Technical Specifications</v>
      </c>
      <c r="I39" s="3" t="s">
        <v>84</v>
      </c>
      <c r="J39" s="10">
        <f>Quantity_Sheet!H50</f>
        <v>0</v>
      </c>
      <c r="K39" s="10">
        <f>rate_270</f>
        <v>185.95</v>
      </c>
    </row>
    <row r="40" spans="8:11" ht="31.5" x14ac:dyDescent="0.25">
      <c r="H40" s="7" t="str">
        <f>description_298</f>
        <v>Providing and filling sand  in Foundation Trenches as per Drawing &amp; Technical Specification</v>
      </c>
      <c r="I40" s="3" t="s">
        <v>84</v>
      </c>
      <c r="J40" s="10">
        <f>Quantity_Sheet!H51</f>
        <v>0</v>
      </c>
      <c r="K40" s="10">
        <f>rate_298</f>
        <v>4621.3</v>
      </c>
    </row>
    <row r="41" spans="8:11" ht="63" x14ac:dyDescent="0.25">
      <c r="H41" s="7" t="str">
        <f>description_296</f>
        <v>Providing suitable material and Back filling behind abutment, wing wall and return wall complete as per Drawing and Technical Specifications., Locally available Material, with out watering and compaction by tamping rod</v>
      </c>
      <c r="I41" s="3" t="s">
        <v>84</v>
      </c>
      <c r="J41" s="10">
        <f>Quantity_Sheet!H52</f>
        <v>0</v>
      </c>
      <c r="K41" s="10">
        <f>rate_296</f>
        <v>472.5</v>
      </c>
    </row>
    <row r="42" spans="8:11" ht="63" x14ac:dyDescent="0.25">
      <c r="H42" s="7" t="str">
        <f>description_301</f>
        <v>Scarifying Existing road Surface to a depth of 50 mm by Mechanical Means, Scarifying the existing road surface to a depth of 50 mm and disposal of scarified Material with in all lifts and lead as per Drawing and Technical Specifications.</v>
      </c>
      <c r="I42" s="3" t="s">
        <v>438</v>
      </c>
      <c r="J42" s="10">
        <f>Quantity_Sheet!H53</f>
        <v>0</v>
      </c>
      <c r="K42" s="10">
        <f>rate_301</f>
        <v>24.54</v>
      </c>
    </row>
    <row r="43" spans="8:11" ht="63" x14ac:dyDescent="0.25">
      <c r="H43" s="7" t="str">
        <f>description_299</f>
        <v>Scarifying Existing road Surface to a Depth of 50 mm by
Manual Means, Scarifying the existing road surface to a depth of 50 mm and disposal of scarified Material with all lifts and leads as per Drawing and Technical Specifications.</v>
      </c>
      <c r="I43" s="3" t="s">
        <v>438</v>
      </c>
      <c r="J43" s="10">
        <f>Quantity_Sheet!H54</f>
        <v>0</v>
      </c>
      <c r="K43" s="10">
        <f>rate_299</f>
        <v>39.25</v>
      </c>
    </row>
    <row r="44" spans="8:11" ht="63" x14ac:dyDescent="0.25">
      <c r="H44" s="7" t="str">
        <f>description_302</f>
        <v>Scarifying Existing road Surface to a depth of 50 mm by Mechanical Means, Scarifying the existing bituminous road surface to a depth of 50 mm and disposal of scarified Material with in all lifts and lead as per Drawing and Technical Specifications.</v>
      </c>
      <c r="I44" s="3" t="s">
        <v>438</v>
      </c>
      <c r="J44" s="10">
        <f>Quantity_Sheet!H55</f>
        <v>0</v>
      </c>
      <c r="K44" s="10">
        <f>rate_302</f>
        <v>13.48</v>
      </c>
    </row>
    <row r="45" spans="8:11" ht="78.75" x14ac:dyDescent="0.25">
      <c r="H45" s="7" t="str">
        <f>description_303</f>
        <v>Construction of Subgrade and Earthen Shoulders with approved Material ( capping layer), Providing and laying sub-grade and earthen shoulders with approved Material obtained from borrow pits with all lifts &amp; leads as per Drawing and Technical Specifications.</v>
      </c>
      <c r="I45" s="3" t="s">
        <v>438</v>
      </c>
      <c r="J45" s="10">
        <f>Quantity_Sheet!H56</f>
        <v>0</v>
      </c>
      <c r="K45" s="10">
        <f>rate_303</f>
        <v>899.82</v>
      </c>
    </row>
    <row r="46" spans="8:11" ht="63" x14ac:dyDescent="0.25">
      <c r="H46" s="7" t="str">
        <f>description_304</f>
        <v>Compacting Original Ground, Compacting original ground supporting sub-grade, Loosening of the ground upto a level of 500 mm below the sub-grade level, watered, graded and compacted in layers as per Drawing and Technical Specifications.</v>
      </c>
      <c r="I46" s="3" t="s">
        <v>438</v>
      </c>
      <c r="J46" s="10">
        <f>Quantity_Sheet!H57</f>
        <v>0</v>
      </c>
      <c r="K46" s="10">
        <f>rate_304</f>
        <v>119.14</v>
      </c>
    </row>
    <row r="47" spans="8:11" ht="94.5" x14ac:dyDescent="0.25">
      <c r="H47" s="7" t="str">
        <f>description_305</f>
        <v>Compacting Original Ground, Compacting original ground supporting embankment, Loosening, leveling and Compacting original ground supporting embankment to facilitate placement of first layer of embankment, scarified to a depth of 150 mm, mixed with water at OMC and then compacted by rolling so as to achieve dry density as per Drawing and Technical Specifications.</v>
      </c>
      <c r="I47" s="3" t="s">
        <v>438</v>
      </c>
      <c r="J47" s="10">
        <f>Quantity_Sheet!H58</f>
        <v>0</v>
      </c>
      <c r="K47" s="10">
        <f>rate_305</f>
        <v>72.430000000000007</v>
      </c>
    </row>
    <row r="48" spans="8:11" ht="78.75" x14ac:dyDescent="0.25">
      <c r="H48" s="7" t="str">
        <f>description_306</f>
        <v>Lime Stabilization for Improving Sub-grade, Providing , laying and spreading available soil with 3 per cent slaked lime having minimum content of 70 per cent of CaO, mixing, grading and compacting at OMC to the desired density to form a layer of sub grade as per Drawing and Technical Specifications., By Mechanical Means</v>
      </c>
      <c r="I48" s="3" t="s">
        <v>438</v>
      </c>
      <c r="J48" s="10">
        <f>Quantity_Sheet!H59</f>
        <v>0</v>
      </c>
      <c r="K48" s="10">
        <f>rate_306</f>
        <v>694.75</v>
      </c>
    </row>
    <row r="49" spans="8:11" ht="47.25" x14ac:dyDescent="0.25">
      <c r="H49" s="7" t="str">
        <f>description_310</f>
        <v>Providing and laying of hand pack Stone soling with 150 to 200 mm thick stones and packing with smaller stone on prepared surface as per Drawing and Technical Specifications.</v>
      </c>
      <c r="I49" s="3" t="s">
        <v>1768</v>
      </c>
      <c r="J49" s="10">
        <f>Quantity_Sheet!H60</f>
        <v>0</v>
      </c>
      <c r="K49" s="10">
        <f>rate_310</f>
        <v>5273.36</v>
      </c>
    </row>
    <row r="50" spans="8:11" ht="63" x14ac:dyDescent="0.25">
      <c r="H50" s="7" t="str">
        <f>description_312</f>
        <v>Providing and laying  granular sub-base   on prepared surface, mixing  at OMC, and compacting  to achieve the desired density, complete as per Drawing and Technical Specifications., By Mechanical means</v>
      </c>
      <c r="I50" s="3" t="s">
        <v>84</v>
      </c>
      <c r="J50" s="10">
        <f>Quantity_Sheet!H61</f>
        <v>0</v>
      </c>
      <c r="K50" s="10">
        <f>rate_312</f>
        <v>3423.21</v>
      </c>
    </row>
    <row r="51" spans="8:11" ht="78.75" x14ac:dyDescent="0.25">
      <c r="H51" s="7" t="str">
        <f>description_315</f>
        <v>Providing, laying and spreading Material on a prepared sub grade, adding the designed quantity of cement to the spread Material, mixing in place , grading and compacting  at OMC to achieve the desired unconfined compressive strength and to form a layer of sub-base/base as per Drawing and Technical Specifications.</v>
      </c>
      <c r="I51" s="3" t="s">
        <v>84</v>
      </c>
      <c r="J51" s="10">
        <f>Quantity_Sheet!H62</f>
        <v>0</v>
      </c>
      <c r="K51" s="10">
        <f>rate_315</f>
        <v>5755.12</v>
      </c>
    </row>
    <row r="52" spans="8:11" ht="63" x14ac:dyDescent="0.25">
      <c r="H52" s="7" t="str">
        <f>description_326</f>
        <v>Providing and laying Crusher Run Macadam  on a prepared surface, spreading and mixing , watering and compacting  to  form a layer of sub-base/Base course as per Drawing and Technical Specifications., By Mix in Place Method</v>
      </c>
      <c r="I52" s="3" t="s">
        <v>84</v>
      </c>
      <c r="J52" s="10">
        <f>Quantity_Sheet!H63</f>
        <v>0</v>
      </c>
      <c r="K52" s="10">
        <f>rate_326</f>
        <v>4726.4399999999996</v>
      </c>
    </row>
    <row r="53" spans="8:11" ht="63" x14ac:dyDescent="0.25">
      <c r="H53" s="7" t="str">
        <f>description_327</f>
        <v>Providing and laying Crusher Run Macadam  on a prepared surface, spreading and mixing , watering and compacting  to  form a layer of sub-base/Base course as per Drawing and Technical Specifications., By Mix in Place Method</v>
      </c>
      <c r="I53" s="3" t="s">
        <v>84</v>
      </c>
      <c r="J53" s="10">
        <f>Quantity_Sheet!H64</f>
        <v>0</v>
      </c>
      <c r="K53" s="10">
        <f>rate_327</f>
        <v>5130.12</v>
      </c>
    </row>
    <row r="54" spans="8:11" ht="94.5" x14ac:dyDescent="0.25">
      <c r="H54" s="7" t="str">
        <f>description_2051</f>
        <v>Providing, laying, spreading and compacting graded stone aggregate to wet mix macadam specification including premixing the Material with water at OMC laying in uniform layers  in sub- base / base course on well prepared surface and compacting  to achieve required density as per Drawing and Technical Specifications., Sub Base course with S1 material, Vibratory Road Roller</v>
      </c>
      <c r="I54" s="3" t="s">
        <v>84</v>
      </c>
      <c r="J54" s="10">
        <f>Quantity_Sheet!H65</f>
        <v>0</v>
      </c>
      <c r="K54" s="10">
        <f>rate_2051</f>
        <v>5245.32</v>
      </c>
    </row>
    <row r="55" spans="8:11" ht="94.5" x14ac:dyDescent="0.25">
      <c r="H55" s="7" t="str">
        <f>description_2052</f>
        <v>Providing, laying, spreading and compacting graded stone aggregate to wet mix macadam specification including premixing the Material with water at OMC laying in uniform layers  in sub- base / base course on well prepared surface and compacting  to achieve required density as per Drawing and Technical Specifications., Sub Base course with S2 material, Vibratory Road Roller</v>
      </c>
      <c r="I55" s="3" t="s">
        <v>84</v>
      </c>
      <c r="J55" s="10">
        <f>Quantity_Sheet!H66</f>
        <v>0</v>
      </c>
      <c r="K55" s="10">
        <f>rate_2052</f>
        <v>5245.3</v>
      </c>
    </row>
    <row r="56" spans="8:11" ht="78.75" x14ac:dyDescent="0.25">
      <c r="H56" s="7" t="str">
        <f>description_331</f>
        <v>Providing and making  footpath/separator  of  150 mm compacted granular sub base and 25 mm thick cement concrete grade M 15, over laid with pre-cast concrete tiles in cement mortar 1:3 including provision of all drainage arrangements but excluding Kerb channel as per Drawing and Technical Specifications.</v>
      </c>
      <c r="I56" s="3" t="s">
        <v>84</v>
      </c>
      <c r="J56" s="10">
        <f>Quantity_Sheet!H67</f>
        <v>0</v>
      </c>
      <c r="K56" s="10">
        <f>rate_331</f>
        <v>1141.1400000000001</v>
      </c>
    </row>
    <row r="57" spans="8:11" ht="47.25" x14ac:dyDescent="0.25">
      <c r="H57" s="7" t="str">
        <f>description_328</f>
        <v>Providing and laying  Median and Island above road level with approved Material deposited including compacted as per Drawing and Specifications. ( using material from Roadway excavation).</v>
      </c>
      <c r="I57" s="3" t="s">
        <v>84</v>
      </c>
      <c r="J57" s="10">
        <f>Quantity_Sheet!H68</f>
        <v>0</v>
      </c>
      <c r="K57" s="10">
        <f>rate_328</f>
        <v>842.29</v>
      </c>
    </row>
    <row r="58" spans="8:11" ht="47.25" x14ac:dyDescent="0.25">
      <c r="H58" s="7" t="str">
        <f>description_329</f>
        <v>Providing and laying  Median and Island above road level with approved Material deposited including compacted as per Drawing and Specifications. ( using material from borrow area).</v>
      </c>
      <c r="I58" s="3" t="s">
        <v>84</v>
      </c>
      <c r="J58" s="10">
        <f>Quantity_Sheet!H69</f>
        <v>0</v>
      </c>
      <c r="K58" s="10">
        <f>rate_329</f>
        <v>912.36</v>
      </c>
    </row>
    <row r="59" spans="8:11" ht="94.5" x14ac:dyDescent="0.25">
      <c r="H59" s="7" t="str">
        <f>description_340</f>
        <v>Prime Coat, Prime Coat, with MC 30 / 70  by Mechanical Means, Providing and applying prime coat with Hot Bitumen ( including cutter) on prepared surface of granular base including cleaning of road surface and spraying by mechanical means as per Technical Specification ., Bitumen ( cutback) MC 30 ( for stabilized soil base/ crusher run macadam)</v>
      </c>
      <c r="I59" s="3" t="s">
        <v>1133</v>
      </c>
      <c r="J59" s="10">
        <f>Quantity_Sheet!H70</f>
        <v>0</v>
      </c>
      <c r="K59" s="10">
        <f>rate_340</f>
        <v>154.06</v>
      </c>
    </row>
    <row r="60" spans="8:11" ht="78.75" x14ac:dyDescent="0.25">
      <c r="H60" s="7" t="str">
        <f>description_343</f>
        <v xml:space="preserve">, Prime Coat,  with Emulsion by Mechanical Means, Providing and applying primer coat with Bitumen emulsion  on prepared surface of granular base including cleaning of road surface and spraying primer at  specified  rate  using mechanical means as per Technical Specification . </v>
      </c>
      <c r="I60" s="3" t="s">
        <v>1133</v>
      </c>
      <c r="J60" s="10">
        <f>Quantity_Sheet!H71</f>
        <v>0</v>
      </c>
      <c r="K60" s="10">
        <f>rate_343</f>
        <v>129.47</v>
      </c>
    </row>
    <row r="61" spans="8:11" ht="63" x14ac:dyDescent="0.25">
      <c r="H61" s="7" t="str">
        <f>description_345</f>
        <v>Tack Coat, Tack coat with Bitumen By Mechanical Means, Providing and applying tack coat with hot  Bitumen  at specified rate on the prepared non-bituminous surfaces including cleaning as per Technical Speciation .</v>
      </c>
      <c r="I61" s="3" t="s">
        <v>1133</v>
      </c>
      <c r="J61" s="10">
        <f>Quantity_Sheet!H72</f>
        <v>0</v>
      </c>
      <c r="K61" s="10">
        <f>rate_345</f>
        <v>143.07</v>
      </c>
    </row>
    <row r="62" spans="8:11" ht="94.5" x14ac:dyDescent="0.25">
      <c r="H62" s="7" t="str">
        <f>description_350</f>
        <v>Bituminous Macadam, Providing and laying bituminous macadam with  hot mix plant  using crushed aggregates of  grading as per specification premixed with bituminous binder, laid over a previously prepared surface  as per Drawing and  Technical Specifications. , Grading I ( 40 mm nominal size ),  In case BM is laid over freshly laid tack coat</v>
      </c>
      <c r="I62" s="3" t="s">
        <v>84</v>
      </c>
      <c r="J62" s="10">
        <f>Quantity_Sheet!H73</f>
        <v>0</v>
      </c>
      <c r="K62" s="10">
        <f>rate_350</f>
        <v>17014.53</v>
      </c>
    </row>
    <row r="63" spans="8:11" ht="94.5" x14ac:dyDescent="0.25">
      <c r="H63" s="7" t="str">
        <f>description_352</f>
        <v>Bituminous Macadam, Providing and laying bituminous macadam with  hot mix plant  using crushed aggregates of  grading as per specification premixed with bituminous binder, laid over a previously prepared surface  as per Drawing and  Technical Specifications. , Grading II(19 mm nominal size),  In case BM is laid over freshly laid tack coat</v>
      </c>
      <c r="I63" s="3" t="s">
        <v>84</v>
      </c>
      <c r="J63" s="10">
        <f>Quantity_Sheet!H74</f>
        <v>0</v>
      </c>
      <c r="K63" s="10">
        <f>rate_352</f>
        <v>16999.45</v>
      </c>
    </row>
    <row r="64" spans="8:11" ht="78.75" x14ac:dyDescent="0.25">
      <c r="H64" s="7" t="str">
        <f>description_353</f>
        <v>Bituminous Penetration Macadam, Providing and laying penetration macadam over prepared Base by providing a layer of compacted crushed coarse aggregate with applications of bituminous binder and key aggregates as per Drawing and Technical Specifications., 50 mm thick</v>
      </c>
      <c r="I64" s="3" t="s">
        <v>438</v>
      </c>
      <c r="J64" s="10">
        <f>Quantity_Sheet!H75</f>
        <v>0</v>
      </c>
      <c r="K64" s="10">
        <f>rate_353</f>
        <v>711.17</v>
      </c>
    </row>
    <row r="65" spans="8:11" ht="78.75" x14ac:dyDescent="0.25">
      <c r="H65" s="7" t="str">
        <f>description_354</f>
        <v>Bituminous Penetration Macadam, Providing and laying  penetration macadam over prepared Base by providing a layer of compacted crushed coarse aggregate  with  applications of bituminous binder and key aggregates as per Drawing and Technical Specifications., 75 mm thick</v>
      </c>
      <c r="I65" s="3" t="s">
        <v>438</v>
      </c>
      <c r="J65" s="10">
        <f>Quantity_Sheet!H76</f>
        <v>0</v>
      </c>
      <c r="K65" s="10">
        <f>rate_354</f>
        <v>966.69</v>
      </c>
    </row>
    <row r="66" spans="8:11" ht="78.75" x14ac:dyDescent="0.25">
      <c r="H66" s="7" t="str">
        <f>description_2063</f>
        <v>Dense Graded Bituminous Macadam, Providing and laying dense bituminous macadam  using crushed aggregates of specified grading, premixed with bituminous binder and filler as per Drawing and Technical Specifications., Grading - I 40 mm (Nominal Size),  In case DBM is laid over freshly laid tack coat</v>
      </c>
      <c r="I66" s="3" t="s">
        <v>1786</v>
      </c>
      <c r="J66" s="10">
        <f>Quantity_Sheet!H77</f>
        <v>0</v>
      </c>
      <c r="K66" s="10">
        <f>rate_2063</f>
        <v>20395.400000000001</v>
      </c>
    </row>
    <row r="67" spans="8:11" ht="78.75" x14ac:dyDescent="0.25">
      <c r="H67" s="7" t="str">
        <f>description_2064</f>
        <v>Dense Graded Bituminous Macadam, Providing and laying dense bituminous macadam  using crushed aggregates of specified grading, premixed with bituminous binder and filler as per Drawing and Technical Specifications., Grading - II 19 mm (Nominal Size),  In case DBM is laid over freshly laid tack coat</v>
      </c>
      <c r="I67" s="3" t="s">
        <v>84</v>
      </c>
      <c r="J67" s="10">
        <f>Quantity_Sheet!H78</f>
        <v>0</v>
      </c>
      <c r="K67" s="10">
        <f>rate_2064</f>
        <v>20445.82</v>
      </c>
    </row>
    <row r="68" spans="8:11" ht="78.75" x14ac:dyDescent="0.25">
      <c r="H68" s="7" t="str">
        <f>description_2065</f>
        <v>Bituminous Concrete / Asphalt Concrete, Providing and laying Bituminous concrete/ Asphalt concrete   using crushed aggregates of specified grading, premixed with bituminous binder  and filler as per Drawing and Technical  Specifications, Grading - I-19 mm (Nominal Size), In case BC is laid over freshly laid tack coat</v>
      </c>
      <c r="I68" s="3" t="s">
        <v>84</v>
      </c>
      <c r="J68" s="10">
        <f>Quantity_Sheet!H79</f>
        <v>0</v>
      </c>
      <c r="K68" s="10">
        <f>rate_2065</f>
        <v>25127.759999999998</v>
      </c>
    </row>
    <row r="69" spans="8:11" ht="78.75" x14ac:dyDescent="0.25">
      <c r="H69" s="7" t="str">
        <f>description_2066</f>
        <v>Bituminous Concrete / Asphalt Concrete, Providing and laying Bituminous concrete/ Asphalt concrete   using crushed aggregates of specified grading, premixed with bituminous binder  and filler as per Drawing and Technical  Specifications, Grading - II-13 mm (Nominal Size),  In case BC is laid over freshly laid tack coat</v>
      </c>
      <c r="I69" s="3" t="s">
        <v>84</v>
      </c>
      <c r="J69" s="10">
        <f>Quantity_Sheet!H80</f>
        <v>0</v>
      </c>
      <c r="K69" s="10">
        <f>rate_2066</f>
        <v>25112.36</v>
      </c>
    </row>
    <row r="70" spans="8:11" ht="78.75" x14ac:dyDescent="0.25">
      <c r="H70" s="7" t="str">
        <f>description_363</f>
        <v>Surface Dressing, Providing and laying surface dressing as wearing course in single coat using gravel  of specified size on a recently applied layer of bituminous binder on prepared surface  as per Drawing and Technical Specifications., MECHANICAL MEANS, 19 mm nominal chipping size</v>
      </c>
      <c r="I70" s="3" t="s">
        <v>438</v>
      </c>
      <c r="J70" s="10">
        <f>Quantity_Sheet!H81</f>
        <v>0</v>
      </c>
      <c r="K70" s="10">
        <f>rate_363</f>
        <v>74.98</v>
      </c>
    </row>
    <row r="71" spans="8:11" ht="78.75" x14ac:dyDescent="0.25">
      <c r="H71" s="7" t="str">
        <f>description_364</f>
        <v>Surface Dressing, Providing and laying surface dressing as wearing course in single coat using gravel  of specified size on a recently applied layer of bituminous binder on prepared surface  as per Drawing and Technical Specifications., MECHANICAL MEANS, 13 mm nominal size chipping</v>
      </c>
      <c r="I71" s="3" t="s">
        <v>438</v>
      </c>
      <c r="J71" s="10">
        <f>Quantity_Sheet!H82</f>
        <v>0</v>
      </c>
      <c r="K71" s="10">
        <f>rate_364</f>
        <v>49.92</v>
      </c>
    </row>
    <row r="72" spans="8:11" ht="78.75" x14ac:dyDescent="0.25">
      <c r="H72" s="7" t="str">
        <f>description_365</f>
        <v>Surface Dressing, Providing and laying surface dressing as wearing course in single coat using gravel  of specified size on a recently applied layer of bituminous binder on prepared surface  as per Drawing and Technical Specifications., MECHANICAL MEANS, 10 mm nominal size chipping</v>
      </c>
      <c r="I72" s="3" t="s">
        <v>438</v>
      </c>
      <c r="J72" s="10">
        <f>Quantity_Sheet!H83</f>
        <v>0</v>
      </c>
      <c r="K72" s="10">
        <f>rate_365</f>
        <v>38.880000000000003</v>
      </c>
    </row>
    <row r="73" spans="8:11" ht="78.75" x14ac:dyDescent="0.25">
      <c r="H73" s="7" t="str">
        <f>description_366</f>
        <v>Surface Dressing, Providing and laying surface dressing as wearing course in single coat using gravel  of specified size on a recently applied layer of bituminous binder on prepared surface  as per Drawing and Technical Specifications., MECHANICAL MEANS, 6.0 mm nominal size chipping</v>
      </c>
      <c r="I73" s="3" t="s">
        <v>438</v>
      </c>
      <c r="J73" s="10">
        <f>Quantity_Sheet!H84</f>
        <v>0</v>
      </c>
      <c r="K73" s="10">
        <f>rate_366</f>
        <v>25.86</v>
      </c>
    </row>
    <row r="74" spans="8:11" ht="31.5" x14ac:dyDescent="0.25">
      <c r="H74" s="7" t="str">
        <f>description_376</f>
        <v>Seal Surfacing, Providing and laying seal coat sealing the voids in a bituminous surface as per Drawing and Technical Specifications.</v>
      </c>
      <c r="I74" s="3" t="s">
        <v>438</v>
      </c>
      <c r="J74" s="10">
        <f>Quantity_Sheet!H85</f>
        <v>0</v>
      </c>
      <c r="K74" s="10">
        <f>rate_376</f>
        <v>123.29</v>
      </c>
    </row>
    <row r="75" spans="8:11" ht="94.5" x14ac:dyDescent="0.25">
      <c r="H75" s="7" t="str">
        <f>description_377</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as per Drawing and Technical Specifications., 5 mm thickness</v>
      </c>
      <c r="I75" s="3" t="s">
        <v>438</v>
      </c>
      <c r="J75" s="10">
        <f>Quantity_Sheet!H86</f>
        <v>0</v>
      </c>
      <c r="K75" s="10">
        <f>rate_377</f>
        <v>157.94</v>
      </c>
    </row>
    <row r="76" spans="8:11" ht="94.5" x14ac:dyDescent="0.25">
      <c r="H76" s="7" t="str">
        <f>description_378</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as per Drawing and Technical Specifications., 3 mm thickness</v>
      </c>
      <c r="I76" s="3" t="s">
        <v>438</v>
      </c>
      <c r="J76" s="10">
        <f>Quantity_Sheet!H87</f>
        <v>0</v>
      </c>
      <c r="K76" s="10">
        <f>rate_378</f>
        <v>108.63</v>
      </c>
    </row>
    <row r="77" spans="8:11" ht="94.5" x14ac:dyDescent="0.25">
      <c r="H77" s="7" t="str">
        <f>description_379</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as per Drawing and Technical Specifications., 1.5 mm thickness</v>
      </c>
      <c r="I77" s="3" t="s">
        <v>438</v>
      </c>
      <c r="J77" s="10">
        <f>Quantity_Sheet!H88</f>
        <v>0</v>
      </c>
      <c r="K77" s="10">
        <f>rate_379</f>
        <v>65.44</v>
      </c>
    </row>
    <row r="78" spans="8:11" ht="63" x14ac:dyDescent="0.25">
      <c r="H78" s="7" t="str">
        <f>description_380</f>
        <v>Fog Spray, Providing and applying low viscosity bitumen emulsion for sealing cracks less than 3 mm wide or incipient fretting or disintegration in an existing bituminous surfacing as per Drawing and Technical Specifications.</v>
      </c>
      <c r="I78" s="3" t="s">
        <v>438</v>
      </c>
      <c r="J78" s="10">
        <f>Quantity_Sheet!H89</f>
        <v>0</v>
      </c>
      <c r="K78" s="10">
        <f>rate_380</f>
        <v>83.86</v>
      </c>
    </row>
    <row r="79" spans="8:11" ht="94.5" x14ac:dyDescent="0.25">
      <c r="H79" s="7" t="str">
        <f>description_382</f>
        <v xml:space="preserve">Bituminous Cold Mix ( Including Gravel Emulsion), Providing, laying and rolling of bituminous cold mix on prepared base consisting of a mixture of unheated mineral aggregate and emulsified or cutback bitumen, including mixing in a plant of suitable type as per Drawing and Technical Specifications., Using bitumen emulsion and 9.5 mm or 13.2 mm  size aggregate </v>
      </c>
      <c r="I79" s="3" t="s">
        <v>84</v>
      </c>
      <c r="J79" s="10">
        <f>Quantity_Sheet!H90</f>
        <v>0</v>
      </c>
      <c r="K79" s="10">
        <f>rate_382</f>
        <v>25212.91</v>
      </c>
    </row>
    <row r="80" spans="8:11" ht="94.5" x14ac:dyDescent="0.25">
      <c r="H80" s="7" t="str">
        <f>description_383</f>
        <v>Bituminous Cold Mix ( Including Gravel Emulsion), Providing, laying and rolling of bituminous cold mix on prepared base consisting of a mixture of unheated mineral aggregate and emulsified or cutback bitumen, including mixing in a plant of suitable type as per Drawing and Technical Specifications., Using bitumen emulsion and 19 mm or 26.5 mm nominal size aggregate</v>
      </c>
      <c r="I80" s="3" t="s">
        <v>84</v>
      </c>
      <c r="J80" s="10">
        <f>Quantity_Sheet!H91</f>
        <v>0</v>
      </c>
      <c r="K80" s="10">
        <f>rate_383</f>
        <v>25227.759999999998</v>
      </c>
    </row>
    <row r="81" spans="8:11" ht="94.5" x14ac:dyDescent="0.25">
      <c r="H81" s="7" t="str">
        <f>description_384</f>
        <v>Bituminous Cold Mix ( Including Gravel Emulsion), Providing, laying and rolling of bituminous cold mix on prepared base consisting of a mixture of unheated mineral aggregate and emulsified or cutback bitumen, including mixing in a plant of suitable type as per Drawing and Technical Specifications., Using cutback bitumen and 9.5 mm or 13.2 mm nominal size aggregate</v>
      </c>
      <c r="I81" s="3" t="s">
        <v>84</v>
      </c>
      <c r="J81" s="10">
        <f>Quantity_Sheet!H92</f>
        <v>0</v>
      </c>
      <c r="K81" s="10">
        <f>rate_384</f>
        <v>20024.48</v>
      </c>
    </row>
    <row r="82" spans="8:11" ht="94.5" x14ac:dyDescent="0.25">
      <c r="H82" s="7" t="str">
        <f>description_385</f>
        <v>Bituminous Cold Mix ( Including Gravel Emulsion), Providing, laying and rolling of bituminous cold mix on prepared base consisting of a mixture of unheated mineral aggregate and emulsified or cutback bitumen, including mixing in a plant of suitable type as per Drawing and Technical Specifications., Using cutback bitumen and 19 mm or 26.5 mm nominal size aggregate</v>
      </c>
      <c r="I82" s="3" t="s">
        <v>84</v>
      </c>
      <c r="J82" s="10">
        <f>Quantity_Sheet!H93</f>
        <v>0</v>
      </c>
      <c r="K82" s="10">
        <f>rate_385</f>
        <v>20036.36</v>
      </c>
    </row>
    <row r="83" spans="8:11" ht="31.5" x14ac:dyDescent="0.25">
      <c r="H83" s="7" t="str">
        <f>description_387</f>
        <v>Anti- Stripping agent,  Providing and mixing  of Anti stripping agent  as per Design/ direction of Engineer</v>
      </c>
      <c r="I83" s="3" t="s">
        <v>144</v>
      </c>
      <c r="J83" s="10">
        <f>Quantity_Sheet!H94</f>
        <v>0</v>
      </c>
      <c r="K83" s="10">
        <f>rate_387</f>
        <v>395.03</v>
      </c>
    </row>
    <row r="84" spans="8:11" ht="94.5" x14ac:dyDescent="0.25">
      <c r="H84" s="7" t="str">
        <f>description_394</f>
        <v>Mastic Asphalt, Providing and laying 25 mm thick mastic asphalt wearing course excluding prime coat with paving grade bitumen  including providing antiskid surface with bitumen pre-coated fine grained hard stone chipping  at an  spacing of 10 cm center to center in both directions all complete as per Drawing and Technical  specifications.</v>
      </c>
      <c r="I84" s="3" t="s">
        <v>438</v>
      </c>
      <c r="J84" s="10">
        <f>Quantity_Sheet!H95</f>
        <v>0</v>
      </c>
      <c r="K84" s="10">
        <f>rate_394</f>
        <v>1476.82</v>
      </c>
    </row>
    <row r="85" spans="8:11" ht="94.5" x14ac:dyDescent="0.25">
      <c r="H85" s="7" t="str">
        <f>description_395</f>
        <v>Precast Cement Concrete M 20 Kerb , Providing and laying of /20 precast  cement concrete Kerb  38 cm * 20 cm * 25  cm ( H*B*L)  with 12 mm thick 1:3 cement sand mortar bedding and joints including foundation excavation levelling but excluding foundation concrete for foundation or sand gravel material, all complete as per Drawing and Technical Specifications.</v>
      </c>
      <c r="I85" s="3" t="s">
        <v>75</v>
      </c>
      <c r="J85" s="10">
        <f>Quantity_Sheet!H96</f>
        <v>0</v>
      </c>
      <c r="K85" s="10">
        <f>rate_395</f>
        <v>1727.64</v>
      </c>
    </row>
    <row r="86" spans="8:11" ht="78.75" x14ac:dyDescent="0.25">
      <c r="H86" s="7" t="str">
        <f>description_396</f>
        <v>Cast in Situ Cement Concrete or natural stone block  for footpath, Providing and laying of precast / cast in situ  50 mm thick  cement concrete slab  footpath on 12 mm thick 1: 3 cement sand mortar over the prepared base, all complete as per Drawing and Technical Specifications.</v>
      </c>
      <c r="I86" s="3" t="s">
        <v>438</v>
      </c>
      <c r="J86" s="10">
        <f>Quantity_Sheet!H97</f>
        <v>0</v>
      </c>
      <c r="K86" s="10">
        <f>rate_396</f>
        <v>1519.35</v>
      </c>
    </row>
    <row r="87" spans="8:11" ht="47.25" x14ac:dyDescent="0.25">
      <c r="H87" s="7" t="str">
        <f>description_397</f>
        <v>, Providing and laying  25 mm thick  Natural stone  slab  footpath on 12 mm thick 1: 3 cement sand mortar over the prepared base, all complete as per specification.</v>
      </c>
      <c r="I87" s="3" t="s">
        <v>438</v>
      </c>
      <c r="J87" s="10">
        <f>Quantity_Sheet!H98</f>
        <v>0</v>
      </c>
      <c r="K87" s="10" t="e">
        <f>rate_397</f>
        <v>#REF!</v>
      </c>
    </row>
    <row r="88" spans="8:11" ht="110.25" x14ac:dyDescent="0.25">
      <c r="H88" s="7" t="str">
        <f>description_398</f>
        <v>Cast in Situ Cement Concrete  Kerb , Providing and laying cement concrete Kerb with top and bottom width 115 and 165 mm respectively, 250 mm high in M 20 grade PCC on M-10 grade foundation 150 mm thick, foundation having 50 mm projection beyond Kerb stone, Kerb stone laid with Kerb laying machine, foundation concrete laid manually, all complete as per Drawing and Technical Specifications.</v>
      </c>
      <c r="I88" s="3" t="s">
        <v>75</v>
      </c>
      <c r="J88" s="10">
        <f>Quantity_Sheet!H99</f>
        <v>0</v>
      </c>
      <c r="K88" s="10">
        <f>rate_398</f>
        <v>931.92</v>
      </c>
    </row>
    <row r="89" spans="8:11" ht="47.25" x14ac:dyDescent="0.25">
      <c r="H89" s="7" t="str">
        <f>description_400</f>
        <v>Brick work for footpath, Providing and laying  brick on edge  over  60 mm thick  sand bed in footpath including excavation sand bedding all complete as  per Drawing and Technical Specifications.</v>
      </c>
      <c r="I89" s="3" t="s">
        <v>438</v>
      </c>
      <c r="J89" s="10">
        <f>Quantity_Sheet!H100</f>
        <v>0</v>
      </c>
      <c r="K89" s="10">
        <f>rate_400</f>
        <v>1983.65</v>
      </c>
    </row>
    <row r="90" spans="8:11" ht="47.25" x14ac:dyDescent="0.25">
      <c r="H90" s="7" t="str">
        <f>description_401</f>
        <v>Brick work for footpath, Providing and laying   flat brick   over  60 mm thick  sand bed in footpath including excavation sand bedding all complete as  per specification.</v>
      </c>
      <c r="I90" s="3" t="s">
        <v>438</v>
      </c>
      <c r="J90" s="10">
        <f>Quantity_Sheet!H101</f>
        <v>0</v>
      </c>
      <c r="K90" s="10">
        <f>rate_401</f>
        <v>1230.95</v>
      </c>
    </row>
    <row r="91" spans="8:11" ht="126" x14ac:dyDescent="0.25">
      <c r="H91" s="7" t="str">
        <f>description_2088</f>
        <v>Non Reflective Traffic Signs, Providing and fixing of Non reflective warning, mandatory and informatory sign board of 2 mm thick MS Sheet with back support frame fixed on heavy 50 mm tube or Channel section of 75 mm X 40 mm firmly fixed to the ground by means of properly designed foundation with M 10/40 grade cement concrete 300 mm x 300 mm x 300 mm, l as per drawings and Technical Specification/ DOR Publication., Heavy Duty Steel Tube internal 50 mm dia., 80 mm * 60 mm rectangular</v>
      </c>
      <c r="I91" s="3" t="s">
        <v>1812</v>
      </c>
      <c r="J91" s="10">
        <f>Quantity_Sheet!H102</f>
        <v>0</v>
      </c>
      <c r="K91" s="10" t="e">
        <f>rate_2088</f>
        <v>#REF!</v>
      </c>
    </row>
    <row r="92" spans="8:11" ht="157.5" x14ac:dyDescent="0.25">
      <c r="H92" s="7" t="str">
        <f>description_2089</f>
        <v>Retro-Reflectorized Traffic Signs, Providing and fixing of retro- reflectorized warning, Regulatory and informatory sign as per specification clause 1501 made of high intensity grade sheeting , fixed over aluminum sheeting, 1.5 mm thick supported on a 50 mm internal dia steel tube or mild steel angle iron post 75 mm x 40 mm x 6 mm firmly fixed to the ground by means of properly designed foundation with M 10/40 grade cement concrete 30 cm x 30 cm , 30 cm below ground level or as per Drawing and Technical Specifications., 80 mm * 60 mm rectangular, Heavy Duty Steel Tube internal 50 mm dia.</v>
      </c>
      <c r="I92" s="3" t="s">
        <v>1812</v>
      </c>
      <c r="J92" s="10">
        <f>Quantity_Sheet!H103</f>
        <v>0</v>
      </c>
      <c r="K92" s="10" t="e">
        <f>rate_2089</f>
        <v>#REF!</v>
      </c>
    </row>
    <row r="93" spans="8:11" ht="110.25" x14ac:dyDescent="0.25">
      <c r="H93" s="7" t="str">
        <f>description_404</f>
        <v>Overhead Signs, Providing and erecting overhead signs with a corrosion resistant 2 mm thick aluminum alloy sheet reflectorized with micro prismatic retro-reflective type with vertical and lateral clearance as per drawing and installed as per Specification over a designed support system of aluminum alloy or galvanized steel trusses of sections and type as per structural design requirements , Drawing and Technical Specifications., Truss and Vertical Support</v>
      </c>
      <c r="I93" s="3" t="s">
        <v>35</v>
      </c>
      <c r="J93" s="10">
        <f>Quantity_Sheet!H104</f>
        <v>0</v>
      </c>
      <c r="K93" s="10" t="e">
        <f>rate_404</f>
        <v>#REF!</v>
      </c>
    </row>
    <row r="94" spans="8:11" ht="126" x14ac:dyDescent="0.25">
      <c r="H94" s="7" t="str">
        <f>description_405</f>
        <v>Overhead Signs, Providing and erecting overhead signs with a corrosion resistant 2 mm thick aluminum alloy sheet reflectorized with micro prismatic retro-reflective type with vertical and lateral clearance as per drawing and installed as per Specification over a designed support system of aluminum alloy or galvanized steel trusses of sections and type as per structural design requirements , Drawing and Technical Specifications., Aluminum Alloy Plate for Over Head Sign</v>
      </c>
      <c r="I94" s="3" t="s">
        <v>438</v>
      </c>
      <c r="J94" s="10">
        <f>Quantity_Sheet!H105</f>
        <v>0</v>
      </c>
      <c r="K94" s="10" t="e">
        <f>rate_405</f>
        <v>#REF!</v>
      </c>
    </row>
    <row r="95" spans="8:11" ht="63" x14ac:dyDescent="0.25">
      <c r="H95" s="7" t="str">
        <f>description_406</f>
        <v>Painting Two Coats on Concrete Surfaces, Providing and Painting two coats after filling the surface with synthetic enamel paint in all shades on concrete / plaster surfaces as per Drawing and Technical Specifications.</v>
      </c>
      <c r="I95" s="3" t="s">
        <v>438</v>
      </c>
      <c r="J95" s="10">
        <f>Quantity_Sheet!H106</f>
        <v>0</v>
      </c>
      <c r="K95" s="10">
        <f>rate_406</f>
        <v>1052.02</v>
      </c>
    </row>
    <row r="96" spans="8:11" ht="63" x14ac:dyDescent="0.25">
      <c r="H96" s="7" t="str">
        <f>description_407</f>
        <v>Painting Two Coats on Steel Surfaces, Providing and applying two coats of ready mix paint of approved brand on steel surface after through cleaning of surface to give an even shade as per Drawing and Technical Specifications.</v>
      </c>
      <c r="I96" s="3" t="s">
        <v>438</v>
      </c>
      <c r="J96" s="10">
        <f>Quantity_Sheet!H107</f>
        <v>0</v>
      </c>
      <c r="K96" s="10">
        <f>rate_407</f>
        <v>200.19</v>
      </c>
    </row>
    <row r="97" spans="8:11" ht="47.25" x14ac:dyDescent="0.25">
      <c r="H97" s="7" t="str">
        <f>description_408</f>
        <v>`, Providing and applying two coats of ready mix paint of approved brand on wood surface after thorough cleaning of surface to give an even shade as per Drawing and Technical Specifications.</v>
      </c>
      <c r="I97" s="3" t="s">
        <v>438</v>
      </c>
      <c r="J97" s="10">
        <f>Quantity_Sheet!H108</f>
        <v>0</v>
      </c>
      <c r="K97" s="10">
        <f>rate_408</f>
        <v>216.08</v>
      </c>
    </row>
    <row r="98" spans="8:11" ht="110.25" x14ac:dyDescent="0.25">
      <c r="H98" s="7" t="str">
        <f>description_409</f>
        <v>Painting Lines, Dashes, Arrows etc. on Roads in Two Coats, Providing required material and Painting lines, dashes, arrows etc. on roads in two coats on new work with ready mixed road marking paint conforming to NS 408/ IS 164 on bituminous surface, including cleaning the surface of all dirt, dust and other foreign matter, demarcation at site and traffic control as per Drawing and Technical Specifications., Over 10 cm in width</v>
      </c>
      <c r="I98" s="3" t="s">
        <v>438</v>
      </c>
      <c r="J98" s="10">
        <f>Quantity_Sheet!H109</f>
        <v>0</v>
      </c>
      <c r="K98" s="10">
        <f>rate_409</f>
        <v>395.5</v>
      </c>
    </row>
    <row r="99" spans="8:11" ht="110.25" x14ac:dyDescent="0.25">
      <c r="H99" s="7" t="str">
        <f>description_410</f>
        <v>Painting Lines, Dashes, Arrows etc. on Roads in Two Coats, Providing required material and Painting lines, dashes, arrows etc. on roads in two coats on new work with ready mixed road marking paint conforming to NS 408/ IS 164 on bituminous surface, including cleaning the surface of all dirt, dust and other foreign matter, demarcation at site and traffic control as per Drawing and Technical Specifications., Up to 10 cm in width</v>
      </c>
      <c r="I99" s="3" t="s">
        <v>438</v>
      </c>
      <c r="J99" s="10">
        <f>Quantity_Sheet!H110</f>
        <v>0</v>
      </c>
      <c r="K99" s="10">
        <f>rate_410</f>
        <v>395.5</v>
      </c>
    </row>
    <row r="100" spans="8:11" ht="110.25" x14ac:dyDescent="0.25">
      <c r="H100" s="7" t="str">
        <f>description_411</f>
        <v>Painting Lines, Dashes, Arrows etc. on Roads in Two Coats on Old Work, Providing required materials and Painting lines, dashes, arrows etc. on roads in two coats on old work with ready mixed road marking paint conforming to NS 408/ IS: 164 on bituminous surface, including cleaning the surface of all dirt, dust and other foreign matter, demarcation at site and traffic control as per Drawing and Technical Specifications., over 10 cm in width</v>
      </c>
      <c r="I100" s="3" t="s">
        <v>438</v>
      </c>
      <c r="J100" s="10">
        <f>Quantity_Sheet!H111</f>
        <v>0</v>
      </c>
      <c r="K100" s="10">
        <f>rate_411</f>
        <v>380.89</v>
      </c>
    </row>
    <row r="101" spans="8:11" ht="110.25" x14ac:dyDescent="0.25">
      <c r="H101" s="7" t="str">
        <f>description_412</f>
        <v>Painting Lines, Dashes, Arrows etc. on Roads in Two Coats on Old Work, Providing required materials and Painting lines, dashes, arrows etc. on roads in two coats on old work with ready mixed road marking paint conforming to NS 408/ IS: 164 on bituminous surface, including cleaning the surface of all dirt, dust and other foreign matter, demarcation at site and traffic control as per Drawing and Technical Specifications., Up to 10 cm in width</v>
      </c>
      <c r="I101" s="3" t="s">
        <v>438</v>
      </c>
      <c r="J101" s="10">
        <f>Quantity_Sheet!H112</f>
        <v>0</v>
      </c>
      <c r="K101" s="10">
        <f>rate_412</f>
        <v>380.89</v>
      </c>
    </row>
    <row r="102" spans="8:11" ht="110.25" x14ac:dyDescent="0.25">
      <c r="H102" s="7" t="str">
        <f>description_413</f>
        <v>Road Marking with Hot Applied Thermoplastic Compound with Reflectorizing Glass Beads on Bituminous Surface, On smooth surface (similar to Asphalt concrete and rigid pavement), Providing and laying of hot applied thermoplastic compound at least 2 mm thick including reflectorizing glass beads as per DOR Traffic sign manual/ Specifications .The finished surface to be level, uniform and free from streaks and holes.</v>
      </c>
      <c r="I102" s="3" t="s">
        <v>438</v>
      </c>
      <c r="J102" s="10">
        <f>Quantity_Sheet!H113</f>
        <v>0</v>
      </c>
      <c r="K102" s="10">
        <f>rate_413</f>
        <v>1606.55</v>
      </c>
    </row>
    <row r="103" spans="8:11" ht="110.25" x14ac:dyDescent="0.25">
      <c r="H103" s="7" t="str">
        <f>description_414</f>
        <v>Road Marking with Hot Applied Thermoplastic Compound with Reflectorizing Glass Beads on Bituminous Surface, On rough surface ( similar to surface dressing), Providing and laying of hot applied thermoplastic compound at least 2 mm thick including reflectorizing glass beads as per DOR Traffic sign manual/ Specifications .The finished surface to be level, uniform and free from streaks and holes.</v>
      </c>
      <c r="I103" s="3" t="s">
        <v>438</v>
      </c>
      <c r="J103" s="10">
        <f>Quantity_Sheet!H114</f>
        <v>0</v>
      </c>
      <c r="K103" s="10">
        <f>rate_414</f>
        <v>2753.83</v>
      </c>
    </row>
    <row r="104" spans="8:11" ht="173.25" x14ac:dyDescent="0.25">
      <c r="H104" s="7" t="str">
        <f>description_2101</f>
        <v>Providing and fixing of road stud 100x 100 mm, die-cast in aluminum, resistant to corrosive effect of salt and grit, fitted with lenses reflectors, installed in concrete or asphaltic surface by drilling hole 30 mm upto a depth of 60 mm and bedded in a suitable bituminous grout or epoxy mortar, all as per Specification clause 1505., Providing and fixing of road stud 100 x 100 mm, die-cast in aluminum, resistant to corrosive effect of salt and grit, fitted with lenses reflectors, installed in concrete or asphaltic surface by drilling hole 30 mm upto a depth of 60 mm and bedded in a suitable bituminous grout or epoxy mortar, all as per Drawing and Technical Specifications., Cats Eye</v>
      </c>
      <c r="I104" s="3" t="s">
        <v>1812</v>
      </c>
      <c r="J104" s="10">
        <f>Quantity_Sheet!H115</f>
        <v>0</v>
      </c>
      <c r="K104" s="10">
        <f>rate_2101</f>
        <v>1368.27</v>
      </c>
    </row>
    <row r="105" spans="8:11" ht="63" x14ac:dyDescent="0.25">
      <c r="H105" s="7" t="str">
        <f>description_2102</f>
        <v>Kilometer Stone, Providing and Fixing Reinforced cement concrete M 15 grade kilometer Post including painting and printing as per Standard Drawing-2070 and Technical Specifications. position, Five kilometer Post (precast)</v>
      </c>
      <c r="I105" s="3" t="s">
        <v>1812</v>
      </c>
      <c r="J105" s="10">
        <f>Quantity_Sheet!H116</f>
        <v>0</v>
      </c>
      <c r="K105" s="10">
        <f>rate_2102</f>
        <v>5021.08</v>
      </c>
    </row>
    <row r="106" spans="8:11" ht="63" x14ac:dyDescent="0.25">
      <c r="H106" s="7" t="str">
        <f>description_2103</f>
        <v>Kilometer Stone, Providing and Fixing Reinforced cement concrete M 15 grade kilometer Post including painting and printing as per Standard Drawing-2070 and Technical Specifications. position, One kilometer post (precast)</v>
      </c>
      <c r="I106" s="3" t="s">
        <v>1812</v>
      </c>
      <c r="J106" s="10">
        <f>Quantity_Sheet!H117</f>
        <v>0</v>
      </c>
      <c r="K106" s="10">
        <f>rate_2103</f>
        <v>2701.65</v>
      </c>
    </row>
    <row r="107" spans="8:11" ht="94.5" x14ac:dyDescent="0.25">
      <c r="H107" s="7" t="str">
        <f>description_418</f>
        <v>Road Delineators Post, Providing and installation of 150 mm * 150 mm 1. 5 m long delineators (road way indicators, hazard markers, object markers), 80-100 cm high above ground level, painted black and white in 20 cm wide strips, buried or pressed into the ground and conforming to the drawings and Technical Specifications.</v>
      </c>
      <c r="I107" s="3" t="s">
        <v>1812</v>
      </c>
      <c r="J107" s="10">
        <f>Quantity_Sheet!H118</f>
        <v>0</v>
      </c>
      <c r="K107" s="10">
        <f>rate_418</f>
        <v>1839.71</v>
      </c>
    </row>
    <row r="108" spans="8:11" ht="110.25" x14ac:dyDescent="0.25">
      <c r="H108" s="7" t="str">
        <f>description_419</f>
        <v>Reinforced Cement Concrete Crash Barrier, Providing and Fixing Reinforced cement concrete crash barrier at the edges of the road, approaches to bridge structures and medians, constructed with M-20 grade concrete with HYSD reinforcement and dowel bars 25 mm dia, 450 mm long at expansion joints filled with pre-molded asphalt filler board, keyed to the structure on which it is built and installed as per design, Drawing and Technical Specifications.</v>
      </c>
      <c r="I108" s="3" t="s">
        <v>75</v>
      </c>
      <c r="J108" s="10">
        <f>Quantity_Sheet!H119</f>
        <v>0</v>
      </c>
      <c r="K108" s="10" t="e">
        <f>rate_419</f>
        <v>#REF!</v>
      </c>
    </row>
    <row r="109" spans="8:11" ht="141.75" x14ac:dyDescent="0.25">
      <c r="H109" s="7" t="str">
        <f>description_420</f>
        <v>Metal Beam Crash Barrier, Type - A, "W" : Metal Beam Crash Barrier, Providing and erecting a "W" metal beam crash barrier comprising of 3 mm thick corrugated sheet metal beam rail, 70 cm above road/ground level, fixed on ISMC series channel vertical post, 150 x 75 x 5 mm spaced 2 m center to center, 1.8 m high, 1.1 m below ground/road level metal beam rail to be fixed on the vertical post with a spacer of channel section 150 x 75 x 5 mm, 330 mm long complete as per Drawing and Technical Specifications.</v>
      </c>
      <c r="I109" s="3" t="s">
        <v>75</v>
      </c>
      <c r="J109" s="10">
        <f>Quantity_Sheet!H120</f>
        <v>0</v>
      </c>
      <c r="K109" s="10" t="e">
        <f>rate_420</f>
        <v>#REF!</v>
      </c>
    </row>
    <row r="110" spans="8:11" ht="141.75" x14ac:dyDescent="0.25">
      <c r="H110" s="7" t="str">
        <f>description_421</f>
        <v>Metal Beam Crash Barrier, Type - B, "THRIE" : Metal Beam Crash Barrier, Providing and erecting a "Thrie" metal beam crash barrier comprising of 3 mm thick corrugated sheet metal beam rail, 85 cm above road/ground level, fixed on ISMC series channel vertical post, 150 x 75 x 5 mm spaced 2 m center to center, 2.1 m high with 1.3 m below ground level, metal beam rail to be fixed on the vertical post with a space of channel section 150 x 75 x 5 mm, 546 mm long complete as per Drawing and Technical specifications.</v>
      </c>
      <c r="I110" s="3" t="s">
        <v>75</v>
      </c>
      <c r="J110" s="10">
        <f>Quantity_Sheet!H121</f>
        <v>0</v>
      </c>
      <c r="K110" s="10" t="e">
        <f>rate_421</f>
        <v>#REF!</v>
      </c>
    </row>
    <row r="111" spans="8:11" ht="204.75" x14ac:dyDescent="0.25">
      <c r="H111" s="7" t="str">
        <f>description_422</f>
        <v>Metal Beam Crash Barrier, Flexible Crash Barrier, Wire Rope Safety Barrier, Providing and erecting a wire rope safety barrier with vertical posts of medium weight RS Joist (ISMB series) 100 mm x 75 mm (11.50 kg/m), 1.50 m long 0.85 m above ground and 0.65 m below ground level, split at the bottom for better grip, embedded in M 15 grade cement concrete 450 x 450 x 450 mm, 1.50 m center to center and with 4 horizontal steel wire rope 40 mm dia and anchored at terminal posts 15 m apart. Terminal post to be embedded in M 15 grade cement concrete foundation 2400 x 450 x 900 mm (depth), strengthened by a strut of RS joist 100 x 75 mm, 2 m long at 450 inclination and a tie 100 x 8 mm, 1.50 m long at the bottom, all embedded in foundation concrete as per design , Drawing and Technical Specifications.</v>
      </c>
      <c r="I111" s="3" t="s">
        <v>75</v>
      </c>
      <c r="J111" s="10">
        <f>Quantity_Sheet!H122</f>
        <v>0</v>
      </c>
      <c r="K111" s="10" t="e">
        <f>rate_422</f>
        <v>#REF!</v>
      </c>
    </row>
    <row r="112" spans="8:11" ht="47.25" x14ac:dyDescent="0.25">
      <c r="H112" s="7" t="str">
        <f>description_423</f>
        <v>Anti-Glare Devices in Median, Plantation, Providing and Plantation of shrubs and plants of approved species in the median. apart from cutting off glare from vehicle coming from opposite direction,</v>
      </c>
      <c r="I112" s="3"/>
      <c r="J112" s="10">
        <f>Quantity_Sheet!H123</f>
        <v>0</v>
      </c>
      <c r="K112" s="10">
        <v>0</v>
      </c>
    </row>
    <row r="113" spans="8:11" ht="157.5" x14ac:dyDescent="0.25">
      <c r="H113" s="7" t="str">
        <f>description_424</f>
        <v>Anti-Glare Devices in Median, Anti-glare screen with 25 mm steel pipe framework fixed with circular and rectangular vans, Providing and erecting an anti - glare screen with 25 mm dia vertical pipes fabricated and framed in the form of panels of one meter length and 1.75 meter height fixed with circular vane 250 mm dia at top and rectangular vane 600 x 300 mm at the middle, made out of steel sheet of 3 mm thickness, end vertical pipes of the panel made larger for embedding in foundation concrete, applying 2 coats of paint on all exposed surfaces, all as per design , drawings and Technical Specifications.</v>
      </c>
      <c r="I113" s="3" t="s">
        <v>75</v>
      </c>
      <c r="J113" s="10">
        <f>Quantity_Sheet!H124</f>
        <v>0</v>
      </c>
      <c r="K113" s="10" t="e">
        <f>rate_424</f>
        <v>#REF!</v>
      </c>
    </row>
    <row r="114" spans="8:11" ht="141.75" x14ac:dyDescent="0.25">
      <c r="H114" s="7" t="str">
        <f>description_425</f>
        <v>Anti-Glare Devices in Median, Anti-glare screen with rectangular vane of MS sheet, Providing and erecting anti - glare screen with rectangular vanes of size 750 x 500 mm made from MS sheet, 3 mm thick and fixed on MS angle 50 x 50 x 6 mm at an angle of 450 to the direction of flow of traffic, 1.5 m center to center, top edge of the screen 1.75 m above ground level, vertical post firmly embedded in M-15 cement concrete foundation 0.60 m below ground level, applying 2 coats of paint on exposed faces, all complete as per design , Drawing and Technical Specifications.</v>
      </c>
      <c r="I114" s="3" t="s">
        <v>75</v>
      </c>
      <c r="J114" s="10">
        <f>Quantity_Sheet!H125</f>
        <v>0</v>
      </c>
      <c r="K114" s="10" t="e">
        <f>rate_425</f>
        <v>#REF!</v>
      </c>
    </row>
    <row r="115" spans="8:11" ht="126" x14ac:dyDescent="0.25">
      <c r="H115" s="7" t="str">
        <f>description_427</f>
        <v>Rumble Strips, Providing and making of Rumble strips with premix bituminous carpet, 15-20 mm high at center, 250 mm wide placed at 1 m center to center at approved locations to control speed, marked with white strips of road marking paint., Provision of 15 Nos rumble strips covered with premix bituminous carpet, 15-20 mm high at center, 250 mm wide placed at 1 m center to center at approved locations to control speed, marked with white strips of road marking paint.</v>
      </c>
      <c r="I115" s="3" t="s">
        <v>438</v>
      </c>
      <c r="J115" s="10">
        <f>Quantity_Sheet!H126</f>
        <v>0</v>
      </c>
      <c r="K115" s="10" t="e">
        <f>rate_427</f>
        <v>#REF!</v>
      </c>
    </row>
    <row r="116" spans="8:11" ht="94.5" x14ac:dyDescent="0.25">
      <c r="H116" s="7" t="str">
        <f>description_426</f>
        <v>Street Lighting, Providing and erecting street light mounted on a steel circular hollow pole of standard specifications for street lighting, 9 m high spaced 40 m apart, 1.8 m overhang on both sides if fixed in the median and on one side if fixed on the footpath, fitted with sodium vapor lamp and fixed firmly in concrete foundation as per design , Drawing and Technical Specifications..</v>
      </c>
      <c r="I116" s="3" t="s">
        <v>1812</v>
      </c>
      <c r="J116" s="10">
        <f>Quantity_Sheet!H127</f>
        <v>0</v>
      </c>
      <c r="K116" s="10" t="e">
        <f>rate_426</f>
        <v>#REF!</v>
      </c>
    </row>
    <row r="117" spans="8:11" ht="63" x14ac:dyDescent="0.25">
      <c r="H117" s="7" t="str">
        <f>description_428</f>
        <v>Lettering new Letter and Figures of any Shade, Providing and lettering new letter and figures of any shade with synthetic enamel paint black or any other approved color to give an even shade, Nepali</v>
      </c>
      <c r="I117" s="3" t="s">
        <v>1839</v>
      </c>
      <c r="J117" s="10">
        <f>Quantity_Sheet!H128</f>
        <v>0</v>
      </c>
      <c r="K117" s="10">
        <f>rate_428</f>
        <v>5.18</v>
      </c>
    </row>
    <row r="118" spans="8:11" ht="63" x14ac:dyDescent="0.25">
      <c r="H118" s="7" t="str">
        <f>description_429</f>
        <v>Lettering new Letter and Figures of any Shade, Providing and lettering new letter and figures of any shade with synthetic enamel paint black or any other approved color to give an even shade, English and Roman</v>
      </c>
      <c r="I118" s="3" t="s">
        <v>1839</v>
      </c>
      <c r="J118" s="10">
        <f>Quantity_Sheet!H129</f>
        <v>0</v>
      </c>
      <c r="K118" s="10">
        <f>rate_429</f>
        <v>3.21</v>
      </c>
    </row>
    <row r="119" spans="8:11" ht="78.75" x14ac:dyDescent="0.25">
      <c r="H119" s="7" t="str">
        <f>description_430</f>
        <v>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diameter-500 mm</v>
      </c>
      <c r="I119" s="3" t="s">
        <v>75</v>
      </c>
      <c r="J119" s="10">
        <f>Quantity_Sheet!H130</f>
        <v>0</v>
      </c>
      <c r="K119" s="10">
        <f>rate_430</f>
        <v>5952.4</v>
      </c>
    </row>
    <row r="120" spans="8:11" ht="78.75" x14ac:dyDescent="0.25">
      <c r="H120" s="7" t="str">
        <f>description_431</f>
        <v>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diameter-600 mm</v>
      </c>
      <c r="I120" s="3" t="s">
        <v>75</v>
      </c>
      <c r="J120" s="10">
        <f>Quantity_Sheet!H131</f>
        <v>0</v>
      </c>
      <c r="K120" s="10">
        <f>rate_431</f>
        <v>7475.69</v>
      </c>
    </row>
    <row r="121" spans="8:11" ht="78.75" x14ac:dyDescent="0.25">
      <c r="H121" s="7" t="str">
        <f>description_432</f>
        <v>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diameter-750 mm</v>
      </c>
      <c r="I121" s="3" t="s">
        <v>75</v>
      </c>
      <c r="J121" s="10">
        <f>Quantity_Sheet!H132</f>
        <v>0</v>
      </c>
      <c r="K121" s="10">
        <f>rate_432</f>
        <v>11356.71</v>
      </c>
    </row>
    <row r="122" spans="8:11" ht="78.75" x14ac:dyDescent="0.25">
      <c r="H122" s="7" t="str">
        <f>description_433</f>
        <v>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diameter-1000 mm</v>
      </c>
      <c r="I122" s="3" t="s">
        <v>75</v>
      </c>
      <c r="J122" s="10">
        <f>Quantity_Sheet!H133</f>
        <v>0</v>
      </c>
      <c r="K122" s="10">
        <f>rate_433</f>
        <v>15043.38</v>
      </c>
    </row>
    <row r="123" spans="8:11" ht="78.75" x14ac:dyDescent="0.25">
      <c r="H123" s="7" t="str">
        <f>description_434</f>
        <v>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diameter-1200 mm</v>
      </c>
      <c r="I123" s="3" t="s">
        <v>75</v>
      </c>
      <c r="J123" s="10">
        <f>Quantity_Sheet!H134</f>
        <v>0</v>
      </c>
      <c r="K123" s="10">
        <f>rate_434</f>
        <v>19154.400000000001</v>
      </c>
    </row>
    <row r="124" spans="8:11" ht="78.75" x14ac:dyDescent="0.25">
      <c r="H124" s="7" t="str">
        <f>description_435</f>
        <v>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diameter-300 mm</v>
      </c>
      <c r="I124" s="3" t="s">
        <v>75</v>
      </c>
      <c r="J124" s="10">
        <f>Quantity_Sheet!H135</f>
        <v>0</v>
      </c>
      <c r="K124" s="10">
        <f>rate_435</f>
        <v>8492.2900000000009</v>
      </c>
    </row>
    <row r="125" spans="8:11" ht="78.75" x14ac:dyDescent="0.25">
      <c r="H125" s="7" t="str">
        <f>description_436</f>
        <v>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diameter-500 mm</v>
      </c>
      <c r="I125" s="3" t="s">
        <v>75</v>
      </c>
      <c r="J125" s="10">
        <f>Quantity_Sheet!H136</f>
        <v>0</v>
      </c>
      <c r="K125" s="10">
        <f>rate_436</f>
        <v>11208.82</v>
      </c>
    </row>
    <row r="126" spans="8:11" ht="78.75" x14ac:dyDescent="0.25">
      <c r="H126" s="7" t="str">
        <f>description_437</f>
        <v>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diameter-600 mm</v>
      </c>
      <c r="I126" s="3" t="s">
        <v>75</v>
      </c>
      <c r="J126" s="10">
        <f>Quantity_Sheet!H137</f>
        <v>0</v>
      </c>
      <c r="K126" s="10">
        <f>rate_437</f>
        <v>15401.95</v>
      </c>
    </row>
    <row r="127" spans="8:11" ht="78.75" x14ac:dyDescent="0.25">
      <c r="H127" s="7" t="str">
        <f>description_438</f>
        <v>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diameter-750 mm</v>
      </c>
      <c r="I127" s="3" t="s">
        <v>75</v>
      </c>
      <c r="J127" s="10">
        <f>Quantity_Sheet!H138</f>
        <v>0</v>
      </c>
      <c r="K127" s="10">
        <f>rate_438</f>
        <v>16698.23</v>
      </c>
    </row>
    <row r="128" spans="8:11" ht="78.75" x14ac:dyDescent="0.25">
      <c r="H128" s="7" t="str">
        <f>description_439</f>
        <v>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diameter-1000 mm</v>
      </c>
      <c r="I128" s="3" t="s">
        <v>75</v>
      </c>
      <c r="J128" s="10">
        <f>Quantity_Sheet!H139</f>
        <v>0</v>
      </c>
      <c r="K128" s="10">
        <f>rate_439</f>
        <v>26265.77</v>
      </c>
    </row>
    <row r="129" spans="8:11" ht="31.5" x14ac:dyDescent="0.25">
      <c r="H129" s="7" t="str">
        <f>description_444</f>
        <v>Driving Vertical Steel Piles / Sheet piles excluding cost of steel complete as per Drawing and &amp; Technical Specification</v>
      </c>
      <c r="I129" s="3" t="s">
        <v>35</v>
      </c>
      <c r="J129" s="10">
        <f>Quantity_Sheet!H140</f>
        <v>0</v>
      </c>
      <c r="K129" s="10">
        <f>rate_444</f>
        <v>20213.32</v>
      </c>
    </row>
    <row r="130" spans="8:11" ht="47.25" x14ac:dyDescent="0.25">
      <c r="H130" s="7" t="str">
        <f>description_564</f>
        <v>Providing , Preparing and Installing form work including necessary supports and removing after completion for foundation and footings., (Class F1 Finish), Using timber (soft wood )</v>
      </c>
      <c r="I130" s="3" t="s">
        <v>438</v>
      </c>
      <c r="J130" s="10">
        <f>Quantity_Sheet!H141</f>
        <v>0</v>
      </c>
      <c r="K130" s="10">
        <f>rate_564</f>
        <v>885.88</v>
      </c>
    </row>
    <row r="131" spans="8:11" ht="47.25" x14ac:dyDescent="0.25">
      <c r="H131" s="7" t="str">
        <f>description_565</f>
        <v>Providing , Preparing and Installing form work including necessary supports and removing after completion for foundation and footings., (Class F1 Finish), Using steel</v>
      </c>
      <c r="I131" s="3" t="s">
        <v>438</v>
      </c>
      <c r="J131" s="10">
        <f>Quantity_Sheet!H142</f>
        <v>0</v>
      </c>
      <c r="K131" s="10">
        <f>rate_565</f>
        <v>529.91</v>
      </c>
    </row>
    <row r="132" spans="8:11" ht="63" x14ac:dyDescent="0.25">
      <c r="H132" s="7" t="str">
        <f>description_566</f>
        <v>Providing , Preparing and Installing form work including necessary supports and removing after completion for walls., (Class F2 Finish), vertical plain surface, Using timber (soft wood ), Height upto 3 m</v>
      </c>
      <c r="I132" s="3" t="s">
        <v>438</v>
      </c>
      <c r="J132" s="10">
        <f>Quantity_Sheet!H143</f>
        <v>0</v>
      </c>
      <c r="K132" s="10">
        <f>rate_566</f>
        <v>863.77</v>
      </c>
    </row>
    <row r="133" spans="8:11" ht="63" x14ac:dyDescent="0.25">
      <c r="H133" s="7" t="str">
        <f>description_567</f>
        <v>Providing , Preparing and Installing form work including necessary supports and removing after completion for walls., (Class F2 Finish), vertical plain surface, Using timber (soft wood ), Height above 3 m to 6 m</v>
      </c>
      <c r="I133" s="3" t="s">
        <v>438</v>
      </c>
      <c r="J133" s="10">
        <f>Quantity_Sheet!H144</f>
        <v>0</v>
      </c>
      <c r="K133" s="10">
        <f>rate_567</f>
        <v>1053.1400000000001</v>
      </c>
    </row>
    <row r="134" spans="8:11" ht="63" x14ac:dyDescent="0.25">
      <c r="H134" s="7" t="str">
        <f>description_568</f>
        <v>Providing , Preparing and Installing form work including necessary supports and removing after completion for walls., (Class F2 Finish), vertical plain surface, Using timber (soft wood ), Height above 6 m to 9 m</v>
      </c>
      <c r="I134" s="3" t="s">
        <v>438</v>
      </c>
      <c r="J134" s="10">
        <f>Quantity_Sheet!H145</f>
        <v>0</v>
      </c>
      <c r="K134" s="10">
        <f>rate_568</f>
        <v>1335.66</v>
      </c>
    </row>
    <row r="135" spans="8:11" ht="63" x14ac:dyDescent="0.25">
      <c r="H135" s="7" t="str">
        <f>description_569</f>
        <v>Providing , Preparing and Installing form work including necessary supports and removing after completion for walls., (Class F2 Finish), vertical plain surface, Using timber (soft wood ), Height above 9 m</v>
      </c>
      <c r="I135" s="3" t="s">
        <v>438</v>
      </c>
      <c r="J135" s="10">
        <f>Quantity_Sheet!H146</f>
        <v>0</v>
      </c>
      <c r="K135" s="10" t="e">
        <f>rate_569</f>
        <v>#REF!</v>
      </c>
    </row>
    <row r="136" spans="8:11" ht="47.25" x14ac:dyDescent="0.25">
      <c r="H136" s="7" t="str">
        <f>description_598</f>
        <v>Providing , Preparing and Installing form work including necessary supports and removing after completion for slab structure., Class F2 Finish, False work not included, Using timber</v>
      </c>
      <c r="I136" s="3" t="s">
        <v>438</v>
      </c>
      <c r="J136" s="10">
        <f>Quantity_Sheet!H147</f>
        <v>0</v>
      </c>
      <c r="K136" s="10">
        <f>rate_598</f>
        <v>1158.57</v>
      </c>
    </row>
    <row r="137" spans="8:11" ht="47.25" x14ac:dyDescent="0.25">
      <c r="H137" s="7" t="str">
        <f>description_600</f>
        <v>Providing , Preparing and Installing form work including necessary supports and removing after completion for slab structure., Class F2 Finish, False work not included, Using shuttering Ply</v>
      </c>
      <c r="I137" s="3" t="s">
        <v>438</v>
      </c>
      <c r="J137" s="10">
        <f>Quantity_Sheet!H148</f>
        <v>0</v>
      </c>
      <c r="K137" s="10">
        <f>rate_600</f>
        <v>1324.29</v>
      </c>
    </row>
    <row r="138" spans="8:11" ht="47.25" x14ac:dyDescent="0.25">
      <c r="H138" s="7" t="str">
        <f>description_599</f>
        <v>Providing , Preparing and Installing form work including necessary supports and removing after completion for slab structure., Class F2 Finish, False work not included, Using steel</v>
      </c>
      <c r="I138" s="3" t="s">
        <v>438</v>
      </c>
      <c r="J138" s="10">
        <f>Quantity_Sheet!H149</f>
        <v>0</v>
      </c>
      <c r="K138" s="10">
        <f>rate_599</f>
        <v>450.06</v>
      </c>
    </row>
    <row r="139" spans="8:11" ht="63" x14ac:dyDescent="0.25">
      <c r="H139" s="7" t="str">
        <f>description_610</f>
        <v>Providing and assembling in position falsework for the construction of RCC superstructure and removing after completion including design &amp; drawings as per specification For Slab and Box culverts, Using timber, Height upto 2 m</v>
      </c>
      <c r="I139" s="3" t="s">
        <v>438</v>
      </c>
      <c r="J139" s="10">
        <f>Quantity_Sheet!H150</f>
        <v>0</v>
      </c>
      <c r="K139" s="10">
        <f>rate_610</f>
        <v>2672.54</v>
      </c>
    </row>
    <row r="140" spans="8:11" ht="63" x14ac:dyDescent="0.25">
      <c r="H140" s="7" t="str">
        <f>description_611</f>
        <v>Providing and assembling in position falsework for the construction of RCC superstructure and removing after completion including design &amp; drawings as per specification For Slab and Box culverts, Using timber, Height above 2 m to 4 m</v>
      </c>
      <c r="I140" s="3" t="s">
        <v>438</v>
      </c>
      <c r="J140" s="10">
        <f>Quantity_Sheet!H151</f>
        <v>0</v>
      </c>
      <c r="K140" s="10">
        <f>rate_611</f>
        <v>5387.71</v>
      </c>
    </row>
    <row r="141" spans="8:11" ht="63" x14ac:dyDescent="0.25">
      <c r="H141" s="7" t="str">
        <f>description_612</f>
        <v>Providing and assembling in position falsework for the construction of RCC superstructure and removing after completion including design &amp; drawings as per specification For Slab and Box culverts, Using timber, Height above 4 m to 6 m</v>
      </c>
      <c r="I141" s="3" t="s">
        <v>438</v>
      </c>
      <c r="J141" s="10">
        <f>Quantity_Sheet!H152</f>
        <v>0</v>
      </c>
      <c r="K141" s="10">
        <f>rate_612</f>
        <v>8024.25</v>
      </c>
    </row>
    <row r="142" spans="8:11" ht="63" x14ac:dyDescent="0.25">
      <c r="H142" s="7" t="str">
        <f>description_613</f>
        <v>Providing and assembling in position falsework for the construction of RCC superstructure and removing after completion including design &amp; drawings as per specification For Slab and Box culverts, Using timber, For Height above 6 m</v>
      </c>
      <c r="I142" s="3"/>
      <c r="J142" s="10">
        <f>Quantity_Sheet!H153</f>
        <v>0</v>
      </c>
      <c r="K142" s="10">
        <v>0</v>
      </c>
    </row>
    <row r="143" spans="8:11" ht="63" x14ac:dyDescent="0.25">
      <c r="H143" s="7" t="str">
        <f>description_615</f>
        <v>Providing and assembling in position falsework for the construction of RCC superstructure and removing after completion including design &amp; drawings as per specification For Slab and Box culverts, Using steel, Height above 2 m to 4 m</v>
      </c>
      <c r="I143" s="3" t="s">
        <v>438</v>
      </c>
      <c r="J143" s="10">
        <f>Quantity_Sheet!H154</f>
        <v>0</v>
      </c>
      <c r="K143" s="10">
        <f>rate_615</f>
        <v>2808.19</v>
      </c>
    </row>
    <row r="144" spans="8:11" ht="63" x14ac:dyDescent="0.25">
      <c r="H144" s="7" t="str">
        <f>description_614</f>
        <v>Providing and assembling in position falsework for the construction of RCC superstructure and removing after completion including design &amp; drawings as per specification For Slab and Box culverts, Using steel, Height upto 2 m</v>
      </c>
      <c r="I144" s="3" t="s">
        <v>438</v>
      </c>
      <c r="J144" s="10">
        <f>Quantity_Sheet!H155</f>
        <v>0</v>
      </c>
      <c r="K144" s="10">
        <f>rate_614</f>
        <v>1741.12</v>
      </c>
    </row>
    <row r="145" spans="8:11" ht="63" x14ac:dyDescent="0.25">
      <c r="H145" s="7" t="str">
        <f>description_616</f>
        <v>Providing and assembling in position falsework for the construction of RCC superstructure and removing after completion including design &amp; drawings as per specification For Slab and Box culverts, Using steel, Height above 4 m to 6 m</v>
      </c>
      <c r="I145" s="3" t="s">
        <v>438</v>
      </c>
      <c r="J145" s="10">
        <f>Quantity_Sheet!H156</f>
        <v>0</v>
      </c>
      <c r="K145" s="10">
        <f>rate_616</f>
        <v>5001.6000000000004</v>
      </c>
    </row>
    <row r="146" spans="8:11" ht="63" x14ac:dyDescent="0.25">
      <c r="H146" s="7" t="str">
        <f>description_617</f>
        <v>Providing and assembling in position falsework for the construction of RCC superstructure and removing after completion including design &amp; drawings as per specification For Slab and Box culverts, Using steel, Height above 6 m</v>
      </c>
      <c r="I146" s="3" t="s">
        <v>438</v>
      </c>
      <c r="J146" s="10">
        <f>Quantity_Sheet!H157</f>
        <v>0</v>
      </c>
      <c r="K146" s="10" t="e">
        <f>rate_617</f>
        <v>#REF!</v>
      </c>
    </row>
    <row r="147" spans="8:11" ht="63" x14ac:dyDescent="0.25">
      <c r="H147" s="7" t="str">
        <f>description_618</f>
        <v>Providing and assembling in position falsework for the construction of RCC superstructure and removing after completion including design &amp; drawings as per specification, for RCC Beam Bridge, Using timber, Height upto 3 m</v>
      </c>
      <c r="I147" s="3" t="s">
        <v>438</v>
      </c>
      <c r="J147" s="10">
        <f>Quantity_Sheet!H158</f>
        <v>0</v>
      </c>
      <c r="K147" s="10">
        <f>rate_618</f>
        <v>5173.3599999999997</v>
      </c>
    </row>
    <row r="148" spans="8:11" ht="63" x14ac:dyDescent="0.25">
      <c r="H148" s="7" t="str">
        <f>description_619</f>
        <v>Providing and assembling in position falsework for the construction of RCC superstructure and removing after completion including design &amp; drawings as per specification, for RCC Beam Bridge, Using timber, Height above 3 m to 6 m</v>
      </c>
      <c r="I148" s="3" t="s">
        <v>438</v>
      </c>
      <c r="J148" s="10">
        <f>Quantity_Sheet!H159</f>
        <v>0</v>
      </c>
      <c r="K148" s="10">
        <f>rate_619</f>
        <v>10776.82</v>
      </c>
    </row>
    <row r="149" spans="8:11" ht="63" x14ac:dyDescent="0.25">
      <c r="H149" s="7" t="str">
        <f>description_620</f>
        <v>Providing and assembling in position falsework for the construction of RCC superstructure and removing after completion including design &amp; drawings as per specification, for RCC Beam Bridge, Using timber, Height above 6 m to 9 m</v>
      </c>
      <c r="I149" s="3" t="s">
        <v>438</v>
      </c>
      <c r="J149" s="10">
        <f>Quantity_Sheet!H160</f>
        <v>0</v>
      </c>
      <c r="K149" s="10">
        <f>rate_620</f>
        <v>16925.71</v>
      </c>
    </row>
    <row r="150" spans="8:11" ht="63" x14ac:dyDescent="0.25">
      <c r="H150" s="7" t="str">
        <f>description_623</f>
        <v>Providing and assembling in position falsework for the construction of RCC superstructure and removing after completion including design &amp; drawings as per specification, for RCC Beam Bridge, Using steel, Height above 3 m to 6m</v>
      </c>
      <c r="I150" s="3" t="s">
        <v>438</v>
      </c>
      <c r="J150" s="10">
        <f>Quantity_Sheet!H161</f>
        <v>0</v>
      </c>
      <c r="K150" s="10">
        <f>rate_623</f>
        <v>5881.01</v>
      </c>
    </row>
    <row r="151" spans="8:11" ht="63" x14ac:dyDescent="0.25">
      <c r="H151" s="7" t="str">
        <f>description_622</f>
        <v>Providing and assembling in position falsework for the construction of RCC superstructure and removing after completion including design &amp; drawings as per specification, for RCC Beam Bridge, Using steel, Height upto 3 m</v>
      </c>
      <c r="I151" s="3" t="s">
        <v>438</v>
      </c>
      <c r="J151" s="10">
        <f>Quantity_Sheet!H162</f>
        <v>0</v>
      </c>
      <c r="K151" s="10">
        <f>rate_622</f>
        <v>2819.13</v>
      </c>
    </row>
    <row r="152" spans="8:11" ht="47.25" x14ac:dyDescent="0.25">
      <c r="H152" s="7" t="str">
        <f>description_637</f>
        <v>Supplying, fitting and fixing in position true to line and level elastomeric bearing  including all accessories as per Drawing and Technical Specifications.</v>
      </c>
      <c r="I152" s="3" t="s">
        <v>1875</v>
      </c>
      <c r="J152" s="10">
        <f>Quantity_Sheet!H163</f>
        <v>0</v>
      </c>
      <c r="K152" s="10">
        <f>rate_637</f>
        <v>2247.89</v>
      </c>
    </row>
    <row r="153" spans="8:11" ht="78.75" x14ac:dyDescent="0.25">
      <c r="H153" s="7" t="str">
        <f>description_641</f>
        <v xml:space="preserve">Elastomeric Slab Steel Expansion Joint, Providing and laying of an elastomeric slab steel expansion joint, catering to right or skew (less than 20 deg., moderately curved with maximum horizontal movement upto 50 mm, complete as per Drawings and Technical specifications </v>
      </c>
      <c r="I153" s="3" t="s">
        <v>75</v>
      </c>
      <c r="J153" s="10">
        <f>Quantity_Sheet!H164</f>
        <v>0</v>
      </c>
      <c r="K153" s="10">
        <f>rate_641</f>
        <v>23429.14</v>
      </c>
    </row>
    <row r="154" spans="8:11" ht="63" x14ac:dyDescent="0.25">
      <c r="H154" s="7" t="str">
        <f>description_643</f>
        <v>Strip Seal Expansion Joint, Providing and laying of a strip seal expansion joint catering to maximum horizontal movement upto 70 mm, complete as per approved Drawings and Technical specifications.</v>
      </c>
      <c r="I154" s="3" t="s">
        <v>75</v>
      </c>
      <c r="J154" s="10">
        <f>Quantity_Sheet!H165</f>
        <v>0</v>
      </c>
      <c r="K154" s="10">
        <f>rate_643</f>
        <v>12858.92</v>
      </c>
    </row>
    <row r="155" spans="8:11" ht="110.25" x14ac:dyDescent="0.25">
      <c r="H155" s="7" t="str">
        <f>description_642</f>
        <v>Compression Seal Joint, Providing and laying of compression seal joint consisting of steel armored nosing at two edges of the joint gap suitably anchored to the deck concrete and a preformed chloroprene elastomer or closed cell foam joint sealer compressed and fixed into the joint gap with special adhesive binder to cater for a horizontal movement and vertical movement  all complete as per Drawing and Technical Specifications.</v>
      </c>
      <c r="I155" s="3" t="s">
        <v>75</v>
      </c>
      <c r="J155" s="10">
        <f>Quantity_Sheet!H166</f>
        <v>0</v>
      </c>
      <c r="K155" s="10" t="e">
        <f>rate_642</f>
        <v>#REF!</v>
      </c>
    </row>
    <row r="156" spans="8:11" ht="47.25" x14ac:dyDescent="0.25">
      <c r="H156" s="7" t="str">
        <f>description_1</f>
        <v>Providing and laying of Plain Cement Concrete M 10 ( or 1:3:6 for nominal mix) in Foundation complete as per Drawing and Technical Specifications.</v>
      </c>
      <c r="I156" s="3" t="s">
        <v>84</v>
      </c>
      <c r="J156" s="10">
        <f>Quantity_Sheet!H167</f>
        <v>0</v>
      </c>
      <c r="K156" s="10">
        <f>rate_1</f>
        <v>10721.12</v>
      </c>
    </row>
    <row r="157" spans="8:11" ht="47.25" x14ac:dyDescent="0.25">
      <c r="H157" s="7" t="str">
        <f>description_2</f>
        <v>Providing and laying of Plain Cement Concrete M 10 ( or 1:3:6 for nominal mix) in Foundation complete as per Drawing and Technical Specifications., Manual Mixing</v>
      </c>
      <c r="I157" s="3" t="s">
        <v>84</v>
      </c>
      <c r="J157" s="10">
        <f>Quantity_Sheet!H168</f>
        <v>0</v>
      </c>
      <c r="K157" s="10">
        <f>rate_2</f>
        <v>11075.63</v>
      </c>
    </row>
    <row r="158" spans="8:11" ht="47.25" x14ac:dyDescent="0.25">
      <c r="H158" s="7" t="str">
        <f>description_3</f>
        <v>Providing and laying of Plain/Reinforced Cement Concrete in Foundation complete as per Drawing and Technical Specifications, PCC Grade M 15</v>
      </c>
      <c r="I158" s="3" t="s">
        <v>84</v>
      </c>
      <c r="J158" s="10">
        <f>Quantity_Sheet!H169</f>
        <v>0</v>
      </c>
      <c r="K158" s="10">
        <f>rate_3</f>
        <v>12609.13</v>
      </c>
    </row>
    <row r="159" spans="8:11" ht="47.25" x14ac:dyDescent="0.25">
      <c r="H159" s="7" t="str">
        <f>description_4</f>
        <v>Providing and laying of Plain/Reinforced Cement Concrete in Foundation complete as per Drawing and Technical Specifications, PCC Grade M 15, Manual Mixing</v>
      </c>
      <c r="I159" s="3" t="s">
        <v>84</v>
      </c>
      <c r="J159" s="10">
        <f>Quantity_Sheet!H170</f>
        <v>0</v>
      </c>
      <c r="K159" s="10">
        <f>rate_4</f>
        <v>13325.65</v>
      </c>
    </row>
    <row r="160" spans="8:11" ht="47.25" x14ac:dyDescent="0.25">
      <c r="H160" s="7" t="str">
        <f>description_5</f>
        <v>Providing and laying of Plain/Reinforced Cement Concrete in Foundation complete as per Drawing and Technical Specifications, PCC Grade M 20</v>
      </c>
      <c r="I160" s="3" t="s">
        <v>84</v>
      </c>
      <c r="J160" s="10">
        <f>Quantity_Sheet!H171</f>
        <v>0</v>
      </c>
      <c r="K160" s="10">
        <f>rate_5</f>
        <v>13710.65</v>
      </c>
    </row>
    <row r="161" spans="8:11" ht="47.25" x14ac:dyDescent="0.25">
      <c r="H161" s="7" t="str">
        <f>description_6</f>
        <v>Providing and laying of Plain/Reinforced Cement Concrete in Foundation complete as per Drawing and Technical Specifications., RCC Grade M 20</v>
      </c>
      <c r="I161" s="3" t="s">
        <v>84</v>
      </c>
      <c r="J161" s="10">
        <f>Quantity_Sheet!H172</f>
        <v>0</v>
      </c>
      <c r="K161" s="10">
        <f>rate_6</f>
        <v>13800.58</v>
      </c>
    </row>
    <row r="162" spans="8:11" ht="47.25" x14ac:dyDescent="0.25">
      <c r="H162" s="7" t="str">
        <f>description_7</f>
        <v>Providing and laying of Plain/Reinforced Cement Concrete in Foundation complete as per Drawing and Technical Specifications., PCC Grade M 25</v>
      </c>
      <c r="I162" s="3" t="s">
        <v>84</v>
      </c>
      <c r="J162" s="10">
        <f>Quantity_Sheet!H173</f>
        <v>0</v>
      </c>
      <c r="K162" s="10">
        <f>rate_7</f>
        <v>15057.27</v>
      </c>
    </row>
    <row r="163" spans="8:11" ht="47.25" x14ac:dyDescent="0.25">
      <c r="H163" s="7" t="str">
        <f>description_8</f>
        <v>Providing and laying of Plain/Reinforced Cement Concrete in Foundation complete as per Drawing and Technical Specifications., RCC Grade M 25</v>
      </c>
      <c r="I163" s="3" t="s">
        <v>84</v>
      </c>
      <c r="J163" s="10">
        <f>Quantity_Sheet!H174</f>
        <v>0</v>
      </c>
      <c r="K163" s="10">
        <f>rate_8</f>
        <v>15198.96</v>
      </c>
    </row>
    <row r="164" spans="8:11" ht="47.25" x14ac:dyDescent="0.25">
      <c r="H164" s="7" t="str">
        <f>description_10</f>
        <v>Providing and laying of Plain/Reinforced Cement Concrete in Foundation complete as per Drawing and Technical Specifications., RCC Grade M30</v>
      </c>
      <c r="I164" s="3" t="s">
        <v>84</v>
      </c>
      <c r="J164" s="10">
        <f>Quantity_Sheet!H175</f>
        <v>0</v>
      </c>
      <c r="K164" s="10">
        <f>rate_10</f>
        <v>15181.81</v>
      </c>
    </row>
    <row r="165" spans="8:11" ht="47.25" x14ac:dyDescent="0.25">
      <c r="H165" s="7" t="str">
        <f>description_11</f>
        <v>Providing and laying of Plain/Reinforced Cement Concrete in Foundation complete as per Drawing and Technical Specifications., RCC Grade M 35</v>
      </c>
      <c r="I165" s="3" t="s">
        <v>84</v>
      </c>
      <c r="J165" s="10">
        <f>Quantity_Sheet!H176</f>
        <v>0</v>
      </c>
      <c r="K165" s="10">
        <f>rate_11</f>
        <v>15364.46</v>
      </c>
    </row>
    <row r="166" spans="8:11" ht="47.25" x14ac:dyDescent="0.25">
      <c r="H166" s="7" t="str">
        <f>description_13</f>
        <v>Providing and laying of Plain/Reinforced cement concrete in sub-structure complete as per drawing and Technical Specifications, PCC Grade M 15, Height upto 5 m</v>
      </c>
      <c r="I166" s="3" t="s">
        <v>84</v>
      </c>
      <c r="J166" s="10">
        <f>Quantity_Sheet!H177</f>
        <v>0</v>
      </c>
      <c r="K166" s="10">
        <f>rate_13</f>
        <v>13336.58</v>
      </c>
    </row>
    <row r="167" spans="8:11" ht="47.25" x14ac:dyDescent="0.25">
      <c r="H167" s="7" t="str">
        <f>description_14</f>
        <v>Providing and laying of Plain/Reinforced cement concrete in sub-structure complete as per drawing and Technical Specifications, PCC Grade M20, Height upto 5 m</v>
      </c>
      <c r="I167" s="3" t="s">
        <v>84</v>
      </c>
      <c r="J167" s="10">
        <f>Quantity_Sheet!H178</f>
        <v>0</v>
      </c>
      <c r="K167" s="10">
        <f>rate_14</f>
        <v>14501.65</v>
      </c>
    </row>
    <row r="168" spans="8:11" ht="47.25" x14ac:dyDescent="0.25">
      <c r="H168" s="7" t="str">
        <f>description_15</f>
        <v>Providing and laying of Plain/Reinforced cement concrete in sub-structure complete as per drawing and Technical Specifications, PCC Grade M 25, Height upto 5 m</v>
      </c>
      <c r="I168" s="3" t="s">
        <v>84</v>
      </c>
      <c r="J168" s="10">
        <f>Quantity_Sheet!H179</f>
        <v>0</v>
      </c>
      <c r="K168" s="10">
        <f>rate_15</f>
        <v>15964.33</v>
      </c>
    </row>
    <row r="169" spans="8:11" ht="47.25" x14ac:dyDescent="0.25">
      <c r="H169" s="7" t="str">
        <f>description_16</f>
        <v>Providing and laying of Plain/Reinforced cement concrete in sub-structure complete as per drawing and Technical Specifications, PCC Grade M 25, Height above 5 m to 10 m</v>
      </c>
      <c r="I169" s="3" t="s">
        <v>84</v>
      </c>
      <c r="J169" s="10">
        <f>Quantity_Sheet!H180</f>
        <v>0</v>
      </c>
      <c r="K169" s="10">
        <f>rate_16</f>
        <v>16544.86</v>
      </c>
    </row>
    <row r="170" spans="8:11" ht="47.25" x14ac:dyDescent="0.25">
      <c r="H170" s="7" t="str">
        <f>description_17</f>
        <v>Providing and laying of Plain/Reinforced cement concrete in sub-structure complete as per drawing and Technical Specifications, PCC Grade M 25, Height above 10 m</v>
      </c>
      <c r="I170" s="3" t="s">
        <v>84</v>
      </c>
      <c r="J170" s="10">
        <f>Quantity_Sheet!H181</f>
        <v>0</v>
      </c>
      <c r="K170" s="10">
        <f>rate_17</f>
        <v>17270.509999999998</v>
      </c>
    </row>
    <row r="171" spans="8:11" ht="47.25" x14ac:dyDescent="0.25">
      <c r="H171" s="7" t="str">
        <f>description_18</f>
        <v>Providing and laying of Plain/Reinforced cement concrete in sub-structure complete as per drawing and Technical Specifications, PCC Grade M 30, Height upto 5 m</v>
      </c>
      <c r="I171" s="3" t="s">
        <v>84</v>
      </c>
      <c r="J171" s="10">
        <f>Quantity_Sheet!H182</f>
        <v>0</v>
      </c>
      <c r="K171" s="10">
        <f>rate_18</f>
        <v>20981.38</v>
      </c>
    </row>
    <row r="172" spans="8:11" ht="47.25" x14ac:dyDescent="0.25">
      <c r="H172" s="7" t="str">
        <f>description_19</f>
        <v>Providing and laying of Plain/Reinforced cement concrete in sub-structure complete as per drawing and Technical Specifications, PCC Grade M 30, Height above 5 m to 10 m</v>
      </c>
      <c r="I172" s="3" t="s">
        <v>84</v>
      </c>
      <c r="J172" s="10">
        <f>Quantity_Sheet!H183</f>
        <v>0</v>
      </c>
      <c r="K172" s="10">
        <f>rate_19</f>
        <v>21744.34</v>
      </c>
    </row>
    <row r="173" spans="8:11" ht="47.25" x14ac:dyDescent="0.25">
      <c r="H173" s="7" t="str">
        <f>description_20</f>
        <v>Providing and laying of Plain/Reinforced cement concrete in sub-structure complete as per drawing and Technical Specifications, PCC Grade M 30, Height above 10 m</v>
      </c>
      <c r="I173" s="3" t="s">
        <v>84</v>
      </c>
      <c r="J173" s="10">
        <f>Quantity_Sheet!H184</f>
        <v>0</v>
      </c>
      <c r="K173" s="10">
        <f>rate_20</f>
        <v>22698.04</v>
      </c>
    </row>
    <row r="174" spans="8:11" ht="47.25" x14ac:dyDescent="0.25">
      <c r="H174" s="7" t="str">
        <f>description_21</f>
        <v>Providing and laying of Plain/Reinforced cement concrete in sub-structure complete as per drawing and Technical Specifications, RCC Grade M 20, Height upto 5 m</v>
      </c>
      <c r="I174" s="3" t="s">
        <v>84</v>
      </c>
      <c r="J174" s="10">
        <f>Quantity_Sheet!H185</f>
        <v>0</v>
      </c>
      <c r="K174" s="10">
        <f>rate_21</f>
        <v>14596.76</v>
      </c>
    </row>
    <row r="175" spans="8:11" ht="47.25" x14ac:dyDescent="0.25">
      <c r="H175" s="7" t="str">
        <f>description_22</f>
        <v>Providing and laying of Plain/Reinforced cement concrete in sub-structure complete as per drawing and Technical Specifications, RCC Grade M 20, Height above 5 m to 10 m</v>
      </c>
      <c r="I175" s="3" t="s">
        <v>84</v>
      </c>
      <c r="J175" s="10">
        <f>Quantity_Sheet!H186</f>
        <v>0</v>
      </c>
      <c r="K175" s="10">
        <f>rate_22</f>
        <v>15127.55</v>
      </c>
    </row>
    <row r="176" spans="8:11" ht="47.25" x14ac:dyDescent="0.25">
      <c r="H176" s="7" t="str">
        <f>description_23</f>
        <v>Providing and laying of Plain/Reinforced cement concrete in sub-structure complete as per drawing and Technical Specifications, RCC Grade M 20, Height above 10 m</v>
      </c>
      <c r="I176" s="3" t="s">
        <v>84</v>
      </c>
      <c r="J176" s="10">
        <f>Quantity_Sheet!H187</f>
        <v>0</v>
      </c>
      <c r="K176" s="10">
        <f>rate_23</f>
        <v>15791.04</v>
      </c>
    </row>
    <row r="177" spans="8:11" ht="47.25" x14ac:dyDescent="0.25">
      <c r="H177" s="7" t="str">
        <f>description_24</f>
        <v>Providing and laying of Plain/Reinforced cement concrete in sub-structure complete as per drawing and Technical Specifications, RCC Grade M 25, Height upto 5 m</v>
      </c>
      <c r="I177" s="3" t="s">
        <v>84</v>
      </c>
      <c r="J177" s="10">
        <f>Quantity_Sheet!H188</f>
        <v>0</v>
      </c>
      <c r="K177" s="10">
        <f>rate_24</f>
        <v>16075.82</v>
      </c>
    </row>
    <row r="178" spans="8:11" ht="47.25" x14ac:dyDescent="0.25">
      <c r="H178" s="7" t="str">
        <f>description_25</f>
        <v>Providing and laying of Plain/Reinforced cement concrete in sub-structure complete as per drawing and Technical Specifications, RCC Grade M 25, Height above 5 m to 10 m</v>
      </c>
      <c r="I178" s="3" t="s">
        <v>84</v>
      </c>
      <c r="J178" s="10">
        <f>Quantity_Sheet!H189</f>
        <v>0</v>
      </c>
      <c r="K178" s="10">
        <f>rate_25</f>
        <v>16660.400000000001</v>
      </c>
    </row>
    <row r="179" spans="8:11" ht="47.25" x14ac:dyDescent="0.25">
      <c r="H179" s="7" t="str">
        <f>description_26</f>
        <v>Providing and laying of Plain/Reinforced cement concrete in sub-structure complete as per drawing and Technical Specifications, RCC Grade M 25, Height above 10 m</v>
      </c>
      <c r="I179" s="3" t="s">
        <v>84</v>
      </c>
      <c r="J179" s="10">
        <f>Quantity_Sheet!H190</f>
        <v>0</v>
      </c>
      <c r="K179" s="10">
        <f>rate_26</f>
        <v>17391.12</v>
      </c>
    </row>
    <row r="180" spans="8:11" ht="47.25" x14ac:dyDescent="0.25">
      <c r="H180" s="7" t="str">
        <f>description_27</f>
        <v>Providing and laying of Plain/Reinforced cement concrete in sub-structure complete as per drawing and Technical Specifications, RCC Grade M 30, Height upto 5 m</v>
      </c>
      <c r="I180" s="3" t="s">
        <v>84</v>
      </c>
      <c r="J180" s="10">
        <f>Quantity_Sheet!H191</f>
        <v>0</v>
      </c>
      <c r="K180" s="10">
        <f>rate_27</f>
        <v>16135.26</v>
      </c>
    </row>
    <row r="181" spans="8:11" ht="47.25" x14ac:dyDescent="0.25">
      <c r="H181" s="7" t="str">
        <f>description_28</f>
        <v>Providing and laying of Plain/Reinforced cement concrete in sub-structure complete as per drawing and Technical Specifications, RCC Grade M 30, Height above 5 m to 10 m</v>
      </c>
      <c r="I181" s="3" t="s">
        <v>84</v>
      </c>
      <c r="J181" s="10">
        <f>Quantity_Sheet!H192</f>
        <v>0</v>
      </c>
      <c r="K181" s="10">
        <f>rate_28</f>
        <v>16721.990000000002</v>
      </c>
    </row>
    <row r="182" spans="8:11" ht="47.25" x14ac:dyDescent="0.25">
      <c r="H182" s="7" t="str">
        <f>description_29</f>
        <v>Providing and laying of Plain/Reinforced cement concrete in sub-structure complete as per drawing and Technical Specifications, RCC Grade M 30, Height above 10 m</v>
      </c>
      <c r="I182" s="3" t="s">
        <v>84</v>
      </c>
      <c r="J182" s="10">
        <f>Quantity_Sheet!H193</f>
        <v>0</v>
      </c>
      <c r="K182" s="10">
        <f>rate_29</f>
        <v>17455.41</v>
      </c>
    </row>
    <row r="183" spans="8:11" ht="47.25" x14ac:dyDescent="0.25">
      <c r="H183" s="7" t="str">
        <f>description_30</f>
        <v>Providing and laying of Plain/Reinforced cement concrete in sub-structure complete as per drawing and Technical Specifications, RCC Grade M 35, Height upto 5 m</v>
      </c>
      <c r="I183" s="3" t="s">
        <v>84</v>
      </c>
      <c r="J183" s="10">
        <f>Quantity_Sheet!H194</f>
        <v>0</v>
      </c>
      <c r="K183" s="10">
        <f>rate_30</f>
        <v>16408.650000000001</v>
      </c>
    </row>
    <row r="184" spans="8:11" ht="47.25" x14ac:dyDescent="0.25">
      <c r="H184" s="7" t="str">
        <f>description_31</f>
        <v>Providing and laying of Plain/Reinforced cement concrete in sub-structure complete as per drawing and Technical Specifications, RCC Grade M 35, Height above 5 m to 10 m</v>
      </c>
      <c r="I184" s="3" t="s">
        <v>84</v>
      </c>
      <c r="J184" s="10">
        <f>Quantity_Sheet!H195</f>
        <v>0</v>
      </c>
      <c r="K184" s="10">
        <f>rate_31</f>
        <v>17005.330000000002</v>
      </c>
    </row>
    <row r="185" spans="8:11" ht="47.25" x14ac:dyDescent="0.25">
      <c r="H185" s="7" t="str">
        <f>description_37</f>
        <v>Providing and laying of Reinforced/ Pre-stressed cement concrete in super-structure as per drawing and Technical Specification, RCC Grade M 20</v>
      </c>
      <c r="I185" s="3" t="s">
        <v>75</v>
      </c>
      <c r="J185" s="10">
        <f>Quantity_Sheet!H196</f>
        <v>0</v>
      </c>
      <c r="K185" s="10">
        <f>rate_37</f>
        <v>6595.88</v>
      </c>
    </row>
    <row r="186" spans="8:11" ht="47.25" x14ac:dyDescent="0.25">
      <c r="H186" s="7" t="str">
        <f>description_38</f>
        <v>Providing and laying of Reinforced/ Pre-stressed cement concrete in solid slab super-structure as per drawing and Technical Specification, RCC Grade M 20, Height upto 5 m</v>
      </c>
      <c r="I186" s="3" t="s">
        <v>75</v>
      </c>
      <c r="J186" s="10">
        <f>Quantity_Sheet!H197</f>
        <v>0</v>
      </c>
      <c r="K186" s="10">
        <f>rate_38</f>
        <v>7915.05</v>
      </c>
    </row>
    <row r="187" spans="8:11" ht="78.75" x14ac:dyDescent="0.25">
      <c r="H187" s="7" t="str">
        <f>description_36</f>
        <v>Providing and laying weep holes in Stone Masonry/Plain/ Reinforced concrete abutment, wing wall/ return wall with 150mm dia HDPE pipe, extending through the full width of the structure with slope of 1V :20H towards drawing face Complete as per Drawing and Technical Specifications.</v>
      </c>
      <c r="I187" s="3" t="s">
        <v>75</v>
      </c>
      <c r="J187" s="10">
        <f>Quantity_Sheet!H198</f>
        <v>0</v>
      </c>
      <c r="K187" s="10" t="e">
        <f>rate_36</f>
        <v>#REF!</v>
      </c>
    </row>
    <row r="188" spans="8:11" ht="47.25" x14ac:dyDescent="0.25">
      <c r="H188" s="7" t="str">
        <f>description_39</f>
        <v>Providing and laying of Reinforced/ Pre-stressed cement concrete in solid slab super-structure as per drawing and Technical Specification, RCC Grade M 20, Height above 5 m to 10 m</v>
      </c>
      <c r="I188" s="3" t="s">
        <v>75</v>
      </c>
      <c r="J188" s="10">
        <f>Quantity_Sheet!H199</f>
        <v>0</v>
      </c>
      <c r="K188" s="10">
        <f>rate_39</f>
        <v>8244.85</v>
      </c>
    </row>
    <row r="189" spans="8:11" ht="47.25" x14ac:dyDescent="0.25">
      <c r="H189" s="7" t="str">
        <f>description_40</f>
        <v>Providing and laying of Reinforced/ Pre-stressed cement concrete in solid slab super-structure as per drawing and Technical Specification, RCC Grade M 20, Height above 10 m</v>
      </c>
      <c r="I189" s="3" t="s">
        <v>75</v>
      </c>
      <c r="J189" s="10">
        <f>Quantity_Sheet!H200</f>
        <v>0</v>
      </c>
      <c r="K189" s="10">
        <f>rate_40</f>
        <v>8574.64</v>
      </c>
    </row>
    <row r="190" spans="8:11" ht="47.25" x14ac:dyDescent="0.25">
      <c r="H190" s="7" t="str">
        <f>description_41</f>
        <v>Providing and laying of Reinforced/ Pre-stressed cement concrete in T-beam and slab super-structure as per drawing and Technical Specification, RCC Grade M 20, Height upto 5 m</v>
      </c>
      <c r="I190" s="3" t="s">
        <v>75</v>
      </c>
      <c r="J190" s="10">
        <f>Quantity_Sheet!H201</f>
        <v>0</v>
      </c>
      <c r="K190" s="10">
        <f>rate_41</f>
        <v>8244.85</v>
      </c>
    </row>
    <row r="191" spans="8:11" ht="47.25" x14ac:dyDescent="0.25">
      <c r="H191" s="7" t="str">
        <f>description_42</f>
        <v>Providing and laying of Reinforced/ Pre-stressed cement concrete in T-beam and slab super-structure as per drawing and Technical Specification, RCC Grade M 20, Height above 5 m to 10 m</v>
      </c>
      <c r="I191" s="3" t="s">
        <v>75</v>
      </c>
      <c r="J191" s="10">
        <f>Quantity_Sheet!H202</f>
        <v>0</v>
      </c>
      <c r="K191" s="10">
        <f>rate_42</f>
        <v>8574.64</v>
      </c>
    </row>
    <row r="192" spans="8:11" ht="47.25" x14ac:dyDescent="0.25">
      <c r="H192" s="7" t="str">
        <f>description_43</f>
        <v>Providing and laying of Reinforced/ Pre-stressed cement concrete in T-beam and slab super-structure as per drawing and Technical Specification, RCC Grade M 20, Height above 10 m</v>
      </c>
      <c r="I192" s="3" t="s">
        <v>75</v>
      </c>
      <c r="J192" s="10">
        <f>Quantity_Sheet!H203</f>
        <v>0</v>
      </c>
      <c r="K192" s="10">
        <f>rate_43</f>
        <v>8904.43</v>
      </c>
    </row>
    <row r="193" spans="8:11" ht="47.25" x14ac:dyDescent="0.25">
      <c r="H193" s="7" t="str">
        <f>description_44</f>
        <v>Providing and laying of Reinforced/ Pre-stressed cement concrete in super-structure as per drawing and Technical Specification, RCC Grade M 25</v>
      </c>
      <c r="I193" s="3" t="s">
        <v>84</v>
      </c>
      <c r="J193" s="10">
        <f>Quantity_Sheet!H204</f>
        <v>0</v>
      </c>
      <c r="K193" s="10">
        <f>rate_44</f>
        <v>14549.55</v>
      </c>
    </row>
    <row r="194" spans="8:11" ht="47.25" x14ac:dyDescent="0.25">
      <c r="H194" s="7" t="str">
        <f>description_45</f>
        <v>Providing and laying of Reinforced/ Pre-stressed cement concrete in solid slab super-structure as per drawing and Technical Specification, RCC Grade M 25, Height upto 5 m</v>
      </c>
      <c r="I194" s="3" t="s">
        <v>84</v>
      </c>
      <c r="J194" s="10">
        <f>Quantity_Sheet!H205</f>
        <v>0</v>
      </c>
      <c r="K194" s="10">
        <f>rate_45</f>
        <v>17459.46</v>
      </c>
    </row>
    <row r="195" spans="8:11" ht="47.25" x14ac:dyDescent="0.25">
      <c r="H195" s="7" t="str">
        <f>description_46</f>
        <v>Providing and laying of Reinforced/ Pre-stressed cement concrete in solid slab super-structure as per drawing and Technical Specification, RCC Grade M 25, Height above 5 m to 10 m</v>
      </c>
      <c r="I195" s="3" t="s">
        <v>84</v>
      </c>
      <c r="J195" s="10">
        <f>Quantity_Sheet!H206</f>
        <v>0</v>
      </c>
      <c r="K195" s="10">
        <f>rate_46</f>
        <v>18186.93</v>
      </c>
    </row>
    <row r="196" spans="8:11" ht="47.25" x14ac:dyDescent="0.25">
      <c r="H196" s="7" t="str">
        <f>description_47</f>
        <v>Providing and laying of Reinforced/ Pre-stressed cement concrete in solid slab super-structure as per drawing and Technical Specification, RCC Grade M 25, Height above 10 m</v>
      </c>
      <c r="I196" s="3" t="s">
        <v>84</v>
      </c>
      <c r="J196" s="10">
        <f>Quantity_Sheet!H207</f>
        <v>0</v>
      </c>
      <c r="K196" s="10">
        <f>rate_47</f>
        <v>18914.41</v>
      </c>
    </row>
    <row r="197" spans="8:11" ht="47.25" x14ac:dyDescent="0.25">
      <c r="H197" s="7" t="str">
        <f>description_48</f>
        <v>Providing and laying of Reinforced/ Pre-stressed cement concrete in T-beam and slab super-structure as per drawing and Technical Specification, RCC Grade M 25, Height upto 5 m</v>
      </c>
      <c r="I197" s="3" t="s">
        <v>84</v>
      </c>
      <c r="J197" s="10">
        <f>Quantity_Sheet!H208</f>
        <v>0</v>
      </c>
      <c r="K197" s="10">
        <f>rate_48</f>
        <v>18186.93</v>
      </c>
    </row>
    <row r="198" spans="8:11" ht="47.25" x14ac:dyDescent="0.25">
      <c r="H198" s="7" t="str">
        <f>description_49</f>
        <v>Providing and laying of Reinforced/ Pre-stressed cement concrete in T-beam and slab super-structure as per drawing and Technical Specification, RCC Grade M 25, Height above 5 m to 10 m</v>
      </c>
      <c r="I198" s="3" t="s">
        <v>84</v>
      </c>
      <c r="J198" s="10">
        <f>Quantity_Sheet!H209</f>
        <v>0</v>
      </c>
      <c r="K198" s="10">
        <f>rate_49</f>
        <v>18914.41</v>
      </c>
    </row>
    <row r="199" spans="8:11" ht="47.25" x14ac:dyDescent="0.25">
      <c r="H199" s="7" t="str">
        <f>description_50</f>
        <v>Providing and laying of Reinforced/ Pre-stressed cement concrete in T-beam and slab super-structure as per drawing and Technical Specification, RCC Grade M 25, Height above 10 m</v>
      </c>
      <c r="I199" s="3" t="s">
        <v>84</v>
      </c>
      <c r="J199" s="10">
        <f>Quantity_Sheet!H210</f>
        <v>0</v>
      </c>
      <c r="K199" s="10">
        <f>rate_50</f>
        <v>19641.89</v>
      </c>
    </row>
    <row r="200" spans="8:11" ht="47.25" x14ac:dyDescent="0.25">
      <c r="H200" s="7" t="str">
        <f>description_51</f>
        <v>Providing and laying of Reinforced/ Pre-stressed cement concrete in super-structure as per drawing and Technical Specification, RCC Grade M 30</v>
      </c>
      <c r="I200" s="3" t="s">
        <v>84</v>
      </c>
      <c r="J200" s="10">
        <f>Quantity_Sheet!H211</f>
        <v>0</v>
      </c>
      <c r="K200" s="10">
        <f>rate_51</f>
        <v>14811.78</v>
      </c>
    </row>
    <row r="201" spans="8:11" ht="47.25" x14ac:dyDescent="0.25">
      <c r="H201" s="7" t="str">
        <f>description_52</f>
        <v>Providing and laying of Reinforced/ Pre-stressed cement concrete in solid slab super-structure as per drawing and Technical Specification, RCC Grade M 30, Height upto 5 m</v>
      </c>
      <c r="I201" s="3" t="s">
        <v>84</v>
      </c>
      <c r="J201" s="10">
        <f>Quantity_Sheet!H212</f>
        <v>0</v>
      </c>
      <c r="K201" s="10">
        <f>rate_52</f>
        <v>17774.14</v>
      </c>
    </row>
    <row r="202" spans="8:11" ht="47.25" x14ac:dyDescent="0.25">
      <c r="H202" s="7" t="str">
        <f>description_53</f>
        <v>Providing and laying of Reinforced/ Pre-stressed cement concrete in solid slab super-structure as per drawing and Technical Specification, RCC Grade M 30, Height above 5 m to 10 m</v>
      </c>
      <c r="I202" s="3" t="s">
        <v>84</v>
      </c>
      <c r="J202" s="10">
        <f>Quantity_Sheet!H213</f>
        <v>0</v>
      </c>
      <c r="K202" s="10">
        <f>rate_53</f>
        <v>18514.73</v>
      </c>
    </row>
    <row r="203" spans="8:11" ht="47.25" x14ac:dyDescent="0.25">
      <c r="H203" s="7" t="str">
        <f>description_54</f>
        <v>Providing and laying of Reinforced/ Pre-stressed cement concrete in solid slab super-structure as per drawing and Technical Specification, RCC Grade M 30, Height above 10 m</v>
      </c>
      <c r="I203" s="3" t="s">
        <v>84</v>
      </c>
      <c r="J203" s="10">
        <f>Quantity_Sheet!H214</f>
        <v>0</v>
      </c>
      <c r="K203" s="10">
        <f>rate_54</f>
        <v>19255.310000000001</v>
      </c>
    </row>
    <row r="204" spans="8:11" ht="47.25" x14ac:dyDescent="0.25">
      <c r="H204" s="7" t="str">
        <f>description_55</f>
        <v>Providing and laying of Reinforced/ Pre-stressed cement concrete in T-beam and slab super-structure as per drawing and Technical Specification, RCC Grade M 30, Height upto 5 m</v>
      </c>
      <c r="I204" s="3" t="s">
        <v>84</v>
      </c>
      <c r="J204" s="10">
        <f>Quantity_Sheet!H215</f>
        <v>0</v>
      </c>
      <c r="K204" s="10">
        <f>rate_55</f>
        <v>18514.73</v>
      </c>
    </row>
    <row r="205" spans="8:11" ht="47.25" x14ac:dyDescent="0.25">
      <c r="H205" s="7" t="str">
        <f>description_56</f>
        <v>Providing and laying of Reinforced/ Pre-stressed cement concrete in T-beam and slab super-structure as per drawing and Technical Specification, RCC Grade M 30, Height above 5 m to 10 m</v>
      </c>
      <c r="I205" s="3" t="s">
        <v>84</v>
      </c>
      <c r="J205" s="10">
        <f>Quantity_Sheet!H216</f>
        <v>0</v>
      </c>
      <c r="K205" s="10">
        <f>rate_56</f>
        <v>19255.310000000001</v>
      </c>
    </row>
    <row r="206" spans="8:11" ht="47.25" x14ac:dyDescent="0.25">
      <c r="H206" s="7" t="str">
        <f>description_57</f>
        <v>Providing and laying of Reinforced/ Pre-stressed cement concrete in T-beam and slab super-structure as per drawing and Technical Specification, RCC Grade M 30, Height above 10 m</v>
      </c>
      <c r="I206" s="3" t="s">
        <v>84</v>
      </c>
      <c r="J206" s="10">
        <f>Quantity_Sheet!H217</f>
        <v>0</v>
      </c>
      <c r="K206" s="10">
        <f>rate_57</f>
        <v>19995.900000000001</v>
      </c>
    </row>
    <row r="207" spans="8:11" ht="47.25" x14ac:dyDescent="0.25">
      <c r="H207" s="7" t="str">
        <f>description_58</f>
        <v>Providing and laying of Reinforced/ Pre-stressed cement concrete in super-structure as per drawing and Technical Specification, RCC/PSC Grade M 35</v>
      </c>
      <c r="I207" s="3" t="s">
        <v>84</v>
      </c>
      <c r="J207" s="10">
        <f>Quantity_Sheet!H218</f>
        <v>0</v>
      </c>
      <c r="K207" s="10">
        <f>rate_58</f>
        <v>15060.32</v>
      </c>
    </row>
    <row r="208" spans="8:11" ht="47.25" x14ac:dyDescent="0.25">
      <c r="H208" s="7" t="str">
        <f>description_59</f>
        <v>Providing and laying of Reinforced/ Pre-stressed cement concrete in solid slab super-structure as per drawing and Technical Specification, RCC/PSC Grade M 35, Height upto 5 m</v>
      </c>
      <c r="I208" s="3" t="s">
        <v>84</v>
      </c>
      <c r="J208" s="10">
        <f>Quantity_Sheet!H219</f>
        <v>0</v>
      </c>
      <c r="K208" s="10">
        <f>rate_59</f>
        <v>17771.18</v>
      </c>
    </row>
    <row r="209" spans="8:11" ht="47.25" x14ac:dyDescent="0.25">
      <c r="H209" s="7" t="str">
        <f>description_60</f>
        <v>Providing and laying of Reinforced/ Pre-stressed cement concrete in solid slab super-structure as per drawing and Technical Specification, RCC/PSC Grade M 35, Height above 5 m to 10 m</v>
      </c>
      <c r="I209" s="3" t="s">
        <v>84</v>
      </c>
      <c r="J209" s="10">
        <f>Quantity_Sheet!H220</f>
        <v>0</v>
      </c>
      <c r="K209" s="10">
        <f>rate_60</f>
        <v>18524.2</v>
      </c>
    </row>
    <row r="210" spans="8:11" ht="47.25" x14ac:dyDescent="0.25">
      <c r="H210" s="7" t="str">
        <f>description_61</f>
        <v>Providing and laying of Reinforced/ Pre-stressed cement concrete in solid slab super-structure as per drawing and Technical Specification, RCC/PSC Grade M 35, Height above 10 m</v>
      </c>
      <c r="I210" s="3" t="s">
        <v>84</v>
      </c>
      <c r="J210" s="10">
        <f>Quantity_Sheet!H221</f>
        <v>0</v>
      </c>
      <c r="K210" s="10">
        <f>rate_61</f>
        <v>19277.21</v>
      </c>
    </row>
    <row r="211" spans="8:11" ht="47.25" x14ac:dyDescent="0.25">
      <c r="H211" s="7" t="str">
        <f>description_62</f>
        <v>Providing and laying of Reinforced/ Pre-stressed cement concrete in T-beam and slab super-structure as per drawing and Technical Specification, RCC/PSC Grade M 35, Height upto 5 m</v>
      </c>
      <c r="I211" s="3" t="s">
        <v>84</v>
      </c>
      <c r="J211" s="10">
        <f>Quantity_Sheet!H222</f>
        <v>0</v>
      </c>
      <c r="K211" s="10">
        <f>rate_62</f>
        <v>18524.2</v>
      </c>
    </row>
    <row r="212" spans="8:11" ht="47.25" x14ac:dyDescent="0.25">
      <c r="H212" s="7" t="str">
        <f>description_69</f>
        <v>Providing and laying of Reinforced/ Pre-stressed cement concrete in sollid slab super-structure as per drawing and Technical Specification, PSC Grade M-40, Height upto 5 m</v>
      </c>
      <c r="I212" s="3" t="s">
        <v>84</v>
      </c>
      <c r="J212" s="10">
        <f>Quantity_Sheet!H223</f>
        <v>0</v>
      </c>
      <c r="K212" s="10">
        <f>rate_69</f>
        <v>18428.560000000001</v>
      </c>
    </row>
    <row r="213" spans="8:11" ht="47.25" x14ac:dyDescent="0.25">
      <c r="H213" s="7" t="str">
        <f>description_68</f>
        <v>Providing and laying of Reinforced/ Pre-stressed cement concrete in super-structure as per drawing and Technical Specification, PSC Grade M-40</v>
      </c>
      <c r="I213" s="3" t="s">
        <v>84</v>
      </c>
      <c r="J213" s="10">
        <f>Quantity_Sheet!H224</f>
        <v>0</v>
      </c>
      <c r="K213" s="10">
        <f>rate_68</f>
        <v>15357.13</v>
      </c>
    </row>
    <row r="214" spans="8:11" ht="31.5" x14ac:dyDescent="0.25">
      <c r="H214" s="7" t="str">
        <f>description_90</f>
        <v>Providing and laying of PCC M 15 Grade leveling course below approach slab complete as per drawing and Technical specification</v>
      </c>
      <c r="I214" s="3" t="s">
        <v>84</v>
      </c>
      <c r="J214" s="10">
        <f>Quantity_Sheet!H225</f>
        <v>0</v>
      </c>
      <c r="K214" s="10">
        <f>rate_90</f>
        <v>12124.16</v>
      </c>
    </row>
    <row r="215" spans="8:11" ht="47.25" x14ac:dyDescent="0.25">
      <c r="H215" s="7" t="str">
        <f>description_2212</f>
        <v>Providing and laying of Reinforced cement concrete approach slab including reinforcement and formwork complete as per drawing and Technical specification</v>
      </c>
      <c r="I215" s="3" t="s">
        <v>84</v>
      </c>
      <c r="J215" s="10">
        <f>Quantity_Sheet!H226</f>
        <v>0</v>
      </c>
      <c r="K215" s="10">
        <f>rate_2212</f>
        <v>21112.28</v>
      </c>
    </row>
    <row r="216" spans="8:11" ht="63" x14ac:dyDescent="0.25">
      <c r="H216" s="7" t="str">
        <f>description_649</f>
        <v>Providing , Fabricating , assembling and erecting structural steel components / elements including nut, bolt, gusset plate, including shop drawings, facilities for inspection &amp; testing and trial assembling all complete as per specification., RS Joist, Heavy Zinc Coating</v>
      </c>
      <c r="I216" s="3" t="s">
        <v>35</v>
      </c>
      <c r="J216" s="10">
        <f>Quantity_Sheet!H227</f>
        <v>0</v>
      </c>
      <c r="K216" s="10">
        <f>rate_649</f>
        <v>176355.95</v>
      </c>
    </row>
    <row r="217" spans="8:11" ht="78.75" x14ac:dyDescent="0.25">
      <c r="H217" s="7" t="str">
        <f>description_650</f>
        <v>Providing , Fabricating , assembling and erecting structural steel components / elements including nut, bolt, gusset plate, including shop drawings, facilities for inspection &amp; testing and trial assembling all complete as per specification., RS Joist, painting one shop coat with red oxide primer and two coats of synthetic enamel</v>
      </c>
      <c r="I217" s="3" t="s">
        <v>35</v>
      </c>
      <c r="J217" s="10">
        <f>Quantity_Sheet!H228</f>
        <v>0</v>
      </c>
      <c r="K217" s="10">
        <f>rate_650</f>
        <v>167855.15</v>
      </c>
    </row>
    <row r="218" spans="8:11" ht="63" x14ac:dyDescent="0.25">
      <c r="H218" s="7" t="str">
        <f>description_651</f>
        <v>Providing , Fabricating , assembling and erecting structural steel components / elements including nut, bolt, gusset plate, including shop drawings, facilities for inspection &amp; testing and trial assembling all complete as per specification., RS Joist, Height upto 5 m</v>
      </c>
      <c r="I218" s="3" t="s">
        <v>35</v>
      </c>
      <c r="J218" s="10">
        <f>Quantity_Sheet!H229</f>
        <v>0</v>
      </c>
      <c r="K218" s="10">
        <f>rate_651</f>
        <v>176355.95</v>
      </c>
    </row>
    <row r="219" spans="8:11" ht="63" x14ac:dyDescent="0.25">
      <c r="H219" s="7" t="str">
        <f>description_652</f>
        <v>Providing , Fabricating , assembling and erecting structural steel components / elements including nut, bolt, gusset plate, including shop drawings, facilities for inspection &amp; testing and trial assembling all complete as per specification., RS Joist, Height above 10 m</v>
      </c>
      <c r="I219" s="3" t="s">
        <v>35</v>
      </c>
      <c r="J219" s="10">
        <f>Quantity_Sheet!H230</f>
        <v>0</v>
      </c>
      <c r="K219" s="10">
        <f>rate_652</f>
        <v>176355.95</v>
      </c>
    </row>
    <row r="220" spans="8:11" ht="63" x14ac:dyDescent="0.25">
      <c r="H220" s="7" t="str">
        <f>description_653</f>
        <v>Providing , Fabricating , assembling and erecting structural steel components / elements including nut, bolt, gusset plate, including shop drawings, facilities for inspection &amp; testing and trial assembling all complete as per specification., Built up beam, Plate Girder etc.</v>
      </c>
      <c r="I220" s="3" t="s">
        <v>35</v>
      </c>
      <c r="J220" s="10">
        <f>Quantity_Sheet!H231</f>
        <v>0</v>
      </c>
      <c r="K220" s="10">
        <f>rate_653</f>
        <v>207239.2</v>
      </c>
    </row>
    <row r="221" spans="8:11" ht="63" x14ac:dyDescent="0.25">
      <c r="H221" s="7" t="str">
        <f>description_654</f>
        <v>Providing , Fabricating , assembling and erecting structural steel components / elements including nut, bolt, gusset plate, including shop drawings, facilities for inspection &amp; testing and trial assembling all complete as per specification., Built up beam, Plate Girder etc.</v>
      </c>
      <c r="I221" s="3" t="s">
        <v>35</v>
      </c>
      <c r="J221" s="10">
        <f>Quantity_Sheet!H232</f>
        <v>0</v>
      </c>
      <c r="K221" s="10">
        <f>rate_654</f>
        <v>198738.4</v>
      </c>
    </row>
    <row r="222" spans="8:11" ht="78.75" x14ac:dyDescent="0.25">
      <c r="H222" s="7" t="str">
        <f>description_655</f>
        <v>Providing , Fabricating , assembling and erecting structural steel components / elements including nut, bolt, gusset plate, including shop drawings, facilities for inspection &amp; testing and trial assembling all complete as per specification., Built up beam, Plate Girder etc., Height upto 5 m</v>
      </c>
      <c r="I222" s="3" t="s">
        <v>35</v>
      </c>
      <c r="J222" s="10">
        <f>Quantity_Sheet!H233</f>
        <v>0</v>
      </c>
      <c r="K222" s="10">
        <f>rate_655</f>
        <v>259049</v>
      </c>
    </row>
    <row r="223" spans="8:11" ht="78.75" x14ac:dyDescent="0.25">
      <c r="H223" s="7" t="str">
        <f>description_656</f>
        <v>Providing , Fabricating , assembling and erecting structural steel components / elements including nut, bolt, gusset plate, including shop drawings, facilities for inspection &amp; testing and trial assembling all complete as per specification., Built up beam, Plate Girder etc., Height 5 m to 10 m</v>
      </c>
      <c r="I223" s="3" t="s">
        <v>35</v>
      </c>
      <c r="J223" s="10">
        <f>Quantity_Sheet!H234</f>
        <v>0</v>
      </c>
      <c r="K223" s="10">
        <f>rate_656</f>
        <v>269410.96000000002</v>
      </c>
    </row>
    <row r="224" spans="8:11" ht="78.75" x14ac:dyDescent="0.25">
      <c r="H224" s="7" t="str">
        <f>description_657</f>
        <v>Providing , Fabricating , assembling and erecting structural steel components / elements including nut, bolt, gusset plate, including shop drawings, facilities for inspection &amp; testing and trial assembling all complete as per specification., Built up beam, Plate Girder etc., Height above 10 m</v>
      </c>
      <c r="I224" s="3" t="s">
        <v>35</v>
      </c>
      <c r="J224" s="10">
        <f>Quantity_Sheet!H235</f>
        <v>0</v>
      </c>
      <c r="K224" s="10">
        <f>rate_657</f>
        <v>279772.92</v>
      </c>
    </row>
    <row r="225" spans="8:11" ht="63" x14ac:dyDescent="0.25">
      <c r="H225" s="7" t="str">
        <f>description_658</f>
        <v>Providing , Fabricating , assembling and erecting structural steel components / elements including nut, bolt, gusset plate, including shop drawings, facilities for inspection &amp; testing and trial assembling all complete as per specification., Truss</v>
      </c>
      <c r="I225" s="3" t="s">
        <v>35</v>
      </c>
      <c r="J225" s="10">
        <f>Quantity_Sheet!H236</f>
        <v>0</v>
      </c>
      <c r="K225" s="10">
        <f>rate_658</f>
        <v>218796.7</v>
      </c>
    </row>
    <row r="226" spans="8:11" ht="63" x14ac:dyDescent="0.25">
      <c r="H226" s="7" t="str">
        <f>description_671</f>
        <v>Gabion Structure for Retaining Earth, Mesh wire- 10 Swg(0.0615 kg/m), Selvedge Wire 8 Swg ( 0.1057 kg/m), binding wire 12 Swg (0.0409 kg/m) Hexagonal mesh Type 100 mm X 120 mm,, Box size 3 X 1 X 1 m ( 16 sqm)</v>
      </c>
      <c r="I226" s="3" t="s">
        <v>84</v>
      </c>
      <c r="J226" s="10">
        <f>Quantity_Sheet!H237</f>
        <v>0</v>
      </c>
      <c r="K226" s="10">
        <f>rate_671</f>
        <v>7240.57</v>
      </c>
    </row>
    <row r="227" spans="8:11" ht="63" x14ac:dyDescent="0.25">
      <c r="H227" s="7" t="str">
        <f>description_672</f>
        <v>Gabion Structure for Retaining Earth, Mesh wire- 10 Swg(0.0615 kg/m), Selvedge Wire 8 Swg ( 0.1057 kg/m), binding wire 12 Swg (0.0409 kg/m) Hexagonal mesh Type 100 mm X 120 mm,, Box size 2 X 1 X 1 m ( 11 sqm)</v>
      </c>
      <c r="I227" s="3" t="s">
        <v>84</v>
      </c>
      <c r="J227" s="10">
        <f>Quantity_Sheet!H238</f>
        <v>0</v>
      </c>
      <c r="K227" s="10">
        <f>rate_672</f>
        <v>7328.85</v>
      </c>
    </row>
    <row r="228" spans="8:11" ht="63" x14ac:dyDescent="0.25">
      <c r="H228" s="7" t="str">
        <f>description_673</f>
        <v>Gabion Structure for Retaining Earth, Mesh wire- 10 Swg(0.0615 kg/m), Selvedge Wire 8 Swg ( 0.1057 kg/m), binding wire 12 Swg (0.0409 kg/m) Hexagonal mesh Type 100 mm X 120 mm,, Box size 1.5 X 1 X 1 m ( 9 sqm )</v>
      </c>
      <c r="I228" s="3" t="s">
        <v>84</v>
      </c>
      <c r="J228" s="10">
        <f>Quantity_Sheet!H239</f>
        <v>0</v>
      </c>
      <c r="K228" s="10">
        <f>rate_673</f>
        <v>7742.78</v>
      </c>
    </row>
    <row r="229" spans="8:11" ht="63" x14ac:dyDescent="0.25">
      <c r="H229" s="7" t="str">
        <f>description_674</f>
        <v>Gabion Structure for Retaining Earth, Mesh wire- 10 Swg(0.0615 kg/m), Selvedge Wire 8 Swg ( 0.1057 kg/m), binding wire 12 Swg (0.0409 kg/m) Hexagonal mesh Type 100 mm X 120 mm,, Box size 1.0 X 1 X 1 m ( 6 sqm)</v>
      </c>
      <c r="I229" s="3" t="s">
        <v>84</v>
      </c>
      <c r="J229" s="10">
        <f>Quantity_Sheet!H240</f>
        <v>0</v>
      </c>
      <c r="K229" s="10">
        <f>rate_674</f>
        <v>7762.82</v>
      </c>
    </row>
    <row r="230" spans="8:11" ht="63" x14ac:dyDescent="0.25">
      <c r="H230" s="7" t="str">
        <f>description_675</f>
        <v>Gabion Structure for Retaining Earth, Mesh wire- 10 Swg(0.0615 kg/m), Selvedge Wire 8 Swg ( 0.1057 kg/m), binding wire 12 Swg (0.0409 kg/m) Hexagonal mesh Type 100 mm X 120 mm,, Box size 3.0 X 1 X 0 .75 m ( 13.5 sqm)</v>
      </c>
      <c r="I230" s="3" t="s">
        <v>84</v>
      </c>
      <c r="J230" s="10">
        <f>Quantity_Sheet!H241</f>
        <v>0</v>
      </c>
      <c r="K230" s="10">
        <f>rate_675</f>
        <v>7620</v>
      </c>
    </row>
    <row r="231" spans="8:11" ht="63" x14ac:dyDescent="0.25">
      <c r="H231" s="7" t="str">
        <f>description_676</f>
        <v>Gabion Structure for Retaining Earth, Mesh wire- 10 Swg(0.0615 kg/m), Selvedge Wire 8 Swg ( 0.1057 kg/m), binding wire 12 Swg (0.0409 kg/m) Hexagonal mesh Type 100 mm X 120 mm,, Box size 2.0 X 1 X 0 .75 m ( 9. 25 sqm)</v>
      </c>
      <c r="I231" s="3" t="s">
        <v>84</v>
      </c>
      <c r="J231" s="10">
        <f>Quantity_Sheet!H242</f>
        <v>0</v>
      </c>
      <c r="K231" s="10">
        <f>rate_676</f>
        <v>7789.74</v>
      </c>
    </row>
    <row r="232" spans="8:11" ht="63" x14ac:dyDescent="0.25">
      <c r="H232" s="7" t="str">
        <f>description_678</f>
        <v>Gabion Structure for Retaining Earth, Mesh wire- 10 Swg(0.0615 kg/m), Selvedge Wire 8 Swg ( 0.1057 kg/m), binding wire 12 Swg (0.0409 kg/m) Hexagonal mesh Type 100 mm X 120 mm,, Box size 3.0 X 1 X 0 .5 m ( 11 sqm)</v>
      </c>
      <c r="I232" s="3" t="s">
        <v>84</v>
      </c>
      <c r="J232" s="10">
        <f>Quantity_Sheet!H243</f>
        <v>0</v>
      </c>
      <c r="K232" s="10">
        <f>rate_678</f>
        <v>8229.7800000000007</v>
      </c>
    </row>
    <row r="233" spans="8:11" ht="63" x14ac:dyDescent="0.25">
      <c r="H233" s="7" t="str">
        <f>description_677</f>
        <v>Gabion Structure for Retaining Earth, Mesh wire- 10 Swg(0.0615 kg/m), Selvedge Wire 8 Swg ( 0.1057 kg/m), binding wire 12 Swg (0.0409 kg/m) Hexagonal mesh Type 100 mm X 120 mm,, Box size 1.0 X 1 X 0 .75 m ( 5 sqm m)</v>
      </c>
      <c r="I233" s="3" t="s">
        <v>84</v>
      </c>
      <c r="J233" s="10">
        <f>Quantity_Sheet!H244</f>
        <v>0</v>
      </c>
      <c r="K233" s="10">
        <f>rate_677</f>
        <v>8069.54</v>
      </c>
    </row>
    <row r="234" spans="8:11" ht="63" x14ac:dyDescent="0.25">
      <c r="H234" s="7" t="str">
        <f>description_680</f>
        <v>Gabion Structure for Retaining Earth, Mesh wire- 10 Swg(0.0615 kg/m), Selvedge Wire 8 Swg ( 0.1057 kg/m), binding wire 12 Swg (0.0409 kg/m) Hexagonal mesh Type 100 mm X 120 mm,, Box size 1 X 1 X 0 .5 m (4 sqm)</v>
      </c>
      <c r="I234" s="3" t="s">
        <v>84</v>
      </c>
      <c r="J234" s="10">
        <f>Quantity_Sheet!H245</f>
        <v>0</v>
      </c>
      <c r="K234" s="10">
        <f>rate_680</f>
        <v>9045.61</v>
      </c>
    </row>
    <row r="235" spans="8:11" ht="63" x14ac:dyDescent="0.25">
      <c r="H235" s="7" t="str">
        <f>description_679</f>
        <v>Gabion Structure for Retaining Earth, Mesh wire- 10 Swg(0.0615 kg/m), Selvedge Wire 8 Swg ( 0.1057 kg/m), binding wire 12 Swg (0.0409 kg/m) Hexagonal mesh Type 100 mm X 120 mm,, Box size 2.0 X 1 X 0 .5 m ( 7.5 sqm m)</v>
      </c>
      <c r="I235" s="3" t="s">
        <v>84</v>
      </c>
      <c r="J235" s="10">
        <f>Quantity_Sheet!H246</f>
        <v>0</v>
      </c>
      <c r="K235" s="10">
        <f>rate_679</f>
        <v>8504.58</v>
      </c>
    </row>
    <row r="236" spans="8:11" ht="63" x14ac:dyDescent="0.25">
      <c r="H236" s="7" t="str">
        <f>description_682</f>
        <v>Gabion Structure for Retaining Earth, Mesh wire- 10 Swg(0.0615 kg/m), Selvedge Wire 8 Swg ( 0.1057 kg/m), binding wire 12 Swg (0.0409 kg/m) Hexagonal mesh Type 100 mm X 120 mm,, Box size 2 X 1 X 0 .3 m ( 6.1 sqm)</v>
      </c>
      <c r="I236" s="3" t="s">
        <v>84</v>
      </c>
      <c r="J236" s="10">
        <f>Quantity_Sheet!H247</f>
        <v>0</v>
      </c>
      <c r="K236" s="10">
        <f>rate_682</f>
        <v>9582.1299999999992</v>
      </c>
    </row>
    <row r="237" spans="8:11" ht="63" x14ac:dyDescent="0.25">
      <c r="H237" s="7" t="str">
        <f>description_684</f>
        <v>Gabion Structure for Retaining Earth, Mesh wire- 10 Swg(0.0615 kg/m), Selvedge Wire 8 Swg ( /m), binding wire 12 Swg (0.0409 kg/m) Hexagonal mesh Type 80 mm X 100 mm,, Box  size 3 X 1 X 1 m ( 16 sqm)</v>
      </c>
      <c r="I237" s="3" t="s">
        <v>84</v>
      </c>
      <c r="J237" s="10">
        <f>Quantity_Sheet!H248</f>
        <v>0</v>
      </c>
      <c r="K237" s="10">
        <f>rate_684</f>
        <v>7737.87</v>
      </c>
    </row>
    <row r="238" spans="8:11" ht="63" x14ac:dyDescent="0.25">
      <c r="H238" s="7" t="str">
        <f>description_685</f>
        <v>Gabion Structure for Retaining Earth, Mesh wire- 10 Swg(0.0615 kg/m), Selvedge Wire 8 Swg ( /m), binding wire 12 Swg (0.0409 kg/m) Hexagonal mesh Type 80 mm X 100 mm,, Box size 2 X 1 X 1 m ( 11 sqm)</v>
      </c>
      <c r="I238" s="3" t="s">
        <v>84</v>
      </c>
      <c r="J238" s="10">
        <f>Quantity_Sheet!H249</f>
        <v>0</v>
      </c>
      <c r="K238" s="10">
        <f>rate_685</f>
        <v>7834.09</v>
      </c>
    </row>
    <row r="239" spans="8:11" ht="63" x14ac:dyDescent="0.25">
      <c r="H239" s="7" t="str">
        <f>description_686</f>
        <v>Gabion Structure for Retaining Earth, Mesh wire- 10 Swg(0.0615 kg/m), Selvedge Wire 8 Swg ( /m), binding wire 12 Swg (0.0409 kg/m) Hexagonal mesh Type 80 mm X 100 mm,, Box size 1.5 X 1 X 1 m ( 9 sqm)</v>
      </c>
      <c r="I239" s="3" t="s">
        <v>84</v>
      </c>
      <c r="J239" s="10">
        <f>Quantity_Sheet!H250</f>
        <v>0</v>
      </c>
      <c r="K239" s="10">
        <f>rate_686</f>
        <v>8103.33</v>
      </c>
    </row>
    <row r="240" spans="8:11" ht="63" x14ac:dyDescent="0.25">
      <c r="H240" s="7" t="str">
        <f>description_687</f>
        <v>Gabion Structure for Retaining Earth, Mesh wire- 10 Swg(0.0615 kg/m), Selvedge Wire 8 Swg ( /m), binding wire 12 Swg (0.0409 kg/m) Hexagonal mesh Type 80 mm X 100 mm,, Box size 1 X 1 X 1 m (6 sqm)</v>
      </c>
      <c r="I240" s="3" t="s">
        <v>84</v>
      </c>
      <c r="J240" s="10">
        <f>Quantity_Sheet!H251</f>
        <v>0</v>
      </c>
      <c r="K240" s="10">
        <f>rate_687</f>
        <v>8123.91</v>
      </c>
    </row>
    <row r="241" spans="8:11" ht="63" x14ac:dyDescent="0.25">
      <c r="H241" s="7" t="str">
        <f>description_688</f>
        <v>Gabion Structure for Retaining Earth, Mesh wire- 10 Swg(0.0615 kg/m), Selvedge Wire 8 Swg ( /m), binding wire 12 Swg (0.0409 kg/m) Hexagonal mesh Type 80 mm X 100 mm,, Box size 3.0 X 1 X 0 .75 m (13.5 sqm)</v>
      </c>
      <c r="I241" s="3" t="s">
        <v>84</v>
      </c>
      <c r="J241" s="10">
        <f>Quantity_Sheet!H252</f>
        <v>0</v>
      </c>
      <c r="K241" s="10">
        <f>rate_688</f>
        <v>8775</v>
      </c>
    </row>
    <row r="242" spans="8:11" ht="63" x14ac:dyDescent="0.25">
      <c r="H242" s="7" t="str">
        <f>description_689</f>
        <v>Gabion Structure for Retaining Earth, Mesh wire- 10 Swg(0.0615 kg/m), Selvedge Wire 8 Swg ( /m), binding wire 12 Swg (0.0409 kg/m) Hexagonal mesh Type 80 mm X 100 mm,, Box  size 2.0 X 1 X 0 .75 m ( 9.25 sqm)</v>
      </c>
      <c r="I242" s="3" t="s">
        <v>84</v>
      </c>
      <c r="J242" s="10">
        <f>Quantity_Sheet!H253</f>
        <v>0</v>
      </c>
      <c r="K242" s="10">
        <f>rate_689</f>
        <v>8160.19</v>
      </c>
    </row>
    <row r="243" spans="8:11" ht="63" x14ac:dyDescent="0.25">
      <c r="H243" s="7" t="str">
        <f>description_690</f>
        <v>Gabion Structure for Retaining Earth, Mesh wire- 10 Swg(0.0615 kg/m), Selvedge Wire 8 Swg ( /m), binding wire 12 Swg (0.0409 kg/m) Hexagonal mesh Type 80 mm X 100 mm,, Box size 1.0 X 1 X 0 .75 m ( 5 sqm)</v>
      </c>
      <c r="I243" s="3" t="s">
        <v>84</v>
      </c>
      <c r="J243" s="10">
        <f>Quantity_Sheet!H254</f>
        <v>0</v>
      </c>
      <c r="K243" s="10">
        <f>rate_690</f>
        <v>8642.5300000000007</v>
      </c>
    </row>
    <row r="244" spans="8:11" ht="63" x14ac:dyDescent="0.25">
      <c r="H244" s="7" t="str">
        <f>description_691</f>
        <v>Gabion Structure for Retaining Earth, Mesh wire- 10 Swg(0.0615 kg/m), Selvedge Wire 8 Swg ( /m), binding wire 12 Swg (0.0409 kg/m) Hexagonal mesh Type 80 mm X 100 mm,, Box size 3.0 X 1 X 0 .5 m ( 11 sqm)</v>
      </c>
      <c r="I244" s="3" t="s">
        <v>84</v>
      </c>
      <c r="J244" s="10">
        <f>Quantity_Sheet!H255</f>
        <v>0</v>
      </c>
      <c r="K244" s="10">
        <f>rate_691</f>
        <v>8844.7099999999991</v>
      </c>
    </row>
    <row r="245" spans="8:11" ht="63" x14ac:dyDescent="0.25">
      <c r="H245" s="7" t="str">
        <f>description_692</f>
        <v>Gabion Structure for Retaining Earth, Mesh wire- 10 Swg(0.0615 kg/m), Selvedge Wire 8 Swg ( /m), binding wire 12 Swg (0.0409 kg/m) Hexagonal mesh Type 80 mm X 100 mm,, Box  size 2.0 X 1 X 0 .5 m ( 7.5 sqm)</v>
      </c>
      <c r="I245" s="3" t="s">
        <v>84</v>
      </c>
      <c r="J245" s="10">
        <f>Quantity_Sheet!H256</f>
        <v>0</v>
      </c>
      <c r="K245" s="10">
        <f>rate_692</f>
        <v>8967.0499999999993</v>
      </c>
    </row>
    <row r="246" spans="8:11" ht="63" x14ac:dyDescent="0.25">
      <c r="H246" s="7" t="str">
        <f>description_693</f>
        <v>Gabion Structure for Retaining Earth, Mesh wire- 10 Swg(0.0615 kg/m), Selvedge Wire 8 Swg ( /m), binding wire 12 Swg (0.0409 kg/m) Hexagonal mesh Type 80 mm X 100 mm,, Box  size 1 X 1 X 0 .5 m ( 4 sqm)</v>
      </c>
      <c r="I246" s="3" t="s">
        <v>84</v>
      </c>
      <c r="J246" s="10">
        <f>Quantity_Sheet!H257</f>
        <v>0</v>
      </c>
      <c r="K246" s="10">
        <f>rate_693</f>
        <v>9475.44</v>
      </c>
    </row>
    <row r="247" spans="8:11" ht="94.5" x14ac:dyDescent="0.25">
      <c r="H247" s="7" t="str">
        <f>description_697</f>
        <v>Providing mechanically  woven double twisted  crates / mattress  including rolling, cutting and  with lacing  wire and binding wire as per specification.           
                                                                                                                                       , Hexagonal mesh type 100 mm x 120 mm, mesh wire 3 mm, selvage wire 3.9 mm, lacing wire 2.4 mm</v>
      </c>
      <c r="I247" s="3" t="s">
        <v>438</v>
      </c>
      <c r="J247" s="10">
        <f>Quantity_Sheet!H258</f>
        <v>0</v>
      </c>
      <c r="K247" s="10">
        <f>rate_697</f>
        <v>377.2</v>
      </c>
    </row>
    <row r="248" spans="8:11" ht="94.5" x14ac:dyDescent="0.25">
      <c r="H248" s="7" t="str">
        <f>description_698</f>
        <v>Providing mechanically  woven double twisted  crates / mattress  including rolling, cutting and  with lacing  wire and binding wire as per specification.           
                                                                                                                                       , Hexagonal mesh type 100 mm x 120 mm, mesh wire 2.7 mm, selvage wire 3.4 mm, lacing wire 2.2 mm</v>
      </c>
      <c r="I248" s="3" t="s">
        <v>438</v>
      </c>
      <c r="J248" s="10">
        <f>Quantity_Sheet!H259</f>
        <v>0</v>
      </c>
      <c r="K248" s="10">
        <f>rate_698</f>
        <v>310.5</v>
      </c>
    </row>
    <row r="249" spans="8:11" ht="94.5" x14ac:dyDescent="0.25">
      <c r="H249" s="7" t="str">
        <f>description_699</f>
        <v>Providing mechanically  woven double twisted  crates / mattress  including rolling, cutting and  with lacing  wire and binding wire as per specification.           
                                                                                                                                       , Hexagonal mesh type 80 mm x 100 mm, mesh wire 3 mm, selvage wire 3.9 mm, lacing wire 2.4 mm</v>
      </c>
      <c r="I249" s="3" t="s">
        <v>438</v>
      </c>
      <c r="J249" s="10">
        <f>Quantity_Sheet!H260</f>
        <v>0</v>
      </c>
      <c r="K249" s="10">
        <v>0</v>
      </c>
    </row>
    <row r="250" spans="8:11" ht="94.5" x14ac:dyDescent="0.25">
      <c r="H250" s="7" t="str">
        <f>description_700</f>
        <v>Providing mechanically  woven double twisted  crates / mattress  including rolling, cutting and  with lacing  wire and binding wire as per specification.           
                                                                                                                                       , Hexagonal mesh type 80 mm x 100 mm, mesh wire 2.7 mm, selvage wire 3.4 mm, lacing wire 2.2 mm</v>
      </c>
      <c r="I250" s="3" t="s">
        <v>438</v>
      </c>
      <c r="J250" s="10">
        <f>Quantity_Sheet!H261</f>
        <v>0</v>
      </c>
      <c r="K250" s="10">
        <f>rate_700</f>
        <v>310.5</v>
      </c>
    </row>
    <row r="251" spans="8:11" ht="94.5" x14ac:dyDescent="0.25">
      <c r="H251" s="7" t="str">
        <f>description_701</f>
        <v>Providing mechanically  woven double twisted  crates / mattress  including rolling, cutting and  with lacing  wire and binding wire as per specification.           
                                                                                                                                       , Hexagonal mesh type 60 mm x 80 mm, mesh wire 2.7 mm, selvage wire 3.4 mm, lacing wire 2.2 mm</v>
      </c>
      <c r="I251" s="3" t="s">
        <v>438</v>
      </c>
      <c r="J251" s="10">
        <f>Quantity_Sheet!H262</f>
        <v>0</v>
      </c>
      <c r="K251" s="10">
        <f>rate_701</f>
        <v>322</v>
      </c>
    </row>
    <row r="252" spans="8:11" ht="126" x14ac:dyDescent="0.25">
      <c r="H252" s="7" t="str">
        <f>description_702</f>
        <v>Providing mechanically  woven double twisted  crates / mattress  including rolling, cutting and  with lacing  wire and binding wire as per specification.           
                                                                                                                                       , Zinc + PVC coated Hexagonal mesh type 100 mm x 120 mm, mesh wire 2.7 mm/3.7 mm, selvage wire 3.4 mm/4.4 mm, lacing wire 2.2 mm/3.2 mm with Pac coating thickness nominal 0.5 mm ( minimum 0.38 mm)</v>
      </c>
      <c r="I252" s="3" t="s">
        <v>438</v>
      </c>
      <c r="J252" s="10">
        <f>Quantity_Sheet!H263</f>
        <v>0</v>
      </c>
      <c r="K252" s="10">
        <f>rate_702</f>
        <v>365.7</v>
      </c>
    </row>
    <row r="253" spans="8:11" ht="126" x14ac:dyDescent="0.25">
      <c r="H253" s="7" t="str">
        <f>description_703</f>
        <v>Providing mechanically  woven double twisted  crates / mattress  including rolling, cutting and  with lacing  wire and binding wire as per specification.           
                                                                                                                                       , Zinc + PVC coated Hexagonal mesh type 80 mm x 100 mm, mesh wire 2.2 mm/3.2 mm, selvage wire 2.7 mm/3.7 mm, lacing wire 2.2 mm/3.2 mm with Pac coating thickness nominal 0.5 mm ( minimum 0.38 mm)</v>
      </c>
      <c r="I253" s="3" t="s">
        <v>438</v>
      </c>
      <c r="J253" s="10">
        <f>Quantity_Sheet!H264</f>
        <v>0</v>
      </c>
      <c r="K253" s="10">
        <f>rate_703</f>
        <v>365.7</v>
      </c>
    </row>
    <row r="254" spans="8:11" ht="47.25" x14ac:dyDescent="0.25">
      <c r="H254" s="7" t="str">
        <f>description_706</f>
        <v>Laying and fixing of Geo-Textile all complete as per specification., Providing  and laying of a geotextile filter between pitching and embankment slopes as per Drawing and Technical Specifications.</v>
      </c>
      <c r="I254" s="3" t="s">
        <v>438</v>
      </c>
      <c r="J254" s="10">
        <f>Quantity_Sheet!H265</f>
        <v>0</v>
      </c>
      <c r="K254" s="10">
        <f>rate_706</f>
        <v>185.82</v>
      </c>
    </row>
    <row r="255" spans="8:11" ht="47.25" x14ac:dyDescent="0.25">
      <c r="H255" s="7" t="str">
        <f>description_707</f>
        <v>Laying and fixing of Geo-Textile all complete as per specification., Providing and  laying and fixing of Geo-membrane all complete as per specification.</v>
      </c>
      <c r="I255" s="3" t="s">
        <v>438</v>
      </c>
      <c r="J255" s="10">
        <f>Quantity_Sheet!H266</f>
        <v>0</v>
      </c>
      <c r="K255" s="10">
        <f>rate_707</f>
        <v>185.82</v>
      </c>
    </row>
    <row r="256" spans="8:11" ht="47.25" x14ac:dyDescent="0.25">
      <c r="H256" s="7" t="str">
        <f>description_746</f>
        <v>Providing and laying Plum concrete ( Boulder mixed concrete) as per Drawing and Specifications, 60% M 15  concrete and 40% boulders/stones, using Mechanical Aids</v>
      </c>
      <c r="I256" s="3" t="s">
        <v>84</v>
      </c>
      <c r="J256" s="10">
        <f>Quantity_Sheet!H267</f>
        <v>0</v>
      </c>
      <c r="K256" s="10">
        <f>rate_746</f>
        <v>11339.5</v>
      </c>
    </row>
    <row r="257" spans="8:11" ht="47.25" x14ac:dyDescent="0.25">
      <c r="H257" s="7" t="str">
        <f>description_747</f>
        <v>Providing and laying Plum concrete ( Boulder mixed concrete) as per Drawing and Specifications, 60% M 15  concrete and 40% boulders/stones, Manual means</v>
      </c>
      <c r="I257" s="3" t="s">
        <v>84</v>
      </c>
      <c r="J257" s="10">
        <f>Quantity_Sheet!H268</f>
        <v>0</v>
      </c>
      <c r="K257" s="10">
        <f>rate_747</f>
        <v>13320.46</v>
      </c>
    </row>
    <row r="258" spans="8:11" ht="47.25" x14ac:dyDescent="0.25">
      <c r="H258" s="7" t="str">
        <f>description_748</f>
        <v>Providing and laying Plum concrete ( Boulder mixed concrete) as per Drawing and Specifications, 70% M 15 concrete and 30% boulders/stones, Using Mechanical Aids</v>
      </c>
      <c r="I258" s="3" t="s">
        <v>84</v>
      </c>
      <c r="J258" s="10">
        <f>Quantity_Sheet!H269</f>
        <v>0</v>
      </c>
      <c r="K258" s="10">
        <f>rate_748</f>
        <v>12043.84</v>
      </c>
    </row>
    <row r="259" spans="8:11" ht="47.25" x14ac:dyDescent="0.25">
      <c r="H259" s="7" t="str">
        <f>description_749</f>
        <v>Providing and laying Plum concrete ( Boulder mixed concrete) as per Drawing and Specifications, 70% M 15 concrete and 30% boulders/stones, Manual means</v>
      </c>
      <c r="I259" s="3" t="s">
        <v>84</v>
      </c>
      <c r="J259" s="10">
        <f>Quantity_Sheet!H270</f>
        <v>0</v>
      </c>
      <c r="K259" s="10">
        <f>rate_749</f>
        <v>14134.19</v>
      </c>
    </row>
    <row r="260" spans="8:11" ht="110.25" x14ac:dyDescent="0.25">
      <c r="H260" s="7" t="str">
        <f>description_750</f>
        <v>Sub-Surface Drains with Perforated Pipe, Providing and laying subsurface drain with perforated pipe of 100 mm internal diameter of metal/ asbestos cement/ cement concrete/PVC, closely jointed, perforations ranging from 3 mm to 6 mm depending upon size of material surrounding the pipe, with 150 mm bedding below the pipe and 300 mm cushion above the pipe,.  as per Drawing and Specifications.</v>
      </c>
      <c r="I260" s="3" t="s">
        <v>75</v>
      </c>
      <c r="J260" s="10">
        <f>Quantity_Sheet!H271</f>
        <v>0</v>
      </c>
      <c r="K260" s="10" t="e">
        <f>rate_750</f>
        <v>#REF!</v>
      </c>
    </row>
    <row r="261" spans="8:11" ht="63" x14ac:dyDescent="0.25">
      <c r="H261" s="7" t="str">
        <f>description_753</f>
        <v>Providing and laying Brick Masonry Work in Cement mortar  in Foundation / structure complete excluding Pointing and Plastering, as per Drawing and Technical Specifications., Cement sand mortar (1:2)</v>
      </c>
      <c r="I261" s="3" t="s">
        <v>84</v>
      </c>
      <c r="J261" s="10">
        <f>Quantity_Sheet!H272</f>
        <v>0</v>
      </c>
      <c r="K261" s="10">
        <f>rate_753</f>
        <v>17271.63</v>
      </c>
    </row>
    <row r="262" spans="8:11" ht="63" x14ac:dyDescent="0.25">
      <c r="H262" s="7" t="str">
        <f>description_754</f>
        <v>Providing and laying Brick Masonry Work in Cement mortar  in Foundation / structure complete excluding Pointing and Plastering, as per Drawing and Technical Specifications., Cement sand mortar (1:2), Using Concrete Mixer</v>
      </c>
      <c r="I262" s="3" t="s">
        <v>84</v>
      </c>
      <c r="J262" s="10">
        <f>Quantity_Sheet!H273</f>
        <v>0</v>
      </c>
      <c r="K262" s="10">
        <f>rate_754</f>
        <v>16626.48</v>
      </c>
    </row>
    <row r="263" spans="8:11" ht="63" x14ac:dyDescent="0.25">
      <c r="H263" s="7" t="str">
        <f>description_755</f>
        <v>Providing and laying Brick Masonry Work in Cement mortar  in Foundation / structure complete excluding Pointing and Plastering, as per Drawing and Technical Specifications., Cement sand mortar (1:3)</v>
      </c>
      <c r="I263" s="3" t="s">
        <v>84</v>
      </c>
      <c r="J263" s="10">
        <f>Quantity_Sheet!H274</f>
        <v>0</v>
      </c>
      <c r="K263" s="10">
        <f>rate_755</f>
        <v>16804.41</v>
      </c>
    </row>
    <row r="264" spans="8:11" ht="63" x14ac:dyDescent="0.25">
      <c r="H264" s="7" t="str">
        <f>description_756</f>
        <v>Providing and laying Brick Masonry Work in Cement mortar  in Foundation / structure complete excluding Pointing and Plastering, as per Drawing and Technical Specifications., Cement sand mortar (1:3), Using Concrete Mixer</v>
      </c>
      <c r="I264" s="3" t="s">
        <v>84</v>
      </c>
      <c r="J264" s="10">
        <f>Quantity_Sheet!H275</f>
        <v>0</v>
      </c>
      <c r="K264" s="10">
        <f>rate_756</f>
        <v>16210.32</v>
      </c>
    </row>
    <row r="265" spans="8:11" ht="63" x14ac:dyDescent="0.25">
      <c r="H265" s="7" t="str">
        <f>description_757</f>
        <v>Providing and laying Brick Masonry Work in Cement mortar  in Foundation / structure complete excluding Pointing and Plastering, as per Drawing and Technical Specifications., Cement sand mortar (1:4)</v>
      </c>
      <c r="I265" s="3" t="s">
        <v>84</v>
      </c>
      <c r="J265" s="10">
        <f>Quantity_Sheet!H276</f>
        <v>0</v>
      </c>
      <c r="K265" s="10">
        <f>rate_757</f>
        <v>16480.509999999998</v>
      </c>
    </row>
    <row r="266" spans="8:11" ht="63" x14ac:dyDescent="0.25">
      <c r="H266" s="7" t="str">
        <f>description_758</f>
        <v>Providing and laying Brick Masonry Work in Cement mortar  in Foundation / structure complete excluding Pointing and Plastering, as per Drawing and Technical Specifications., Cement sand mortar (1:4), Using Concrete Mixer</v>
      </c>
      <c r="I266" s="3" t="s">
        <v>84</v>
      </c>
      <c r="J266" s="10">
        <f>Quantity_Sheet!H277</f>
        <v>0</v>
      </c>
      <c r="K266" s="10">
        <f>rate_758</f>
        <v>15886.42</v>
      </c>
    </row>
    <row r="267" spans="8:11" ht="63" x14ac:dyDescent="0.25">
      <c r="H267" s="7" t="str">
        <f>description_759</f>
        <v>Providing and laying Brick Masonry Work in Cement mortar  in Foundation / structure complete excluding Pointing and Plastering, as per Drawing and Technical Specifications., Cement sand mortar (1:6)</v>
      </c>
      <c r="I267" s="3" t="s">
        <v>84</v>
      </c>
      <c r="J267" s="10">
        <f>Quantity_Sheet!H278</f>
        <v>0</v>
      </c>
      <c r="K267" s="10">
        <f>rate_759</f>
        <v>16163.91</v>
      </c>
    </row>
    <row r="268" spans="8:11" ht="63" x14ac:dyDescent="0.25">
      <c r="H268" s="7" t="str">
        <f>description_760</f>
        <v>Providing and laying Brick Masonry Work in Cement mortar  in Foundation / structure complete excluding Pointing and Plastering, as per Drawing and Technical Specifications., Cement sand mortar (1:6), Using Concrete Mixer</v>
      </c>
      <c r="I268" s="3" t="s">
        <v>84</v>
      </c>
      <c r="J268" s="10">
        <f>Quantity_Sheet!H279</f>
        <v>0</v>
      </c>
      <c r="K268" s="10">
        <f>rate_760</f>
        <v>15569.82</v>
      </c>
    </row>
    <row r="269" spans="8:11" ht="63" x14ac:dyDescent="0.25">
      <c r="H269" s="7" t="str">
        <f>description_761</f>
        <v>Providing and laying Brick masonry work in superstructure/ sub-structure complete excluding pointing and plastering, as per drawing and Technical Specifications, Cement Mortar 1:2 (1 cement : 2 sand)</v>
      </c>
      <c r="I269" s="3" t="s">
        <v>84</v>
      </c>
      <c r="J269" s="10">
        <f>Quantity_Sheet!H280</f>
        <v>0</v>
      </c>
      <c r="K269" s="10">
        <f>rate_761</f>
        <v>17644.63</v>
      </c>
    </row>
    <row r="270" spans="8:11" ht="63" x14ac:dyDescent="0.25">
      <c r="H270" s="7" t="str">
        <f>description_762</f>
        <v>Providing and laying Brick masonry work in superstructure/ sub-structure complete excluding pointing and plastering, as per drawing and Technical Specifications, Cement Mortar 1:2 (1 cement : 2 sand), Using Concrete Mixer</v>
      </c>
      <c r="I270" s="3" t="s">
        <v>84</v>
      </c>
      <c r="J270" s="10">
        <f>Quantity_Sheet!H281</f>
        <v>0</v>
      </c>
      <c r="K270" s="10">
        <f>rate_762</f>
        <v>17018.29</v>
      </c>
    </row>
    <row r="271" spans="8:11" ht="63" x14ac:dyDescent="0.25">
      <c r="H271" s="7" t="str">
        <f>description_763</f>
        <v>Providing and laying Brick masonry work in superstructure/ sub-structure complete excluding pointing and plastering, as per drawing and Technical Specifications, Cement Mortar 1:3 (1 cement : 3 sand)</v>
      </c>
      <c r="I271" s="3" t="s">
        <v>84</v>
      </c>
      <c r="J271" s="10">
        <f>Quantity_Sheet!H282</f>
        <v>0</v>
      </c>
      <c r="K271" s="10">
        <f>rate_763</f>
        <v>18396.91</v>
      </c>
    </row>
    <row r="272" spans="8:11" ht="63" x14ac:dyDescent="0.25">
      <c r="H272" s="7" t="str">
        <f>description_764</f>
        <v>Providing and laying Brick masonry work in superstructure/ sub-structure complete excluding pointing and plastering, as per drawing and Technical Specifications, Cement Mortar 1:3 (1 cement : 3 sand), Using Concrete Mixer</v>
      </c>
      <c r="I272" s="3" t="s">
        <v>84</v>
      </c>
      <c r="J272" s="10">
        <f>Quantity_Sheet!H283</f>
        <v>0</v>
      </c>
      <c r="K272" s="10">
        <f>rate_764</f>
        <v>17770.560000000001</v>
      </c>
    </row>
    <row r="273" spans="8:11" ht="63" x14ac:dyDescent="0.25">
      <c r="H273" s="7" t="str">
        <f>description_765</f>
        <v>Providing and laying Brick masonry work in superstructure/ sub-structure complete excluding pointing and plastering, as per drawing and Technical Specifications, Cement Mortar 1:4 (1 cement : 4 sand)</v>
      </c>
      <c r="I273" s="3" t="s">
        <v>84</v>
      </c>
      <c r="J273" s="10">
        <f>Quantity_Sheet!H284</f>
        <v>0</v>
      </c>
      <c r="K273" s="10">
        <f>rate_765</f>
        <v>18056.810000000001</v>
      </c>
    </row>
    <row r="274" spans="8:11" ht="63" x14ac:dyDescent="0.25">
      <c r="H274" s="7" t="str">
        <f>description_766</f>
        <v>Providing and laying Brick masonry work in superstructure/ sub-structure complete excluding pointing and plastering, as per drawing and Technical Specifications, Cement Mortar 1:4 (1 cement : 4 sand), Using Concrete Mixer</v>
      </c>
      <c r="I274" s="3" t="s">
        <v>84</v>
      </c>
      <c r="J274" s="10">
        <f>Quantity_Sheet!H285</f>
        <v>0</v>
      </c>
      <c r="K274" s="10">
        <f>rate_766</f>
        <v>17430.46</v>
      </c>
    </row>
    <row r="275" spans="8:11" ht="63" x14ac:dyDescent="0.25">
      <c r="H275" s="7" t="str">
        <f>description_767</f>
        <v>Providing and laying Brick masonry work in superstructure/ sub-structure complete excluding pointing and plastering, as per drawing and Technical Specifications, Cement Mortar 1:6 (1 cement : 6 sand)</v>
      </c>
      <c r="I275" s="3" t="s">
        <v>84</v>
      </c>
      <c r="J275" s="10">
        <f>Quantity_Sheet!H286</f>
        <v>0</v>
      </c>
      <c r="K275" s="10">
        <f>rate_767</f>
        <v>17724.38</v>
      </c>
    </row>
    <row r="276" spans="8:11" ht="63" x14ac:dyDescent="0.25">
      <c r="H276" s="7" t="str">
        <f>description_768</f>
        <v>Providing and laying Brick masonry work in superstructure/ sub-structure complete excluding pointing and plastering, as per drawing and Technical Specifications, Cement Mortar 1:6 (1 cement : 6 sand), Using Concrete Mixer</v>
      </c>
      <c r="I276" s="3" t="s">
        <v>84</v>
      </c>
      <c r="J276" s="10">
        <f>Quantity_Sheet!H287</f>
        <v>0</v>
      </c>
      <c r="K276" s="10">
        <f>rate_768</f>
        <v>17098.04</v>
      </c>
    </row>
    <row r="277" spans="8:11" ht="31.5" x14ac:dyDescent="0.25">
      <c r="H277" s="7" t="str">
        <f>description_769</f>
        <v>Providing, and applying Pointing with cement mortar (1:3 ) on brick work in structure as per Technical Specifications .</v>
      </c>
      <c r="I277" s="3" t="s">
        <v>438</v>
      </c>
      <c r="J277" s="10">
        <f>Quantity_Sheet!H288</f>
        <v>0</v>
      </c>
      <c r="K277" s="10">
        <f>rate_769</f>
        <v>309.93</v>
      </c>
    </row>
    <row r="278" spans="8:11" ht="47.25" x14ac:dyDescent="0.25">
      <c r="H278" s="7" t="str">
        <f>description_770</f>
        <v>Providing and applying 12.5 mm thick  Plaster with cement mortar  on brick work structure as per Technical Specifications , Cement Mortar 1:2 (1 cement : 2 sand)</v>
      </c>
      <c r="I278" s="3" t="s">
        <v>438</v>
      </c>
      <c r="J278" s="10">
        <f>Quantity_Sheet!H289</f>
        <v>0</v>
      </c>
      <c r="K278" s="10">
        <f>rate_770</f>
        <v>4675.2700000000004</v>
      </c>
    </row>
    <row r="279" spans="8:11" ht="47.25" x14ac:dyDescent="0.25">
      <c r="H279" s="7" t="str">
        <f>description_771</f>
        <v>Providing and applying 12.5 mm thick  Plaster with cement mortar  on brick work structure as per Technical Specifications , Cement Mortar 1:2 (1 cement : 2 sand), Using Concrete Mixer</v>
      </c>
      <c r="I279" s="3" t="s">
        <v>438</v>
      </c>
      <c r="J279" s="10">
        <f>Quantity_Sheet!H290</f>
        <v>0</v>
      </c>
      <c r="K279" s="10">
        <f>rate_771</f>
        <v>4485.75</v>
      </c>
    </row>
    <row r="280" spans="8:11" ht="47.25" x14ac:dyDescent="0.25">
      <c r="H280" s="7" t="str">
        <f>description_776</f>
        <v>Providing  and laying weep holes in Brick works / Masonry/ Plain/ Reinforced concrete abutment, wing wall/ return wall with 100 mm dia HDPE pipe  as per Drawing and Technical Specifications.</v>
      </c>
      <c r="I280" s="3" t="s">
        <v>75</v>
      </c>
      <c r="J280" s="10">
        <f>Quantity_Sheet!H291</f>
        <v>0</v>
      </c>
      <c r="K280" s="10" t="e">
        <f>rate_776</f>
        <v>#REF!</v>
      </c>
    </row>
    <row r="281" spans="8:11" ht="47.25" x14ac:dyDescent="0.25">
      <c r="H281" s="7" t="str">
        <f>description_775</f>
        <v>Providing and applying 12.5 mm thick  Plaster with cement mortar  on brick work structure as per Technical Specifications , Cement Mortar 1:4 (1 cement : 4 sand), Using Concrete Mixer</v>
      </c>
      <c r="I281" s="3" t="s">
        <v>438</v>
      </c>
      <c r="J281" s="10">
        <f>Quantity_Sheet!H292</f>
        <v>0</v>
      </c>
      <c r="K281" s="10">
        <f>rate_775</f>
        <v>3992</v>
      </c>
    </row>
    <row r="282" spans="8:11" ht="47.25" x14ac:dyDescent="0.25">
      <c r="H282" s="7" t="str">
        <f>description_774</f>
        <v>Providing and applying 12.5 mm thick  Plaster with cement mortar  on brick work structure as per Technical Specifications , Cement Mortar 1:4 (1 cement : 4 sand)</v>
      </c>
      <c r="I282" s="3" t="s">
        <v>438</v>
      </c>
      <c r="J282" s="10">
        <f>Quantity_Sheet!H293</f>
        <v>0</v>
      </c>
      <c r="K282" s="10">
        <f>rate_774</f>
        <v>4181.5200000000004</v>
      </c>
    </row>
    <row r="283" spans="8:11" ht="47.25" x14ac:dyDescent="0.25">
      <c r="H283" s="7" t="str">
        <f>description_773</f>
        <v>Providing and applying 12.5 mm thick  Plaster with cement mortar  on brick work structure as per Technical Specifications , Cement Mortar 1:3 (1 cement : 3 sand), Using Concrete Mixer</v>
      </c>
      <c r="I283" s="3" t="s">
        <v>438</v>
      </c>
      <c r="J283" s="10">
        <f>Quantity_Sheet!H294</f>
        <v>0</v>
      </c>
      <c r="K283" s="10">
        <f>rate_773</f>
        <v>4166.3500000000004</v>
      </c>
    </row>
    <row r="284" spans="8:11" ht="47.25" x14ac:dyDescent="0.25">
      <c r="H284" s="7" t="str">
        <f>description_772</f>
        <v>Providing and applying 12.5 mm thick  Plaster with cement mortar  on brick work structure as per Technical Specifications , Cement Mortar 1:3 (1 cement : 3 sand)</v>
      </c>
      <c r="I284" s="3" t="s">
        <v>438</v>
      </c>
      <c r="J284" s="10">
        <f>Quantity_Sheet!H295</f>
        <v>0</v>
      </c>
      <c r="K284" s="10">
        <f>rate_772</f>
        <v>4355.87</v>
      </c>
    </row>
    <row r="285" spans="8:11" ht="47.25" x14ac:dyDescent="0.25">
      <c r="H285" s="7" t="str">
        <f>description_779</f>
        <v>Random Rubble Masonry, Providing and laying of Stone Masonry Work in Cement Mortar 1:3 in Foundation complete as per Drawing and Technical Specifications.</v>
      </c>
      <c r="I285" s="3" t="s">
        <v>84</v>
      </c>
      <c r="J285" s="10">
        <f>Quantity_Sheet!H296</f>
        <v>0</v>
      </c>
      <c r="K285" s="10">
        <f>rate_779</f>
        <v>12301.34</v>
      </c>
    </row>
    <row r="286" spans="8:11" ht="47.25" x14ac:dyDescent="0.25">
      <c r="H286" s="7" t="str">
        <f>description_780</f>
        <v>Random Rubble Masonry, Providing and laying of Stone Masonry Work in Cement Mortar 1:3 in Foundation complete as per Drawing and Technical Specifications., Using Concrete Mixer</v>
      </c>
      <c r="I286" s="3" t="s">
        <v>84</v>
      </c>
      <c r="J286" s="10">
        <f>Quantity_Sheet!H297</f>
        <v>0</v>
      </c>
      <c r="K286" s="10">
        <f>rate_780</f>
        <v>11026.39</v>
      </c>
    </row>
    <row r="287" spans="8:11" ht="47.25" x14ac:dyDescent="0.25">
      <c r="H287" s="7" t="str">
        <f>description_782</f>
        <v>Random Rubble Masonry, Providing and laying of Stone Masonry Work in Cement Mortar 1:4 in Foundation complete as per Drawing and Technical Specifications., Using Concrete Mixer</v>
      </c>
      <c r="I287" s="3" t="s">
        <v>84</v>
      </c>
      <c r="J287" s="10">
        <f>Quantity_Sheet!H298</f>
        <v>0</v>
      </c>
      <c r="K287" s="10">
        <f>rate_782</f>
        <v>10597.22</v>
      </c>
    </row>
    <row r="288" spans="8:11" ht="47.25" x14ac:dyDescent="0.25">
      <c r="H288" s="7" t="str">
        <f>description_781</f>
        <v>Random Rubble Masonry, Providing and laying of Stone Masonry Work in Cement Mortar 1:4 in Foundation complete as per Drawing and Technical Specifications.</v>
      </c>
      <c r="I288" s="3" t="s">
        <v>84</v>
      </c>
      <c r="J288" s="10">
        <f>Quantity_Sheet!H299</f>
        <v>0</v>
      </c>
      <c r="K288" s="10">
        <f>rate_781</f>
        <v>11872.16</v>
      </c>
    </row>
    <row r="289" spans="8:11" ht="47.25" x14ac:dyDescent="0.25">
      <c r="H289" s="7" t="str">
        <f>description_784</f>
        <v>Random Rubble Masonry, Providing and laying of Stone Masonry Work in Cement Mortar 1:6 in Foundation complete as per Drawing and Technical Specifications., Using Concrete Mixer</v>
      </c>
      <c r="I289" s="3" t="s">
        <v>84</v>
      </c>
      <c r="J289" s="10">
        <f>Quantity_Sheet!H300</f>
        <v>0</v>
      </c>
      <c r="K289" s="10">
        <f>rate_784</f>
        <v>10336</v>
      </c>
    </row>
    <row r="290" spans="8:11" ht="47.25" x14ac:dyDescent="0.25">
      <c r="H290" s="7" t="str">
        <f>description_783</f>
        <v>Random Rubble Masonry, Providing and laying of Stone Masonry Work in Cement Mortar 1:6 in Foundation complete as per Drawing and Technical Specifications.</v>
      </c>
      <c r="I290" s="3" t="s">
        <v>84</v>
      </c>
      <c r="J290" s="10">
        <f>Quantity_Sheet!H301</f>
        <v>0</v>
      </c>
      <c r="K290" s="10">
        <f>rate_783</f>
        <v>11360.19</v>
      </c>
    </row>
    <row r="291" spans="8:11" ht="47.25" x14ac:dyDescent="0.25">
      <c r="H291" s="7" t="str">
        <f>description_810</f>
        <v>Providing and Sealing of cracks/porous concrete by injection process through nipples/Grouting complete as per Technical Specification., Cement Grout</v>
      </c>
      <c r="I291" s="3" t="s">
        <v>144</v>
      </c>
      <c r="J291" s="10">
        <f>Quantity_Sheet!H302</f>
        <v>0</v>
      </c>
      <c r="K291" s="10">
        <f>rate_810</f>
        <v>441.88</v>
      </c>
    </row>
    <row r="292" spans="8:11" ht="47.25" x14ac:dyDescent="0.25">
      <c r="H292" s="7" t="str">
        <f>description_811</f>
        <v>Providing and Sealing of cracks/porous concrete by injection process through nipples/Grouting complete as per Technical Specification., Cement Mortar (1:1) Grouting</v>
      </c>
      <c r="I292" s="3" t="s">
        <v>144</v>
      </c>
      <c r="J292" s="10">
        <f>Quantity_Sheet!H303</f>
        <v>0</v>
      </c>
      <c r="K292" s="10">
        <f>rate_811</f>
        <v>540.77</v>
      </c>
    </row>
    <row r="293" spans="8:11" ht="31.5" x14ac:dyDescent="0.25">
      <c r="H293" s="7" t="str">
        <f>description_2290</f>
        <v>Providing and replacement of Expansion Joints complete as per drawings, Technical specifications and direction of the Engineer.</v>
      </c>
      <c r="I293" s="3" t="s">
        <v>75</v>
      </c>
      <c r="J293" s="10">
        <f>Quantity_Sheet!H304</f>
        <v>0</v>
      </c>
      <c r="K293" s="10" t="e">
        <f>rate_2290</f>
        <v>#REF!</v>
      </c>
    </row>
    <row r="294" spans="8:11" ht="31.5" x14ac:dyDescent="0.25">
      <c r="H294" s="7" t="str">
        <f>description_822</f>
        <v>Providing required parts and rectification of Bearings as per Technical Specifications and direction of the Engineer.</v>
      </c>
      <c r="I294" s="3" t="s">
        <v>49</v>
      </c>
      <c r="J294" s="10">
        <f>Quantity_Sheet!H305</f>
        <v>0</v>
      </c>
      <c r="K294" s="10" t="e">
        <f>rate_822</f>
        <v>#REF!</v>
      </c>
    </row>
    <row r="295" spans="8:11" ht="31.5" x14ac:dyDescent="0.25">
      <c r="H295" s="7" t="str">
        <f>description_824</f>
        <v>Providing and replacement of Damaged Concrete Railing as per Drawing, Technical Specifications and direction of the Engineer,.</v>
      </c>
      <c r="I295" s="3" t="s">
        <v>75</v>
      </c>
      <c r="J295" s="10">
        <f>Quantity_Sheet!H306</f>
        <v>0</v>
      </c>
      <c r="K295" s="10">
        <f>rate_824</f>
        <v>677.47</v>
      </c>
    </row>
    <row r="296" spans="8:11" ht="31.5" x14ac:dyDescent="0.25">
      <c r="H296" s="7" t="str">
        <f>description_825</f>
        <v>Providing and replacement of Crash Barrier as per Drawing, Technical Specifications and instruction of the Engineer.</v>
      </c>
      <c r="I296" s="3" t="s">
        <v>75</v>
      </c>
      <c r="J296" s="10">
        <f>Quantity_Sheet!H307</f>
        <v>0</v>
      </c>
      <c r="K296" s="10">
        <f>rate_825</f>
        <v>964.2</v>
      </c>
    </row>
    <row r="297" spans="8:11" ht="31.5" x14ac:dyDescent="0.25">
      <c r="H297" s="7" t="str">
        <f>description_826</f>
        <v>Providing and replacement of Damaged  mild steel railing as per Drawing, Technical Specifications and direction of the Engineer.</v>
      </c>
      <c r="I297" s="3" t="s">
        <v>75</v>
      </c>
      <c r="J297" s="10">
        <f>Quantity_Sheet!H308</f>
        <v>0</v>
      </c>
      <c r="K297" s="10">
        <f>rate_826</f>
        <v>644.19000000000005</v>
      </c>
    </row>
    <row r="298" spans="8:11" ht="78.75" x14ac:dyDescent="0.25">
      <c r="H298" s="7" t="str">
        <f>description_827</f>
        <v>Repair of Crash Barrier, Providing and repair of concrete crash barrier with cement concrete M-30 grade by cutting and trimming the damaged portion to a regular shape, cleaning the area to be repaired thoroughly, applying cement concert after erection of proper form work.</v>
      </c>
      <c r="I298" s="3" t="s">
        <v>75</v>
      </c>
      <c r="J298" s="10">
        <f>Quantity_Sheet!H309</f>
        <v>0</v>
      </c>
      <c r="K298" s="10">
        <f>rate_827</f>
        <v>661.31</v>
      </c>
    </row>
    <row r="299" spans="8:11" ht="47.25" x14ac:dyDescent="0.25">
      <c r="H299" s="7" t="str">
        <f>description_828</f>
        <v>Providing and  repair of  RCC  railing to bring it to the original shape as per Drawing, Technical Specifications and instruction of the Engineer., Repair of RCC Railing</v>
      </c>
      <c r="I299" s="3" t="s">
        <v>75</v>
      </c>
      <c r="J299" s="10">
        <f>Quantity_Sheet!H310</f>
        <v>0</v>
      </c>
      <c r="K299" s="10">
        <f>rate_828</f>
        <v>417.46</v>
      </c>
    </row>
    <row r="300" spans="8:11" ht="47.25" x14ac:dyDescent="0.25">
      <c r="H300" s="7" t="str">
        <f>description_829</f>
        <v>Repair of Steel Railing, Providing and repair of steel railing to bring it to the original shape as per Drawing, Technical Specifications and direction of the Engineer.</v>
      </c>
      <c r="I300" s="3" t="s">
        <v>75</v>
      </c>
      <c r="J300" s="10">
        <f>Quantity_Sheet!H311</f>
        <v>0</v>
      </c>
      <c r="K300" s="10">
        <f>rate_829</f>
        <v>354.87</v>
      </c>
    </row>
    <row r="301" spans="8:11" ht="63" x14ac:dyDescent="0.25">
      <c r="H301" s="7" t="str">
        <f>description_830</f>
        <v>Painting of Steel Bridge, Providing and painting steel bridge including removal of old paints by sand blasting cleaning and repairing of metal surfaces for the application of new paints as per specification and direction of the Engineer.</v>
      </c>
      <c r="I301" s="3" t="s">
        <v>438</v>
      </c>
      <c r="J301" s="10">
        <f>Quantity_Sheet!H312</f>
        <v>0</v>
      </c>
      <c r="K301" s="10">
        <f>rate_830</f>
        <v>1433.71</v>
      </c>
    </row>
    <row r="302" spans="8:11" ht="47.25" x14ac:dyDescent="0.25">
      <c r="H302" s="7" t="str">
        <f>description_831</f>
        <v>Providing and Painting of steel bridges with one coat of primer, one coat of epoxy and 2 coats of acrylic polyurethane as per specification.</v>
      </c>
      <c r="I302" s="3" t="s">
        <v>438</v>
      </c>
      <c r="J302" s="10">
        <f>Quantity_Sheet!H313</f>
        <v>0</v>
      </c>
      <c r="K302" s="10" t="e">
        <f>rate_831</f>
        <v>#REF!</v>
      </c>
    </row>
    <row r="303" spans="8:11" ht="47.25" x14ac:dyDescent="0.25">
      <c r="H303" s="7" t="str">
        <f>description_832</f>
        <v>Providing and painting of steel bridges with one coat of primer, one coat of epoxy and 2 coats of acrylic polyurethane, without sprayer machine as per specification</v>
      </c>
      <c r="I303" s="3" t="s">
        <v>438</v>
      </c>
      <c r="J303" s="10">
        <f>Quantity_Sheet!H314</f>
        <v>0</v>
      </c>
      <c r="K303" s="10" t="e">
        <f>rate_832</f>
        <v>#REF!</v>
      </c>
    </row>
    <row r="304" spans="8:11" ht="47.25" x14ac:dyDescent="0.25">
      <c r="H304" s="7" t="str">
        <f>description_934</f>
        <v>Maintenance,Carryout Routine ( regular maintenance) of Black top/ Gravel  road in plain area (  Terai) as per Technical Specifications and direction of the Engineer,</v>
      </c>
      <c r="I304" s="3" t="s">
        <v>2028</v>
      </c>
      <c r="J304" s="10">
        <f>Quantity_Sheet!H315</f>
        <v>0</v>
      </c>
      <c r="K304" s="10">
        <f>rate_934</f>
        <v>343.97</v>
      </c>
    </row>
    <row r="305" spans="8:11" ht="47.25" x14ac:dyDescent="0.25">
      <c r="H305" s="7" t="str">
        <f>description_935</f>
        <v>Maintenance, Carryout Routine ( regular maintenance) of Black top/ Gravel  road in Hilly area as per Technical Specifications and direction of the Engineer,</v>
      </c>
      <c r="I305" s="3" t="s">
        <v>2028</v>
      </c>
      <c r="J305" s="10">
        <f>Quantity_Sheet!H316</f>
        <v>0</v>
      </c>
      <c r="K305" s="10">
        <f>rate_935</f>
        <v>511.7</v>
      </c>
    </row>
    <row r="306" spans="8:11" ht="47.25" x14ac:dyDescent="0.25">
      <c r="H306" s="7" t="str">
        <f>description_936</f>
        <v>Maintenance, Carryout Routine ( regular maintenance) of Black top/ Gravel  road in Hilly area as per Technical Specifications and direction of the Engineer,</v>
      </c>
      <c r="I306" s="3" t="s">
        <v>2031</v>
      </c>
      <c r="J306" s="10">
        <f>Quantity_Sheet!H317</f>
        <v>0</v>
      </c>
      <c r="K306" s="10" t="e">
        <f>rate_936</f>
        <v>#REF!</v>
      </c>
    </row>
    <row r="307" spans="8:11" ht="47.25" x14ac:dyDescent="0.25">
      <c r="H307" s="7" t="str">
        <f>description_937</f>
        <v>Restoration of Rain Cuts. Providing and restoration of rain cuts in embankment slopes as per specification and direction of the Engineer.</v>
      </c>
      <c r="I307" s="3" t="s">
        <v>84</v>
      </c>
      <c r="J307" s="10">
        <f>Quantity_Sheet!H318</f>
        <v>0</v>
      </c>
      <c r="K307" s="10">
        <f>rate_937</f>
        <v>949.61</v>
      </c>
    </row>
    <row r="308" spans="8:11" ht="78.75" x14ac:dyDescent="0.25">
      <c r="H308" s="7" t="str">
        <f>description_938</f>
        <v>Providing and restoration of rain cuts with surrounding  material benching for 300 mm width, laying fresh Material in layers not exceeding 250 mm and compacting to restore the original alignment, levels and slopes as per Technical Specification and direction of the Engineer.Manual means</v>
      </c>
      <c r="I308" s="3" t="s">
        <v>84</v>
      </c>
      <c r="J308" s="10">
        <f>Quantity_Sheet!H319</f>
        <v>0</v>
      </c>
      <c r="K308" s="10" t="e">
        <f>rate_938</f>
        <v>#REF!</v>
      </c>
    </row>
    <row r="309" spans="8:11" ht="94.5" x14ac:dyDescent="0.25">
      <c r="H309" s="7" t="str">
        <f>description_943</f>
        <v>Maintenance of bituminous surface road with Emulsion, Providing required material and repair to pot holes including removal of failed material, trimming the sides to vertical , leveling the bottom, cleaning, filled with 75 mm Bituminous macadam  applying bitumen /emulsion prime coat  and  tack coat  as per Technical Specifications and direction of the Engineer.</v>
      </c>
      <c r="I309" s="3" t="s">
        <v>84</v>
      </c>
      <c r="J309" s="10">
        <f>Quantity_Sheet!H320</f>
        <v>0</v>
      </c>
      <c r="K309" s="10">
        <f>rate_943</f>
        <v>20869.310000000001</v>
      </c>
    </row>
    <row r="310" spans="8:11" ht="78.75" x14ac:dyDescent="0.25">
      <c r="H310" s="7" t="str">
        <f>description_950</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5 mm thickness</v>
      </c>
      <c r="I310" s="3" t="s">
        <v>438</v>
      </c>
      <c r="J310" s="10">
        <f>Quantity_Sheet!H321</f>
        <v>0</v>
      </c>
      <c r="K310" s="10">
        <f>rate_950</f>
        <v>371.31</v>
      </c>
    </row>
    <row r="311" spans="8:11" ht="78.75" x14ac:dyDescent="0.25">
      <c r="H311" s="7" t="str">
        <f>description_951</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3 mm thickness</v>
      </c>
      <c r="I311" s="3" t="s">
        <v>438</v>
      </c>
      <c r="J311" s="10">
        <f>Quantity_Sheet!H322</f>
        <v>0</v>
      </c>
      <c r="K311" s="10">
        <f>rate_951</f>
        <v>10938.21</v>
      </c>
    </row>
    <row r="312" spans="8:11" ht="78.75" x14ac:dyDescent="0.25">
      <c r="H312" s="7" t="str">
        <f>description_952</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1.5 mm thickness</v>
      </c>
      <c r="I312" s="3" t="s">
        <v>438</v>
      </c>
      <c r="J312" s="10">
        <f>Quantity_Sheet!H323</f>
        <v>0</v>
      </c>
      <c r="K312" s="10">
        <f>rate_952</f>
        <v>698.58</v>
      </c>
    </row>
    <row r="313" spans="8:11" ht="47.25" x14ac:dyDescent="0.25">
      <c r="H313" s="7" t="str">
        <f>description_953</f>
        <v>Fog Spray, Providing and applying low viscosity bitumen emulsion for sealing cracks less than 3 mm wide or incipient fretting or disintegration in an existing bituminous surfacing.</v>
      </c>
      <c r="I313" s="3" t="s">
        <v>438</v>
      </c>
      <c r="J313" s="10">
        <f>Quantity_Sheet!H324</f>
        <v>0</v>
      </c>
      <c r="K313" s="10">
        <f>rate_953</f>
        <v>92.44</v>
      </c>
    </row>
    <row r="314" spans="8:11" ht="63" x14ac:dyDescent="0.25">
      <c r="H314" s="7" t="str">
        <f>description_954</f>
        <v>Fog Spray, Providing and applying low viscosity bitumen emulsion for sealing cracks less than 3 mm wide or incipient fretting or disintegration in an existing bituminous surfacing., In case it is decided by the engineer to blind the fog spray.</v>
      </c>
      <c r="I314" s="3" t="s">
        <v>438</v>
      </c>
      <c r="J314" s="10">
        <f>Quantity_Sheet!H325</f>
        <v>0</v>
      </c>
      <c r="K314" s="10">
        <f>rate_954</f>
        <v>111.73</v>
      </c>
    </row>
    <row r="315" spans="8:11" ht="78.75" x14ac:dyDescent="0.25">
      <c r="H315" s="7" t="str">
        <f>description_959</f>
        <v>Surface Dressing for maintenance works., Providing and laying surfacing dressing as wearing course in single coat using gravel of specified size for maintenance / repair works as per Technical Specification and instruction of the Engineer., :-19 mm nominal chipping size</v>
      </c>
      <c r="I315" s="3" t="s">
        <v>438</v>
      </c>
      <c r="J315" s="10">
        <f>Quantity_Sheet!H326</f>
        <v>0</v>
      </c>
      <c r="K315" s="10" t="e">
        <f>rate_959</f>
        <v>#REF!</v>
      </c>
    </row>
    <row r="316" spans="8:11" ht="78.75" x14ac:dyDescent="0.25">
      <c r="H316" s="7" t="str">
        <f>description_960</f>
        <v>Surface Dressing for maintenance works., Providing and laying surfacing dressing as wearing course in single coat using gravel of specified size for maintenance / repair works as per Technical Specification and instruction of the Engineer., 13 mm nominal size chipping</v>
      </c>
      <c r="I316" s="3" t="s">
        <v>438</v>
      </c>
      <c r="J316" s="10">
        <f>Quantity_Sheet!H327</f>
        <v>0</v>
      </c>
      <c r="K316" s="10" t="e">
        <f>rate_960</f>
        <v>#REF!</v>
      </c>
    </row>
    <row r="317" spans="8:11" ht="78.75" x14ac:dyDescent="0.25">
      <c r="H317" s="7" t="str">
        <f>description_961</f>
        <v>Surface Dressing for maintenance works., Providing and laying surfacing dressing as wearing course in single coat using gravel of specified size for maintenance / repair works as per Technical Specification and instruction of the Engineer., 9.5 mm nominal size chipping</v>
      </c>
      <c r="I317" s="3" t="s">
        <v>438</v>
      </c>
      <c r="J317" s="10">
        <f>Quantity_Sheet!H328</f>
        <v>0</v>
      </c>
      <c r="K317" s="10" t="e">
        <f>rate_961</f>
        <v>#REF!</v>
      </c>
    </row>
    <row r="318" spans="8:11" ht="31.5" x14ac:dyDescent="0.25">
      <c r="H318" s="7" t="str">
        <f>description_968</f>
        <v>Carryout Routine using Labour based method for Local road as per direction of the Engineer,, District Road , Rural road class "A"</v>
      </c>
      <c r="I318" s="3" t="s">
        <v>2044</v>
      </c>
      <c r="J318" s="10">
        <f>Quantity_Sheet!H329</f>
        <v>0</v>
      </c>
      <c r="K318" s="10" t="e">
        <f>rate_968</f>
        <v>#REF!</v>
      </c>
    </row>
    <row r="319" spans="8:11" ht="31.5" x14ac:dyDescent="0.25">
      <c r="H319" s="7" t="str">
        <f>description_969</f>
        <v>Carryout Routine using Labour based method for Local road as per direction of the Engineer,, Village Road , Rural road class "B"</v>
      </c>
      <c r="I319" s="3" t="s">
        <v>2044</v>
      </c>
      <c r="J319" s="10">
        <f>Quantity_Sheet!H330</f>
        <v>0</v>
      </c>
      <c r="K319" s="10" t="e">
        <f>rate_969</f>
        <v>#REF!</v>
      </c>
    </row>
    <row r="320" spans="8:11" ht="31.5" x14ac:dyDescent="0.25">
      <c r="H320" s="7" t="str">
        <f>description_970</f>
        <v>Carryout Routine using Labour based method for Local road as per direction of the Engineer,, Main Trail  , Rural road Class "C"</v>
      </c>
      <c r="I320" s="3"/>
      <c r="J320" s="10">
        <f>Quantity_Sheet!H331</f>
        <v>0</v>
      </c>
      <c r="K320" s="10" t="e">
        <f>rate_970</f>
        <v>#REF!</v>
      </c>
    </row>
    <row r="321" spans="8:11" ht="31.5" x14ac:dyDescent="0.25">
      <c r="H321" s="7" t="str">
        <f>description_971</f>
        <v>Carryout Routine using Labour based method for Local road as per direction of the Engineer,, Village Trail  , Rural road Class "D"</v>
      </c>
      <c r="I321" s="3"/>
      <c r="J321" s="10">
        <f>Quantity_Sheet!H332</f>
        <v>0</v>
      </c>
      <c r="K321" s="10" t="e">
        <f>rate_971</f>
        <v>#REF!</v>
      </c>
    </row>
    <row r="322" spans="8:11" ht="31.5" x14ac:dyDescent="0.25">
      <c r="H322" s="7" t="str">
        <f>description_1011</f>
        <v>Providing, fitting and fixing mild steel railing complete as per drawing and Technical Specification</v>
      </c>
      <c r="I322" s="3" t="s">
        <v>463</v>
      </c>
      <c r="J322" s="10">
        <f>Quantity_Sheet!H333</f>
        <v>0</v>
      </c>
      <c r="K322" s="10" t="e">
        <f>rate_1011</f>
        <v>#REF!</v>
      </c>
    </row>
    <row r="323" spans="8:11" ht="31.5" x14ac:dyDescent="0.25">
      <c r="H323" s="7" t="str">
        <f>description_1012</f>
        <v>Providing and fixing Drainage Spouts complete as per Drawing and Technical specifications.</v>
      </c>
      <c r="I323" s="3" t="s">
        <v>1812</v>
      </c>
      <c r="J323" s="10">
        <f>Quantity_Sheet!H334</f>
        <v>0</v>
      </c>
      <c r="K323" s="10" t="e">
        <f>rate_1012</f>
        <v>#REF!</v>
      </c>
    </row>
    <row r="324" spans="8:11" ht="47.25" x14ac:dyDescent="0.25">
      <c r="H324" s="7" t="str">
        <f>description_1013</f>
        <v>Filler joint, Providing &amp; fixing 2 mm thick corrugated copper plate in expansion joint complete as per drawing &amp; Technical Specification.</v>
      </c>
      <c r="I324" s="3" t="s">
        <v>75</v>
      </c>
      <c r="J324" s="10">
        <f>Quantity_Sheet!H335</f>
        <v>0</v>
      </c>
      <c r="K324" s="10" t="e">
        <f>rate_1013</f>
        <v>#REF!</v>
      </c>
    </row>
    <row r="325" spans="8:11" ht="31.5" x14ac:dyDescent="0.25">
      <c r="H325" s="7" t="str">
        <f>description_1014</f>
        <v>, Providing &amp; fixing 20 mm thick compressible fiber board in expansion joint complete as per drawing &amp; Technical Specification.</v>
      </c>
      <c r="I325" s="3" t="s">
        <v>75</v>
      </c>
      <c r="J325" s="10">
        <f>Quantity_Sheet!H336</f>
        <v>0</v>
      </c>
      <c r="K325" s="10" t="e">
        <f>rate_1014</f>
        <v>#REF!</v>
      </c>
    </row>
    <row r="326" spans="8:11" ht="78.75" x14ac:dyDescent="0.25">
      <c r="H326" s="7" t="str">
        <f>description_1015</f>
        <v>, Providing and fixing in position 20 mm thick pre-moulded joint filler in expansion joint for fixed ends of simply supported spans not exceeding 10 m to cater for a horizontal movement upto 20 mm, covered with sealant complete as per Drawing and technical specifications.</v>
      </c>
      <c r="I326" s="3" t="s">
        <v>75</v>
      </c>
      <c r="J326" s="10">
        <f>Quantity_Sheet!H337</f>
        <v>0</v>
      </c>
      <c r="K326" s="10" t="e">
        <f>rate_1015</f>
        <v>#REF!</v>
      </c>
    </row>
    <row r="327" spans="8:11" ht="94.5" x14ac:dyDescent="0.25">
      <c r="H327" s="7" t="str">
        <f>description_1018</f>
        <v>Tubular Steel Railing on Medium Weight Steel Channel ( ISMC series) 100 mm x 50 mm, Providing, fixing and erecting 50 mm dia steel pipe railing in 3 rows duly painted on medium weight steel channels (ISMC series) 100 mm x 50 mm, 1.2 metres high above ground, 2 m center to center, complete as per Drawing and Technical specifications.</v>
      </c>
      <c r="I327" s="3" t="s">
        <v>75</v>
      </c>
      <c r="J327" s="10">
        <f>Quantity_Sheet!H338</f>
        <v>0</v>
      </c>
      <c r="K327" s="10" t="e">
        <f>rate_1018</f>
        <v>#REF!</v>
      </c>
    </row>
    <row r="328" spans="8:11" ht="94.5" x14ac:dyDescent="0.25">
      <c r="H328" s="7" t="str">
        <f>description_1019</f>
        <v>Tubular Steel Railing on Precast RCC Posts, 1.2 m High Above Ground Level, Providing, fencing and erecting 50 mm dia painted steel pipe railing in 3 rows on precast M 20 grade RCC vertical posts 1.8 metres high (1.2 m above GL) with 3 holes 50 mm dia for pipe, fixed 2 metres center to, complete as per Drawing and Technical Specifications.</v>
      </c>
      <c r="I328" s="3" t="s">
        <v>75</v>
      </c>
      <c r="J328" s="10">
        <f>Quantity_Sheet!H339</f>
        <v>0</v>
      </c>
      <c r="K328" s="10" t="e">
        <f>rate_1019</f>
        <v>#REF!</v>
      </c>
    </row>
  </sheetData>
  <conditionalFormatting sqref="A2:K328">
    <cfRule type="containsBlanks" dxfId="0" priority="1">
      <formula>LEN(TRIM(A2))=0</formula>
    </cfRule>
  </conditionalFormatting>
  <pageMargins left="0.5" right="0.5" top="0.5" bottom="0.5" header="0.3" footer="0.3"/>
  <pageSetup paperSize="9" scale="69" fitToHeight="0" orientation="landscape" useFirstPageNumber="1" r:id="rId1"/>
  <headerFooter>
    <oddHeader>&amp;L PPMO Bill of Quantities &amp;R 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0"/>
  <sheetViews>
    <sheetView workbookViewId="0">
      <selection sqref="A1:I1"/>
    </sheetView>
  </sheetViews>
  <sheetFormatPr defaultRowHeight="15" x14ac:dyDescent="0.25"/>
  <cols>
    <col min="2" max="2" width="70.7109375" customWidth="1"/>
    <col min="5" max="9" width="10.7109375" customWidth="1"/>
  </cols>
  <sheetData>
    <row r="1" spans="1:9" ht="15.75" x14ac:dyDescent="0.25">
      <c r="A1" s="415" t="s">
        <v>0</v>
      </c>
      <c r="B1" s="415"/>
      <c r="C1" s="415"/>
      <c r="D1" s="415"/>
      <c r="E1" s="415"/>
      <c r="F1" s="415"/>
      <c r="G1" s="415"/>
      <c r="H1" s="415"/>
      <c r="I1" s="415"/>
    </row>
    <row r="2" spans="1:9" ht="15.75" x14ac:dyDescent="0.25">
      <c r="A2" s="415" t="str">
        <f>ministry</f>
        <v>Ministry of Physical Infrastructure &amp; Transport</v>
      </c>
      <c r="B2" s="415"/>
      <c r="C2" s="415"/>
      <c r="D2" s="415"/>
      <c r="E2" s="415"/>
      <c r="F2" s="415"/>
      <c r="G2" s="415"/>
      <c r="H2" s="415"/>
      <c r="I2" s="415"/>
    </row>
    <row r="3" spans="1:9" ht="15.75" x14ac:dyDescent="0.25">
      <c r="A3" s="416" t="str">
        <f>department</f>
        <v>Department of Roads</v>
      </c>
      <c r="B3" s="416"/>
      <c r="C3" s="416"/>
      <c r="D3" s="416"/>
      <c r="E3" s="416"/>
      <c r="F3" s="416"/>
      <c r="G3" s="416"/>
      <c r="H3" s="416"/>
      <c r="I3" s="416"/>
    </row>
    <row r="4" spans="1:9" ht="15.75" x14ac:dyDescent="0.25">
      <c r="A4" s="415" t="str">
        <f>Region</f>
        <v>[Branch/Directorate/FHSMO]</v>
      </c>
      <c r="B4" s="415"/>
      <c r="C4" s="415"/>
      <c r="D4" s="415"/>
      <c r="E4" s="415"/>
      <c r="F4" s="415"/>
      <c r="G4" s="415"/>
      <c r="H4" s="415"/>
      <c r="I4" s="415"/>
    </row>
    <row r="5" spans="1:9" ht="15.75" x14ac:dyDescent="0.25">
      <c r="A5" s="416" t="str">
        <f>Division</f>
        <v>[Division/Project Office]</v>
      </c>
      <c r="B5" s="416"/>
      <c r="C5" s="416"/>
      <c r="D5" s="416"/>
      <c r="E5" s="416"/>
      <c r="F5" s="416"/>
      <c r="G5" s="416"/>
      <c r="H5" s="416"/>
      <c r="I5" s="416"/>
    </row>
    <row r="6" spans="1:9" ht="15.75" x14ac:dyDescent="0.25">
      <c r="A6" s="416"/>
      <c r="B6" s="416"/>
      <c r="C6" s="416"/>
      <c r="D6" s="416"/>
      <c r="E6" s="416"/>
      <c r="F6" s="416"/>
      <c r="G6" s="416"/>
      <c r="H6" s="416"/>
      <c r="I6" s="416"/>
    </row>
    <row r="7" spans="1:9" ht="20.25" x14ac:dyDescent="0.25">
      <c r="A7" s="420" t="s">
        <v>1715</v>
      </c>
      <c r="B7" s="420"/>
      <c r="C7" s="420"/>
      <c r="D7" s="420"/>
      <c r="E7" s="420"/>
      <c r="F7" s="420"/>
      <c r="G7" s="420"/>
      <c r="H7" s="420"/>
      <c r="I7" s="420"/>
    </row>
    <row r="8" spans="1:9" ht="15.75" x14ac:dyDescent="0.25">
      <c r="A8" s="421" t="str">
        <f>"Contract Identification No :" &amp; contract_number</f>
        <v>Contract Identification No :</v>
      </c>
      <c r="B8" s="421"/>
    </row>
    <row r="9" spans="1:9" ht="15.75" x14ac:dyDescent="0.25">
      <c r="A9" s="421" t="str">
        <f>"BH No :" &amp; bh_number</f>
        <v>BH No :</v>
      </c>
      <c r="B9" s="421"/>
    </row>
    <row r="10" spans="1:9" ht="15.75" x14ac:dyDescent="0.25">
      <c r="A10" s="421" t="str">
        <f>"Nature of the work :" &amp; nature_of_work</f>
        <v>Nature of the work :</v>
      </c>
      <c r="B10" s="421"/>
    </row>
    <row r="11" spans="1:9" ht="15.75" x14ac:dyDescent="0.25">
      <c r="A11" s="421" t="str">
        <f>"Name of Road :" &amp; name_of_road</f>
        <v>Name of Road :</v>
      </c>
      <c r="B11" s="421"/>
    </row>
    <row r="12" spans="1:9" ht="31.5" x14ac:dyDescent="0.25">
      <c r="A12" s="4" t="s">
        <v>1272</v>
      </c>
      <c r="B12" s="4" t="s">
        <v>1716</v>
      </c>
      <c r="C12" s="4" t="s">
        <v>20</v>
      </c>
      <c r="D12" s="4" t="s">
        <v>1717</v>
      </c>
      <c r="E12" s="4" t="s">
        <v>1718</v>
      </c>
      <c r="F12" s="4" t="s">
        <v>1719</v>
      </c>
      <c r="G12" s="4" t="s">
        <v>1720</v>
      </c>
      <c r="H12" s="4" t="s">
        <v>21</v>
      </c>
      <c r="I12" s="4" t="s">
        <v>1309</v>
      </c>
    </row>
    <row r="13" spans="1:9" ht="15.75" x14ac:dyDescent="0.25">
      <c r="A13" s="5">
        <v>1</v>
      </c>
      <c r="B13" s="6" t="s">
        <v>1721</v>
      </c>
    </row>
    <row r="14" spans="1:9" ht="31.5" x14ac:dyDescent="0.25">
      <c r="A14" s="5" t="s">
        <v>1722</v>
      </c>
      <c r="B14" s="7" t="str">
        <f>description_95</f>
        <v>Providing and installation of project signboards with size of 1.8 x 1.2 m as per specification  and instruction of engineer.</v>
      </c>
      <c r="C14" s="3" t="s">
        <v>49</v>
      </c>
      <c r="D14" s="1"/>
      <c r="E14" s="1"/>
      <c r="F14" s="1"/>
      <c r="G14" s="1"/>
      <c r="H14" s="1"/>
      <c r="I14" s="9"/>
    </row>
    <row r="15" spans="1:9" ht="31.5" x14ac:dyDescent="0.25">
      <c r="A15" s="5" t="s">
        <v>1723</v>
      </c>
      <c r="B15" s="7" t="str">
        <f>description_1049</f>
        <v>Engineer's Facilities: Establishment and maintenance of office and site camp etc, and providing furniture and other facilities as directed by the Engineer.</v>
      </c>
      <c r="C15" s="3" t="s">
        <v>1724</v>
      </c>
      <c r="D15" s="1"/>
      <c r="E15" s="1"/>
      <c r="F15" s="1"/>
      <c r="G15" s="1"/>
      <c r="H15" s="1"/>
      <c r="I15" s="9"/>
    </row>
    <row r="16" spans="1:9" ht="110.25" x14ac:dyDescent="0.25">
      <c r="A16" s="5" t="s">
        <v>46</v>
      </c>
      <c r="B16" s="7" t="str">
        <f>description_103</f>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
      <c r="C16" s="3" t="s">
        <v>438</v>
      </c>
      <c r="D16" s="1"/>
      <c r="E16" s="1"/>
      <c r="F16" s="1"/>
      <c r="G16" s="1"/>
      <c r="H16" s="1"/>
      <c r="I16" s="9"/>
    </row>
    <row r="17" spans="1:9" ht="94.5" x14ac:dyDescent="0.25">
      <c r="A17" s="5" t="s">
        <v>1725</v>
      </c>
      <c r="B17" s="7" t="str">
        <f>description_121</f>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Lime /Cement Concrete, By Mechanical Means, Cement Concrete Grade M-15 &amp; M-20</v>
      </c>
      <c r="C17" s="3" t="s">
        <v>84</v>
      </c>
      <c r="D17" s="1"/>
      <c r="E17" s="1"/>
      <c r="F17" s="1"/>
      <c r="G17" s="1"/>
      <c r="H17" s="1"/>
      <c r="I17" s="9"/>
    </row>
    <row r="18" spans="1:9" ht="94.5" x14ac:dyDescent="0.25">
      <c r="A18" s="5" t="s">
        <v>1726</v>
      </c>
      <c r="B18" s="7" t="str">
        <f>description_124</f>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
      <c r="C18" s="3" t="s">
        <v>84</v>
      </c>
      <c r="D18" s="1"/>
      <c r="E18" s="1"/>
      <c r="F18" s="1"/>
      <c r="G18" s="1"/>
      <c r="H18" s="1"/>
      <c r="I18" s="9"/>
    </row>
    <row r="19" spans="1:9" ht="94.5" x14ac:dyDescent="0.25">
      <c r="A19" s="5" t="s">
        <v>1727</v>
      </c>
      <c r="B19" s="7" t="str">
        <f>description_128</f>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Stone Masonry, Rubble stone masonry in cement mortar.</v>
      </c>
      <c r="C19" s="3" t="s">
        <v>84</v>
      </c>
      <c r="D19" s="1"/>
      <c r="E19" s="1"/>
      <c r="F19" s="1"/>
      <c r="G19" s="1"/>
      <c r="H19" s="1"/>
      <c r="I19" s="9"/>
    </row>
    <row r="20" spans="1:9" ht="47.25" x14ac:dyDescent="0.25">
      <c r="A20" s="5" t="s">
        <v>1728</v>
      </c>
      <c r="B20" s="7" t="str">
        <f>description_245</f>
        <v>Providing, jointing and laying HDPE pipes with or without collar etc. complete in place as per Drawing and Technical Specifications., a) 110 mm/125 mm outer dia.</v>
      </c>
      <c r="C20" s="3" t="s">
        <v>75</v>
      </c>
      <c r="D20" s="1"/>
      <c r="E20" s="1"/>
      <c r="F20" s="1"/>
      <c r="G20" s="1"/>
      <c r="H20" s="1"/>
      <c r="I20" s="9"/>
    </row>
    <row r="21" spans="1:9" ht="47.25" x14ac:dyDescent="0.25">
      <c r="A21" s="5" t="s">
        <v>1729</v>
      </c>
      <c r="B21" s="7" t="str">
        <f>description_246</f>
        <v>Providing and Laying Reinforced cement concrete NP3 Flush jointed pipe for culverts including fixing with cement mortar 1:2 as per Drawing and Technical Specifications., 300 mm  internal dia.</v>
      </c>
      <c r="C21" s="3" t="s">
        <v>75</v>
      </c>
      <c r="D21" s="1"/>
      <c r="E21" s="1"/>
      <c r="F21" s="1"/>
      <c r="G21" s="1"/>
      <c r="H21" s="1"/>
      <c r="I21" s="9"/>
    </row>
    <row r="22" spans="1:9" ht="47.25" x14ac:dyDescent="0.25">
      <c r="A22" s="5" t="s">
        <v>1730</v>
      </c>
      <c r="B22" s="7" t="str">
        <f>description_247</f>
        <v>Providing and Laying Reinforced cement concrete NP3 Flush jointed pipe for culverts including fixing with cement mortar 1:2 as per Drawing and Technical Specifications., 450 mm  internal dia.</v>
      </c>
      <c r="C22" s="3" t="s">
        <v>75</v>
      </c>
      <c r="D22" s="1"/>
      <c r="E22" s="1"/>
      <c r="F22" s="1"/>
      <c r="G22" s="1"/>
      <c r="H22" s="1"/>
      <c r="I22" s="9"/>
    </row>
    <row r="23" spans="1:9" ht="47.25" x14ac:dyDescent="0.25">
      <c r="A23" s="5" t="s">
        <v>1731</v>
      </c>
      <c r="B23" s="7" t="str">
        <f>description_248</f>
        <v>Providing and Laying Reinforced cement concrete NP3 Flush jointed pipe for culverts including fixing with cement mortar 1:2 as per Drawing and Technical Specifications., 600 mm  internal dia.</v>
      </c>
      <c r="C23" s="3" t="s">
        <v>75</v>
      </c>
      <c r="D23" s="1"/>
      <c r="E23" s="1"/>
      <c r="F23" s="1"/>
      <c r="G23" s="1"/>
      <c r="H23" s="1"/>
      <c r="I23" s="9"/>
    </row>
    <row r="24" spans="1:9" ht="47.25" x14ac:dyDescent="0.25">
      <c r="A24" s="5" t="s">
        <v>1732</v>
      </c>
      <c r="B24" s="7" t="str">
        <f>description_249</f>
        <v>Providing and Laying Reinforced cement concrete NP3 Flush jointed pipe for culverts including fixing with cement mortar 1:2 as per Drawing and Technical Specifications., 900 mm  internal dia.</v>
      </c>
      <c r="C24" s="3" t="s">
        <v>75</v>
      </c>
      <c r="D24" s="1"/>
      <c r="E24" s="1"/>
      <c r="F24" s="1"/>
      <c r="G24" s="1"/>
      <c r="H24" s="1"/>
      <c r="I24" s="9"/>
    </row>
    <row r="25" spans="1:9" ht="47.25" x14ac:dyDescent="0.25">
      <c r="A25" s="5" t="s">
        <v>1733</v>
      </c>
      <c r="B25" s="7" t="str">
        <f>description_250</f>
        <v>Providing and Laying Reinforced cement concrete NP3 Flush jointed pipe for culverts including fixing with cement mortar 1:2 as per Drawing and Technical Specifications., 1000 mm  internal dia.</v>
      </c>
      <c r="C25" s="3" t="s">
        <v>75</v>
      </c>
      <c r="D25" s="1"/>
      <c r="E25" s="1"/>
      <c r="F25" s="1"/>
      <c r="G25" s="1"/>
      <c r="H25" s="1"/>
      <c r="I25" s="9"/>
    </row>
    <row r="26" spans="1:9" ht="47.25" x14ac:dyDescent="0.25">
      <c r="A26" s="5" t="s">
        <v>1734</v>
      </c>
      <c r="B26" s="7" t="str">
        <f>description_251</f>
        <v>Providing and Laying Reinforced cement concrete NP3 Flush jointed pipe for culverts including fixing with cement mortar 1:2 as per Drawing and Technical Specifications., 1200 mm  internal dia.</v>
      </c>
      <c r="C26" s="3" t="s">
        <v>75</v>
      </c>
      <c r="D26" s="1"/>
      <c r="E26" s="1"/>
      <c r="F26" s="1"/>
      <c r="G26" s="1"/>
      <c r="H26" s="1"/>
      <c r="I26" s="9"/>
    </row>
    <row r="27" spans="1:9" ht="47.25" x14ac:dyDescent="0.25">
      <c r="A27" s="5" t="s">
        <v>1735</v>
      </c>
      <c r="B27" s="7" t="str">
        <f>description_252</f>
        <v>Providing and Laying Reinforced cement concrete NP3 Collar jointed pipe for culverts including fixing collar with cement mortar 1:2 as per Drawing and Technical Specifications., 300 mm internal dia.</v>
      </c>
      <c r="C27" s="3" t="s">
        <v>75</v>
      </c>
      <c r="D27" s="1"/>
      <c r="E27" s="1"/>
      <c r="F27" s="1"/>
      <c r="G27" s="1"/>
      <c r="H27" s="1"/>
      <c r="I27" s="9"/>
    </row>
    <row r="28" spans="1:9" ht="47.25" x14ac:dyDescent="0.25">
      <c r="A28" s="5" t="s">
        <v>1736</v>
      </c>
      <c r="B28" s="7" t="str">
        <f>description_253</f>
        <v>Providing and Laying Reinforced cement concrete NP3 Collar jointed pipe for culverts including fixing collar with cement mortar 1:2 as per Drawing and Technical Specifications., 450 mm internal dia.</v>
      </c>
      <c r="C28" s="3" t="s">
        <v>75</v>
      </c>
      <c r="D28" s="1"/>
      <c r="E28" s="1"/>
      <c r="F28" s="1"/>
      <c r="G28" s="1"/>
      <c r="H28" s="1"/>
      <c r="I28" s="9"/>
    </row>
    <row r="29" spans="1:9" ht="47.25" x14ac:dyDescent="0.25">
      <c r="A29" s="5" t="s">
        <v>1737</v>
      </c>
      <c r="B29" s="7" t="str">
        <f>description_254</f>
        <v>Providing and Laying Reinforced cement concrete NP3 Collar jointed pipe for culverts including fixing collar with cement mortar 1:2 as per Drawing and Technical Specifications., 600 mm internal dia.</v>
      </c>
      <c r="C29" s="3" t="s">
        <v>75</v>
      </c>
      <c r="D29" s="1"/>
      <c r="E29" s="1"/>
      <c r="F29" s="1"/>
      <c r="G29" s="1"/>
      <c r="H29" s="1"/>
      <c r="I29" s="9"/>
    </row>
    <row r="30" spans="1:9" ht="47.25" x14ac:dyDescent="0.25">
      <c r="A30" s="5" t="s">
        <v>1738</v>
      </c>
      <c r="B30" s="7" t="str">
        <f>description_255</f>
        <v>Providing and Laying Reinforced cement concrete NP3 Collar jointed pipe for culverts including fixing collar with cement mortar 1:2 as per Drawing and Technical Specifications., 900 mm internal dia.</v>
      </c>
      <c r="C30" s="3" t="s">
        <v>75</v>
      </c>
      <c r="D30" s="1"/>
      <c r="E30" s="1"/>
      <c r="F30" s="1"/>
      <c r="G30" s="1"/>
      <c r="H30" s="1"/>
      <c r="I30" s="9"/>
    </row>
    <row r="31" spans="1:9" ht="47.25" x14ac:dyDescent="0.25">
      <c r="A31" s="5" t="s">
        <v>1739</v>
      </c>
      <c r="B31" s="7" t="str">
        <f>description_256</f>
        <v>Providing and Laying Reinforced cement concrete NP3 Collar jointed pipe for culverts including fixing collar with cement mortar 1:2 as per Drawing and Technical Specifications., 1000 mm internal dia.</v>
      </c>
      <c r="C31" s="3" t="s">
        <v>75</v>
      </c>
      <c r="D31" s="1"/>
      <c r="E31" s="1"/>
      <c r="F31" s="1"/>
      <c r="G31" s="1"/>
      <c r="H31" s="1"/>
      <c r="I31" s="9"/>
    </row>
    <row r="32" spans="1:9" ht="47.25" x14ac:dyDescent="0.25">
      <c r="A32" s="5" t="s">
        <v>1740</v>
      </c>
      <c r="B32" s="7" t="str">
        <f>description_257</f>
        <v>Providing and Laying Reinforced cement concrete NP3 Collar jointed pipe for culverts including fixing collar with cement mortar 1:2 as per Drawing and Technical Specifications., 1200 mm internal dia.</v>
      </c>
      <c r="C32" s="3" t="s">
        <v>75</v>
      </c>
      <c r="D32" s="1"/>
      <c r="E32" s="1"/>
      <c r="F32" s="1"/>
      <c r="G32" s="1"/>
      <c r="H32" s="1"/>
      <c r="I32" s="9"/>
    </row>
    <row r="33" spans="1:9" ht="63" x14ac:dyDescent="0.25">
      <c r="A33" s="5" t="s">
        <v>1741</v>
      </c>
      <c r="B33" s="7" t="str">
        <f>description_261</f>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
      <c r="C33" s="3" t="s">
        <v>84</v>
      </c>
      <c r="D33" s="1"/>
      <c r="E33" s="1"/>
      <c r="F33" s="1"/>
      <c r="G33" s="1"/>
      <c r="H33" s="1"/>
      <c r="I33" s="9"/>
    </row>
    <row r="34" spans="1:9" ht="63" x14ac:dyDescent="0.25">
      <c r="A34" s="5" t="s">
        <v>1742</v>
      </c>
      <c r="B34" s="7"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34" s="3" t="s">
        <v>84</v>
      </c>
      <c r="D34" s="1"/>
      <c r="E34" s="1"/>
      <c r="F34" s="1"/>
      <c r="G34" s="1"/>
      <c r="H34" s="1"/>
      <c r="I34" s="9"/>
    </row>
    <row r="35" spans="1:9" ht="63" x14ac:dyDescent="0.25">
      <c r="A35" s="5" t="s">
        <v>1743</v>
      </c>
      <c r="B35" s="7" t="str">
        <f>description_263</f>
        <v>Earthwork Excavation in Cutting., Roadway Excavation in ordinary rock  by Manual Means ., Roadway Excavation  in ordinary rock as per Drawing and Technical specification, including all lift and lead  as per Drawing and instruction of the Engineer.</v>
      </c>
      <c r="C35" s="3" t="s">
        <v>84</v>
      </c>
      <c r="D35" s="1"/>
      <c r="E35" s="1"/>
      <c r="F35" s="1"/>
      <c r="G35" s="1"/>
      <c r="H35" s="1"/>
      <c r="I35" s="9"/>
    </row>
    <row r="36" spans="1:9" ht="63" x14ac:dyDescent="0.25">
      <c r="A36" s="5" t="s">
        <v>1744</v>
      </c>
      <c r="B36" s="7" t="str">
        <f>description_264</f>
        <v>Earthwork Excavation in Cutting., Roadway Excavation in ordinary rock by Mechanical  Means ., Roadway Excavation  in ordinary rock as per Drawing and Technical specification, including  all lift and lead  as per Drawing and instruction of the Engineer.</v>
      </c>
      <c r="C36" s="3" t="s">
        <v>84</v>
      </c>
      <c r="D36" s="1"/>
      <c r="E36" s="1"/>
      <c r="F36" s="1"/>
      <c r="G36" s="1"/>
      <c r="H36" s="1"/>
      <c r="I36" s="9"/>
    </row>
    <row r="37" spans="1:9" ht="63" x14ac:dyDescent="0.25">
      <c r="A37" s="5" t="s">
        <v>1745</v>
      </c>
      <c r="B37" s="7" t="str">
        <f>description_265</f>
        <v>Earthwork Excavation in Cutting., Roadway Excavation in Hard Rock, mechanical Drilling, Roadway Excavation in hard rock with mechanical  drilling, including  blasting and breaking, and disposal of cut road within all lifts and leads  as per Drawing and instruction of the Engineer.</v>
      </c>
      <c r="C37" s="3" t="s">
        <v>84</v>
      </c>
      <c r="D37" s="1"/>
      <c r="E37" s="1"/>
      <c r="F37" s="1"/>
      <c r="G37" s="1"/>
      <c r="H37" s="1"/>
      <c r="I37" s="9"/>
    </row>
    <row r="38" spans="1:9" ht="47.25" x14ac:dyDescent="0.25">
      <c r="A38" s="5" t="s">
        <v>275</v>
      </c>
      <c r="B38" s="7" t="str">
        <f>description_266</f>
        <v>Earthwork Excavation in Cutting., Excavation in Hard Rock, manual Drilling, Roadway  excavation in hard rock with manual drilling, blasting, breaking,   lifts and leads  all complete  as per Drawing and instruction of the Engineer.</v>
      </c>
      <c r="C38" s="3" t="s">
        <v>84</v>
      </c>
      <c r="D38" s="1"/>
      <c r="E38" s="1"/>
      <c r="F38" s="1"/>
      <c r="G38" s="1"/>
      <c r="H38" s="1"/>
      <c r="I38" s="9"/>
    </row>
    <row r="39" spans="1:9" ht="78.75" x14ac:dyDescent="0.25">
      <c r="A39" s="5" t="s">
        <v>1746</v>
      </c>
      <c r="B39" s="7" t="str">
        <f>description_273</f>
        <v>Excavation for Structures Foundation, Earth work in excavation of foundation of structures, including  construction of shoring and bracing, removal of stumps and other deleterious matter and backfilling with approved Material as per Drawing and Technical Specifications., Ordinary soil by Manual Means, Depth upto 3 m</v>
      </c>
      <c r="C39" s="3" t="s">
        <v>84</v>
      </c>
      <c r="D39" s="1"/>
      <c r="E39" s="1"/>
      <c r="F39" s="1"/>
      <c r="G39" s="1"/>
      <c r="H39" s="1"/>
      <c r="I39" s="9"/>
    </row>
    <row r="40" spans="1:9" ht="78.75" x14ac:dyDescent="0.25">
      <c r="A40" s="5" t="s">
        <v>1747</v>
      </c>
      <c r="B40" s="7" t="str">
        <f>description_276</f>
        <v>Excavation for Structures Foundation, Earth work in excavation of foundation of structures, including  construction of shoring and bracing, removal of stumps and other deleterious matter and backfilling with approved Material as per Drawing and Technical Specifications., Ordinary soil by Mechanical Means, Depth upto 3 m</v>
      </c>
      <c r="C40" s="3" t="s">
        <v>84</v>
      </c>
      <c r="D40" s="1"/>
      <c r="E40" s="1"/>
      <c r="F40" s="1"/>
      <c r="G40" s="1"/>
      <c r="H40" s="1"/>
      <c r="I40" s="9"/>
    </row>
    <row r="41" spans="1:9" ht="78.75" x14ac:dyDescent="0.25">
      <c r="A41" s="5" t="s">
        <v>1748</v>
      </c>
      <c r="B41" s="7" t="str">
        <f>description_277</f>
        <v>Excavation for Structures Foundation, Earth work in excavation of foundation of structures, including  construction of shoring and bracing, removal of stumps and other deleterious matter and backfilling with approved Material as per Drawing and Technical Specifications., Ordinary soil by Mechanical Means, Depth 3 m to 6 m</v>
      </c>
      <c r="C41" s="3" t="s">
        <v>84</v>
      </c>
      <c r="D41" s="1"/>
      <c r="E41" s="1"/>
      <c r="F41" s="1"/>
      <c r="G41" s="1"/>
      <c r="H41" s="1"/>
      <c r="I41" s="9"/>
    </row>
    <row r="42" spans="1:9" ht="78.75" x14ac:dyDescent="0.25">
      <c r="A42" s="5" t="s">
        <v>1749</v>
      </c>
      <c r="B42" s="7" t="str">
        <f>description_278</f>
        <v>Excavation for Structures Foundation, Earth work in excavation of foundation of structures, including  construction of shoring and bracing, removal of stumps and other deleterious matter and backfilling with approved Material as per Drawing and Technical Specifications., Ordinary soil by Mechanical Means, Depth above 6 m</v>
      </c>
      <c r="C42" s="3" t="s">
        <v>84</v>
      </c>
      <c r="D42" s="1"/>
      <c r="E42" s="1"/>
      <c r="F42" s="1"/>
      <c r="G42" s="1"/>
      <c r="H42" s="1"/>
      <c r="I42" s="9"/>
    </row>
    <row r="43" spans="1:9" ht="78.75" x14ac:dyDescent="0.25">
      <c r="A43" s="5" t="s">
        <v>1750</v>
      </c>
      <c r="B43" s="7" t="str">
        <f>description_280</f>
        <v>Excavation for Structures Foundation, Earth work in excavation of foundation of structures, including  construction of shoring and bracing, removal of stumps and other deleterious matter and backfilling with approved Material as per Drawing and Technical Specifications., Ordinary Rock (not requiring blasting) by Mechanical Means, Depth upto 3 m</v>
      </c>
      <c r="C43" s="3" t="s">
        <v>84</v>
      </c>
      <c r="D43" s="1"/>
      <c r="E43" s="1"/>
      <c r="F43" s="1"/>
      <c r="G43" s="1"/>
      <c r="H43" s="1"/>
      <c r="I43" s="9"/>
    </row>
    <row r="44" spans="1:9" ht="47.25" x14ac:dyDescent="0.25">
      <c r="A44" s="5" t="s">
        <v>1751</v>
      </c>
      <c r="B44" s="7" t="str">
        <f>description_289</f>
        <v>Construction of Embankment  with Material obtained from Borrow pits, Providing, laying, spreading and compacting embankment with borrow material as per Drawing and Technical Specifications.</v>
      </c>
      <c r="C44" s="3" t="s">
        <v>84</v>
      </c>
      <c r="D44" s="1"/>
      <c r="E44" s="1"/>
      <c r="F44" s="1"/>
      <c r="G44" s="1"/>
      <c r="H44" s="1"/>
      <c r="I44" s="9"/>
    </row>
    <row r="45" spans="1:9" ht="63" x14ac:dyDescent="0.25">
      <c r="A45" s="5" t="s">
        <v>1752</v>
      </c>
      <c r="B45" s="7" t="str">
        <f>description_291</f>
        <v>Construction of Embankment with Material Deposited from Roadway Cutting, Providing, laying, spreading and compacting embankment with roadway cutting  material  and compact to the required density as per Drawing and Technical Specifications. (With machine)</v>
      </c>
      <c r="C45" s="3" t="s">
        <v>84</v>
      </c>
      <c r="D45" s="1"/>
      <c r="E45" s="1"/>
      <c r="F45" s="1"/>
      <c r="G45" s="1"/>
      <c r="H45" s="1"/>
      <c r="I45" s="9"/>
    </row>
    <row r="46" spans="1:9" ht="47.25" x14ac:dyDescent="0.25">
      <c r="A46" s="5" t="s">
        <v>1753</v>
      </c>
      <c r="B46" s="7" t="str">
        <f>description_293</f>
        <v>Providing suitable material and Back filling behind abutment, wing wall and return wall complete as per Drawing and Technical Specifications., Granular Material</v>
      </c>
      <c r="C46" s="3" t="s">
        <v>84</v>
      </c>
      <c r="D46" s="1"/>
      <c r="E46" s="1"/>
      <c r="F46" s="1"/>
      <c r="G46" s="1"/>
      <c r="H46" s="1"/>
      <c r="I46" s="9"/>
    </row>
    <row r="47" spans="1:9" ht="47.25" x14ac:dyDescent="0.25">
      <c r="A47" s="5" t="s">
        <v>1754</v>
      </c>
      <c r="B47" s="7" t="str">
        <f>description_294</f>
        <v>Providing suitable material and Back filling behind abutment, wing wall and return wall complete as per Drawing and Technical Specifications., Sandy Material</v>
      </c>
      <c r="C47" s="3" t="s">
        <v>84</v>
      </c>
      <c r="D47" s="1"/>
      <c r="E47" s="1"/>
      <c r="F47" s="1"/>
      <c r="G47" s="1"/>
      <c r="H47" s="1"/>
      <c r="I47" s="9"/>
    </row>
    <row r="48" spans="1:9" ht="78.75" x14ac:dyDescent="0.25">
      <c r="A48" s="5" t="s">
        <v>1755</v>
      </c>
      <c r="B48" s="7" t="str">
        <f>description_297</f>
        <v>Providing and laying of Filter media with granular Material/stone crushed aggregates  to a thickness of not less than 600 mm with smaller size towards the soil and bigger size towards the wall and provided over the entire surface behind abutment, wing wall and return wall to the full height compacted to a firm condition complete as per drawing and Technical Specification.</v>
      </c>
      <c r="C48" s="3" t="s">
        <v>84</v>
      </c>
      <c r="D48" s="1"/>
      <c r="E48" s="1"/>
      <c r="F48" s="1"/>
      <c r="G48" s="1"/>
      <c r="H48" s="1"/>
      <c r="I48" s="9"/>
    </row>
    <row r="49" spans="1:9" ht="47.25" x14ac:dyDescent="0.25">
      <c r="A49" s="5" t="s">
        <v>1756</v>
      </c>
      <c r="B49" s="7" t="str">
        <f>description_271</f>
        <v>Removal of Unserviceable Soil with Disposal upto 1000 meters, Removal of unserviceable soil including excavation, loading and disposal upto 1000 meters lead</v>
      </c>
      <c r="C49" s="3" t="s">
        <v>84</v>
      </c>
      <c r="D49" s="1"/>
      <c r="E49" s="1"/>
      <c r="F49" s="1"/>
      <c r="G49" s="1"/>
      <c r="H49" s="1"/>
      <c r="I49" s="9"/>
    </row>
    <row r="50" spans="1:9" ht="31.5" x14ac:dyDescent="0.25">
      <c r="A50" s="5" t="s">
        <v>1757</v>
      </c>
      <c r="B50" s="7" t="str">
        <f>description_270</f>
        <v>Earthwork Excavation in Cutting., Excavation in Marshy Soil, Roadway Excavation  in marshy soil  as per Drawing and Technical Specifications</v>
      </c>
      <c r="C50" s="3" t="s">
        <v>84</v>
      </c>
      <c r="D50" s="1"/>
      <c r="E50" s="1"/>
      <c r="F50" s="1"/>
      <c r="G50" s="1"/>
      <c r="H50" s="1"/>
      <c r="I50" s="9"/>
    </row>
    <row r="51" spans="1:9" ht="31.5" x14ac:dyDescent="0.25">
      <c r="A51" s="5" t="s">
        <v>1758</v>
      </c>
      <c r="B51" s="7" t="str">
        <f>description_298</f>
        <v>Providing and filling sand  in Foundation Trenches as per Drawing &amp; Technical Specification</v>
      </c>
      <c r="C51" s="3" t="s">
        <v>84</v>
      </c>
      <c r="D51" s="1"/>
      <c r="E51" s="1"/>
      <c r="F51" s="1"/>
      <c r="G51" s="1"/>
      <c r="H51" s="1"/>
      <c r="I51" s="9"/>
    </row>
    <row r="52" spans="1:9" ht="47.25" x14ac:dyDescent="0.25">
      <c r="A52" s="5" t="s">
        <v>1759</v>
      </c>
      <c r="B52" s="7" t="str">
        <f>description_296</f>
        <v>Providing suitable material and Back filling behind abutment, wing wall and return wall complete as per Drawing and Technical Specifications., Locally available Material, with out watering and compaction by tamping rod</v>
      </c>
      <c r="C52" s="3" t="s">
        <v>84</v>
      </c>
      <c r="D52" s="1"/>
      <c r="E52" s="1"/>
      <c r="F52" s="1"/>
      <c r="G52" s="1"/>
      <c r="H52" s="1"/>
      <c r="I52" s="9"/>
    </row>
    <row r="53" spans="1:9" ht="63" x14ac:dyDescent="0.25">
      <c r="A53" s="5" t="s">
        <v>1760</v>
      </c>
      <c r="B53" s="7" t="str">
        <f>description_301</f>
        <v>Scarifying Existing road Surface to a depth of 50 mm by Mechanical Means, Scarifying the existing road surface to a depth of 50 mm and disposal of scarified Material with in all lifts and lead as per Drawing and Technical Specifications.</v>
      </c>
      <c r="C53" s="3" t="s">
        <v>438</v>
      </c>
      <c r="D53" s="1"/>
      <c r="E53" s="1"/>
      <c r="F53" s="1"/>
      <c r="G53" s="1"/>
      <c r="H53" s="1"/>
      <c r="I53" s="9"/>
    </row>
    <row r="54" spans="1:9" ht="63" x14ac:dyDescent="0.25">
      <c r="A54" s="5" t="s">
        <v>1761</v>
      </c>
      <c r="B54" s="7" t="str">
        <f>description_299</f>
        <v>Scarifying Existing road Surface to a Depth of 50 mm by
Manual Means, Scarifying the existing road surface to a depth of 50 mm and disposal of scarified Material with all lifts and leads as per Drawing and Technical Specifications.</v>
      </c>
      <c r="C54" s="3" t="s">
        <v>438</v>
      </c>
      <c r="D54" s="1"/>
      <c r="E54" s="1"/>
      <c r="F54" s="1"/>
      <c r="G54" s="1"/>
      <c r="H54" s="1"/>
      <c r="I54" s="9"/>
    </row>
    <row r="55" spans="1:9" ht="63" x14ac:dyDescent="0.25">
      <c r="A55" s="5" t="s">
        <v>1762</v>
      </c>
      <c r="B55" s="7" t="str">
        <f>description_302</f>
        <v>Scarifying Existing road Surface to a depth of 50 mm by Mechanical Means, Scarifying the existing bituminous road surface to a depth of 50 mm and disposal of scarified Material with in all lifts and lead as per Drawing and Technical Specifications.</v>
      </c>
      <c r="C55" s="3" t="s">
        <v>438</v>
      </c>
      <c r="D55" s="1"/>
      <c r="E55" s="1"/>
      <c r="F55" s="1"/>
      <c r="G55" s="1"/>
      <c r="H55" s="1"/>
      <c r="I55" s="9"/>
    </row>
    <row r="56" spans="1:9" ht="63" x14ac:dyDescent="0.25">
      <c r="A56" s="5" t="s">
        <v>1763</v>
      </c>
      <c r="B56" s="7" t="str">
        <f>description_303</f>
        <v>Construction of Subgrade and Earthen Shoulders with approved Material ( capping layer), Providing and laying sub-grade and earthen shoulders with approved Material obtained from borrow pits with all lifts &amp; leads as per Drawing and Technical Specifications.</v>
      </c>
      <c r="C56" s="3" t="s">
        <v>438</v>
      </c>
      <c r="D56" s="1"/>
      <c r="E56" s="1"/>
      <c r="F56" s="1"/>
      <c r="G56" s="1"/>
      <c r="H56" s="1"/>
      <c r="I56" s="9"/>
    </row>
    <row r="57" spans="1:9" ht="63" x14ac:dyDescent="0.25">
      <c r="A57" s="5" t="s">
        <v>1764</v>
      </c>
      <c r="B57" s="7" t="str">
        <f>description_304</f>
        <v>Compacting Original Ground, Compacting original ground supporting sub-grade, Loosening of the ground upto a level of 500 mm below the sub-grade level, watered, graded and compacted in layers as per Drawing and Technical Specifications.</v>
      </c>
      <c r="C57" s="3" t="s">
        <v>438</v>
      </c>
      <c r="D57" s="1"/>
      <c r="E57" s="1"/>
      <c r="F57" s="1"/>
      <c r="G57" s="1"/>
      <c r="H57" s="1"/>
      <c r="I57" s="9"/>
    </row>
    <row r="58" spans="1:9" ht="78.75" x14ac:dyDescent="0.25">
      <c r="A58" s="5" t="s">
        <v>1765</v>
      </c>
      <c r="B58" s="7" t="str">
        <f>description_305</f>
        <v>Compacting Original Ground, Compacting original ground supporting embankment, Loosening, leveling and Compacting original ground supporting embankment to facilitate placement of first layer of embankment, scarified to a depth of 150 mm, mixed with water at OMC and then compacted by rolling so as to achieve dry density as per Drawing and Technical Specifications.</v>
      </c>
      <c r="C58" s="3" t="s">
        <v>438</v>
      </c>
      <c r="D58" s="1"/>
      <c r="E58" s="1"/>
      <c r="F58" s="1"/>
      <c r="G58" s="1"/>
      <c r="H58" s="1"/>
      <c r="I58" s="9"/>
    </row>
    <row r="59" spans="1:9" ht="78.75" x14ac:dyDescent="0.25">
      <c r="A59" s="5" t="s">
        <v>1766</v>
      </c>
      <c r="B59" s="7" t="str">
        <f>description_306</f>
        <v>Lime Stabilization for Improving Sub-grade, Providing , laying and spreading available soil with 3 per cent slaked lime having minimum content of 70 per cent of CaO, mixing, grading and compacting at OMC to the desired density to form a layer of sub grade as per Drawing and Technical Specifications., By Mechanical Means</v>
      </c>
      <c r="C59" s="3" t="s">
        <v>438</v>
      </c>
      <c r="D59" s="1"/>
      <c r="E59" s="1"/>
      <c r="F59" s="1"/>
      <c r="G59" s="1"/>
      <c r="H59" s="1"/>
      <c r="I59" s="9"/>
    </row>
    <row r="60" spans="1:9" ht="47.25" x14ac:dyDescent="0.25">
      <c r="A60" s="5" t="s">
        <v>1767</v>
      </c>
      <c r="B60" s="7" t="str">
        <f>description_310</f>
        <v>Providing and laying of hand pack Stone soling with 150 to 200 mm thick stones and packing with smaller stone on prepared surface as per Drawing and Technical Specifications.</v>
      </c>
      <c r="C60" s="3" t="s">
        <v>1768</v>
      </c>
      <c r="D60" s="1"/>
      <c r="E60" s="1"/>
      <c r="F60" s="1"/>
      <c r="G60" s="1"/>
      <c r="H60" s="1"/>
      <c r="I60" s="9"/>
    </row>
    <row r="61" spans="1:9" ht="47.25" x14ac:dyDescent="0.25">
      <c r="A61" s="5" t="s">
        <v>1769</v>
      </c>
      <c r="B61" s="7" t="str">
        <f>description_312</f>
        <v>Providing and laying  granular sub-base   on prepared surface, mixing  at OMC, and compacting  to achieve the desired density, complete as per Drawing and Technical Specifications., By Mechanical means</v>
      </c>
      <c r="C61" s="3" t="s">
        <v>84</v>
      </c>
      <c r="D61" s="1"/>
      <c r="E61" s="1"/>
      <c r="F61" s="1"/>
      <c r="G61" s="1"/>
      <c r="H61" s="1"/>
      <c r="I61" s="9"/>
    </row>
    <row r="62" spans="1:9" ht="78.75" x14ac:dyDescent="0.25">
      <c r="A62" s="5" t="s">
        <v>1770</v>
      </c>
      <c r="B62" s="7" t="str">
        <f>description_315</f>
        <v>Providing, laying and spreading Material on a prepared sub grade, adding the designed quantity of cement to the spread Material, mixing in place , grading and compacting  at OMC to achieve the desired unconfined compressive strength and to form a layer of sub-base/base as per Drawing and Technical Specifications.</v>
      </c>
      <c r="C62" s="3" t="s">
        <v>84</v>
      </c>
      <c r="D62" s="1"/>
      <c r="E62" s="1"/>
      <c r="F62" s="1"/>
      <c r="G62" s="1"/>
      <c r="H62" s="1"/>
      <c r="I62" s="9"/>
    </row>
    <row r="63" spans="1:9" ht="47.25" x14ac:dyDescent="0.25">
      <c r="A63" s="5" t="s">
        <v>1771</v>
      </c>
      <c r="B63" s="7" t="str">
        <f>description_326</f>
        <v>Providing and laying Crusher Run Macadam  on a prepared surface, spreading and mixing , watering and compacting  to  form a layer of sub-base/Base course as per Drawing and Technical Specifications., By Mix in Place Method</v>
      </c>
      <c r="C63" s="3" t="s">
        <v>84</v>
      </c>
      <c r="D63" s="1"/>
      <c r="E63" s="1"/>
      <c r="F63" s="1"/>
      <c r="G63" s="1"/>
      <c r="H63" s="1"/>
      <c r="I63" s="9"/>
    </row>
    <row r="64" spans="1:9" ht="47.25" x14ac:dyDescent="0.25">
      <c r="A64" s="5" t="s">
        <v>1772</v>
      </c>
      <c r="B64" s="7" t="str">
        <f>description_327</f>
        <v>Providing and laying Crusher Run Macadam  on a prepared surface, spreading and mixing , watering and compacting  to  form a layer of sub-base/Base course as per Drawing and Technical Specifications., By Mix in Place Method</v>
      </c>
      <c r="C64" s="3" t="s">
        <v>84</v>
      </c>
      <c r="D64" s="1"/>
      <c r="E64" s="1"/>
      <c r="F64" s="1"/>
      <c r="G64" s="1"/>
      <c r="H64" s="1"/>
      <c r="I64" s="9"/>
    </row>
    <row r="65" spans="1:9" ht="94.5" x14ac:dyDescent="0.25">
      <c r="A65" s="5" t="s">
        <v>1773</v>
      </c>
      <c r="B65" s="7" t="str">
        <f>description_2051</f>
        <v>Providing, laying, spreading and compacting graded stone aggregate to wet mix macadam specification including premixing the Material with water at OMC laying in uniform layers  in sub- base / base course on well prepared surface and compacting  to achieve required density as per Drawing and Technical Specifications., Sub Base course with S1 material, Vibratory Road Roller</v>
      </c>
      <c r="C65" s="3" t="s">
        <v>84</v>
      </c>
      <c r="D65" s="1"/>
      <c r="E65" s="1"/>
      <c r="F65" s="1"/>
      <c r="G65" s="1"/>
      <c r="H65" s="1"/>
      <c r="I65" s="9"/>
    </row>
    <row r="66" spans="1:9" ht="94.5" x14ac:dyDescent="0.25">
      <c r="A66" s="5" t="s">
        <v>1774</v>
      </c>
      <c r="B66" s="7" t="str">
        <f>description_2052</f>
        <v>Providing, laying, spreading and compacting graded stone aggregate to wet mix macadam specification including premixing the Material with water at OMC laying in uniform layers  in sub- base / base course on well prepared surface and compacting  to achieve required density as per Drawing and Technical Specifications., Sub Base course with S2 material, Vibratory Road Roller</v>
      </c>
      <c r="C66" s="3" t="s">
        <v>84</v>
      </c>
      <c r="D66" s="1"/>
      <c r="E66" s="1"/>
      <c r="F66" s="1"/>
      <c r="G66" s="1"/>
      <c r="H66" s="1"/>
      <c r="I66" s="9"/>
    </row>
    <row r="67" spans="1:9" ht="78.75" x14ac:dyDescent="0.25">
      <c r="A67" s="5" t="s">
        <v>1775</v>
      </c>
      <c r="B67" s="7" t="str">
        <f>description_331</f>
        <v>Providing and making  footpath/separator  of  150 mm compacted granular sub base and 25 mm thick cement concrete grade M 15, over laid with pre-cast concrete tiles in cement mortar 1:3 including provision of all drainage arrangements but excluding Kerb channel as per Drawing and Technical Specifications.</v>
      </c>
      <c r="C67" s="3" t="s">
        <v>84</v>
      </c>
      <c r="D67" s="1"/>
      <c r="E67" s="1"/>
      <c r="F67" s="1"/>
      <c r="G67" s="1"/>
      <c r="H67" s="1"/>
      <c r="I67" s="9"/>
    </row>
    <row r="68" spans="1:9" ht="47.25" x14ac:dyDescent="0.25">
      <c r="A68" s="5" t="s">
        <v>1776</v>
      </c>
      <c r="B68" s="7" t="str">
        <f>description_328</f>
        <v>Providing and laying  Median and Island above road level with approved Material deposited including compacted as per Drawing and Specifications. ( using material from Roadway excavation).</v>
      </c>
      <c r="C68" s="3" t="s">
        <v>84</v>
      </c>
      <c r="D68" s="1"/>
      <c r="E68" s="1"/>
      <c r="F68" s="1"/>
      <c r="G68" s="1"/>
      <c r="H68" s="1"/>
      <c r="I68" s="9"/>
    </row>
    <row r="69" spans="1:9" ht="47.25" x14ac:dyDescent="0.25">
      <c r="A69" s="5" t="s">
        <v>1777</v>
      </c>
      <c r="B69" s="7" t="str">
        <f>description_329</f>
        <v>Providing and laying  Median and Island above road level with approved Material deposited including compacted as per Drawing and Specifications. ( using material from borrow area).</v>
      </c>
      <c r="C69" s="3" t="s">
        <v>84</v>
      </c>
      <c r="D69" s="1"/>
      <c r="E69" s="1"/>
      <c r="F69" s="1"/>
      <c r="G69" s="1"/>
      <c r="H69" s="1"/>
      <c r="I69" s="9"/>
    </row>
    <row r="70" spans="1:9" ht="78.75" x14ac:dyDescent="0.25">
      <c r="A70" s="5" t="s">
        <v>1778</v>
      </c>
      <c r="B70" s="7" t="str">
        <f>description_340</f>
        <v>Prime Coat, Prime Coat, with MC 30 / 70  by Mechanical Means, Providing and applying prime coat with Hot Bitumen ( including cutter) on prepared surface of granular base including cleaning of road surface and spraying by mechanical means as per Technical Specification ., Bitumen ( cutback) MC 30 ( for stabilized soil base/ crusher run macadam)</v>
      </c>
      <c r="C70" s="3" t="s">
        <v>1133</v>
      </c>
      <c r="D70" s="1"/>
      <c r="E70" s="1"/>
      <c r="F70" s="1"/>
      <c r="G70" s="1"/>
      <c r="H70" s="1"/>
      <c r="I70" s="9"/>
    </row>
    <row r="71" spans="1:9" ht="63" x14ac:dyDescent="0.25">
      <c r="A71" s="5" t="s">
        <v>1779</v>
      </c>
      <c r="B71" s="7" t="str">
        <f>description_343</f>
        <v xml:space="preserve">, Prime Coat,  with Emulsion by Mechanical Means, Providing and applying primer coat with Bitumen emulsion  on prepared surface of granular base including cleaning of road surface and spraying primer at  specified  rate  using mechanical means as per Technical Specification . </v>
      </c>
      <c r="C71" s="3" t="s">
        <v>1133</v>
      </c>
      <c r="D71" s="1"/>
      <c r="E71" s="1"/>
      <c r="F71" s="1"/>
      <c r="G71" s="1"/>
      <c r="H71" s="1"/>
      <c r="I71" s="9"/>
    </row>
    <row r="72" spans="1:9" ht="47.25" x14ac:dyDescent="0.25">
      <c r="A72" s="5" t="s">
        <v>1780</v>
      </c>
      <c r="B72" s="7" t="str">
        <f>description_345</f>
        <v>Tack Coat, Tack coat with Bitumen By Mechanical Means, Providing and applying tack coat with hot  Bitumen  at specified rate on the prepared non-bituminous surfaces including cleaning as per Technical Speciation .</v>
      </c>
      <c r="C72" s="3" t="s">
        <v>1133</v>
      </c>
      <c r="D72" s="1"/>
      <c r="E72" s="1"/>
      <c r="F72" s="1"/>
      <c r="G72" s="1"/>
      <c r="H72" s="1"/>
      <c r="I72" s="9"/>
    </row>
    <row r="73" spans="1:9" ht="78.75" x14ac:dyDescent="0.25">
      <c r="A73" s="5" t="s">
        <v>1781</v>
      </c>
      <c r="B73" s="7" t="str">
        <f>description_350</f>
        <v>Bituminous Macadam, Providing and laying bituminous macadam with  hot mix plant  using crushed aggregates of  grading as per specification premixed with bituminous binder, laid over a previously prepared surface  as per Drawing and  Technical Specifications. , Grading I ( 40 mm nominal size ),  In case BM is laid over freshly laid tack coat</v>
      </c>
      <c r="C73" s="3" t="s">
        <v>84</v>
      </c>
      <c r="D73" s="1"/>
      <c r="E73" s="1"/>
      <c r="F73" s="1"/>
      <c r="G73" s="1"/>
      <c r="H73" s="1"/>
      <c r="I73" s="9"/>
    </row>
    <row r="74" spans="1:9" ht="78.75" x14ac:dyDescent="0.25">
      <c r="A74" s="5" t="s">
        <v>1782</v>
      </c>
      <c r="B74" s="7" t="str">
        <f>description_352</f>
        <v>Bituminous Macadam, Providing and laying bituminous macadam with  hot mix plant  using crushed aggregates of  grading as per specification premixed with bituminous binder, laid over a previously prepared surface  as per Drawing and  Technical Specifications. , Grading II(19 mm nominal size),  In case BM is laid over freshly laid tack coat</v>
      </c>
      <c r="C74" s="3" t="s">
        <v>84</v>
      </c>
      <c r="D74" s="1"/>
      <c r="E74" s="1"/>
      <c r="F74" s="1"/>
      <c r="G74" s="1"/>
      <c r="H74" s="1"/>
      <c r="I74" s="9"/>
    </row>
    <row r="75" spans="1:9" ht="63" x14ac:dyDescent="0.25">
      <c r="A75" s="5" t="s">
        <v>1783</v>
      </c>
      <c r="B75" s="7" t="str">
        <f>description_353</f>
        <v>Bituminous Penetration Macadam, Providing and laying penetration macadam over prepared Base by providing a layer of compacted crushed coarse aggregate with applications of bituminous binder and key aggregates as per Drawing and Technical Specifications., 50 mm thick</v>
      </c>
      <c r="C75" s="3" t="s">
        <v>438</v>
      </c>
      <c r="D75" s="1"/>
      <c r="E75" s="1"/>
      <c r="F75" s="1"/>
      <c r="G75" s="1"/>
      <c r="H75" s="1"/>
      <c r="I75" s="9"/>
    </row>
    <row r="76" spans="1:9" ht="63" x14ac:dyDescent="0.25">
      <c r="A76" s="5" t="s">
        <v>1784</v>
      </c>
      <c r="B76" s="7" t="str">
        <f>description_354</f>
        <v>Bituminous Penetration Macadam, Providing and laying  penetration macadam over prepared Base by providing a layer of compacted crushed coarse aggregate  with  applications of bituminous binder and key aggregates as per Drawing and Technical Specifications., 75 mm thick</v>
      </c>
      <c r="C76" s="3" t="s">
        <v>438</v>
      </c>
      <c r="D76" s="1"/>
      <c r="E76" s="1"/>
      <c r="F76" s="1"/>
      <c r="G76" s="1"/>
      <c r="H76" s="1"/>
      <c r="I76" s="9"/>
    </row>
    <row r="77" spans="1:9" ht="78.75" x14ac:dyDescent="0.25">
      <c r="A77" s="5" t="s">
        <v>1785</v>
      </c>
      <c r="B77" s="7" t="str">
        <f>description_2063</f>
        <v>Dense Graded Bituminous Macadam, Providing and laying dense bituminous macadam  using crushed aggregates of specified grading, premixed with bituminous binder and filler as per Drawing and Technical Specifications., Grading - I 40 mm (Nominal Size),  In case DBM is laid over freshly laid tack coat</v>
      </c>
      <c r="C77" s="3" t="s">
        <v>1786</v>
      </c>
      <c r="D77" s="1"/>
      <c r="E77" s="1"/>
      <c r="F77" s="1"/>
      <c r="G77" s="1"/>
      <c r="H77" s="1"/>
      <c r="I77" s="9"/>
    </row>
    <row r="78" spans="1:9" ht="78.75" x14ac:dyDescent="0.25">
      <c r="A78" s="5" t="s">
        <v>1787</v>
      </c>
      <c r="B78" s="7" t="str">
        <f>description_2064</f>
        <v>Dense Graded Bituminous Macadam, Providing and laying dense bituminous macadam  using crushed aggregates of specified grading, premixed with bituminous binder and filler as per Drawing and Technical Specifications., Grading - II 19 mm (Nominal Size),  In case DBM is laid over freshly laid tack coat</v>
      </c>
      <c r="C78" s="3" t="s">
        <v>84</v>
      </c>
      <c r="D78" s="1"/>
      <c r="E78" s="1"/>
      <c r="F78" s="1"/>
      <c r="G78" s="1"/>
      <c r="H78" s="1"/>
      <c r="I78" s="9"/>
    </row>
    <row r="79" spans="1:9" ht="78.75" x14ac:dyDescent="0.25">
      <c r="A79" s="5" t="s">
        <v>1788</v>
      </c>
      <c r="B79" s="7" t="str">
        <f>description_2065</f>
        <v>Bituminous Concrete / Asphalt Concrete, Providing and laying Bituminous concrete/ Asphalt concrete   using crushed aggregates of specified grading, premixed with bituminous binder  and filler as per Drawing and Technical  Specifications, Grading - I-19 mm (Nominal Size), In case BC is laid over freshly laid tack coat</v>
      </c>
      <c r="C79" s="3" t="s">
        <v>84</v>
      </c>
      <c r="D79" s="1"/>
      <c r="E79" s="1"/>
      <c r="F79" s="1"/>
      <c r="G79" s="1"/>
      <c r="H79" s="1"/>
      <c r="I79" s="9"/>
    </row>
    <row r="80" spans="1:9" ht="78.75" x14ac:dyDescent="0.25">
      <c r="A80" s="5" t="s">
        <v>1789</v>
      </c>
      <c r="B80" s="7" t="str">
        <f>description_2066</f>
        <v>Bituminous Concrete / Asphalt Concrete, Providing and laying Bituminous concrete/ Asphalt concrete   using crushed aggregates of specified grading, premixed with bituminous binder  and filler as per Drawing and Technical  Specifications, Grading - II-13 mm (Nominal Size),  In case BC is laid over freshly laid tack coat</v>
      </c>
      <c r="C80" s="3" t="s">
        <v>84</v>
      </c>
      <c r="D80" s="1"/>
      <c r="E80" s="1"/>
      <c r="F80" s="1"/>
      <c r="G80" s="1"/>
      <c r="H80" s="1"/>
      <c r="I80" s="9"/>
    </row>
    <row r="81" spans="1:9" ht="63" x14ac:dyDescent="0.25">
      <c r="A81" s="5" t="s">
        <v>1790</v>
      </c>
      <c r="B81" s="7" t="str">
        <f>description_363</f>
        <v>Surface Dressing, Providing and laying surface dressing as wearing course in single coat using gravel  of specified size on a recently applied layer of bituminous binder on prepared surface  as per Drawing and Technical Specifications., MECHANICAL MEANS, 19 mm nominal chipping size</v>
      </c>
      <c r="C81" s="3" t="s">
        <v>438</v>
      </c>
      <c r="D81" s="1"/>
      <c r="E81" s="1"/>
      <c r="F81" s="1"/>
      <c r="G81" s="1"/>
      <c r="H81" s="1"/>
      <c r="I81" s="9"/>
    </row>
    <row r="82" spans="1:9" ht="63" x14ac:dyDescent="0.25">
      <c r="A82" s="5" t="s">
        <v>1791</v>
      </c>
      <c r="B82" s="7" t="str">
        <f>description_364</f>
        <v>Surface Dressing, Providing and laying surface dressing as wearing course in single coat using gravel  of specified size on a recently applied layer of bituminous binder on prepared surface  as per Drawing and Technical Specifications., MECHANICAL MEANS, 13 mm nominal size chipping</v>
      </c>
      <c r="C82" s="3" t="s">
        <v>438</v>
      </c>
      <c r="D82" s="1"/>
      <c r="E82" s="1"/>
      <c r="F82" s="1"/>
      <c r="G82" s="1"/>
      <c r="H82" s="1"/>
      <c r="I82" s="9"/>
    </row>
    <row r="83" spans="1:9" ht="63" x14ac:dyDescent="0.25">
      <c r="A83" s="5" t="s">
        <v>1792</v>
      </c>
      <c r="B83" s="7" t="str">
        <f>description_365</f>
        <v>Surface Dressing, Providing and laying surface dressing as wearing course in single coat using gravel  of specified size on a recently applied layer of bituminous binder on prepared surface  as per Drawing and Technical Specifications., MECHANICAL MEANS, 10 mm nominal size chipping</v>
      </c>
      <c r="C83" s="3" t="s">
        <v>438</v>
      </c>
      <c r="D83" s="1"/>
      <c r="E83" s="1"/>
      <c r="F83" s="1"/>
      <c r="G83" s="1"/>
      <c r="H83" s="1"/>
      <c r="I83" s="9"/>
    </row>
    <row r="84" spans="1:9" ht="63" x14ac:dyDescent="0.25">
      <c r="A84" s="5" t="s">
        <v>1793</v>
      </c>
      <c r="B84" s="7" t="str">
        <f>description_366</f>
        <v>Surface Dressing, Providing and laying surface dressing as wearing course in single coat using gravel  of specified size on a recently applied layer of bituminous binder on prepared surface  as per Drawing and Technical Specifications., MECHANICAL MEANS, 6.0 mm nominal size chipping</v>
      </c>
      <c r="C84" s="3" t="s">
        <v>438</v>
      </c>
      <c r="D84" s="1"/>
      <c r="E84" s="1"/>
      <c r="F84" s="1"/>
      <c r="G84" s="1"/>
      <c r="H84" s="1"/>
      <c r="I84" s="9"/>
    </row>
    <row r="85" spans="1:9" ht="31.5" x14ac:dyDescent="0.25">
      <c r="A85" s="5" t="s">
        <v>1794</v>
      </c>
      <c r="B85" s="7" t="str">
        <f>description_376</f>
        <v>Seal Surfacing, Providing and laying seal coat sealing the voids in a bituminous surface as per Drawing and Technical Specifications.</v>
      </c>
      <c r="C85" s="3" t="s">
        <v>438</v>
      </c>
      <c r="D85" s="1"/>
      <c r="E85" s="1"/>
      <c r="F85" s="1"/>
      <c r="G85" s="1"/>
      <c r="H85" s="1"/>
      <c r="I85" s="9"/>
    </row>
    <row r="86" spans="1:9" ht="78.75" x14ac:dyDescent="0.25">
      <c r="A86" s="5" t="s">
        <v>1795</v>
      </c>
      <c r="B86" s="7" t="str">
        <f>description_377</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as per Drawing and Technical Specifications., 5 mm thickness</v>
      </c>
      <c r="C86" s="3" t="s">
        <v>438</v>
      </c>
      <c r="D86" s="1"/>
      <c r="E86" s="1"/>
      <c r="F86" s="1"/>
      <c r="G86" s="1"/>
      <c r="H86" s="1"/>
      <c r="I86" s="9"/>
    </row>
    <row r="87" spans="1:9" ht="78.75" x14ac:dyDescent="0.25">
      <c r="A87" s="5" t="s">
        <v>1796</v>
      </c>
      <c r="B87" s="7" t="str">
        <f>description_378</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as per Drawing and Technical Specifications., 3 mm thickness</v>
      </c>
      <c r="C87" s="3" t="s">
        <v>438</v>
      </c>
      <c r="D87" s="1"/>
      <c r="E87" s="1"/>
      <c r="F87" s="1"/>
      <c r="G87" s="1"/>
      <c r="H87" s="1"/>
      <c r="I87" s="9"/>
    </row>
    <row r="88" spans="1:9" ht="78.75" x14ac:dyDescent="0.25">
      <c r="A88" s="5" t="s">
        <v>1797</v>
      </c>
      <c r="B88" s="7" t="str">
        <f>description_379</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as per Drawing and Technical Specifications., 1.5 mm thickness</v>
      </c>
      <c r="C88" s="3" t="s">
        <v>438</v>
      </c>
      <c r="D88" s="1"/>
      <c r="E88" s="1"/>
      <c r="F88" s="1"/>
      <c r="G88" s="1"/>
      <c r="H88" s="1"/>
      <c r="I88" s="9"/>
    </row>
    <row r="89" spans="1:9" ht="47.25" x14ac:dyDescent="0.25">
      <c r="A89" s="5" t="s">
        <v>1798</v>
      </c>
      <c r="B89" s="7" t="str">
        <f>description_380</f>
        <v>Fog Spray, Providing and applying low viscosity bitumen emulsion for sealing cracks less than 3 mm wide or incipient fretting or disintegration in an existing bituminous surfacing as per Drawing and Technical Specifications.</v>
      </c>
      <c r="C89" s="3" t="s">
        <v>438</v>
      </c>
      <c r="D89" s="1"/>
      <c r="E89" s="1"/>
      <c r="F89" s="1"/>
      <c r="G89" s="1"/>
      <c r="H89" s="1"/>
      <c r="I89" s="9"/>
    </row>
    <row r="90" spans="1:9" ht="78.75" x14ac:dyDescent="0.25">
      <c r="A90" s="5" t="s">
        <v>1799</v>
      </c>
      <c r="B90" s="7" t="str">
        <f>description_382</f>
        <v xml:space="preserve">Bituminous Cold Mix ( Including Gravel Emulsion), Providing, laying and rolling of bituminous cold mix on prepared base consisting of a mixture of unheated mineral aggregate and emulsified or cutback bitumen, including mixing in a plant of suitable type as per Drawing and Technical Specifications., Using bitumen emulsion and 9.5 mm or 13.2 mm  size aggregate </v>
      </c>
      <c r="C90" s="3" t="s">
        <v>84</v>
      </c>
      <c r="D90" s="1"/>
      <c r="E90" s="1"/>
      <c r="F90" s="1"/>
      <c r="G90" s="1"/>
      <c r="H90" s="1"/>
      <c r="I90" s="9"/>
    </row>
    <row r="91" spans="1:9" ht="78.75" x14ac:dyDescent="0.25">
      <c r="A91" s="5" t="s">
        <v>1800</v>
      </c>
      <c r="B91" s="7" t="str">
        <f>description_383</f>
        <v>Bituminous Cold Mix ( Including Gravel Emulsion), Providing, laying and rolling of bituminous cold mix on prepared base consisting of a mixture of unheated mineral aggregate and emulsified or cutback bitumen, including mixing in a plant of suitable type as per Drawing and Technical Specifications., Using bitumen emulsion and 19 mm or 26.5 mm nominal size aggregate</v>
      </c>
      <c r="C91" s="3" t="s">
        <v>84</v>
      </c>
      <c r="D91" s="1"/>
      <c r="E91" s="1"/>
      <c r="F91" s="1"/>
      <c r="G91" s="1"/>
      <c r="H91" s="1"/>
      <c r="I91" s="9"/>
    </row>
    <row r="92" spans="1:9" ht="78.75" x14ac:dyDescent="0.25">
      <c r="A92" s="5" t="s">
        <v>1801</v>
      </c>
      <c r="B92" s="7" t="str">
        <f>description_384</f>
        <v>Bituminous Cold Mix ( Including Gravel Emulsion), Providing, laying and rolling of bituminous cold mix on prepared base consisting of a mixture of unheated mineral aggregate and emulsified or cutback bitumen, including mixing in a plant of suitable type as per Drawing and Technical Specifications., Using cutback bitumen and 9.5 mm or 13.2 mm nominal size aggregate</v>
      </c>
      <c r="C92" s="3" t="s">
        <v>84</v>
      </c>
      <c r="D92" s="1"/>
      <c r="E92" s="1"/>
      <c r="F92" s="1"/>
      <c r="G92" s="1"/>
      <c r="H92" s="1"/>
      <c r="I92" s="9"/>
    </row>
    <row r="93" spans="1:9" ht="78.75" x14ac:dyDescent="0.25">
      <c r="A93" s="5" t="s">
        <v>1802</v>
      </c>
      <c r="B93" s="7" t="str">
        <f>description_385</f>
        <v>Bituminous Cold Mix ( Including Gravel Emulsion), Providing, laying and rolling of bituminous cold mix on prepared base consisting of a mixture of unheated mineral aggregate and emulsified or cutback bitumen, including mixing in a plant of suitable type as per Drawing and Technical Specifications., Using cutback bitumen and 19 mm or 26.5 mm nominal size aggregate</v>
      </c>
      <c r="C93" s="3" t="s">
        <v>84</v>
      </c>
      <c r="D93" s="1"/>
      <c r="E93" s="1"/>
      <c r="F93" s="1"/>
      <c r="G93" s="1"/>
      <c r="H93" s="1"/>
      <c r="I93" s="9"/>
    </row>
    <row r="94" spans="1:9" ht="31.5" x14ac:dyDescent="0.25">
      <c r="A94" s="5" t="s">
        <v>1803</v>
      </c>
      <c r="B94" s="7" t="str">
        <f>description_387</f>
        <v>Anti- Stripping agent,  Providing and mixing  of Anti stripping agent  as per Design/ direction of Engineer</v>
      </c>
      <c r="C94" s="3" t="s">
        <v>144</v>
      </c>
      <c r="D94" s="1"/>
      <c r="E94" s="1"/>
      <c r="F94" s="1"/>
      <c r="G94" s="1"/>
      <c r="H94" s="1"/>
      <c r="I94" s="9"/>
    </row>
    <row r="95" spans="1:9" ht="78.75" x14ac:dyDescent="0.25">
      <c r="A95" s="5" t="s">
        <v>1804</v>
      </c>
      <c r="B95" s="7" t="str">
        <f>description_394</f>
        <v>Mastic Asphalt, Providing and laying 25 mm thick mastic asphalt wearing course excluding prime coat with paving grade bitumen  including providing antiskid surface with bitumen pre-coated fine grained hard stone chipping  at an  spacing of 10 cm center to center in both directions all complete as per Drawing and Technical  specifications.</v>
      </c>
      <c r="C95" s="3" t="s">
        <v>438</v>
      </c>
      <c r="D95" s="1"/>
      <c r="E95" s="1"/>
      <c r="F95" s="1"/>
      <c r="G95" s="1"/>
      <c r="H95" s="1"/>
      <c r="I95" s="9"/>
    </row>
    <row r="96" spans="1:9" ht="78.75" x14ac:dyDescent="0.25">
      <c r="A96" s="5" t="s">
        <v>1805</v>
      </c>
      <c r="B96" s="7" t="str">
        <f>description_395</f>
        <v>Precast Cement Concrete M 20 Kerb , Providing and laying of /20 precast  cement concrete Kerb  38 cm * 20 cm * 25  cm ( H*B*L)  with 12 mm thick 1:3 cement sand mortar bedding and joints including foundation excavation levelling but excluding foundation concrete for foundation or sand gravel material, all complete as per Drawing and Technical Specifications.</v>
      </c>
      <c r="C96" s="3" t="s">
        <v>75</v>
      </c>
      <c r="D96" s="1"/>
      <c r="E96" s="1"/>
      <c r="F96" s="1"/>
      <c r="G96" s="1"/>
      <c r="H96" s="1"/>
      <c r="I96" s="9"/>
    </row>
    <row r="97" spans="1:9" ht="63" x14ac:dyDescent="0.25">
      <c r="A97" s="5" t="s">
        <v>1806</v>
      </c>
      <c r="B97" s="7" t="str">
        <f>description_396</f>
        <v>Cast in Situ Cement Concrete or natural stone block  for footpath, Providing and laying of precast / cast in situ  50 mm thick  cement concrete slab  footpath on 12 mm thick 1: 3 cement sand mortar over the prepared base, all complete as per Drawing and Technical Specifications.</v>
      </c>
      <c r="C97" s="3" t="s">
        <v>438</v>
      </c>
      <c r="D97" s="1"/>
      <c r="E97" s="1"/>
      <c r="F97" s="1"/>
      <c r="G97" s="1"/>
      <c r="H97" s="1"/>
      <c r="I97" s="9"/>
    </row>
    <row r="98" spans="1:9" ht="47.25" x14ac:dyDescent="0.25">
      <c r="A98" s="5" t="s">
        <v>1807</v>
      </c>
      <c r="B98" s="7" t="str">
        <f>description_397</f>
        <v>, Providing and laying  25 mm thick  Natural stone  slab  footpath on 12 mm thick 1: 3 cement sand mortar over the prepared base, all complete as per specification.</v>
      </c>
      <c r="C98" s="3" t="s">
        <v>438</v>
      </c>
      <c r="D98" s="1"/>
      <c r="E98" s="1"/>
      <c r="F98" s="1"/>
      <c r="G98" s="1"/>
      <c r="H98" s="1"/>
      <c r="I98" s="9"/>
    </row>
    <row r="99" spans="1:9" ht="94.5" x14ac:dyDescent="0.25">
      <c r="A99" s="5" t="s">
        <v>1808</v>
      </c>
      <c r="B99" s="7" t="str">
        <f>description_398</f>
        <v>Cast in Situ Cement Concrete  Kerb , Providing and laying cement concrete Kerb with top and bottom width 115 and 165 mm respectively, 250 mm high in M 20 grade PCC on M-10 grade foundation 150 mm thick, foundation having 50 mm projection beyond Kerb stone, Kerb stone laid with Kerb laying machine, foundation concrete laid manually, all complete as per Drawing and Technical Specifications.</v>
      </c>
      <c r="C99" s="3" t="s">
        <v>75</v>
      </c>
      <c r="D99" s="1"/>
      <c r="E99" s="1"/>
      <c r="F99" s="1"/>
      <c r="G99" s="1"/>
      <c r="H99" s="1"/>
      <c r="I99" s="9"/>
    </row>
    <row r="100" spans="1:9" ht="47.25" x14ac:dyDescent="0.25">
      <c r="A100" s="5" t="s">
        <v>1809</v>
      </c>
      <c r="B100" s="7" t="str">
        <f>description_400</f>
        <v>Brick work for footpath, Providing and laying  brick on edge  over  60 mm thick  sand bed in footpath including excavation sand bedding all complete as  per Drawing and Technical Specifications.</v>
      </c>
      <c r="C100" s="3" t="s">
        <v>438</v>
      </c>
      <c r="D100" s="1"/>
      <c r="E100" s="1"/>
      <c r="F100" s="1"/>
      <c r="G100" s="1"/>
      <c r="H100" s="1"/>
      <c r="I100" s="9"/>
    </row>
    <row r="101" spans="1:9" ht="47.25" x14ac:dyDescent="0.25">
      <c r="A101" s="5" t="s">
        <v>1810</v>
      </c>
      <c r="B101" s="7" t="str">
        <f>description_401</f>
        <v>Brick work for footpath, Providing and laying   flat brick   over  60 mm thick  sand bed in footpath including excavation sand bedding all complete as  per specification.</v>
      </c>
      <c r="C101" s="3" t="s">
        <v>438</v>
      </c>
      <c r="D101" s="1"/>
      <c r="E101" s="1"/>
      <c r="F101" s="1"/>
      <c r="G101" s="1"/>
      <c r="H101" s="1"/>
      <c r="I101" s="9"/>
    </row>
    <row r="102" spans="1:9" ht="110.25" x14ac:dyDescent="0.25">
      <c r="A102" s="5" t="s">
        <v>1811</v>
      </c>
      <c r="B102" s="7" t="str">
        <f>description_2088</f>
        <v>Non Reflective Traffic Signs, Providing and fixing of Non reflective warning, mandatory and informatory sign board of 2 mm thick MS Sheet with back support frame fixed on heavy 50 mm tube or Channel section of 75 mm X 40 mm firmly fixed to the ground by means of properly designed foundation with M 10/40 grade cement concrete 300 mm x 300 mm x 300 mm, l as per drawings and Technical Specification/ DOR Publication., Heavy Duty Steel Tube internal 50 mm dia., 80 mm * 60 mm rectangular</v>
      </c>
      <c r="C102" s="3" t="s">
        <v>1812</v>
      </c>
      <c r="D102" s="1"/>
      <c r="E102" s="1"/>
      <c r="F102" s="1"/>
      <c r="G102" s="1"/>
      <c r="H102" s="1"/>
      <c r="I102" s="9"/>
    </row>
    <row r="103" spans="1:9" ht="126" x14ac:dyDescent="0.25">
      <c r="A103" s="5" t="s">
        <v>1813</v>
      </c>
      <c r="B103" s="7" t="str">
        <f>description_2089</f>
        <v>Retro-Reflectorized Traffic Signs, Providing and fixing of retro- reflectorized warning, Regulatory and informatory sign as per specification clause 1501 made of high intensity grade sheeting , fixed over aluminum sheeting, 1.5 mm thick supported on a 50 mm internal dia steel tube or mild steel angle iron post 75 mm x 40 mm x 6 mm firmly fixed to the ground by means of properly designed foundation with M 10/40 grade cement concrete 30 cm x 30 cm , 30 cm below ground level or as per Drawing and Technical Specifications., 80 mm * 60 mm rectangular, Heavy Duty Steel Tube internal 50 mm dia.</v>
      </c>
      <c r="C103" s="3" t="s">
        <v>1812</v>
      </c>
      <c r="D103" s="1"/>
      <c r="E103" s="1"/>
      <c r="F103" s="1"/>
      <c r="G103" s="1"/>
      <c r="H103" s="1"/>
      <c r="I103" s="9"/>
    </row>
    <row r="104" spans="1:9" ht="110.25" x14ac:dyDescent="0.25">
      <c r="A104" s="5" t="s">
        <v>1814</v>
      </c>
      <c r="B104" s="7" t="str">
        <f>description_404</f>
        <v>Overhead Signs, Providing and erecting overhead signs with a corrosion resistant 2 mm thick aluminum alloy sheet reflectorized with micro prismatic retro-reflective type with vertical and lateral clearance as per drawing and installed as per Specification over a designed support system of aluminum alloy or galvanized steel trusses of sections and type as per structural design requirements , Drawing and Technical Specifications., Truss and Vertical Support</v>
      </c>
      <c r="C104" s="3" t="s">
        <v>35</v>
      </c>
      <c r="D104" s="1"/>
      <c r="E104" s="1"/>
      <c r="F104" s="1"/>
      <c r="G104" s="1"/>
      <c r="H104" s="1"/>
      <c r="I104" s="9"/>
    </row>
    <row r="105" spans="1:9" ht="110.25" x14ac:dyDescent="0.25">
      <c r="A105" s="5" t="s">
        <v>1815</v>
      </c>
      <c r="B105" s="7" t="str">
        <f>description_405</f>
        <v>Overhead Signs, Providing and erecting overhead signs with a corrosion resistant 2 mm thick aluminum alloy sheet reflectorized with micro prismatic retro-reflective type with vertical and lateral clearance as per drawing and installed as per Specification over a designed support system of aluminum alloy or galvanized steel trusses of sections and type as per structural design requirements , Drawing and Technical Specifications., Aluminum Alloy Plate for Over Head Sign</v>
      </c>
      <c r="C105" s="3" t="s">
        <v>438</v>
      </c>
      <c r="D105" s="1"/>
      <c r="E105" s="1"/>
      <c r="F105" s="1"/>
      <c r="G105" s="1"/>
      <c r="H105" s="1"/>
      <c r="I105" s="9"/>
    </row>
    <row r="106" spans="1:9" ht="47.25" x14ac:dyDescent="0.25">
      <c r="A106" s="5" t="s">
        <v>1816</v>
      </c>
      <c r="B106" s="7" t="str">
        <f>description_406</f>
        <v>Painting Two Coats on Concrete Surfaces, Providing and Painting two coats after filling the surface with synthetic enamel paint in all shades on concrete / plaster surfaces as per Drawing and Technical Specifications.</v>
      </c>
      <c r="C106" s="3" t="s">
        <v>438</v>
      </c>
      <c r="D106" s="1"/>
      <c r="E106" s="1"/>
      <c r="F106" s="1"/>
      <c r="G106" s="1"/>
      <c r="H106" s="1"/>
      <c r="I106" s="9"/>
    </row>
    <row r="107" spans="1:9" ht="47.25" x14ac:dyDescent="0.25">
      <c r="A107" s="5" t="s">
        <v>1817</v>
      </c>
      <c r="B107" s="7" t="str">
        <f>description_407</f>
        <v>Painting Two Coats on Steel Surfaces, Providing and applying two coats of ready mix paint of approved brand on steel surface after through cleaning of surface to give an even shade as per Drawing and Technical Specifications.</v>
      </c>
      <c r="C107" s="3" t="s">
        <v>438</v>
      </c>
      <c r="D107" s="1"/>
      <c r="E107" s="1"/>
      <c r="F107" s="1"/>
      <c r="G107" s="1"/>
      <c r="H107" s="1"/>
      <c r="I107" s="9"/>
    </row>
    <row r="108" spans="1:9" ht="47.25" x14ac:dyDescent="0.25">
      <c r="A108" s="5" t="s">
        <v>1818</v>
      </c>
      <c r="B108" s="7" t="str">
        <f>description_408</f>
        <v>`, Providing and applying two coats of ready mix paint of approved brand on wood surface after thorough cleaning of surface to give an even shade as per Drawing and Technical Specifications.</v>
      </c>
      <c r="C108" s="3" t="s">
        <v>438</v>
      </c>
      <c r="D108" s="1"/>
      <c r="E108" s="1"/>
      <c r="F108" s="1"/>
      <c r="G108" s="1"/>
      <c r="H108" s="1"/>
      <c r="I108" s="9"/>
    </row>
    <row r="109" spans="1:9" ht="94.5" x14ac:dyDescent="0.25">
      <c r="A109" s="5" t="s">
        <v>1819</v>
      </c>
      <c r="B109" s="7" t="str">
        <f>description_409</f>
        <v>Painting Lines, Dashes, Arrows etc. on Roads in Two Coats, Providing required material and Painting lines, dashes, arrows etc. on roads in two coats on new work with ready mixed road marking paint conforming to NS 408/ IS 164 on bituminous surface, including cleaning the surface of all dirt, dust and other foreign matter, demarcation at site and traffic control as per Drawing and Technical Specifications., Over 10 cm in width</v>
      </c>
      <c r="C109" s="3" t="s">
        <v>438</v>
      </c>
      <c r="D109" s="1"/>
      <c r="E109" s="1"/>
      <c r="F109" s="1"/>
      <c r="G109" s="1"/>
      <c r="H109" s="1"/>
      <c r="I109" s="9"/>
    </row>
    <row r="110" spans="1:9" ht="94.5" x14ac:dyDescent="0.25">
      <c r="A110" s="5" t="s">
        <v>1820</v>
      </c>
      <c r="B110" s="7" t="str">
        <f>description_410</f>
        <v>Painting Lines, Dashes, Arrows etc. on Roads in Two Coats, Providing required material and Painting lines, dashes, arrows etc. on roads in two coats on new work with ready mixed road marking paint conforming to NS 408/ IS 164 on bituminous surface, including cleaning the surface of all dirt, dust and other foreign matter, demarcation at site and traffic control as per Drawing and Technical Specifications., Up to 10 cm in width</v>
      </c>
      <c r="C110" s="3" t="s">
        <v>438</v>
      </c>
      <c r="D110" s="1"/>
      <c r="E110" s="1"/>
      <c r="F110" s="1"/>
      <c r="G110" s="1"/>
      <c r="H110" s="1"/>
      <c r="I110" s="9"/>
    </row>
    <row r="111" spans="1:9" ht="94.5" x14ac:dyDescent="0.25">
      <c r="A111" s="5" t="s">
        <v>1821</v>
      </c>
      <c r="B111" s="7" t="str">
        <f>description_411</f>
        <v>Painting Lines, Dashes, Arrows etc. on Roads in Two Coats on Old Work, Providing required materials and Painting lines, dashes, arrows etc. on roads in two coats on old work with ready mixed road marking paint conforming to NS 408/ IS: 164 on bituminous surface, including cleaning the surface of all dirt, dust and other foreign matter, demarcation at site and traffic control as per Drawing and Technical Specifications., over 10 cm in width</v>
      </c>
      <c r="C111" s="3" t="s">
        <v>438</v>
      </c>
      <c r="D111" s="1"/>
      <c r="E111" s="1"/>
      <c r="F111" s="1"/>
      <c r="G111" s="1"/>
      <c r="H111" s="1"/>
      <c r="I111" s="9"/>
    </row>
    <row r="112" spans="1:9" ht="94.5" x14ac:dyDescent="0.25">
      <c r="A112" s="5" t="s">
        <v>1822</v>
      </c>
      <c r="B112" s="7" t="str">
        <f>description_412</f>
        <v>Painting Lines, Dashes, Arrows etc. on Roads in Two Coats on Old Work, Providing required materials and Painting lines, dashes, arrows etc. on roads in two coats on old work with ready mixed road marking paint conforming to NS 408/ IS: 164 on bituminous surface, including cleaning the surface of all dirt, dust and other foreign matter, demarcation at site and traffic control as per Drawing and Technical Specifications., Up to 10 cm in width</v>
      </c>
      <c r="C112" s="3" t="s">
        <v>438</v>
      </c>
      <c r="D112" s="1"/>
      <c r="E112" s="1"/>
      <c r="F112" s="1"/>
      <c r="G112" s="1"/>
      <c r="H112" s="1"/>
      <c r="I112" s="9"/>
    </row>
    <row r="113" spans="1:9" ht="94.5" x14ac:dyDescent="0.25">
      <c r="A113" s="5" t="s">
        <v>1823</v>
      </c>
      <c r="B113" s="7" t="str">
        <f>description_413</f>
        <v>Road Marking with Hot Applied Thermoplastic Compound with Reflectorizing Glass Beads on Bituminous Surface, On smooth surface (similar to Asphalt concrete and rigid pavement), Providing and laying of hot applied thermoplastic compound at least 2 mm thick including reflectorizing glass beads as per DOR Traffic sign manual/ Specifications .The finished surface to be level, uniform and free from streaks and holes.</v>
      </c>
      <c r="C113" s="3" t="s">
        <v>438</v>
      </c>
      <c r="D113" s="1"/>
      <c r="E113" s="1"/>
      <c r="F113" s="1"/>
      <c r="G113" s="1"/>
      <c r="H113" s="1"/>
      <c r="I113" s="9"/>
    </row>
    <row r="114" spans="1:9" ht="94.5" x14ac:dyDescent="0.25">
      <c r="A114" s="5" t="s">
        <v>1824</v>
      </c>
      <c r="B114" s="7" t="str">
        <f>description_414</f>
        <v>Road Marking with Hot Applied Thermoplastic Compound with Reflectorizing Glass Beads on Bituminous Surface, On rough surface ( similar to surface dressing), Providing and laying of hot applied thermoplastic compound at least 2 mm thick including reflectorizing glass beads as per DOR Traffic sign manual/ Specifications .The finished surface to be level, uniform and free from streaks and holes.</v>
      </c>
      <c r="C114" s="3" t="s">
        <v>438</v>
      </c>
      <c r="D114" s="1"/>
      <c r="E114" s="1"/>
      <c r="F114" s="1"/>
      <c r="G114" s="1"/>
      <c r="H114" s="1"/>
      <c r="I114" s="9"/>
    </row>
    <row r="115" spans="1:9" ht="141.75" x14ac:dyDescent="0.25">
      <c r="A115" s="5" t="s">
        <v>1825</v>
      </c>
      <c r="B115" s="7" t="str">
        <f>description_2101</f>
        <v>Providing and fixing of road stud 100x 100 mm, die-cast in aluminum, resistant to corrosive effect of salt and grit, fitted with lenses reflectors, installed in concrete or asphaltic surface by drilling hole 30 mm upto a depth of 60 mm and bedded in a suitable bituminous grout or epoxy mortar, all as per Specification clause 1505., Providing and fixing of road stud 100 x 100 mm, die-cast in aluminum, resistant to corrosive effect of salt and grit, fitted with lenses reflectors, installed in concrete or asphaltic surface by drilling hole 30 mm upto a depth of 60 mm and bedded in a suitable bituminous grout or epoxy mortar, all as per Drawing and Technical Specifications., Cats Eye</v>
      </c>
      <c r="C115" s="3" t="s">
        <v>1812</v>
      </c>
      <c r="D115" s="1"/>
      <c r="E115" s="1"/>
      <c r="F115" s="1"/>
      <c r="G115" s="1"/>
      <c r="H115" s="1"/>
      <c r="I115" s="9"/>
    </row>
    <row r="116" spans="1:9" ht="47.25" x14ac:dyDescent="0.25">
      <c r="A116" s="5" t="s">
        <v>1826</v>
      </c>
      <c r="B116" s="7" t="str">
        <f>description_2102</f>
        <v>Kilometer Stone, Providing and Fixing Reinforced cement concrete M 15 grade kilometer Post including painting and printing as per Standard Drawing-2070 and Technical Specifications. position, Five kilometer Post (precast)</v>
      </c>
      <c r="C116" s="3" t="s">
        <v>1812</v>
      </c>
      <c r="D116" s="1"/>
      <c r="E116" s="1"/>
      <c r="F116" s="1"/>
      <c r="G116" s="1"/>
      <c r="H116" s="1"/>
      <c r="I116" s="9"/>
    </row>
    <row r="117" spans="1:9" ht="47.25" x14ac:dyDescent="0.25">
      <c r="A117" s="5" t="s">
        <v>1827</v>
      </c>
      <c r="B117" s="7" t="str">
        <f>description_2103</f>
        <v>Kilometer Stone, Providing and Fixing Reinforced cement concrete M 15 grade kilometer Post including painting and printing as per Standard Drawing-2070 and Technical Specifications. position, One kilometer post (precast)</v>
      </c>
      <c r="C117" s="3" t="s">
        <v>1812</v>
      </c>
      <c r="D117" s="1"/>
      <c r="E117" s="1"/>
      <c r="F117" s="1"/>
      <c r="G117" s="1"/>
      <c r="H117" s="1"/>
      <c r="I117" s="9"/>
    </row>
    <row r="118" spans="1:9" ht="78.75" x14ac:dyDescent="0.25">
      <c r="A118" s="5" t="s">
        <v>1828</v>
      </c>
      <c r="B118" s="7" t="str">
        <f>description_418</f>
        <v>Road Delineators Post, Providing and installation of 150 mm * 150 mm 1. 5 m long delineators (road way indicators, hazard markers, object markers), 80-100 cm high above ground level, painted black and white in 20 cm wide strips, buried or pressed into the ground and conforming to the drawings and Technical Specifications.</v>
      </c>
      <c r="C118" s="3" t="s">
        <v>1812</v>
      </c>
      <c r="D118" s="1"/>
      <c r="E118" s="1"/>
      <c r="F118" s="1"/>
      <c r="G118" s="1"/>
      <c r="H118" s="1"/>
      <c r="I118" s="9"/>
    </row>
    <row r="119" spans="1:9" ht="94.5" x14ac:dyDescent="0.25">
      <c r="A119" s="5" t="s">
        <v>1829</v>
      </c>
      <c r="B119" s="7" t="str">
        <f>description_419</f>
        <v>Reinforced Cement Concrete Crash Barrier, Providing and Fixing Reinforced cement concrete crash barrier at the edges of the road, approaches to bridge structures and medians, constructed with M-20 grade concrete with HYSD reinforcement and dowel bars 25 mm dia, 450 mm long at expansion joints filled with pre-molded asphalt filler board, keyed to the structure on which it is built and installed as per design, Drawing and Technical Specifications.</v>
      </c>
      <c r="C119" s="3" t="s">
        <v>75</v>
      </c>
      <c r="D119" s="1"/>
      <c r="E119" s="1"/>
      <c r="F119" s="1"/>
      <c r="G119" s="1"/>
      <c r="H119" s="1"/>
      <c r="I119" s="9"/>
    </row>
    <row r="120" spans="1:9" ht="110.25" x14ac:dyDescent="0.25">
      <c r="A120" s="5" t="s">
        <v>1830</v>
      </c>
      <c r="B120" s="7" t="str">
        <f>description_420</f>
        <v>Metal Beam Crash Barrier, Type - A, "W" : Metal Beam Crash Barrier, Providing and erecting a "W" metal beam crash barrier comprising of 3 mm thick corrugated sheet metal beam rail, 70 cm above road/ground level, fixed on ISMC series channel vertical post, 150 x 75 x 5 mm spaced 2 m center to center, 1.8 m high, 1.1 m below ground/road level metal beam rail to be fixed on the vertical post with a spacer of channel section 150 x 75 x 5 mm, 330 mm long complete as per Drawing and Technical Specifications.</v>
      </c>
      <c r="C120" s="3" t="s">
        <v>75</v>
      </c>
      <c r="D120" s="1"/>
      <c r="E120" s="1"/>
      <c r="F120" s="1"/>
      <c r="G120" s="1"/>
      <c r="H120" s="1"/>
      <c r="I120" s="9"/>
    </row>
    <row r="121" spans="1:9" ht="110.25" x14ac:dyDescent="0.25">
      <c r="A121" s="5" t="s">
        <v>1831</v>
      </c>
      <c r="B121" s="7" t="str">
        <f>description_421</f>
        <v>Metal Beam Crash Barrier, Type - B, "THRIE" : Metal Beam Crash Barrier, Providing and erecting a "Thrie" metal beam crash barrier comprising of 3 mm thick corrugated sheet metal beam rail, 85 cm above road/ground level, fixed on ISMC series channel vertical post, 150 x 75 x 5 mm spaced 2 m center to center, 2.1 m high with 1.3 m below ground level, metal beam rail to be fixed on the vertical post with a space of channel section 150 x 75 x 5 mm, 546 mm long complete as per Drawing and Technical specifications.</v>
      </c>
      <c r="C121" s="3" t="s">
        <v>75</v>
      </c>
      <c r="D121" s="1"/>
      <c r="E121" s="1"/>
      <c r="F121" s="1"/>
      <c r="G121" s="1"/>
      <c r="H121" s="1"/>
      <c r="I121" s="9"/>
    </row>
    <row r="122" spans="1:9" ht="173.25" x14ac:dyDescent="0.25">
      <c r="A122" s="5" t="s">
        <v>1832</v>
      </c>
      <c r="B122" s="7" t="str">
        <f>description_422</f>
        <v>Metal Beam Crash Barrier, Flexible Crash Barrier, Wire Rope Safety Barrier, Providing and erecting a wire rope safety barrier with vertical posts of medium weight RS Joist (ISMB series) 100 mm x 75 mm (11.50 kg/m), 1.50 m long 0.85 m above ground and 0.65 m below ground level, split at the bottom for better grip, embedded in M 15 grade cement concrete 450 x 450 x 450 mm, 1.50 m center to center and with 4 horizontal steel wire rope 40 mm dia and anchored at terminal posts 15 m apart. Terminal post to be embedded in M 15 grade cement concrete foundation 2400 x 450 x 900 mm (depth), strengthened by a strut of RS joist 100 x 75 mm, 2 m long at 450 inclination and a tie 100 x 8 mm, 1.50 m long at the bottom, all embedded in foundation concrete as per design , Drawing and Technical Specifications.</v>
      </c>
      <c r="C122" s="3" t="s">
        <v>75</v>
      </c>
      <c r="D122" s="1"/>
      <c r="E122" s="1"/>
      <c r="F122" s="1"/>
      <c r="G122" s="1"/>
      <c r="H122" s="1"/>
      <c r="I122" s="9"/>
    </row>
    <row r="123" spans="1:9" ht="47.25" x14ac:dyDescent="0.25">
      <c r="A123" s="5" t="s">
        <v>1833</v>
      </c>
      <c r="B123" s="7" t="str">
        <f>description_423</f>
        <v>Anti-Glare Devices in Median, Plantation, Providing and Plantation of shrubs and plants of approved species in the median. apart from cutting off glare from vehicle coming from opposite direction,</v>
      </c>
      <c r="C123" s="3"/>
      <c r="D123" s="1"/>
      <c r="E123" s="1"/>
      <c r="F123" s="1"/>
      <c r="G123" s="1"/>
      <c r="H123" s="1"/>
      <c r="I123" s="9"/>
    </row>
    <row r="124" spans="1:9" ht="126" x14ac:dyDescent="0.25">
      <c r="A124" s="5" t="s">
        <v>1834</v>
      </c>
      <c r="B124" s="7" t="str">
        <f>description_424</f>
        <v>Anti-Glare Devices in Median, Anti-glare screen with 25 mm steel pipe framework fixed with circular and rectangular vans, Providing and erecting an anti - glare screen with 25 mm dia vertical pipes fabricated and framed in the form of panels of one meter length and 1.75 meter height fixed with circular vane 250 mm dia at top and rectangular vane 600 x 300 mm at the middle, made out of steel sheet of 3 mm thickness, end vertical pipes of the panel made larger for embedding in foundation concrete, applying 2 coats of paint on all exposed surfaces, all as per design , drawings and Technical Specifications.</v>
      </c>
      <c r="C124" s="3" t="s">
        <v>75</v>
      </c>
      <c r="D124" s="1"/>
      <c r="E124" s="1"/>
      <c r="F124" s="1"/>
      <c r="G124" s="1"/>
      <c r="H124" s="1"/>
      <c r="I124" s="9"/>
    </row>
    <row r="125" spans="1:9" ht="126" x14ac:dyDescent="0.25">
      <c r="A125" s="5" t="s">
        <v>1835</v>
      </c>
      <c r="B125" s="7" t="str">
        <f>description_425</f>
        <v>Anti-Glare Devices in Median, Anti-glare screen with rectangular vane of MS sheet, Providing and erecting anti - glare screen with rectangular vanes of size 750 x 500 mm made from MS sheet, 3 mm thick and fixed on MS angle 50 x 50 x 6 mm at an angle of 450 to the direction of flow of traffic, 1.5 m center to center, top edge of the screen 1.75 m above ground level, vertical post firmly embedded in M-15 cement concrete foundation 0.60 m below ground level, applying 2 coats of paint on exposed faces, all complete as per design , Drawing and Technical Specifications.</v>
      </c>
      <c r="C125" s="3" t="s">
        <v>75</v>
      </c>
      <c r="D125" s="1"/>
      <c r="E125" s="1"/>
      <c r="F125" s="1"/>
      <c r="G125" s="1"/>
      <c r="H125" s="1"/>
      <c r="I125" s="9"/>
    </row>
    <row r="126" spans="1:9" ht="110.25" x14ac:dyDescent="0.25">
      <c r="A126" s="5" t="s">
        <v>1836</v>
      </c>
      <c r="B126" s="7" t="str">
        <f>description_427</f>
        <v>Rumble Strips, Providing and making of Rumble strips with premix bituminous carpet, 15-20 mm high at center, 250 mm wide placed at 1 m center to center at approved locations to control speed, marked with white strips of road marking paint., Provision of 15 Nos rumble strips covered with premix bituminous carpet, 15-20 mm high at center, 250 mm wide placed at 1 m center to center at approved locations to control speed, marked with white strips of road marking paint.</v>
      </c>
      <c r="C126" s="3" t="s">
        <v>438</v>
      </c>
      <c r="D126" s="1"/>
      <c r="E126" s="1"/>
      <c r="F126" s="1"/>
      <c r="G126" s="1"/>
      <c r="H126" s="1"/>
      <c r="I126" s="9"/>
    </row>
    <row r="127" spans="1:9" ht="78.75" x14ac:dyDescent="0.25">
      <c r="A127" s="5" t="s">
        <v>1837</v>
      </c>
      <c r="B127" s="7" t="str">
        <f>description_426</f>
        <v>Street Lighting, Providing and erecting street light mounted on a steel circular hollow pole of standard specifications for street lighting, 9 m high spaced 40 m apart, 1.8 m overhang on both sides if fixed in the median and on one side if fixed on the footpath, fitted with sodium vapor lamp and fixed firmly in concrete foundation as per design , Drawing and Technical Specifications..</v>
      </c>
      <c r="C127" s="3" t="s">
        <v>1812</v>
      </c>
      <c r="D127" s="1"/>
      <c r="E127" s="1"/>
      <c r="F127" s="1"/>
      <c r="G127" s="1"/>
      <c r="H127" s="1"/>
      <c r="I127" s="9"/>
    </row>
    <row r="128" spans="1:9" ht="47.25" x14ac:dyDescent="0.25">
      <c r="A128" s="5" t="s">
        <v>1838</v>
      </c>
      <c r="B128" s="7" t="str">
        <f>description_428</f>
        <v>Lettering new Letter and Figures of any Shade, Providing and lettering new letter and figures of any shade with synthetic enamel paint black or any other approved color to give an even shade, Nepali</v>
      </c>
      <c r="C128" s="3" t="s">
        <v>1839</v>
      </c>
      <c r="D128" s="1"/>
      <c r="E128" s="1"/>
      <c r="F128" s="1"/>
      <c r="G128" s="1"/>
      <c r="H128" s="1"/>
      <c r="I128" s="9"/>
    </row>
    <row r="129" spans="1:9" ht="47.25" x14ac:dyDescent="0.25">
      <c r="A129" s="5" t="s">
        <v>1840</v>
      </c>
      <c r="B129" s="7" t="str">
        <f>description_429</f>
        <v>Lettering new Letter and Figures of any Shade, Providing and lettering new letter and figures of any shade with synthetic enamel paint black or any other approved color to give an even shade, English and Roman</v>
      </c>
      <c r="C129" s="3" t="s">
        <v>1839</v>
      </c>
      <c r="D129" s="1"/>
      <c r="E129" s="1"/>
      <c r="F129" s="1"/>
      <c r="G129" s="1"/>
      <c r="H129" s="1"/>
      <c r="I129" s="9"/>
    </row>
    <row r="130" spans="1:9" ht="63" x14ac:dyDescent="0.25">
      <c r="A130" s="5" t="s">
        <v>1841</v>
      </c>
      <c r="B130" s="7" t="str">
        <f>description_430</f>
        <v>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diameter-500 mm</v>
      </c>
      <c r="C130" s="3" t="s">
        <v>75</v>
      </c>
      <c r="D130" s="1"/>
      <c r="E130" s="1"/>
      <c r="F130" s="1"/>
      <c r="G130" s="1"/>
      <c r="H130" s="1"/>
      <c r="I130" s="9"/>
    </row>
    <row r="131" spans="1:9" ht="63" x14ac:dyDescent="0.25">
      <c r="A131" s="5" t="s">
        <v>1842</v>
      </c>
      <c r="B131" s="7" t="str">
        <f>description_431</f>
        <v>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diameter-600 mm</v>
      </c>
      <c r="C131" s="3" t="s">
        <v>75</v>
      </c>
      <c r="D131" s="1"/>
      <c r="E131" s="1"/>
      <c r="F131" s="1"/>
      <c r="G131" s="1"/>
      <c r="H131" s="1"/>
      <c r="I131" s="9"/>
    </row>
    <row r="132" spans="1:9" ht="63" x14ac:dyDescent="0.25">
      <c r="A132" s="5" t="s">
        <v>1843</v>
      </c>
      <c r="B132" s="7" t="str">
        <f>description_432</f>
        <v>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diameter-750 mm</v>
      </c>
      <c r="C132" s="3" t="s">
        <v>75</v>
      </c>
      <c r="D132" s="1"/>
      <c r="E132" s="1"/>
      <c r="F132" s="1"/>
      <c r="G132" s="1"/>
      <c r="H132" s="1"/>
      <c r="I132" s="9"/>
    </row>
    <row r="133" spans="1:9" ht="78.75" x14ac:dyDescent="0.25">
      <c r="A133" s="5" t="s">
        <v>1844</v>
      </c>
      <c r="B133" s="7" t="str">
        <f>description_433</f>
        <v>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diameter-1000 mm</v>
      </c>
      <c r="C133" s="3" t="s">
        <v>75</v>
      </c>
      <c r="D133" s="1"/>
      <c r="E133" s="1"/>
      <c r="F133" s="1"/>
      <c r="G133" s="1"/>
      <c r="H133" s="1"/>
      <c r="I133" s="9"/>
    </row>
    <row r="134" spans="1:9" ht="78.75" x14ac:dyDescent="0.25">
      <c r="A134" s="5" t="s">
        <v>1845</v>
      </c>
      <c r="B134" s="7" t="str">
        <f>description_434</f>
        <v>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diameter-1200 mm</v>
      </c>
      <c r="C134" s="3" t="s">
        <v>75</v>
      </c>
      <c r="D134" s="1"/>
      <c r="E134" s="1"/>
      <c r="F134" s="1"/>
      <c r="G134" s="1"/>
      <c r="H134" s="1"/>
      <c r="I134" s="9"/>
    </row>
    <row r="135" spans="1:9" ht="78.75" x14ac:dyDescent="0.25">
      <c r="A135" s="5" t="s">
        <v>1846</v>
      </c>
      <c r="B135" s="7" t="str">
        <f>description_435</f>
        <v>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diameter-300 mm</v>
      </c>
      <c r="C135" s="3" t="s">
        <v>75</v>
      </c>
      <c r="D135" s="1"/>
      <c r="E135" s="1"/>
      <c r="F135" s="1"/>
      <c r="G135" s="1"/>
      <c r="H135" s="1"/>
      <c r="I135" s="9"/>
    </row>
    <row r="136" spans="1:9" ht="78.75" x14ac:dyDescent="0.25">
      <c r="A136" s="5" t="s">
        <v>1847</v>
      </c>
      <c r="B136" s="7" t="str">
        <f>description_436</f>
        <v>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diameter-500 mm</v>
      </c>
      <c r="C136" s="3" t="s">
        <v>75</v>
      </c>
      <c r="D136" s="1"/>
      <c r="E136" s="1"/>
      <c r="F136" s="1"/>
      <c r="G136" s="1"/>
      <c r="H136" s="1"/>
      <c r="I136" s="9"/>
    </row>
    <row r="137" spans="1:9" ht="78.75" x14ac:dyDescent="0.25">
      <c r="A137" s="5" t="s">
        <v>1848</v>
      </c>
      <c r="B137" s="7" t="str">
        <f>description_437</f>
        <v>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diameter-600 mm</v>
      </c>
      <c r="C137" s="3" t="s">
        <v>75</v>
      </c>
      <c r="D137" s="1"/>
      <c r="E137" s="1"/>
      <c r="F137" s="1"/>
      <c r="G137" s="1"/>
      <c r="H137" s="1"/>
      <c r="I137" s="9"/>
    </row>
    <row r="138" spans="1:9" ht="78.75" x14ac:dyDescent="0.25">
      <c r="A138" s="5" t="s">
        <v>1849</v>
      </c>
      <c r="B138" s="7" t="str">
        <f>description_438</f>
        <v>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diameter-750 mm</v>
      </c>
      <c r="C138" s="3" t="s">
        <v>75</v>
      </c>
      <c r="D138" s="1"/>
      <c r="E138" s="1"/>
      <c r="F138" s="1"/>
      <c r="G138" s="1"/>
      <c r="H138" s="1"/>
      <c r="I138" s="9"/>
    </row>
    <row r="139" spans="1:9" ht="78.75" x14ac:dyDescent="0.25">
      <c r="A139" s="5" t="s">
        <v>1850</v>
      </c>
      <c r="B139" s="7" t="str">
        <f>description_439</f>
        <v>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diameter-1000 mm</v>
      </c>
      <c r="C139" s="3" t="s">
        <v>75</v>
      </c>
      <c r="D139" s="1"/>
      <c r="E139" s="1"/>
      <c r="F139" s="1"/>
      <c r="G139" s="1"/>
      <c r="H139" s="1"/>
      <c r="I139" s="9"/>
    </row>
    <row r="140" spans="1:9" ht="31.5" x14ac:dyDescent="0.25">
      <c r="A140" s="5" t="s">
        <v>1851</v>
      </c>
      <c r="B140" s="7" t="str">
        <f>description_444</f>
        <v>Driving Vertical Steel Piles / Sheet piles excluding cost of steel complete as per Drawing and &amp; Technical Specification</v>
      </c>
      <c r="C140" s="3" t="s">
        <v>35</v>
      </c>
      <c r="D140" s="1"/>
      <c r="E140" s="1"/>
      <c r="F140" s="1"/>
      <c r="G140" s="1"/>
      <c r="H140" s="1"/>
      <c r="I140" s="9"/>
    </row>
    <row r="141" spans="1:9" ht="47.25" x14ac:dyDescent="0.25">
      <c r="A141" s="5" t="s">
        <v>1852</v>
      </c>
      <c r="B141" s="7" t="str">
        <f>description_564</f>
        <v>Providing , Preparing and Installing form work including necessary supports and removing after completion for foundation and footings., (Class F1 Finish), Using timber (soft wood )</v>
      </c>
      <c r="C141" s="3" t="s">
        <v>438</v>
      </c>
      <c r="D141" s="1"/>
      <c r="E141" s="1"/>
      <c r="F141" s="1"/>
      <c r="G141" s="1"/>
      <c r="H141" s="1"/>
      <c r="I141" s="9"/>
    </row>
    <row r="142" spans="1:9" ht="47.25" x14ac:dyDescent="0.25">
      <c r="A142" s="5" t="s">
        <v>1853</v>
      </c>
      <c r="B142" s="7" t="str">
        <f>description_565</f>
        <v>Providing , Preparing and Installing form work including necessary supports and removing after completion for foundation and footings., (Class F1 Finish), Using steel</v>
      </c>
      <c r="C142" s="3" t="s">
        <v>438</v>
      </c>
      <c r="D142" s="1"/>
      <c r="E142" s="1"/>
      <c r="F142" s="1"/>
      <c r="G142" s="1"/>
      <c r="H142" s="1"/>
      <c r="I142" s="9"/>
    </row>
    <row r="143" spans="1:9" ht="47.25" x14ac:dyDescent="0.25">
      <c r="A143" s="5" t="s">
        <v>1854</v>
      </c>
      <c r="B143" s="7" t="str">
        <f>description_566</f>
        <v>Providing , Preparing and Installing form work including necessary supports and removing after completion for walls., (Class F2 Finish), vertical plain surface, Using timber (soft wood ), Height upto 3 m</v>
      </c>
      <c r="C143" s="3" t="s">
        <v>438</v>
      </c>
      <c r="D143" s="1"/>
      <c r="E143" s="1"/>
      <c r="F143" s="1"/>
      <c r="G143" s="1"/>
      <c r="H143" s="1"/>
      <c r="I143" s="9"/>
    </row>
    <row r="144" spans="1:9" ht="47.25" x14ac:dyDescent="0.25">
      <c r="A144" s="5" t="s">
        <v>1855</v>
      </c>
      <c r="B144" s="7" t="str">
        <f>description_567</f>
        <v>Providing , Preparing and Installing form work including necessary supports and removing after completion for walls., (Class F2 Finish), vertical plain surface, Using timber (soft wood ), Height above 3 m to 6 m</v>
      </c>
      <c r="C144" s="3" t="s">
        <v>438</v>
      </c>
      <c r="D144" s="1"/>
      <c r="E144" s="1"/>
      <c r="F144" s="1"/>
      <c r="G144" s="1"/>
      <c r="H144" s="1"/>
      <c r="I144" s="9"/>
    </row>
    <row r="145" spans="1:9" ht="47.25" x14ac:dyDescent="0.25">
      <c r="A145" s="5" t="s">
        <v>1856</v>
      </c>
      <c r="B145" s="7" t="str">
        <f>description_568</f>
        <v>Providing , Preparing and Installing form work including necessary supports and removing after completion for walls., (Class F2 Finish), vertical plain surface, Using timber (soft wood ), Height above 6 m to 9 m</v>
      </c>
      <c r="C145" s="3" t="s">
        <v>438</v>
      </c>
      <c r="D145" s="1"/>
      <c r="E145" s="1"/>
      <c r="F145" s="1"/>
      <c r="G145" s="1"/>
      <c r="H145" s="1"/>
      <c r="I145" s="9"/>
    </row>
    <row r="146" spans="1:9" ht="47.25" x14ac:dyDescent="0.25">
      <c r="A146" s="5" t="s">
        <v>1857</v>
      </c>
      <c r="B146" s="7" t="str">
        <f>description_569</f>
        <v>Providing , Preparing and Installing form work including necessary supports and removing after completion for walls., (Class F2 Finish), vertical plain surface, Using timber (soft wood ), Height above 9 m</v>
      </c>
      <c r="C146" s="3" t="s">
        <v>438</v>
      </c>
      <c r="D146" s="1"/>
      <c r="E146" s="1"/>
      <c r="F146" s="1"/>
      <c r="G146" s="1"/>
      <c r="H146" s="1"/>
      <c r="I146" s="9"/>
    </row>
    <row r="147" spans="1:9" ht="47.25" x14ac:dyDescent="0.25">
      <c r="A147" s="5" t="s">
        <v>1858</v>
      </c>
      <c r="B147" s="7" t="str">
        <f>description_598</f>
        <v>Providing , Preparing and Installing form work including necessary supports and removing after completion for slab structure., Class F2 Finish, False work not included, Using timber</v>
      </c>
      <c r="C147" s="3" t="s">
        <v>438</v>
      </c>
      <c r="D147" s="1"/>
      <c r="E147" s="1"/>
      <c r="F147" s="1"/>
      <c r="G147" s="1"/>
      <c r="H147" s="1"/>
      <c r="I147" s="9"/>
    </row>
    <row r="148" spans="1:9" ht="47.25" x14ac:dyDescent="0.25">
      <c r="A148" s="5" t="s">
        <v>1859</v>
      </c>
      <c r="B148" s="7" t="str">
        <f>description_600</f>
        <v>Providing , Preparing and Installing form work including necessary supports and removing after completion for slab structure., Class F2 Finish, False work not included, Using shuttering Ply</v>
      </c>
      <c r="C148" s="3" t="s">
        <v>438</v>
      </c>
      <c r="D148" s="1"/>
      <c r="E148" s="1"/>
      <c r="F148" s="1"/>
      <c r="G148" s="1"/>
      <c r="H148" s="1"/>
      <c r="I148" s="9"/>
    </row>
    <row r="149" spans="1:9" ht="47.25" x14ac:dyDescent="0.25">
      <c r="A149" s="5" t="s">
        <v>1860</v>
      </c>
      <c r="B149" s="7" t="str">
        <f>description_599</f>
        <v>Providing , Preparing and Installing form work including necessary supports and removing after completion for slab structure., Class F2 Finish, False work not included, Using steel</v>
      </c>
      <c r="C149" s="3" t="s">
        <v>438</v>
      </c>
      <c r="D149" s="1"/>
      <c r="E149" s="1"/>
      <c r="F149" s="1"/>
      <c r="G149" s="1"/>
      <c r="H149" s="1"/>
      <c r="I149" s="9"/>
    </row>
    <row r="150" spans="1:9" ht="47.25" x14ac:dyDescent="0.25">
      <c r="A150" s="5" t="s">
        <v>1861</v>
      </c>
      <c r="B150" s="7" t="str">
        <f>description_610</f>
        <v>Providing and assembling in position falsework for the construction of RCC superstructure and removing after completion including design &amp; drawings as per specification For Slab and Box culverts, Using timber, Height upto 2 m</v>
      </c>
      <c r="C150" s="3" t="s">
        <v>438</v>
      </c>
      <c r="D150" s="1"/>
      <c r="E150" s="1"/>
      <c r="F150" s="1"/>
      <c r="G150" s="1"/>
      <c r="H150" s="1"/>
      <c r="I150" s="9"/>
    </row>
    <row r="151" spans="1:9" ht="63" x14ac:dyDescent="0.25">
      <c r="A151" s="5" t="s">
        <v>1862</v>
      </c>
      <c r="B151" s="7" t="str">
        <f>description_611</f>
        <v>Providing and assembling in position falsework for the construction of RCC superstructure and removing after completion including design &amp; drawings as per specification For Slab and Box culverts, Using timber, Height above 2 m to 4 m</v>
      </c>
      <c r="C151" s="3" t="s">
        <v>438</v>
      </c>
      <c r="D151" s="1"/>
      <c r="E151" s="1"/>
      <c r="F151" s="1"/>
      <c r="G151" s="1"/>
      <c r="H151" s="1"/>
      <c r="I151" s="9"/>
    </row>
    <row r="152" spans="1:9" ht="63" x14ac:dyDescent="0.25">
      <c r="A152" s="5" t="s">
        <v>1863</v>
      </c>
      <c r="B152" s="7" t="str">
        <f>description_612</f>
        <v>Providing and assembling in position falsework for the construction of RCC superstructure and removing after completion including design &amp; drawings as per specification For Slab and Box culverts, Using timber, Height above 4 m to 6 m</v>
      </c>
      <c r="C152" s="3" t="s">
        <v>438</v>
      </c>
      <c r="D152" s="1"/>
      <c r="E152" s="1"/>
      <c r="F152" s="1"/>
      <c r="G152" s="1"/>
      <c r="H152" s="1"/>
      <c r="I152" s="9"/>
    </row>
    <row r="153" spans="1:9" ht="63" x14ac:dyDescent="0.25">
      <c r="A153" s="5" t="s">
        <v>1864</v>
      </c>
      <c r="B153" s="7" t="str">
        <f>description_613</f>
        <v>Providing and assembling in position falsework for the construction of RCC superstructure and removing after completion including design &amp; drawings as per specification For Slab and Box culverts, Using timber, For Height above 6 m</v>
      </c>
      <c r="C153" s="3"/>
      <c r="D153" s="1"/>
      <c r="E153" s="1"/>
      <c r="F153" s="1"/>
      <c r="G153" s="1"/>
      <c r="H153" s="1"/>
      <c r="I153" s="9"/>
    </row>
    <row r="154" spans="1:9" ht="63" x14ac:dyDescent="0.25">
      <c r="A154" s="5" t="s">
        <v>1865</v>
      </c>
      <c r="B154" s="7" t="str">
        <f>description_615</f>
        <v>Providing and assembling in position falsework for the construction of RCC superstructure and removing after completion including design &amp; drawings as per specification For Slab and Box culverts, Using steel, Height above 2 m to 4 m</v>
      </c>
      <c r="C154" s="3" t="s">
        <v>438</v>
      </c>
      <c r="D154" s="1"/>
      <c r="E154" s="1"/>
      <c r="F154" s="1"/>
      <c r="G154" s="1"/>
      <c r="H154" s="1"/>
      <c r="I154" s="9"/>
    </row>
    <row r="155" spans="1:9" ht="47.25" x14ac:dyDescent="0.25">
      <c r="A155" s="5" t="s">
        <v>1866</v>
      </c>
      <c r="B155" s="7" t="str">
        <f>description_614</f>
        <v>Providing and assembling in position falsework for the construction of RCC superstructure and removing after completion including design &amp; drawings as per specification For Slab and Box culverts, Using steel, Height upto 2 m</v>
      </c>
      <c r="C155" s="3" t="s">
        <v>438</v>
      </c>
      <c r="D155" s="1"/>
      <c r="E155" s="1"/>
      <c r="F155" s="1"/>
      <c r="G155" s="1"/>
      <c r="H155" s="1"/>
      <c r="I155" s="9"/>
    </row>
    <row r="156" spans="1:9" ht="63" x14ac:dyDescent="0.25">
      <c r="A156" s="5" t="s">
        <v>1867</v>
      </c>
      <c r="B156" s="7" t="str">
        <f>description_616</f>
        <v>Providing and assembling in position falsework for the construction of RCC superstructure and removing after completion including design &amp; drawings as per specification For Slab and Box culverts, Using steel, Height above 4 m to 6 m</v>
      </c>
      <c r="C156" s="3" t="s">
        <v>438</v>
      </c>
      <c r="D156" s="1"/>
      <c r="E156" s="1"/>
      <c r="F156" s="1"/>
      <c r="G156" s="1"/>
      <c r="H156" s="1"/>
      <c r="I156" s="9"/>
    </row>
    <row r="157" spans="1:9" ht="47.25" x14ac:dyDescent="0.25">
      <c r="A157" s="5" t="s">
        <v>1868</v>
      </c>
      <c r="B157" s="7" t="str">
        <f>description_617</f>
        <v>Providing and assembling in position falsework for the construction of RCC superstructure and removing after completion including design &amp; drawings as per specification For Slab and Box culverts, Using steel, Height above 6 m</v>
      </c>
      <c r="C157" s="3" t="s">
        <v>438</v>
      </c>
      <c r="D157" s="1"/>
      <c r="E157" s="1"/>
      <c r="F157" s="1"/>
      <c r="G157" s="1"/>
      <c r="H157" s="1"/>
      <c r="I157" s="9"/>
    </row>
    <row r="158" spans="1:9" ht="47.25" x14ac:dyDescent="0.25">
      <c r="A158" s="5" t="s">
        <v>1869</v>
      </c>
      <c r="B158" s="7" t="str">
        <f>description_618</f>
        <v>Providing and assembling in position falsework for the construction of RCC superstructure and removing after completion including design &amp; drawings as per specification, for RCC Beam Bridge, Using timber, Height upto 3 m</v>
      </c>
      <c r="C158" s="3" t="s">
        <v>438</v>
      </c>
      <c r="D158" s="1"/>
      <c r="E158" s="1"/>
      <c r="F158" s="1"/>
      <c r="G158" s="1"/>
      <c r="H158" s="1"/>
      <c r="I158" s="9"/>
    </row>
    <row r="159" spans="1:9" ht="63" x14ac:dyDescent="0.25">
      <c r="A159" s="5" t="s">
        <v>1870</v>
      </c>
      <c r="B159" s="7" t="str">
        <f>description_619</f>
        <v>Providing and assembling in position falsework for the construction of RCC superstructure and removing after completion including design &amp; drawings as per specification, for RCC Beam Bridge, Using timber, Height above 3 m to 6 m</v>
      </c>
      <c r="C159" s="3" t="s">
        <v>438</v>
      </c>
      <c r="D159" s="1"/>
      <c r="E159" s="1"/>
      <c r="F159" s="1"/>
      <c r="G159" s="1"/>
      <c r="H159" s="1"/>
      <c r="I159" s="9"/>
    </row>
    <row r="160" spans="1:9" ht="63" x14ac:dyDescent="0.25">
      <c r="A160" s="5" t="s">
        <v>1871</v>
      </c>
      <c r="B160" s="7" t="str">
        <f>description_620</f>
        <v>Providing and assembling in position falsework for the construction of RCC superstructure and removing after completion including design &amp; drawings as per specification, for RCC Beam Bridge, Using timber, Height above 6 m to 9 m</v>
      </c>
      <c r="C160" s="3" t="s">
        <v>438</v>
      </c>
      <c r="D160" s="1"/>
      <c r="E160" s="1"/>
      <c r="F160" s="1"/>
      <c r="G160" s="1"/>
      <c r="H160" s="1"/>
      <c r="I160" s="9"/>
    </row>
    <row r="161" spans="1:9" ht="47.25" x14ac:dyDescent="0.25">
      <c r="A161" s="5" t="s">
        <v>1872</v>
      </c>
      <c r="B161" s="7" t="str">
        <f>description_623</f>
        <v>Providing and assembling in position falsework for the construction of RCC superstructure and removing after completion including design &amp; drawings as per specification, for RCC Beam Bridge, Using steel, Height above 3 m to 6m</v>
      </c>
      <c r="C161" s="3" t="s">
        <v>438</v>
      </c>
      <c r="D161" s="1"/>
      <c r="E161" s="1"/>
      <c r="F161" s="1"/>
      <c r="G161" s="1"/>
      <c r="H161" s="1"/>
      <c r="I161" s="9"/>
    </row>
    <row r="162" spans="1:9" ht="47.25" x14ac:dyDescent="0.25">
      <c r="A162" s="5" t="s">
        <v>1873</v>
      </c>
      <c r="B162" s="7" t="str">
        <f>description_622</f>
        <v>Providing and assembling in position falsework for the construction of RCC superstructure and removing after completion including design &amp; drawings as per specification, for RCC Beam Bridge, Using steel, Height upto 3 m</v>
      </c>
      <c r="C162" s="3" t="s">
        <v>438</v>
      </c>
      <c r="D162" s="1"/>
      <c r="E162" s="1"/>
      <c r="F162" s="1"/>
      <c r="G162" s="1"/>
      <c r="H162" s="1"/>
      <c r="I162" s="9"/>
    </row>
    <row r="163" spans="1:9" ht="31.5" x14ac:dyDescent="0.25">
      <c r="A163" s="5" t="s">
        <v>1874</v>
      </c>
      <c r="B163" s="7" t="str">
        <f>description_637</f>
        <v>Supplying, fitting and fixing in position true to line and level elastomeric bearing  including all accessories as per Drawing and Technical Specifications.</v>
      </c>
      <c r="C163" s="3" t="s">
        <v>1875</v>
      </c>
      <c r="D163" s="1"/>
      <c r="E163" s="1"/>
      <c r="F163" s="1"/>
      <c r="G163" s="1"/>
      <c r="H163" s="1"/>
      <c r="I163" s="9"/>
    </row>
    <row r="164" spans="1:9" ht="63" x14ac:dyDescent="0.25">
      <c r="A164" s="5" t="s">
        <v>1876</v>
      </c>
      <c r="B164" s="7" t="str">
        <f>description_641</f>
        <v xml:space="preserve">Elastomeric Slab Steel Expansion Joint, Providing and laying of an elastomeric slab steel expansion joint, catering to right or skew (less than 20 deg., moderately curved with maximum horizontal movement upto 50 mm, complete as per Drawings and Technical specifications </v>
      </c>
      <c r="C164" s="3" t="s">
        <v>75</v>
      </c>
      <c r="D164" s="1"/>
      <c r="E164" s="1"/>
      <c r="F164" s="1"/>
      <c r="G164" s="1"/>
      <c r="H164" s="1"/>
      <c r="I164" s="9"/>
    </row>
    <row r="165" spans="1:9" ht="47.25" x14ac:dyDescent="0.25">
      <c r="A165" s="5" t="s">
        <v>1877</v>
      </c>
      <c r="B165" s="7" t="str">
        <f>description_643</f>
        <v>Strip Seal Expansion Joint, Providing and laying of a strip seal expansion joint catering to maximum horizontal movement upto 70 mm, complete as per approved Drawings and Technical specifications.</v>
      </c>
      <c r="C165" s="3" t="s">
        <v>75</v>
      </c>
      <c r="D165" s="1"/>
      <c r="E165" s="1"/>
      <c r="F165" s="1"/>
      <c r="G165" s="1"/>
      <c r="H165" s="1"/>
      <c r="I165" s="9"/>
    </row>
    <row r="166" spans="1:9" ht="94.5" x14ac:dyDescent="0.25">
      <c r="A166" s="5" t="s">
        <v>1878</v>
      </c>
      <c r="B166" s="7" t="str">
        <f>description_642</f>
        <v>Compression Seal Joint, Providing and laying of compression seal joint consisting of steel armored nosing at two edges of the joint gap suitably anchored to the deck concrete and a preformed chloroprene elastomer or closed cell foam joint sealer compressed and fixed into the joint gap with special adhesive binder to cater for a horizontal movement and vertical movement  all complete as per Drawing and Technical Specifications.</v>
      </c>
      <c r="C166" s="3" t="s">
        <v>75</v>
      </c>
      <c r="D166" s="1"/>
      <c r="E166" s="1"/>
      <c r="F166" s="1"/>
      <c r="G166" s="1"/>
      <c r="H166" s="1"/>
      <c r="I166" s="9"/>
    </row>
    <row r="167" spans="1:9" ht="31.5" x14ac:dyDescent="0.25">
      <c r="A167" s="5" t="s">
        <v>1879</v>
      </c>
      <c r="B167" s="7" t="str">
        <f>description_1</f>
        <v>Providing and laying of Plain Cement Concrete M 10 ( or 1:3:6 for nominal mix) in Foundation complete as per Drawing and Technical Specifications.</v>
      </c>
      <c r="C167" s="3" t="s">
        <v>84</v>
      </c>
      <c r="D167" s="1"/>
      <c r="E167" s="1"/>
      <c r="F167" s="1"/>
      <c r="G167" s="1"/>
      <c r="H167" s="1"/>
      <c r="I167" s="9"/>
    </row>
    <row r="168" spans="1:9" ht="47.25" x14ac:dyDescent="0.25">
      <c r="A168" s="5" t="s">
        <v>1880</v>
      </c>
      <c r="B168" s="7" t="str">
        <f>description_2</f>
        <v>Providing and laying of Plain Cement Concrete M 10 ( or 1:3:6 for nominal mix) in Foundation complete as per Drawing and Technical Specifications., Manual Mixing</v>
      </c>
      <c r="C168" s="3" t="s">
        <v>84</v>
      </c>
      <c r="D168" s="1"/>
      <c r="E168" s="1"/>
      <c r="F168" s="1"/>
      <c r="G168" s="1"/>
      <c r="H168" s="1"/>
      <c r="I168" s="9"/>
    </row>
    <row r="169" spans="1:9" ht="31.5" x14ac:dyDescent="0.25">
      <c r="A169" s="5" t="s">
        <v>1881</v>
      </c>
      <c r="B169" s="7" t="str">
        <f>description_3</f>
        <v>Providing and laying of Plain/Reinforced Cement Concrete in Foundation complete as per Drawing and Technical Specifications, PCC Grade M 15</v>
      </c>
      <c r="C169" s="3" t="s">
        <v>84</v>
      </c>
      <c r="D169" s="1"/>
      <c r="E169" s="1"/>
      <c r="F169" s="1"/>
      <c r="G169" s="1"/>
      <c r="H169" s="1"/>
      <c r="I169" s="9"/>
    </row>
    <row r="170" spans="1:9" ht="47.25" x14ac:dyDescent="0.25">
      <c r="A170" s="5" t="s">
        <v>1882</v>
      </c>
      <c r="B170" s="7" t="str">
        <f>description_4</f>
        <v>Providing and laying of Plain/Reinforced Cement Concrete in Foundation complete as per Drawing and Technical Specifications, PCC Grade M 15, Manual Mixing</v>
      </c>
      <c r="C170" s="3" t="s">
        <v>84</v>
      </c>
      <c r="D170" s="1"/>
      <c r="E170" s="1"/>
      <c r="F170" s="1"/>
      <c r="G170" s="1"/>
      <c r="H170" s="1"/>
      <c r="I170" s="9"/>
    </row>
    <row r="171" spans="1:9" ht="31.5" x14ac:dyDescent="0.25">
      <c r="A171" s="5" t="s">
        <v>1883</v>
      </c>
      <c r="B171" s="7" t="str">
        <f>description_5</f>
        <v>Providing and laying of Plain/Reinforced Cement Concrete in Foundation complete as per Drawing and Technical Specifications, PCC Grade M 20</v>
      </c>
      <c r="C171" s="3" t="s">
        <v>84</v>
      </c>
      <c r="D171" s="1"/>
      <c r="E171" s="1"/>
      <c r="F171" s="1"/>
      <c r="G171" s="1"/>
      <c r="H171" s="1"/>
      <c r="I171" s="9"/>
    </row>
    <row r="172" spans="1:9" ht="31.5" x14ac:dyDescent="0.25">
      <c r="A172" s="5" t="s">
        <v>1884</v>
      </c>
      <c r="B172" s="7" t="str">
        <f>description_6</f>
        <v>Providing and laying of Plain/Reinforced Cement Concrete in Foundation complete as per Drawing and Technical Specifications., RCC Grade M 20</v>
      </c>
      <c r="C172" s="3" t="s">
        <v>84</v>
      </c>
      <c r="D172" s="1"/>
      <c r="E172" s="1"/>
      <c r="F172" s="1"/>
      <c r="G172" s="1"/>
      <c r="H172" s="1"/>
      <c r="I172" s="9"/>
    </row>
    <row r="173" spans="1:9" ht="31.5" x14ac:dyDescent="0.25">
      <c r="A173" s="5" t="s">
        <v>1885</v>
      </c>
      <c r="B173" s="7" t="str">
        <f>description_7</f>
        <v>Providing and laying of Plain/Reinforced Cement Concrete in Foundation complete as per Drawing and Technical Specifications., PCC Grade M 25</v>
      </c>
      <c r="C173" s="3" t="s">
        <v>84</v>
      </c>
      <c r="D173" s="1"/>
      <c r="E173" s="1"/>
      <c r="F173" s="1"/>
      <c r="G173" s="1"/>
      <c r="H173" s="1"/>
      <c r="I173" s="9"/>
    </row>
    <row r="174" spans="1:9" ht="31.5" x14ac:dyDescent="0.25">
      <c r="A174" s="5" t="s">
        <v>1886</v>
      </c>
      <c r="B174" s="7" t="str">
        <f>description_8</f>
        <v>Providing and laying of Plain/Reinforced Cement Concrete in Foundation complete as per Drawing and Technical Specifications., RCC Grade M 25</v>
      </c>
      <c r="C174" s="3" t="s">
        <v>84</v>
      </c>
      <c r="D174" s="1"/>
      <c r="E174" s="1"/>
      <c r="F174" s="1"/>
      <c r="G174" s="1"/>
      <c r="H174" s="1"/>
      <c r="I174" s="9"/>
    </row>
    <row r="175" spans="1:9" ht="31.5" x14ac:dyDescent="0.25">
      <c r="A175" s="5" t="s">
        <v>1887</v>
      </c>
      <c r="B175" s="7" t="str">
        <f>description_10</f>
        <v>Providing and laying of Plain/Reinforced Cement Concrete in Foundation complete as per Drawing and Technical Specifications., RCC Grade M30</v>
      </c>
      <c r="C175" s="3" t="s">
        <v>84</v>
      </c>
      <c r="D175" s="1"/>
      <c r="E175" s="1"/>
      <c r="F175" s="1"/>
      <c r="G175" s="1"/>
      <c r="H175" s="1"/>
      <c r="I175" s="9"/>
    </row>
    <row r="176" spans="1:9" ht="31.5" x14ac:dyDescent="0.25">
      <c r="A176" s="5" t="s">
        <v>1888</v>
      </c>
      <c r="B176" s="7" t="str">
        <f>description_11</f>
        <v>Providing and laying of Plain/Reinforced Cement Concrete in Foundation complete as per Drawing and Technical Specifications., RCC Grade M 35</v>
      </c>
      <c r="C176" s="3" t="s">
        <v>84</v>
      </c>
      <c r="D176" s="1"/>
      <c r="E176" s="1"/>
      <c r="F176" s="1"/>
      <c r="G176" s="1"/>
      <c r="H176" s="1"/>
      <c r="I176" s="9"/>
    </row>
    <row r="177" spans="1:9" ht="47.25" x14ac:dyDescent="0.25">
      <c r="A177" s="5" t="s">
        <v>1889</v>
      </c>
      <c r="B177" s="7" t="str">
        <f>description_13</f>
        <v>Providing and laying of Plain/Reinforced cement concrete in sub-structure complete as per drawing and Technical Specifications, PCC Grade M 15, Height upto 5 m</v>
      </c>
      <c r="C177" s="3" t="s">
        <v>84</v>
      </c>
      <c r="D177" s="1"/>
      <c r="E177" s="1"/>
      <c r="F177" s="1"/>
      <c r="G177" s="1"/>
      <c r="H177" s="1"/>
      <c r="I177" s="9"/>
    </row>
    <row r="178" spans="1:9" ht="47.25" x14ac:dyDescent="0.25">
      <c r="A178" s="5" t="s">
        <v>1890</v>
      </c>
      <c r="B178" s="7" t="str">
        <f>description_14</f>
        <v>Providing and laying of Plain/Reinforced cement concrete in sub-structure complete as per drawing and Technical Specifications, PCC Grade M20, Height upto 5 m</v>
      </c>
      <c r="C178" s="3" t="s">
        <v>84</v>
      </c>
      <c r="D178" s="1"/>
      <c r="E178" s="1"/>
      <c r="F178" s="1"/>
      <c r="G178" s="1"/>
      <c r="H178" s="1"/>
      <c r="I178" s="9"/>
    </row>
    <row r="179" spans="1:9" ht="47.25" x14ac:dyDescent="0.25">
      <c r="A179" s="5" t="s">
        <v>1891</v>
      </c>
      <c r="B179" s="7" t="str">
        <f>description_15</f>
        <v>Providing and laying of Plain/Reinforced cement concrete in sub-structure complete as per drawing and Technical Specifications, PCC Grade M 25, Height upto 5 m</v>
      </c>
      <c r="C179" s="3" t="s">
        <v>84</v>
      </c>
      <c r="D179" s="1"/>
      <c r="E179" s="1"/>
      <c r="F179" s="1"/>
      <c r="G179" s="1"/>
      <c r="H179" s="1"/>
      <c r="I179" s="9"/>
    </row>
    <row r="180" spans="1:9" ht="47.25" x14ac:dyDescent="0.25">
      <c r="A180" s="5" t="s">
        <v>1892</v>
      </c>
      <c r="B180" s="7" t="str">
        <f>description_16</f>
        <v>Providing and laying of Plain/Reinforced cement concrete in sub-structure complete as per drawing and Technical Specifications, PCC Grade M 25, Height above 5 m to 10 m</v>
      </c>
      <c r="C180" s="3" t="s">
        <v>84</v>
      </c>
      <c r="D180" s="1"/>
      <c r="E180" s="1"/>
      <c r="F180" s="1"/>
      <c r="G180" s="1"/>
      <c r="H180" s="1"/>
      <c r="I180" s="9"/>
    </row>
    <row r="181" spans="1:9" ht="47.25" x14ac:dyDescent="0.25">
      <c r="A181" s="5" t="s">
        <v>1893</v>
      </c>
      <c r="B181" s="7" t="str">
        <f>description_17</f>
        <v>Providing and laying of Plain/Reinforced cement concrete in sub-structure complete as per drawing and Technical Specifications, PCC Grade M 25, Height above 10 m</v>
      </c>
      <c r="C181" s="3" t="s">
        <v>84</v>
      </c>
      <c r="D181" s="1"/>
      <c r="E181" s="1"/>
      <c r="F181" s="1"/>
      <c r="G181" s="1"/>
      <c r="H181" s="1"/>
      <c r="I181" s="9"/>
    </row>
    <row r="182" spans="1:9" ht="47.25" x14ac:dyDescent="0.25">
      <c r="A182" s="5" t="s">
        <v>1894</v>
      </c>
      <c r="B182" s="7" t="str">
        <f>description_18</f>
        <v>Providing and laying of Plain/Reinforced cement concrete in sub-structure complete as per drawing and Technical Specifications, PCC Grade M 30, Height upto 5 m</v>
      </c>
      <c r="C182" s="3" t="s">
        <v>84</v>
      </c>
      <c r="D182" s="1"/>
      <c r="E182" s="1"/>
      <c r="F182" s="1"/>
      <c r="G182" s="1"/>
      <c r="H182" s="1"/>
      <c r="I182" s="9"/>
    </row>
    <row r="183" spans="1:9" ht="47.25" x14ac:dyDescent="0.25">
      <c r="A183" s="5" t="s">
        <v>1895</v>
      </c>
      <c r="B183" s="7" t="str">
        <f>description_19</f>
        <v>Providing and laying of Plain/Reinforced cement concrete in sub-structure complete as per drawing and Technical Specifications, PCC Grade M 30, Height above 5 m to 10 m</v>
      </c>
      <c r="C183" s="3" t="s">
        <v>84</v>
      </c>
      <c r="D183" s="1"/>
      <c r="E183" s="1"/>
      <c r="F183" s="1"/>
      <c r="G183" s="1"/>
      <c r="H183" s="1"/>
      <c r="I183" s="9"/>
    </row>
    <row r="184" spans="1:9" ht="47.25" x14ac:dyDescent="0.25">
      <c r="A184" s="5" t="s">
        <v>1896</v>
      </c>
      <c r="B184" s="7" t="str">
        <f>description_20</f>
        <v>Providing and laying of Plain/Reinforced cement concrete in sub-structure complete as per drawing and Technical Specifications, PCC Grade M 30, Height above 10 m</v>
      </c>
      <c r="C184" s="3" t="s">
        <v>84</v>
      </c>
      <c r="D184" s="1"/>
      <c r="E184" s="1"/>
      <c r="F184" s="1"/>
      <c r="G184" s="1"/>
      <c r="H184" s="1"/>
      <c r="I184" s="9"/>
    </row>
    <row r="185" spans="1:9" ht="47.25" x14ac:dyDescent="0.25">
      <c r="A185" s="5" t="s">
        <v>1897</v>
      </c>
      <c r="B185" s="7" t="str">
        <f>description_21</f>
        <v>Providing and laying of Plain/Reinforced cement concrete in sub-structure complete as per drawing and Technical Specifications, RCC Grade M 20, Height upto 5 m</v>
      </c>
      <c r="C185" s="3" t="s">
        <v>84</v>
      </c>
      <c r="D185" s="1"/>
      <c r="E185" s="1"/>
      <c r="F185" s="1"/>
      <c r="G185" s="1"/>
      <c r="H185" s="1"/>
      <c r="I185" s="9"/>
    </row>
    <row r="186" spans="1:9" ht="47.25" x14ac:dyDescent="0.25">
      <c r="A186" s="5" t="s">
        <v>1898</v>
      </c>
      <c r="B186" s="7" t="str">
        <f>description_22</f>
        <v>Providing and laying of Plain/Reinforced cement concrete in sub-structure complete as per drawing and Technical Specifications, RCC Grade M 20, Height above 5 m to 10 m</v>
      </c>
      <c r="C186" s="3" t="s">
        <v>84</v>
      </c>
      <c r="D186" s="1"/>
      <c r="E186" s="1"/>
      <c r="F186" s="1"/>
      <c r="G186" s="1"/>
      <c r="H186" s="1"/>
      <c r="I186" s="9"/>
    </row>
    <row r="187" spans="1:9" ht="47.25" x14ac:dyDescent="0.25">
      <c r="A187" s="5" t="s">
        <v>1899</v>
      </c>
      <c r="B187" s="7" t="str">
        <f>description_23</f>
        <v>Providing and laying of Plain/Reinforced cement concrete in sub-structure complete as per drawing and Technical Specifications, RCC Grade M 20, Height above 10 m</v>
      </c>
      <c r="C187" s="3" t="s">
        <v>84</v>
      </c>
      <c r="D187" s="1"/>
      <c r="E187" s="1"/>
      <c r="F187" s="1"/>
      <c r="G187" s="1"/>
      <c r="H187" s="1"/>
      <c r="I187" s="9"/>
    </row>
    <row r="188" spans="1:9" ht="47.25" x14ac:dyDescent="0.25">
      <c r="A188" s="5" t="s">
        <v>1900</v>
      </c>
      <c r="B188" s="7" t="str">
        <f>description_24</f>
        <v>Providing and laying of Plain/Reinforced cement concrete in sub-structure complete as per drawing and Technical Specifications, RCC Grade M 25, Height upto 5 m</v>
      </c>
      <c r="C188" s="3" t="s">
        <v>84</v>
      </c>
      <c r="D188" s="1"/>
      <c r="E188" s="1"/>
      <c r="F188" s="1"/>
      <c r="G188" s="1"/>
      <c r="H188" s="1"/>
      <c r="I188" s="9"/>
    </row>
    <row r="189" spans="1:9" ht="47.25" x14ac:dyDescent="0.25">
      <c r="A189" s="5" t="s">
        <v>1901</v>
      </c>
      <c r="B189" s="7" t="str">
        <f>description_25</f>
        <v>Providing and laying of Plain/Reinforced cement concrete in sub-structure complete as per drawing and Technical Specifications, RCC Grade M 25, Height above 5 m to 10 m</v>
      </c>
      <c r="C189" s="3" t="s">
        <v>84</v>
      </c>
      <c r="D189" s="1"/>
      <c r="E189" s="1"/>
      <c r="F189" s="1"/>
      <c r="G189" s="1"/>
      <c r="H189" s="1"/>
      <c r="I189" s="9"/>
    </row>
    <row r="190" spans="1:9" ht="47.25" x14ac:dyDescent="0.25">
      <c r="A190" s="5" t="s">
        <v>1902</v>
      </c>
      <c r="B190" s="7" t="str">
        <f>description_26</f>
        <v>Providing and laying of Plain/Reinforced cement concrete in sub-structure complete as per drawing and Technical Specifications, RCC Grade M 25, Height above 10 m</v>
      </c>
      <c r="C190" s="3" t="s">
        <v>84</v>
      </c>
      <c r="D190" s="1"/>
      <c r="E190" s="1"/>
      <c r="F190" s="1"/>
      <c r="G190" s="1"/>
      <c r="H190" s="1"/>
      <c r="I190" s="9"/>
    </row>
    <row r="191" spans="1:9" ht="47.25" x14ac:dyDescent="0.25">
      <c r="A191" s="5" t="s">
        <v>1903</v>
      </c>
      <c r="B191" s="7" t="str">
        <f>description_27</f>
        <v>Providing and laying of Plain/Reinforced cement concrete in sub-structure complete as per drawing and Technical Specifications, RCC Grade M 30, Height upto 5 m</v>
      </c>
      <c r="C191" s="3" t="s">
        <v>84</v>
      </c>
      <c r="D191" s="1"/>
      <c r="E191" s="1"/>
      <c r="F191" s="1"/>
      <c r="G191" s="1"/>
      <c r="H191" s="1"/>
      <c r="I191" s="9"/>
    </row>
    <row r="192" spans="1:9" ht="47.25" x14ac:dyDescent="0.25">
      <c r="A192" s="5" t="s">
        <v>1904</v>
      </c>
      <c r="B192" s="7" t="str">
        <f>description_28</f>
        <v>Providing and laying of Plain/Reinforced cement concrete in sub-structure complete as per drawing and Technical Specifications, RCC Grade M 30, Height above 5 m to 10 m</v>
      </c>
      <c r="C192" s="3" t="s">
        <v>84</v>
      </c>
      <c r="D192" s="1"/>
      <c r="E192" s="1"/>
      <c r="F192" s="1"/>
      <c r="G192" s="1"/>
      <c r="H192" s="1"/>
      <c r="I192" s="9"/>
    </row>
    <row r="193" spans="1:9" ht="47.25" x14ac:dyDescent="0.25">
      <c r="A193" s="5" t="s">
        <v>1905</v>
      </c>
      <c r="B193" s="7" t="str">
        <f>description_29</f>
        <v>Providing and laying of Plain/Reinforced cement concrete in sub-structure complete as per drawing and Technical Specifications, RCC Grade M 30, Height above 10 m</v>
      </c>
      <c r="C193" s="3" t="s">
        <v>84</v>
      </c>
      <c r="D193" s="1"/>
      <c r="E193" s="1"/>
      <c r="F193" s="1"/>
      <c r="G193" s="1"/>
      <c r="H193" s="1"/>
      <c r="I193" s="9"/>
    </row>
    <row r="194" spans="1:9" ht="47.25" x14ac:dyDescent="0.25">
      <c r="A194" s="5" t="s">
        <v>1906</v>
      </c>
      <c r="B194" s="7" t="str">
        <f>description_30</f>
        <v>Providing and laying of Plain/Reinforced cement concrete in sub-structure complete as per drawing and Technical Specifications, RCC Grade M 35, Height upto 5 m</v>
      </c>
      <c r="C194" s="3" t="s">
        <v>84</v>
      </c>
      <c r="D194" s="1"/>
      <c r="E194" s="1"/>
      <c r="F194" s="1"/>
      <c r="G194" s="1"/>
      <c r="H194" s="1"/>
      <c r="I194" s="9"/>
    </row>
    <row r="195" spans="1:9" ht="47.25" x14ac:dyDescent="0.25">
      <c r="A195" s="5" t="s">
        <v>1907</v>
      </c>
      <c r="B195" s="7" t="str">
        <f>description_31</f>
        <v>Providing and laying of Plain/Reinforced cement concrete in sub-structure complete as per drawing and Technical Specifications, RCC Grade M 35, Height above 5 m to 10 m</v>
      </c>
      <c r="C195" s="3" t="s">
        <v>84</v>
      </c>
      <c r="D195" s="1"/>
      <c r="E195" s="1"/>
      <c r="F195" s="1"/>
      <c r="G195" s="1"/>
      <c r="H195" s="1"/>
      <c r="I195" s="9"/>
    </row>
    <row r="196" spans="1:9" ht="31.5" x14ac:dyDescent="0.25">
      <c r="A196" s="5" t="s">
        <v>1908</v>
      </c>
      <c r="B196" s="7" t="str">
        <f>description_37</f>
        <v>Providing and laying of Reinforced/ Pre-stressed cement concrete in super-structure as per drawing and Technical Specification, RCC Grade M 20</v>
      </c>
      <c r="C196" s="3" t="s">
        <v>75</v>
      </c>
      <c r="D196" s="1"/>
      <c r="E196" s="1"/>
      <c r="F196" s="1"/>
      <c r="G196" s="1"/>
      <c r="H196" s="1"/>
      <c r="I196" s="9"/>
    </row>
    <row r="197" spans="1:9" ht="47.25" x14ac:dyDescent="0.25">
      <c r="A197" s="5" t="s">
        <v>1909</v>
      </c>
      <c r="B197" s="7" t="str">
        <f>description_38</f>
        <v>Providing and laying of Reinforced/ Pre-stressed cement concrete in solid slab super-structure as per drawing and Technical Specification, RCC Grade M 20, Height upto 5 m</v>
      </c>
      <c r="C197" s="3" t="s">
        <v>75</v>
      </c>
      <c r="D197" s="1"/>
      <c r="E197" s="1"/>
      <c r="F197" s="1"/>
      <c r="G197" s="1"/>
      <c r="H197" s="1"/>
      <c r="I197" s="9"/>
    </row>
    <row r="198" spans="1:9" ht="63" x14ac:dyDescent="0.25">
      <c r="A198" s="5" t="s">
        <v>1910</v>
      </c>
      <c r="B198" s="7" t="str">
        <f>description_36</f>
        <v>Providing and laying weep holes in Stone Masonry/Plain/ Reinforced concrete abutment, wing wall/ return wall with 150mm dia HDPE pipe, extending through the full width of the structure with slope of 1V :20H towards drawing face Complete as per Drawing and Technical Specifications.</v>
      </c>
      <c r="C198" s="3" t="s">
        <v>75</v>
      </c>
      <c r="D198" s="1"/>
      <c r="E198" s="1"/>
      <c r="F198" s="1"/>
      <c r="G198" s="1"/>
      <c r="H198" s="1"/>
      <c r="I198" s="9"/>
    </row>
    <row r="199" spans="1:9" ht="47.25" x14ac:dyDescent="0.25">
      <c r="A199" s="5" t="s">
        <v>1911</v>
      </c>
      <c r="B199" s="7" t="str">
        <f>description_39</f>
        <v>Providing and laying of Reinforced/ Pre-stressed cement concrete in solid slab super-structure as per drawing and Technical Specification, RCC Grade M 20, Height above 5 m to 10 m</v>
      </c>
      <c r="C199" s="3" t="s">
        <v>75</v>
      </c>
      <c r="D199" s="1"/>
      <c r="E199" s="1"/>
      <c r="F199" s="1"/>
      <c r="G199" s="1"/>
      <c r="H199" s="1"/>
      <c r="I199" s="9"/>
    </row>
    <row r="200" spans="1:9" ht="47.25" x14ac:dyDescent="0.25">
      <c r="A200" s="5" t="s">
        <v>1912</v>
      </c>
      <c r="B200" s="7" t="str">
        <f>description_40</f>
        <v>Providing and laying of Reinforced/ Pre-stressed cement concrete in solid slab super-structure as per drawing and Technical Specification, RCC Grade M 20, Height above 10 m</v>
      </c>
      <c r="C200" s="3" t="s">
        <v>75</v>
      </c>
      <c r="D200" s="1"/>
      <c r="E200" s="1"/>
      <c r="F200" s="1"/>
      <c r="G200" s="1"/>
      <c r="H200" s="1"/>
      <c r="I200" s="9"/>
    </row>
    <row r="201" spans="1:9" ht="47.25" x14ac:dyDescent="0.25">
      <c r="A201" s="5" t="s">
        <v>1913</v>
      </c>
      <c r="B201" s="7" t="str">
        <f>description_41</f>
        <v>Providing and laying of Reinforced/ Pre-stressed cement concrete in T-beam and slab super-structure as per drawing and Technical Specification, RCC Grade M 20, Height upto 5 m</v>
      </c>
      <c r="C201" s="3" t="s">
        <v>75</v>
      </c>
      <c r="D201" s="1"/>
      <c r="E201" s="1"/>
      <c r="F201" s="1"/>
      <c r="G201" s="1"/>
      <c r="H201" s="1"/>
      <c r="I201" s="9"/>
    </row>
    <row r="202" spans="1:9" ht="47.25" x14ac:dyDescent="0.25">
      <c r="A202" s="5" t="s">
        <v>1914</v>
      </c>
      <c r="B202" s="7" t="str">
        <f>description_42</f>
        <v>Providing and laying of Reinforced/ Pre-stressed cement concrete in T-beam and slab super-structure as per drawing and Technical Specification, RCC Grade M 20, Height above 5 m to 10 m</v>
      </c>
      <c r="C202" s="3" t="s">
        <v>75</v>
      </c>
      <c r="D202" s="1"/>
      <c r="E202" s="1"/>
      <c r="F202" s="1"/>
      <c r="G202" s="1"/>
      <c r="H202" s="1"/>
      <c r="I202" s="9"/>
    </row>
    <row r="203" spans="1:9" ht="47.25" x14ac:dyDescent="0.25">
      <c r="A203" s="5" t="s">
        <v>1915</v>
      </c>
      <c r="B203" s="7" t="str">
        <f>description_43</f>
        <v>Providing and laying of Reinforced/ Pre-stressed cement concrete in T-beam and slab super-structure as per drawing and Technical Specification, RCC Grade M 20, Height above 10 m</v>
      </c>
      <c r="C203" s="3" t="s">
        <v>75</v>
      </c>
      <c r="D203" s="1"/>
      <c r="E203" s="1"/>
      <c r="F203" s="1"/>
      <c r="G203" s="1"/>
      <c r="H203" s="1"/>
      <c r="I203" s="9"/>
    </row>
    <row r="204" spans="1:9" ht="31.5" x14ac:dyDescent="0.25">
      <c r="A204" s="5" t="s">
        <v>1916</v>
      </c>
      <c r="B204" s="7" t="str">
        <f>description_44</f>
        <v>Providing and laying of Reinforced/ Pre-stressed cement concrete in super-structure as per drawing and Technical Specification, RCC Grade M 25</v>
      </c>
      <c r="C204" s="3" t="s">
        <v>84</v>
      </c>
      <c r="D204" s="1"/>
      <c r="E204" s="1"/>
      <c r="F204" s="1"/>
      <c r="G204" s="1"/>
      <c r="H204" s="1"/>
      <c r="I204" s="9"/>
    </row>
    <row r="205" spans="1:9" ht="47.25" x14ac:dyDescent="0.25">
      <c r="A205" s="5" t="s">
        <v>1917</v>
      </c>
      <c r="B205" s="7" t="str">
        <f>description_45</f>
        <v>Providing and laying of Reinforced/ Pre-stressed cement concrete in solid slab super-structure as per drawing and Technical Specification, RCC Grade M 25, Height upto 5 m</v>
      </c>
      <c r="C205" s="3" t="s">
        <v>84</v>
      </c>
      <c r="D205" s="1"/>
      <c r="E205" s="1"/>
      <c r="F205" s="1"/>
      <c r="G205" s="1"/>
      <c r="H205" s="1"/>
      <c r="I205" s="9"/>
    </row>
    <row r="206" spans="1:9" ht="47.25" x14ac:dyDescent="0.25">
      <c r="A206" s="5" t="s">
        <v>1918</v>
      </c>
      <c r="B206" s="7" t="str">
        <f>description_46</f>
        <v>Providing and laying of Reinforced/ Pre-stressed cement concrete in solid slab super-structure as per drawing and Technical Specification, RCC Grade M 25, Height above 5 m to 10 m</v>
      </c>
      <c r="C206" s="3" t="s">
        <v>84</v>
      </c>
      <c r="D206" s="1"/>
      <c r="E206" s="1"/>
      <c r="F206" s="1"/>
      <c r="G206" s="1"/>
      <c r="H206" s="1"/>
      <c r="I206" s="9"/>
    </row>
    <row r="207" spans="1:9" ht="47.25" x14ac:dyDescent="0.25">
      <c r="A207" s="5" t="s">
        <v>1919</v>
      </c>
      <c r="B207" s="7" t="str">
        <f>description_47</f>
        <v>Providing and laying of Reinforced/ Pre-stressed cement concrete in solid slab super-structure as per drawing and Technical Specification, RCC Grade M 25, Height above 10 m</v>
      </c>
      <c r="C207" s="3" t="s">
        <v>84</v>
      </c>
      <c r="D207" s="1"/>
      <c r="E207" s="1"/>
      <c r="F207" s="1"/>
      <c r="G207" s="1"/>
      <c r="H207" s="1"/>
      <c r="I207" s="9"/>
    </row>
    <row r="208" spans="1:9" ht="47.25" x14ac:dyDescent="0.25">
      <c r="A208" s="5" t="s">
        <v>1920</v>
      </c>
      <c r="B208" s="7" t="str">
        <f>description_48</f>
        <v>Providing and laying of Reinforced/ Pre-stressed cement concrete in T-beam and slab super-structure as per drawing and Technical Specification, RCC Grade M 25, Height upto 5 m</v>
      </c>
      <c r="C208" s="3" t="s">
        <v>84</v>
      </c>
      <c r="D208" s="1"/>
      <c r="E208" s="1"/>
      <c r="F208" s="1"/>
      <c r="G208" s="1"/>
      <c r="H208" s="1"/>
      <c r="I208" s="9"/>
    </row>
    <row r="209" spans="1:9" ht="47.25" x14ac:dyDescent="0.25">
      <c r="A209" s="5" t="s">
        <v>1921</v>
      </c>
      <c r="B209" s="7" t="str">
        <f>description_49</f>
        <v>Providing and laying of Reinforced/ Pre-stressed cement concrete in T-beam and slab super-structure as per drawing and Technical Specification, RCC Grade M 25, Height above 5 m to 10 m</v>
      </c>
      <c r="C209" s="3" t="s">
        <v>84</v>
      </c>
      <c r="D209" s="1"/>
      <c r="E209" s="1"/>
      <c r="F209" s="1"/>
      <c r="G209" s="1"/>
      <c r="H209" s="1"/>
      <c r="I209" s="9"/>
    </row>
    <row r="210" spans="1:9" ht="47.25" x14ac:dyDescent="0.25">
      <c r="A210" s="5" t="s">
        <v>1922</v>
      </c>
      <c r="B210" s="7" t="str">
        <f>description_50</f>
        <v>Providing and laying of Reinforced/ Pre-stressed cement concrete in T-beam and slab super-structure as per drawing and Technical Specification, RCC Grade M 25, Height above 10 m</v>
      </c>
      <c r="C210" s="3" t="s">
        <v>84</v>
      </c>
      <c r="D210" s="1"/>
      <c r="E210" s="1"/>
      <c r="F210" s="1"/>
      <c r="G210" s="1"/>
      <c r="H210" s="1"/>
      <c r="I210" s="9"/>
    </row>
    <row r="211" spans="1:9" ht="31.5" x14ac:dyDescent="0.25">
      <c r="A211" s="5" t="s">
        <v>1923</v>
      </c>
      <c r="B211" s="7" t="str">
        <f>description_51</f>
        <v>Providing and laying of Reinforced/ Pre-stressed cement concrete in super-structure as per drawing and Technical Specification, RCC Grade M 30</v>
      </c>
      <c r="C211" s="3" t="s">
        <v>84</v>
      </c>
      <c r="D211" s="1"/>
      <c r="E211" s="1"/>
      <c r="F211" s="1"/>
      <c r="G211" s="1"/>
      <c r="H211" s="1"/>
      <c r="I211" s="9"/>
    </row>
    <row r="212" spans="1:9" ht="47.25" x14ac:dyDescent="0.25">
      <c r="A212" s="5" t="s">
        <v>1924</v>
      </c>
      <c r="B212" s="7" t="str">
        <f>description_52</f>
        <v>Providing and laying of Reinforced/ Pre-stressed cement concrete in solid slab super-structure as per drawing and Technical Specification, RCC Grade M 30, Height upto 5 m</v>
      </c>
      <c r="C212" s="3" t="s">
        <v>84</v>
      </c>
      <c r="D212" s="1"/>
      <c r="E212" s="1"/>
      <c r="F212" s="1"/>
      <c r="G212" s="1"/>
      <c r="H212" s="1"/>
      <c r="I212" s="9"/>
    </row>
    <row r="213" spans="1:9" ht="47.25" x14ac:dyDescent="0.25">
      <c r="A213" s="5" t="s">
        <v>1925</v>
      </c>
      <c r="B213" s="7" t="str">
        <f>description_53</f>
        <v>Providing and laying of Reinforced/ Pre-stressed cement concrete in solid slab super-structure as per drawing and Technical Specification, RCC Grade M 30, Height above 5 m to 10 m</v>
      </c>
      <c r="C213" s="3" t="s">
        <v>84</v>
      </c>
      <c r="D213" s="1"/>
      <c r="E213" s="1"/>
      <c r="F213" s="1"/>
      <c r="G213" s="1"/>
      <c r="H213" s="1"/>
      <c r="I213" s="9"/>
    </row>
    <row r="214" spans="1:9" ht="47.25" x14ac:dyDescent="0.25">
      <c r="A214" s="5" t="s">
        <v>1926</v>
      </c>
      <c r="B214" s="7" t="str">
        <f>description_54</f>
        <v>Providing and laying of Reinforced/ Pre-stressed cement concrete in solid slab super-structure as per drawing and Technical Specification, RCC Grade M 30, Height above 10 m</v>
      </c>
      <c r="C214" s="3" t="s">
        <v>84</v>
      </c>
      <c r="D214" s="1"/>
      <c r="E214" s="1"/>
      <c r="F214" s="1"/>
      <c r="G214" s="1"/>
      <c r="H214" s="1"/>
      <c r="I214" s="9"/>
    </row>
    <row r="215" spans="1:9" ht="47.25" x14ac:dyDescent="0.25">
      <c r="A215" s="5" t="s">
        <v>1927</v>
      </c>
      <c r="B215" s="7" t="str">
        <f>description_55</f>
        <v>Providing and laying of Reinforced/ Pre-stressed cement concrete in T-beam and slab super-structure as per drawing and Technical Specification, RCC Grade M 30, Height upto 5 m</v>
      </c>
      <c r="C215" s="3" t="s">
        <v>84</v>
      </c>
      <c r="D215" s="1"/>
      <c r="E215" s="1"/>
      <c r="F215" s="1"/>
      <c r="G215" s="1"/>
      <c r="H215" s="1"/>
      <c r="I215" s="9"/>
    </row>
    <row r="216" spans="1:9" ht="47.25" x14ac:dyDescent="0.25">
      <c r="A216" s="5" t="s">
        <v>1928</v>
      </c>
      <c r="B216" s="7" t="str">
        <f>description_56</f>
        <v>Providing and laying of Reinforced/ Pre-stressed cement concrete in T-beam and slab super-structure as per drawing and Technical Specification, RCC Grade M 30, Height above 5 m to 10 m</v>
      </c>
      <c r="C216" s="3" t="s">
        <v>84</v>
      </c>
      <c r="D216" s="1"/>
      <c r="E216" s="1"/>
      <c r="F216" s="1"/>
      <c r="G216" s="1"/>
      <c r="H216" s="1"/>
      <c r="I216" s="9"/>
    </row>
    <row r="217" spans="1:9" ht="47.25" x14ac:dyDescent="0.25">
      <c r="A217" s="5" t="s">
        <v>1929</v>
      </c>
      <c r="B217" s="7" t="str">
        <f>description_57</f>
        <v>Providing and laying of Reinforced/ Pre-stressed cement concrete in T-beam and slab super-structure as per drawing and Technical Specification, RCC Grade M 30, Height above 10 m</v>
      </c>
      <c r="C217" s="3" t="s">
        <v>84</v>
      </c>
      <c r="D217" s="1"/>
      <c r="E217" s="1"/>
      <c r="F217" s="1"/>
      <c r="G217" s="1"/>
      <c r="H217" s="1"/>
      <c r="I217" s="9"/>
    </row>
    <row r="218" spans="1:9" ht="31.5" x14ac:dyDescent="0.25">
      <c r="A218" s="5" t="s">
        <v>1930</v>
      </c>
      <c r="B218" s="7" t="str">
        <f>description_58</f>
        <v>Providing and laying of Reinforced/ Pre-stressed cement concrete in super-structure as per drawing and Technical Specification, RCC/PSC Grade M 35</v>
      </c>
      <c r="C218" s="3" t="s">
        <v>84</v>
      </c>
      <c r="D218" s="1"/>
      <c r="E218" s="1"/>
      <c r="F218" s="1"/>
      <c r="G218" s="1"/>
      <c r="H218" s="1"/>
      <c r="I218" s="9"/>
    </row>
    <row r="219" spans="1:9" ht="47.25" x14ac:dyDescent="0.25">
      <c r="A219" s="5" t="s">
        <v>1931</v>
      </c>
      <c r="B219" s="7" t="str">
        <f>description_59</f>
        <v>Providing and laying of Reinforced/ Pre-stressed cement concrete in solid slab super-structure as per drawing and Technical Specification, RCC/PSC Grade M 35, Height upto 5 m</v>
      </c>
      <c r="C219" s="3" t="s">
        <v>84</v>
      </c>
      <c r="D219" s="1"/>
      <c r="E219" s="1"/>
      <c r="F219" s="1"/>
      <c r="G219" s="1"/>
      <c r="H219" s="1"/>
      <c r="I219" s="9"/>
    </row>
    <row r="220" spans="1:9" ht="47.25" x14ac:dyDescent="0.25">
      <c r="A220" s="5" t="s">
        <v>1932</v>
      </c>
      <c r="B220" s="7" t="str">
        <f>description_60</f>
        <v>Providing and laying of Reinforced/ Pre-stressed cement concrete in solid slab super-structure as per drawing and Technical Specification, RCC/PSC Grade M 35, Height above 5 m to 10 m</v>
      </c>
      <c r="C220" s="3" t="s">
        <v>84</v>
      </c>
      <c r="D220" s="1"/>
      <c r="E220" s="1"/>
      <c r="F220" s="1"/>
      <c r="G220" s="1"/>
      <c r="H220" s="1"/>
      <c r="I220" s="9"/>
    </row>
    <row r="221" spans="1:9" ht="47.25" x14ac:dyDescent="0.25">
      <c r="A221" s="5" t="s">
        <v>1933</v>
      </c>
      <c r="B221" s="7" t="str">
        <f>description_61</f>
        <v>Providing and laying of Reinforced/ Pre-stressed cement concrete in solid slab super-structure as per drawing and Technical Specification, RCC/PSC Grade M 35, Height above 10 m</v>
      </c>
      <c r="C221" s="3" t="s">
        <v>84</v>
      </c>
      <c r="D221" s="1"/>
      <c r="E221" s="1"/>
      <c r="F221" s="1"/>
      <c r="G221" s="1"/>
      <c r="H221" s="1"/>
      <c r="I221" s="9"/>
    </row>
    <row r="222" spans="1:9" ht="47.25" x14ac:dyDescent="0.25">
      <c r="A222" s="5" t="s">
        <v>1934</v>
      </c>
      <c r="B222" s="7" t="str">
        <f>description_62</f>
        <v>Providing and laying of Reinforced/ Pre-stressed cement concrete in T-beam and slab super-structure as per drawing and Technical Specification, RCC/PSC Grade M 35, Height upto 5 m</v>
      </c>
      <c r="C222" s="3" t="s">
        <v>84</v>
      </c>
      <c r="D222" s="1"/>
      <c r="E222" s="1"/>
      <c r="F222" s="1"/>
      <c r="G222" s="1"/>
      <c r="H222" s="1"/>
      <c r="I222" s="9"/>
    </row>
    <row r="223" spans="1:9" ht="47.25" x14ac:dyDescent="0.25">
      <c r="A223" s="5" t="s">
        <v>1935</v>
      </c>
      <c r="B223" s="7" t="str">
        <f>description_69</f>
        <v>Providing and laying of Reinforced/ Pre-stressed cement concrete in sollid slab super-structure as per drawing and Technical Specification, PSC Grade M-40, Height upto 5 m</v>
      </c>
      <c r="C223" s="3" t="s">
        <v>84</v>
      </c>
      <c r="D223" s="1"/>
      <c r="E223" s="1"/>
      <c r="F223" s="1"/>
      <c r="G223" s="1"/>
      <c r="H223" s="1"/>
      <c r="I223" s="9"/>
    </row>
    <row r="224" spans="1:9" ht="31.5" x14ac:dyDescent="0.25">
      <c r="A224" s="5" t="s">
        <v>1936</v>
      </c>
      <c r="B224" s="7" t="str">
        <f>description_68</f>
        <v>Providing and laying of Reinforced/ Pre-stressed cement concrete in super-structure as per drawing and Technical Specification, PSC Grade M-40</v>
      </c>
      <c r="C224" s="3" t="s">
        <v>84</v>
      </c>
      <c r="D224" s="1"/>
      <c r="E224" s="1"/>
      <c r="F224" s="1"/>
      <c r="G224" s="1"/>
      <c r="H224" s="1"/>
      <c r="I224" s="9"/>
    </row>
    <row r="225" spans="1:9" ht="31.5" x14ac:dyDescent="0.25">
      <c r="A225" s="5" t="s">
        <v>1937</v>
      </c>
      <c r="B225" s="7" t="str">
        <f>description_90</f>
        <v>Providing and laying of PCC M 15 Grade leveling course below approach slab complete as per drawing and Technical specification</v>
      </c>
      <c r="C225" s="3" t="s">
        <v>84</v>
      </c>
      <c r="D225" s="1"/>
      <c r="E225" s="1"/>
      <c r="F225" s="1"/>
      <c r="G225" s="1"/>
      <c r="H225" s="1"/>
      <c r="I225" s="9"/>
    </row>
    <row r="226" spans="1:9" ht="47.25" x14ac:dyDescent="0.25">
      <c r="A226" s="5" t="s">
        <v>1938</v>
      </c>
      <c r="B226" s="7" t="str">
        <f>description_2212</f>
        <v>Providing and laying of Reinforced cement concrete approach slab including reinforcement and formwork complete as per drawing and Technical specification</v>
      </c>
      <c r="C226" s="3" t="s">
        <v>84</v>
      </c>
      <c r="D226" s="1"/>
      <c r="E226" s="1"/>
      <c r="F226" s="1"/>
      <c r="G226" s="1"/>
      <c r="H226" s="1"/>
      <c r="I226" s="9"/>
    </row>
    <row r="227" spans="1:9" ht="63" x14ac:dyDescent="0.25">
      <c r="A227" s="5" t="s">
        <v>1939</v>
      </c>
      <c r="B227" s="7" t="str">
        <f>description_649</f>
        <v>Providing , Fabricating , assembling and erecting structural steel components / elements including nut, bolt, gusset plate, including shop drawings, facilities for inspection &amp; testing and trial assembling all complete as per specification., RS Joist, Heavy Zinc Coating</v>
      </c>
      <c r="C227" s="3" t="s">
        <v>35</v>
      </c>
      <c r="D227" s="1"/>
      <c r="E227" s="1"/>
      <c r="F227" s="1"/>
      <c r="G227" s="1"/>
      <c r="H227" s="1"/>
      <c r="I227" s="9"/>
    </row>
    <row r="228" spans="1:9" ht="78.75" x14ac:dyDescent="0.25">
      <c r="A228" s="5" t="s">
        <v>1940</v>
      </c>
      <c r="B228" s="7" t="str">
        <f>description_650</f>
        <v>Providing , Fabricating , assembling and erecting structural steel components / elements including nut, bolt, gusset plate, including shop drawings, facilities for inspection &amp; testing and trial assembling all complete as per specification., RS Joist, painting one shop coat with red oxide primer and two coats of synthetic enamel</v>
      </c>
      <c r="C228" s="3" t="s">
        <v>35</v>
      </c>
      <c r="D228" s="1"/>
      <c r="E228" s="1"/>
      <c r="F228" s="1"/>
      <c r="G228" s="1"/>
      <c r="H228" s="1"/>
      <c r="I228" s="9"/>
    </row>
    <row r="229" spans="1:9" ht="63" x14ac:dyDescent="0.25">
      <c r="A229" s="5" t="s">
        <v>1941</v>
      </c>
      <c r="B229" s="7" t="str">
        <f>description_651</f>
        <v>Providing , Fabricating , assembling and erecting structural steel components / elements including nut, bolt, gusset plate, including shop drawings, facilities for inspection &amp; testing and trial assembling all complete as per specification., RS Joist, Height upto 5 m</v>
      </c>
      <c r="C229" s="3" t="s">
        <v>35</v>
      </c>
      <c r="D229" s="1"/>
      <c r="E229" s="1"/>
      <c r="F229" s="1"/>
      <c r="G229" s="1"/>
      <c r="H229" s="1"/>
      <c r="I229" s="9"/>
    </row>
    <row r="230" spans="1:9" ht="63" x14ac:dyDescent="0.25">
      <c r="A230" s="5" t="s">
        <v>1942</v>
      </c>
      <c r="B230" s="7" t="str">
        <f>description_652</f>
        <v>Providing , Fabricating , assembling and erecting structural steel components / elements including nut, bolt, gusset plate, including shop drawings, facilities for inspection &amp; testing and trial assembling all complete as per specification., RS Joist, Height above 10 m</v>
      </c>
      <c r="C230" s="3" t="s">
        <v>35</v>
      </c>
      <c r="D230" s="1"/>
      <c r="E230" s="1"/>
      <c r="F230" s="1"/>
      <c r="G230" s="1"/>
      <c r="H230" s="1"/>
      <c r="I230" s="9"/>
    </row>
    <row r="231" spans="1:9" ht="63" x14ac:dyDescent="0.25">
      <c r="A231" s="5" t="s">
        <v>1943</v>
      </c>
      <c r="B231" s="7" t="str">
        <f>description_653</f>
        <v>Providing , Fabricating , assembling and erecting structural steel components / elements including nut, bolt, gusset plate, including shop drawings, facilities for inspection &amp; testing and trial assembling all complete as per specification., Built up beam, Plate Girder etc.</v>
      </c>
      <c r="C231" s="3" t="s">
        <v>35</v>
      </c>
      <c r="D231" s="1"/>
      <c r="E231" s="1"/>
      <c r="F231" s="1"/>
      <c r="G231" s="1"/>
      <c r="H231" s="1"/>
      <c r="I231" s="9"/>
    </row>
    <row r="232" spans="1:9" ht="63" x14ac:dyDescent="0.25">
      <c r="A232" s="5" t="s">
        <v>1944</v>
      </c>
      <c r="B232" s="7" t="str">
        <f>description_654</f>
        <v>Providing , Fabricating , assembling and erecting structural steel components / elements including nut, bolt, gusset plate, including shop drawings, facilities for inspection &amp; testing and trial assembling all complete as per specification., Built up beam, Plate Girder etc.</v>
      </c>
      <c r="C232" s="3" t="s">
        <v>35</v>
      </c>
      <c r="D232" s="1"/>
      <c r="E232" s="1"/>
      <c r="F232" s="1"/>
      <c r="G232" s="1"/>
      <c r="H232" s="1"/>
      <c r="I232" s="9"/>
    </row>
    <row r="233" spans="1:9" ht="63" x14ac:dyDescent="0.25">
      <c r="A233" s="5" t="s">
        <v>1945</v>
      </c>
      <c r="B233" s="7" t="str">
        <f>description_655</f>
        <v>Providing , Fabricating , assembling and erecting structural steel components / elements including nut, bolt, gusset plate, including shop drawings, facilities for inspection &amp; testing and trial assembling all complete as per specification., Built up beam, Plate Girder etc., Height upto 5 m</v>
      </c>
      <c r="C233" s="3" t="s">
        <v>35</v>
      </c>
      <c r="D233" s="1"/>
      <c r="E233" s="1"/>
      <c r="F233" s="1"/>
      <c r="G233" s="1"/>
      <c r="H233" s="1"/>
      <c r="I233" s="9"/>
    </row>
    <row r="234" spans="1:9" ht="63" x14ac:dyDescent="0.25">
      <c r="A234" s="5" t="s">
        <v>1946</v>
      </c>
      <c r="B234" s="7" t="str">
        <f>description_656</f>
        <v>Providing , Fabricating , assembling and erecting structural steel components / elements including nut, bolt, gusset plate, including shop drawings, facilities for inspection &amp; testing and trial assembling all complete as per specification., Built up beam, Plate Girder etc., Height 5 m to 10 m</v>
      </c>
      <c r="C234" s="3" t="s">
        <v>35</v>
      </c>
      <c r="D234" s="1"/>
      <c r="E234" s="1"/>
      <c r="F234" s="1"/>
      <c r="G234" s="1"/>
      <c r="H234" s="1"/>
      <c r="I234" s="9"/>
    </row>
    <row r="235" spans="1:9" ht="63" x14ac:dyDescent="0.25">
      <c r="A235" s="5" t="s">
        <v>1947</v>
      </c>
      <c r="B235" s="7" t="str">
        <f>description_657</f>
        <v>Providing , Fabricating , assembling and erecting structural steel components / elements including nut, bolt, gusset plate, including shop drawings, facilities for inspection &amp; testing and trial assembling all complete as per specification., Built up beam, Plate Girder etc., Height above 10 m</v>
      </c>
      <c r="C235" s="3" t="s">
        <v>35</v>
      </c>
      <c r="D235" s="1"/>
      <c r="E235" s="1"/>
      <c r="F235" s="1"/>
      <c r="G235" s="1"/>
      <c r="H235" s="1"/>
      <c r="I235" s="9"/>
    </row>
    <row r="236" spans="1:9" ht="63" x14ac:dyDescent="0.25">
      <c r="A236" s="5" t="s">
        <v>1948</v>
      </c>
      <c r="B236" s="7" t="str">
        <f>description_658</f>
        <v>Providing , Fabricating , assembling and erecting structural steel components / elements including nut, bolt, gusset plate, including shop drawings, facilities for inspection &amp; testing and trial assembling all complete as per specification., Truss</v>
      </c>
      <c r="C236" s="3" t="s">
        <v>35</v>
      </c>
      <c r="D236" s="1"/>
      <c r="E236" s="1"/>
      <c r="F236" s="1"/>
      <c r="G236" s="1"/>
      <c r="H236" s="1"/>
      <c r="I236" s="9"/>
    </row>
    <row r="237" spans="1:9" ht="47.25" x14ac:dyDescent="0.25">
      <c r="A237" s="5" t="s">
        <v>1949</v>
      </c>
      <c r="B237" s="7" t="str">
        <f>description_671</f>
        <v>Gabion Structure for Retaining Earth, Mesh wire- 10 Swg(0.0615 kg/m), Selvedge Wire 8 Swg ( 0.1057 kg/m), binding wire 12 Swg (0.0409 kg/m) Hexagonal mesh Type 100 mm X 120 mm,, Box size 3 X 1 X 1 m ( 16 sqm)</v>
      </c>
      <c r="C237" s="3" t="s">
        <v>84</v>
      </c>
      <c r="D237" s="1"/>
      <c r="E237" s="1"/>
      <c r="F237" s="1"/>
      <c r="G237" s="1"/>
      <c r="H237" s="1"/>
      <c r="I237" s="9"/>
    </row>
    <row r="238" spans="1:9" ht="47.25" x14ac:dyDescent="0.25">
      <c r="A238" s="5" t="s">
        <v>1950</v>
      </c>
      <c r="B238" s="7" t="str">
        <f>description_672</f>
        <v>Gabion Structure for Retaining Earth, Mesh wire- 10 Swg(0.0615 kg/m), Selvedge Wire 8 Swg ( 0.1057 kg/m), binding wire 12 Swg (0.0409 kg/m) Hexagonal mesh Type 100 mm X 120 mm,, Box size 2 X 1 X 1 m ( 11 sqm)</v>
      </c>
      <c r="C238" s="3" t="s">
        <v>84</v>
      </c>
      <c r="D238" s="1"/>
      <c r="E238" s="1"/>
      <c r="F238" s="1"/>
      <c r="G238" s="1"/>
      <c r="H238" s="1"/>
      <c r="I238" s="9"/>
    </row>
    <row r="239" spans="1:9" ht="47.25" x14ac:dyDescent="0.25">
      <c r="A239" s="5" t="s">
        <v>1951</v>
      </c>
      <c r="B239" s="7" t="str">
        <f>description_673</f>
        <v>Gabion Structure for Retaining Earth, Mesh wire- 10 Swg(0.0615 kg/m), Selvedge Wire 8 Swg ( 0.1057 kg/m), binding wire 12 Swg (0.0409 kg/m) Hexagonal mesh Type 100 mm X 120 mm,, Box size 1.5 X 1 X 1 m ( 9 sqm )</v>
      </c>
      <c r="C239" s="3" t="s">
        <v>84</v>
      </c>
      <c r="D239" s="1"/>
      <c r="E239" s="1"/>
      <c r="F239" s="1"/>
      <c r="G239" s="1"/>
      <c r="H239" s="1"/>
      <c r="I239" s="9"/>
    </row>
    <row r="240" spans="1:9" ht="47.25" x14ac:dyDescent="0.25">
      <c r="A240" s="5" t="s">
        <v>1952</v>
      </c>
      <c r="B240" s="7" t="str">
        <f>description_674</f>
        <v>Gabion Structure for Retaining Earth, Mesh wire- 10 Swg(0.0615 kg/m), Selvedge Wire 8 Swg ( 0.1057 kg/m), binding wire 12 Swg (0.0409 kg/m) Hexagonal mesh Type 100 mm X 120 mm,, Box size 1.0 X 1 X 1 m ( 6 sqm)</v>
      </c>
      <c r="C240" s="3" t="s">
        <v>84</v>
      </c>
      <c r="D240" s="1"/>
      <c r="E240" s="1"/>
      <c r="F240" s="1"/>
      <c r="G240" s="1"/>
      <c r="H240" s="1"/>
      <c r="I240" s="9"/>
    </row>
    <row r="241" spans="1:9" ht="63" x14ac:dyDescent="0.25">
      <c r="A241" s="5" t="s">
        <v>1953</v>
      </c>
      <c r="B241" s="7" t="str">
        <f>description_675</f>
        <v>Gabion Structure for Retaining Earth, Mesh wire- 10 Swg(0.0615 kg/m), Selvedge Wire 8 Swg ( 0.1057 kg/m), binding wire 12 Swg (0.0409 kg/m) Hexagonal mesh Type 100 mm X 120 mm,, Box size 3.0 X 1 X 0 .75 m ( 13.5 sqm)</v>
      </c>
      <c r="C241" s="3" t="s">
        <v>84</v>
      </c>
      <c r="D241" s="1"/>
      <c r="E241" s="1"/>
      <c r="F241" s="1"/>
      <c r="G241" s="1"/>
      <c r="H241" s="1"/>
      <c r="I241" s="9"/>
    </row>
    <row r="242" spans="1:9" ht="63" x14ac:dyDescent="0.25">
      <c r="A242" s="5" t="s">
        <v>1954</v>
      </c>
      <c r="B242" s="7" t="str">
        <f>description_676</f>
        <v>Gabion Structure for Retaining Earth, Mesh wire- 10 Swg(0.0615 kg/m), Selvedge Wire 8 Swg ( 0.1057 kg/m), binding wire 12 Swg (0.0409 kg/m) Hexagonal mesh Type 100 mm X 120 mm,, Box size 2.0 X 1 X 0 .75 m ( 9. 25 sqm)</v>
      </c>
      <c r="C242" s="3" t="s">
        <v>84</v>
      </c>
      <c r="D242" s="1"/>
      <c r="E242" s="1"/>
      <c r="F242" s="1"/>
      <c r="G242" s="1"/>
      <c r="H242" s="1"/>
      <c r="I242" s="9"/>
    </row>
    <row r="243" spans="1:9" ht="63" x14ac:dyDescent="0.25">
      <c r="A243" s="5" t="s">
        <v>1955</v>
      </c>
      <c r="B243" s="7" t="str">
        <f>description_678</f>
        <v>Gabion Structure for Retaining Earth, Mesh wire- 10 Swg(0.0615 kg/m), Selvedge Wire 8 Swg ( 0.1057 kg/m), binding wire 12 Swg (0.0409 kg/m) Hexagonal mesh Type 100 mm X 120 mm,, Box size 3.0 X 1 X 0 .5 m ( 11 sqm)</v>
      </c>
      <c r="C243" s="3" t="s">
        <v>84</v>
      </c>
      <c r="D243" s="1"/>
      <c r="E243" s="1"/>
      <c r="F243" s="1"/>
      <c r="G243" s="1"/>
      <c r="H243" s="1"/>
      <c r="I243" s="9"/>
    </row>
    <row r="244" spans="1:9" ht="63" x14ac:dyDescent="0.25">
      <c r="A244" s="5" t="s">
        <v>1956</v>
      </c>
      <c r="B244" s="7" t="str">
        <f>description_677</f>
        <v>Gabion Structure for Retaining Earth, Mesh wire- 10 Swg(0.0615 kg/m), Selvedge Wire 8 Swg ( 0.1057 kg/m), binding wire 12 Swg (0.0409 kg/m) Hexagonal mesh Type 100 mm X 120 mm,, Box size 1.0 X 1 X 0 .75 m ( 5 sqm m)</v>
      </c>
      <c r="C244" s="3" t="s">
        <v>84</v>
      </c>
      <c r="D244" s="1"/>
      <c r="E244" s="1"/>
      <c r="F244" s="1"/>
      <c r="G244" s="1"/>
      <c r="H244" s="1"/>
      <c r="I244" s="9"/>
    </row>
    <row r="245" spans="1:9" ht="47.25" x14ac:dyDescent="0.25">
      <c r="A245" s="5" t="s">
        <v>1957</v>
      </c>
      <c r="B245" s="7" t="str">
        <f>description_680</f>
        <v>Gabion Structure for Retaining Earth, Mesh wire- 10 Swg(0.0615 kg/m), Selvedge Wire 8 Swg ( 0.1057 kg/m), binding wire 12 Swg (0.0409 kg/m) Hexagonal mesh Type 100 mm X 120 mm,, Box size 1 X 1 X 0 .5 m (4 sqm)</v>
      </c>
      <c r="C245" s="3" t="s">
        <v>84</v>
      </c>
      <c r="D245" s="1"/>
      <c r="E245" s="1"/>
      <c r="F245" s="1"/>
      <c r="G245" s="1"/>
      <c r="H245" s="1"/>
      <c r="I245" s="9"/>
    </row>
    <row r="246" spans="1:9" ht="63" x14ac:dyDescent="0.25">
      <c r="A246" s="5" t="s">
        <v>1958</v>
      </c>
      <c r="B246" s="7" t="str">
        <f>description_679</f>
        <v>Gabion Structure for Retaining Earth, Mesh wire- 10 Swg(0.0615 kg/m), Selvedge Wire 8 Swg ( 0.1057 kg/m), binding wire 12 Swg (0.0409 kg/m) Hexagonal mesh Type 100 mm X 120 mm,, Box size 2.0 X 1 X 0 .5 m ( 7.5 sqm m)</v>
      </c>
      <c r="C246" s="3" t="s">
        <v>84</v>
      </c>
      <c r="D246" s="1"/>
      <c r="E246" s="1"/>
      <c r="F246" s="1"/>
      <c r="G246" s="1"/>
      <c r="H246" s="1"/>
      <c r="I246" s="9"/>
    </row>
    <row r="247" spans="1:9" ht="63" x14ac:dyDescent="0.25">
      <c r="A247" s="5" t="s">
        <v>1959</v>
      </c>
      <c r="B247" s="7" t="str">
        <f>description_682</f>
        <v>Gabion Structure for Retaining Earth, Mesh wire- 10 Swg(0.0615 kg/m), Selvedge Wire 8 Swg ( 0.1057 kg/m), binding wire 12 Swg (0.0409 kg/m) Hexagonal mesh Type 100 mm X 120 mm,, Box size 2 X 1 X 0 .3 m ( 6.1 sqm)</v>
      </c>
      <c r="C247" s="3" t="s">
        <v>84</v>
      </c>
      <c r="D247" s="1"/>
      <c r="E247" s="1"/>
      <c r="F247" s="1"/>
      <c r="G247" s="1"/>
      <c r="H247" s="1"/>
      <c r="I247" s="9"/>
    </row>
    <row r="248" spans="1:9" ht="47.25" x14ac:dyDescent="0.25">
      <c r="A248" s="5" t="s">
        <v>1960</v>
      </c>
      <c r="B248" s="7" t="str">
        <f>description_684</f>
        <v>Gabion Structure for Retaining Earth, Mesh wire- 10 Swg(0.0615 kg/m), Selvedge Wire 8 Swg ( /m), binding wire 12 Swg (0.0409 kg/m) Hexagonal mesh Type 80 mm X 100 mm,, Box  size 3 X 1 X 1 m ( 16 sqm)</v>
      </c>
      <c r="C248" s="3" t="s">
        <v>84</v>
      </c>
      <c r="D248" s="1"/>
      <c r="E248" s="1"/>
      <c r="F248" s="1"/>
      <c r="G248" s="1"/>
      <c r="H248" s="1"/>
      <c r="I248" s="9"/>
    </row>
    <row r="249" spans="1:9" ht="47.25" x14ac:dyDescent="0.25">
      <c r="A249" s="5" t="s">
        <v>1961</v>
      </c>
      <c r="B249" s="7" t="str">
        <f>description_685</f>
        <v>Gabion Structure for Retaining Earth, Mesh wire- 10 Swg(0.0615 kg/m), Selvedge Wire 8 Swg ( /m), binding wire 12 Swg (0.0409 kg/m) Hexagonal mesh Type 80 mm X 100 mm,, Box size 2 X 1 X 1 m ( 11 sqm)</v>
      </c>
      <c r="C249" s="3" t="s">
        <v>84</v>
      </c>
      <c r="D249" s="1"/>
      <c r="E249" s="1"/>
      <c r="F249" s="1"/>
      <c r="G249" s="1"/>
      <c r="H249" s="1"/>
      <c r="I249" s="9"/>
    </row>
    <row r="250" spans="1:9" ht="47.25" x14ac:dyDescent="0.25">
      <c r="A250" s="5" t="s">
        <v>1962</v>
      </c>
      <c r="B250" s="7" t="str">
        <f>description_686</f>
        <v>Gabion Structure for Retaining Earth, Mesh wire- 10 Swg(0.0615 kg/m), Selvedge Wire 8 Swg ( /m), binding wire 12 Swg (0.0409 kg/m) Hexagonal mesh Type 80 mm X 100 mm,, Box size 1.5 X 1 X 1 m ( 9 sqm)</v>
      </c>
      <c r="C250" s="3" t="s">
        <v>84</v>
      </c>
      <c r="D250" s="1"/>
      <c r="E250" s="1"/>
      <c r="F250" s="1"/>
      <c r="G250" s="1"/>
      <c r="H250" s="1"/>
      <c r="I250" s="9"/>
    </row>
    <row r="251" spans="1:9" ht="47.25" x14ac:dyDescent="0.25">
      <c r="A251" s="5" t="s">
        <v>1963</v>
      </c>
      <c r="B251" s="7" t="str">
        <f>description_687</f>
        <v>Gabion Structure for Retaining Earth, Mesh wire- 10 Swg(0.0615 kg/m), Selvedge Wire 8 Swg ( /m), binding wire 12 Swg (0.0409 kg/m) Hexagonal mesh Type 80 mm X 100 mm,, Box size 1 X 1 X 1 m (6 sqm)</v>
      </c>
      <c r="C251" s="3" t="s">
        <v>84</v>
      </c>
      <c r="D251" s="1"/>
      <c r="E251" s="1"/>
      <c r="F251" s="1"/>
      <c r="G251" s="1"/>
      <c r="H251" s="1"/>
      <c r="I251" s="9"/>
    </row>
    <row r="252" spans="1:9" ht="47.25" x14ac:dyDescent="0.25">
      <c r="A252" s="5" t="s">
        <v>1964</v>
      </c>
      <c r="B252" s="7" t="str">
        <f>description_688</f>
        <v>Gabion Structure for Retaining Earth, Mesh wire- 10 Swg(0.0615 kg/m), Selvedge Wire 8 Swg ( /m), binding wire 12 Swg (0.0409 kg/m) Hexagonal mesh Type 80 mm X 100 mm,, Box size 3.0 X 1 X 0 .75 m (13.5 sqm)</v>
      </c>
      <c r="C252" s="3" t="s">
        <v>84</v>
      </c>
      <c r="D252" s="1"/>
      <c r="E252" s="1"/>
      <c r="F252" s="1"/>
      <c r="G252" s="1"/>
      <c r="H252" s="1"/>
      <c r="I252" s="9"/>
    </row>
    <row r="253" spans="1:9" ht="47.25" x14ac:dyDescent="0.25">
      <c r="A253" s="5" t="s">
        <v>1965</v>
      </c>
      <c r="B253" s="7" t="str">
        <f>description_689</f>
        <v>Gabion Structure for Retaining Earth, Mesh wire- 10 Swg(0.0615 kg/m), Selvedge Wire 8 Swg ( /m), binding wire 12 Swg (0.0409 kg/m) Hexagonal mesh Type 80 mm X 100 mm,, Box  size 2.0 X 1 X 0 .75 m ( 9.25 sqm)</v>
      </c>
      <c r="C253" s="3" t="s">
        <v>84</v>
      </c>
      <c r="D253" s="1"/>
      <c r="E253" s="1"/>
      <c r="F253" s="1"/>
      <c r="G253" s="1"/>
      <c r="H253" s="1"/>
      <c r="I253" s="9"/>
    </row>
    <row r="254" spans="1:9" ht="47.25" x14ac:dyDescent="0.25">
      <c r="A254" s="5" t="s">
        <v>1966</v>
      </c>
      <c r="B254" s="7" t="str">
        <f>description_690</f>
        <v>Gabion Structure for Retaining Earth, Mesh wire- 10 Swg(0.0615 kg/m), Selvedge Wire 8 Swg ( /m), binding wire 12 Swg (0.0409 kg/m) Hexagonal mesh Type 80 mm X 100 mm,, Box size 1.0 X 1 X 0 .75 m ( 5 sqm)</v>
      </c>
      <c r="C254" s="3" t="s">
        <v>84</v>
      </c>
      <c r="D254" s="1"/>
      <c r="E254" s="1"/>
      <c r="F254" s="1"/>
      <c r="G254" s="1"/>
      <c r="H254" s="1"/>
      <c r="I254" s="9"/>
    </row>
    <row r="255" spans="1:9" ht="47.25" x14ac:dyDescent="0.25">
      <c r="A255" s="5" t="s">
        <v>1967</v>
      </c>
      <c r="B255" s="7" t="str">
        <f>description_691</f>
        <v>Gabion Structure for Retaining Earth, Mesh wire- 10 Swg(0.0615 kg/m), Selvedge Wire 8 Swg ( /m), binding wire 12 Swg (0.0409 kg/m) Hexagonal mesh Type 80 mm X 100 mm,, Box size 3.0 X 1 X 0 .5 m ( 11 sqm)</v>
      </c>
      <c r="C255" s="3" t="s">
        <v>84</v>
      </c>
      <c r="D255" s="1"/>
      <c r="E255" s="1"/>
      <c r="F255" s="1"/>
      <c r="G255" s="1"/>
      <c r="H255" s="1"/>
      <c r="I255" s="9"/>
    </row>
    <row r="256" spans="1:9" ht="47.25" x14ac:dyDescent="0.25">
      <c r="A256" s="5" t="s">
        <v>1968</v>
      </c>
      <c r="B256" s="7" t="str">
        <f>description_692</f>
        <v>Gabion Structure for Retaining Earth, Mesh wire- 10 Swg(0.0615 kg/m), Selvedge Wire 8 Swg ( /m), binding wire 12 Swg (0.0409 kg/m) Hexagonal mesh Type 80 mm X 100 mm,, Box  size 2.0 X 1 X 0 .5 m ( 7.5 sqm)</v>
      </c>
      <c r="C256" s="3" t="s">
        <v>84</v>
      </c>
      <c r="D256" s="1"/>
      <c r="E256" s="1"/>
      <c r="F256" s="1"/>
      <c r="G256" s="1"/>
      <c r="H256" s="1"/>
      <c r="I256" s="9"/>
    </row>
    <row r="257" spans="1:9" ht="47.25" x14ac:dyDescent="0.25">
      <c r="A257" s="5" t="s">
        <v>1969</v>
      </c>
      <c r="B257" s="7" t="str">
        <f>description_693</f>
        <v>Gabion Structure for Retaining Earth, Mesh wire- 10 Swg(0.0615 kg/m), Selvedge Wire 8 Swg ( /m), binding wire 12 Swg (0.0409 kg/m) Hexagonal mesh Type 80 mm X 100 mm,, Box  size 1 X 1 X 0 .5 m ( 4 sqm)</v>
      </c>
      <c r="C257" s="3" t="s">
        <v>84</v>
      </c>
      <c r="D257" s="1"/>
      <c r="E257" s="1"/>
      <c r="F257" s="1"/>
      <c r="G257" s="1"/>
      <c r="H257" s="1"/>
      <c r="I257" s="9"/>
    </row>
    <row r="258" spans="1:9" ht="78.75" x14ac:dyDescent="0.25">
      <c r="A258" s="5" t="s">
        <v>1970</v>
      </c>
      <c r="B258" s="7" t="str">
        <f>description_697</f>
        <v>Providing mechanically  woven double twisted  crates / mattress  including rolling, cutting and  with lacing  wire and binding wire as per specification.           
                                                                                                                                       , Hexagonal mesh type 100 mm x 120 mm, mesh wire 3 mm, selvage wire 3.9 mm, lacing wire 2.4 mm</v>
      </c>
      <c r="C258" s="3" t="s">
        <v>438</v>
      </c>
      <c r="D258" s="1"/>
      <c r="E258" s="1"/>
      <c r="F258" s="1"/>
      <c r="G258" s="1"/>
      <c r="H258" s="1"/>
      <c r="I258" s="9"/>
    </row>
    <row r="259" spans="1:9" ht="78.75" x14ac:dyDescent="0.25">
      <c r="A259" s="5" t="s">
        <v>1971</v>
      </c>
      <c r="B259" s="7" t="str">
        <f>description_698</f>
        <v>Providing mechanically  woven double twisted  crates / mattress  including rolling, cutting and  with lacing  wire and binding wire as per specification.           
                                                                                                                                       , Hexagonal mesh type 100 mm x 120 mm, mesh wire 2.7 mm, selvage wire 3.4 mm, lacing wire 2.2 mm</v>
      </c>
      <c r="C259" s="3" t="s">
        <v>438</v>
      </c>
      <c r="D259" s="1"/>
      <c r="E259" s="1"/>
      <c r="F259" s="1"/>
      <c r="G259" s="1"/>
      <c r="H259" s="1"/>
      <c r="I259" s="9"/>
    </row>
    <row r="260" spans="1:9" ht="78.75" x14ac:dyDescent="0.25">
      <c r="A260" s="5" t="s">
        <v>1972</v>
      </c>
      <c r="B260" s="7" t="str">
        <f>description_699</f>
        <v>Providing mechanically  woven double twisted  crates / mattress  including rolling, cutting and  with lacing  wire and binding wire as per specification.           
                                                                                                                                       , Hexagonal mesh type 80 mm x 100 mm, mesh wire 3 mm, selvage wire 3.9 mm, lacing wire 2.4 mm</v>
      </c>
      <c r="C260" s="3" t="s">
        <v>438</v>
      </c>
      <c r="D260" s="1"/>
      <c r="E260" s="1"/>
      <c r="F260" s="1"/>
      <c r="G260" s="1"/>
      <c r="H260" s="1"/>
      <c r="I260" s="9"/>
    </row>
    <row r="261" spans="1:9" ht="78.75" x14ac:dyDescent="0.25">
      <c r="A261" s="5" t="s">
        <v>1973</v>
      </c>
      <c r="B261" s="7" t="str">
        <f>description_700</f>
        <v>Providing mechanically  woven double twisted  crates / mattress  including rolling, cutting and  with lacing  wire and binding wire as per specification.           
                                                                                                                                       , Hexagonal mesh type 80 mm x 100 mm, mesh wire 2.7 mm, selvage wire 3.4 mm, lacing wire 2.2 mm</v>
      </c>
      <c r="C261" s="3" t="s">
        <v>438</v>
      </c>
      <c r="D261" s="1"/>
      <c r="E261" s="1"/>
      <c r="F261" s="1"/>
      <c r="G261" s="1"/>
      <c r="H261" s="1"/>
      <c r="I261" s="9"/>
    </row>
    <row r="262" spans="1:9" ht="78.75" x14ac:dyDescent="0.25">
      <c r="A262" s="5" t="s">
        <v>1974</v>
      </c>
      <c r="B262" s="7" t="str">
        <f>description_701</f>
        <v>Providing mechanically  woven double twisted  crates / mattress  including rolling, cutting and  with lacing  wire and binding wire as per specification.           
                                                                                                                                       , Hexagonal mesh type 60 mm x 80 mm, mesh wire 2.7 mm, selvage wire 3.4 mm, lacing wire 2.2 mm</v>
      </c>
      <c r="C262" s="3" t="s">
        <v>438</v>
      </c>
      <c r="D262" s="1"/>
      <c r="E262" s="1"/>
      <c r="F262" s="1"/>
      <c r="G262" s="1"/>
      <c r="H262" s="1"/>
      <c r="I262" s="9"/>
    </row>
    <row r="263" spans="1:9" ht="94.5" x14ac:dyDescent="0.25">
      <c r="A263" s="5" t="s">
        <v>1975</v>
      </c>
      <c r="B263" s="7" t="str">
        <f>description_702</f>
        <v>Providing mechanically  woven double twisted  crates / mattress  including rolling, cutting and  with lacing  wire and binding wire as per specification.           
                                                                                                                                       , Zinc + PVC coated Hexagonal mesh type 100 mm x 120 mm, mesh wire 2.7 mm/3.7 mm, selvage wire 3.4 mm/4.4 mm, lacing wire 2.2 mm/3.2 mm with Pac coating thickness nominal 0.5 mm ( minimum 0.38 mm)</v>
      </c>
      <c r="C263" s="3" t="s">
        <v>438</v>
      </c>
      <c r="D263" s="1"/>
      <c r="E263" s="1"/>
      <c r="F263" s="1"/>
      <c r="G263" s="1"/>
      <c r="H263" s="1"/>
      <c r="I263" s="9"/>
    </row>
    <row r="264" spans="1:9" ht="94.5" x14ac:dyDescent="0.25">
      <c r="A264" s="5" t="s">
        <v>1976</v>
      </c>
      <c r="B264" s="7" t="str">
        <f>description_703</f>
        <v>Providing mechanically  woven double twisted  crates / mattress  including rolling, cutting and  with lacing  wire and binding wire as per specification.           
                                                                                                                                       , Zinc + PVC coated Hexagonal mesh type 80 mm x 100 mm, mesh wire 2.2 mm/3.2 mm, selvage wire 2.7 mm/3.7 mm, lacing wire 2.2 mm/3.2 mm with Pac coating thickness nominal 0.5 mm ( minimum 0.38 mm)</v>
      </c>
      <c r="C264" s="3" t="s">
        <v>438</v>
      </c>
      <c r="D264" s="1"/>
      <c r="E264" s="1"/>
      <c r="F264" s="1"/>
      <c r="G264" s="1"/>
      <c r="H264" s="1"/>
      <c r="I264" s="9"/>
    </row>
    <row r="265" spans="1:9" ht="47.25" x14ac:dyDescent="0.25">
      <c r="A265" s="5" t="s">
        <v>1977</v>
      </c>
      <c r="B265" s="7" t="str">
        <f>description_706</f>
        <v>Laying and fixing of Geo-Textile all complete as per specification., Providing  and laying of a geotextile filter between pitching and embankment slopes as per Drawing and Technical Specifications.</v>
      </c>
      <c r="C265" s="3" t="s">
        <v>438</v>
      </c>
      <c r="D265" s="1"/>
      <c r="E265" s="1"/>
      <c r="F265" s="1"/>
      <c r="G265" s="1"/>
      <c r="H265" s="1"/>
      <c r="I265" s="9"/>
    </row>
    <row r="266" spans="1:9" ht="31.5" x14ac:dyDescent="0.25">
      <c r="A266" s="5" t="s">
        <v>1978</v>
      </c>
      <c r="B266" s="7" t="str">
        <f>description_707</f>
        <v>Laying and fixing of Geo-Textile all complete as per specification., Providing and  laying and fixing of Geo-membrane all complete as per specification.</v>
      </c>
      <c r="C266" s="3" t="s">
        <v>438</v>
      </c>
      <c r="D266" s="1"/>
      <c r="E266" s="1"/>
      <c r="F266" s="1"/>
      <c r="G266" s="1"/>
      <c r="H266" s="1"/>
      <c r="I266" s="9"/>
    </row>
    <row r="267" spans="1:9" ht="47.25" x14ac:dyDescent="0.25">
      <c r="A267" s="5" t="s">
        <v>1979</v>
      </c>
      <c r="B267" s="7" t="str">
        <f>description_746</f>
        <v>Providing and laying Plum concrete ( Boulder mixed concrete) as per Drawing and Specifications, 60% M 15  concrete and 40% boulders/stones, using Mechanical Aids</v>
      </c>
      <c r="C267" s="3" t="s">
        <v>84</v>
      </c>
      <c r="D267" s="1"/>
      <c r="E267" s="1"/>
      <c r="F267" s="1"/>
      <c r="G267" s="1"/>
      <c r="H267" s="1"/>
      <c r="I267" s="9"/>
    </row>
    <row r="268" spans="1:9" ht="47.25" x14ac:dyDescent="0.25">
      <c r="A268" s="5" t="s">
        <v>1980</v>
      </c>
      <c r="B268" s="7" t="str">
        <f>description_747</f>
        <v>Providing and laying Plum concrete ( Boulder mixed concrete) as per Drawing and Specifications, 60% M 15  concrete and 40% boulders/stones, Manual means</v>
      </c>
      <c r="C268" s="3" t="s">
        <v>84</v>
      </c>
      <c r="D268" s="1"/>
      <c r="E268" s="1"/>
      <c r="F268" s="1"/>
      <c r="G268" s="1"/>
      <c r="H268" s="1"/>
      <c r="I268" s="9"/>
    </row>
    <row r="269" spans="1:9" ht="47.25" x14ac:dyDescent="0.25">
      <c r="A269" s="5" t="s">
        <v>1981</v>
      </c>
      <c r="B269" s="7" t="str">
        <f>description_748</f>
        <v>Providing and laying Plum concrete ( Boulder mixed concrete) as per Drawing and Specifications, 70% M 15 concrete and 30% boulders/stones, Using Mechanical Aids</v>
      </c>
      <c r="C269" s="3" t="s">
        <v>84</v>
      </c>
      <c r="D269" s="1"/>
      <c r="E269" s="1"/>
      <c r="F269" s="1"/>
      <c r="G269" s="1"/>
      <c r="H269" s="1"/>
      <c r="I269" s="9"/>
    </row>
    <row r="270" spans="1:9" ht="47.25" x14ac:dyDescent="0.25">
      <c r="A270" s="5" t="s">
        <v>1982</v>
      </c>
      <c r="B270" s="7" t="str">
        <f>description_749</f>
        <v>Providing and laying Plum concrete ( Boulder mixed concrete) as per Drawing and Specifications, 70% M 15 concrete and 30% boulders/stones, Manual means</v>
      </c>
      <c r="C270" s="3" t="s">
        <v>84</v>
      </c>
      <c r="D270" s="1"/>
      <c r="E270" s="1"/>
      <c r="F270" s="1"/>
      <c r="G270" s="1"/>
      <c r="H270" s="1"/>
      <c r="I270" s="9"/>
    </row>
    <row r="271" spans="1:9" ht="94.5" x14ac:dyDescent="0.25">
      <c r="A271" s="5" t="s">
        <v>1983</v>
      </c>
      <c r="B271" s="7" t="str">
        <f>description_750</f>
        <v>Sub-Surface Drains with Perforated Pipe, Providing and laying subsurface drain with perforated pipe of 100 mm internal diameter of metal/ asbestos cement/ cement concrete/PVC, closely jointed, perforations ranging from 3 mm to 6 mm depending upon size of material surrounding the pipe, with 150 mm bedding below the pipe and 300 mm cushion above the pipe,.  as per Drawing and Specifications.</v>
      </c>
      <c r="C271" s="3" t="s">
        <v>75</v>
      </c>
      <c r="D271" s="1"/>
      <c r="E271" s="1"/>
      <c r="F271" s="1"/>
      <c r="G271" s="1"/>
      <c r="H271" s="1"/>
      <c r="I271" s="9"/>
    </row>
    <row r="272" spans="1:9" ht="47.25" x14ac:dyDescent="0.25">
      <c r="A272" s="5" t="s">
        <v>1984</v>
      </c>
      <c r="B272" s="7" t="str">
        <f>description_753</f>
        <v>Providing and laying Brick Masonry Work in Cement mortar  in Foundation / structure complete excluding Pointing and Plastering, as per Drawing and Technical Specifications., Cement sand mortar (1:2)</v>
      </c>
      <c r="C272" s="3" t="s">
        <v>84</v>
      </c>
      <c r="D272" s="1"/>
      <c r="E272" s="1"/>
      <c r="F272" s="1"/>
      <c r="G272" s="1"/>
      <c r="H272" s="1"/>
      <c r="I272" s="9"/>
    </row>
    <row r="273" spans="1:9" ht="47.25" x14ac:dyDescent="0.25">
      <c r="A273" s="5" t="s">
        <v>1985</v>
      </c>
      <c r="B273" s="7" t="str">
        <f>description_754</f>
        <v>Providing and laying Brick Masonry Work in Cement mortar  in Foundation / structure complete excluding Pointing and Plastering, as per Drawing and Technical Specifications., Cement sand mortar (1:2), Using Concrete Mixer</v>
      </c>
      <c r="C273" s="3" t="s">
        <v>84</v>
      </c>
      <c r="D273" s="1"/>
      <c r="E273" s="1"/>
      <c r="F273" s="1"/>
      <c r="G273" s="1"/>
      <c r="H273" s="1"/>
      <c r="I273" s="9"/>
    </row>
    <row r="274" spans="1:9" ht="47.25" x14ac:dyDescent="0.25">
      <c r="A274" s="5" t="s">
        <v>1986</v>
      </c>
      <c r="B274" s="7" t="str">
        <f>description_755</f>
        <v>Providing and laying Brick Masonry Work in Cement mortar  in Foundation / structure complete excluding Pointing and Plastering, as per Drawing and Technical Specifications., Cement sand mortar (1:3)</v>
      </c>
      <c r="C274" s="3" t="s">
        <v>84</v>
      </c>
      <c r="D274" s="1"/>
      <c r="E274" s="1"/>
      <c r="F274" s="1"/>
      <c r="G274" s="1"/>
      <c r="H274" s="1"/>
      <c r="I274" s="9"/>
    </row>
    <row r="275" spans="1:9" ht="47.25" x14ac:dyDescent="0.25">
      <c r="A275" s="5" t="s">
        <v>1987</v>
      </c>
      <c r="B275" s="7" t="str">
        <f>description_756</f>
        <v>Providing and laying Brick Masonry Work in Cement mortar  in Foundation / structure complete excluding Pointing and Plastering, as per Drawing and Technical Specifications., Cement sand mortar (1:3), Using Concrete Mixer</v>
      </c>
      <c r="C275" s="3" t="s">
        <v>84</v>
      </c>
      <c r="D275" s="1"/>
      <c r="E275" s="1"/>
      <c r="F275" s="1"/>
      <c r="G275" s="1"/>
      <c r="H275" s="1"/>
      <c r="I275" s="9"/>
    </row>
    <row r="276" spans="1:9" ht="47.25" x14ac:dyDescent="0.25">
      <c r="A276" s="5" t="s">
        <v>1988</v>
      </c>
      <c r="B276" s="7" t="str">
        <f>description_757</f>
        <v>Providing and laying Brick Masonry Work in Cement mortar  in Foundation / structure complete excluding Pointing and Plastering, as per Drawing and Technical Specifications., Cement sand mortar (1:4)</v>
      </c>
      <c r="C276" s="3" t="s">
        <v>84</v>
      </c>
      <c r="D276" s="1"/>
      <c r="E276" s="1"/>
      <c r="F276" s="1"/>
      <c r="G276" s="1"/>
      <c r="H276" s="1"/>
      <c r="I276" s="9"/>
    </row>
    <row r="277" spans="1:9" ht="47.25" x14ac:dyDescent="0.25">
      <c r="A277" s="5" t="s">
        <v>1989</v>
      </c>
      <c r="B277" s="7" t="str">
        <f>description_758</f>
        <v>Providing and laying Brick Masonry Work in Cement mortar  in Foundation / structure complete excluding Pointing and Plastering, as per Drawing and Technical Specifications., Cement sand mortar (1:4), Using Concrete Mixer</v>
      </c>
      <c r="C277" s="3" t="s">
        <v>84</v>
      </c>
      <c r="D277" s="1"/>
      <c r="E277" s="1"/>
      <c r="F277" s="1"/>
      <c r="G277" s="1"/>
      <c r="H277" s="1"/>
      <c r="I277" s="9"/>
    </row>
    <row r="278" spans="1:9" ht="47.25" x14ac:dyDescent="0.25">
      <c r="A278" s="5" t="s">
        <v>1990</v>
      </c>
      <c r="B278" s="7" t="str">
        <f>description_759</f>
        <v>Providing and laying Brick Masonry Work in Cement mortar  in Foundation / structure complete excluding Pointing and Plastering, as per Drawing and Technical Specifications., Cement sand mortar (1:6)</v>
      </c>
      <c r="C278" s="3" t="s">
        <v>84</v>
      </c>
      <c r="D278" s="1"/>
      <c r="E278" s="1"/>
      <c r="F278" s="1"/>
      <c r="G278" s="1"/>
      <c r="H278" s="1"/>
      <c r="I278" s="9"/>
    </row>
    <row r="279" spans="1:9" ht="47.25" x14ac:dyDescent="0.25">
      <c r="A279" s="5" t="s">
        <v>1991</v>
      </c>
      <c r="B279" s="7" t="str">
        <f>description_760</f>
        <v>Providing and laying Brick Masonry Work in Cement mortar  in Foundation / structure complete excluding Pointing and Plastering, as per Drawing and Technical Specifications., Cement sand mortar (1:6), Using Concrete Mixer</v>
      </c>
      <c r="C279" s="3" t="s">
        <v>84</v>
      </c>
      <c r="D279" s="1"/>
      <c r="E279" s="1"/>
      <c r="F279" s="1"/>
      <c r="G279" s="1"/>
      <c r="H279" s="1"/>
      <c r="I279" s="9"/>
    </row>
    <row r="280" spans="1:9" ht="47.25" x14ac:dyDescent="0.25">
      <c r="A280" s="5" t="s">
        <v>1992</v>
      </c>
      <c r="B280" s="7" t="str">
        <f>description_761</f>
        <v>Providing and laying Brick masonry work in superstructure/ sub-structure complete excluding pointing and plastering, as per drawing and Technical Specifications, Cement Mortar 1:2 (1 cement : 2 sand)</v>
      </c>
      <c r="C280" s="3" t="s">
        <v>84</v>
      </c>
      <c r="D280" s="1"/>
      <c r="E280" s="1"/>
      <c r="F280" s="1"/>
      <c r="G280" s="1"/>
      <c r="H280" s="1"/>
      <c r="I280" s="9"/>
    </row>
    <row r="281" spans="1:9" ht="47.25" x14ac:dyDescent="0.25">
      <c r="A281" s="5" t="s">
        <v>1993</v>
      </c>
      <c r="B281" s="7" t="str">
        <f>description_762</f>
        <v>Providing and laying Brick masonry work in superstructure/ sub-structure complete excluding pointing and plastering, as per drawing and Technical Specifications, Cement Mortar 1:2 (1 cement : 2 sand), Using Concrete Mixer</v>
      </c>
      <c r="C281" s="3" t="s">
        <v>84</v>
      </c>
      <c r="D281" s="1"/>
      <c r="E281" s="1"/>
      <c r="F281" s="1"/>
      <c r="G281" s="1"/>
      <c r="H281" s="1"/>
      <c r="I281" s="9"/>
    </row>
    <row r="282" spans="1:9" ht="47.25" x14ac:dyDescent="0.25">
      <c r="A282" s="5" t="s">
        <v>1994</v>
      </c>
      <c r="B282" s="7" t="str">
        <f>description_763</f>
        <v>Providing and laying Brick masonry work in superstructure/ sub-structure complete excluding pointing and plastering, as per drawing and Technical Specifications, Cement Mortar 1:3 (1 cement : 3 sand)</v>
      </c>
      <c r="C282" s="3" t="s">
        <v>84</v>
      </c>
      <c r="D282" s="1"/>
      <c r="E282" s="1"/>
      <c r="F282" s="1"/>
      <c r="G282" s="1"/>
      <c r="H282" s="1"/>
      <c r="I282" s="9"/>
    </row>
    <row r="283" spans="1:9" ht="47.25" x14ac:dyDescent="0.25">
      <c r="A283" s="5" t="s">
        <v>1995</v>
      </c>
      <c r="B283" s="7" t="str">
        <f>description_764</f>
        <v>Providing and laying Brick masonry work in superstructure/ sub-structure complete excluding pointing and plastering, as per drawing and Technical Specifications, Cement Mortar 1:3 (1 cement : 3 sand), Using Concrete Mixer</v>
      </c>
      <c r="C283" s="3" t="s">
        <v>84</v>
      </c>
      <c r="D283" s="1"/>
      <c r="E283" s="1"/>
      <c r="F283" s="1"/>
      <c r="G283" s="1"/>
      <c r="H283" s="1"/>
      <c r="I283" s="9"/>
    </row>
    <row r="284" spans="1:9" ht="47.25" x14ac:dyDescent="0.25">
      <c r="A284" s="5" t="s">
        <v>1996</v>
      </c>
      <c r="B284" s="7" t="str">
        <f>description_765</f>
        <v>Providing and laying Brick masonry work in superstructure/ sub-structure complete excluding pointing and plastering, as per drawing and Technical Specifications, Cement Mortar 1:4 (1 cement : 4 sand)</v>
      </c>
      <c r="C284" s="3" t="s">
        <v>84</v>
      </c>
      <c r="D284" s="1"/>
      <c r="E284" s="1"/>
      <c r="F284" s="1"/>
      <c r="G284" s="1"/>
      <c r="H284" s="1"/>
      <c r="I284" s="9"/>
    </row>
    <row r="285" spans="1:9" ht="47.25" x14ac:dyDescent="0.25">
      <c r="A285" s="5" t="s">
        <v>1997</v>
      </c>
      <c r="B285" s="7" t="str">
        <f>description_766</f>
        <v>Providing and laying Brick masonry work in superstructure/ sub-structure complete excluding pointing and plastering, as per drawing and Technical Specifications, Cement Mortar 1:4 (1 cement : 4 sand), Using Concrete Mixer</v>
      </c>
      <c r="C285" s="3" t="s">
        <v>84</v>
      </c>
      <c r="D285" s="1"/>
      <c r="E285" s="1"/>
      <c r="F285" s="1"/>
      <c r="G285" s="1"/>
      <c r="H285" s="1"/>
      <c r="I285" s="9"/>
    </row>
    <row r="286" spans="1:9" ht="47.25" x14ac:dyDescent="0.25">
      <c r="A286" s="5" t="s">
        <v>1998</v>
      </c>
      <c r="B286" s="7" t="str">
        <f>description_767</f>
        <v>Providing and laying Brick masonry work in superstructure/ sub-structure complete excluding pointing and plastering, as per drawing and Technical Specifications, Cement Mortar 1:6 (1 cement : 6 sand)</v>
      </c>
      <c r="C286" s="3" t="s">
        <v>84</v>
      </c>
      <c r="D286" s="1"/>
      <c r="E286" s="1"/>
      <c r="F286" s="1"/>
      <c r="G286" s="1"/>
      <c r="H286" s="1"/>
      <c r="I286" s="9"/>
    </row>
    <row r="287" spans="1:9" ht="47.25" x14ac:dyDescent="0.25">
      <c r="A287" s="5" t="s">
        <v>1999</v>
      </c>
      <c r="B287" s="7" t="str">
        <f>description_768</f>
        <v>Providing and laying Brick masonry work in superstructure/ sub-structure complete excluding pointing and plastering, as per drawing and Technical Specifications, Cement Mortar 1:6 (1 cement : 6 sand), Using Concrete Mixer</v>
      </c>
      <c r="C287" s="3" t="s">
        <v>84</v>
      </c>
      <c r="D287" s="1"/>
      <c r="E287" s="1"/>
      <c r="F287" s="1"/>
      <c r="G287" s="1"/>
      <c r="H287" s="1"/>
      <c r="I287" s="9"/>
    </row>
    <row r="288" spans="1:9" ht="31.5" x14ac:dyDescent="0.25">
      <c r="A288" s="5" t="s">
        <v>2000</v>
      </c>
      <c r="B288" s="7" t="str">
        <f>description_769</f>
        <v>Providing, and applying Pointing with cement mortar (1:3 ) on brick work in structure as per Technical Specifications .</v>
      </c>
      <c r="C288" s="3" t="s">
        <v>438</v>
      </c>
      <c r="D288" s="1"/>
      <c r="E288" s="1"/>
      <c r="F288" s="1"/>
      <c r="G288" s="1"/>
      <c r="H288" s="1"/>
      <c r="I288" s="9"/>
    </row>
    <row r="289" spans="1:9" ht="47.25" x14ac:dyDescent="0.25">
      <c r="A289" s="5" t="s">
        <v>2001</v>
      </c>
      <c r="B289" s="7" t="str">
        <f>description_770</f>
        <v>Providing and applying 12.5 mm thick  Plaster with cement mortar  on brick work structure as per Technical Specifications , Cement Mortar 1:2 (1 cement : 2 sand)</v>
      </c>
      <c r="C289" s="3" t="s">
        <v>438</v>
      </c>
      <c r="D289" s="1"/>
      <c r="E289" s="1"/>
      <c r="F289" s="1"/>
      <c r="G289" s="1"/>
      <c r="H289" s="1"/>
      <c r="I289" s="9"/>
    </row>
    <row r="290" spans="1:9" ht="47.25" x14ac:dyDescent="0.25">
      <c r="A290" s="5" t="s">
        <v>2002</v>
      </c>
      <c r="B290" s="7" t="str">
        <f>description_771</f>
        <v>Providing and applying 12.5 mm thick  Plaster with cement mortar  on brick work structure as per Technical Specifications , Cement Mortar 1:2 (1 cement : 2 sand), Using Concrete Mixer</v>
      </c>
      <c r="C290" s="3" t="s">
        <v>438</v>
      </c>
      <c r="D290" s="1"/>
      <c r="E290" s="1"/>
      <c r="F290" s="1"/>
      <c r="G290" s="1"/>
      <c r="H290" s="1"/>
      <c r="I290" s="9"/>
    </row>
    <row r="291" spans="1:9" ht="47.25" x14ac:dyDescent="0.25">
      <c r="A291" s="5" t="s">
        <v>2003</v>
      </c>
      <c r="B291" s="7" t="str">
        <f>description_776</f>
        <v>Providing  and laying weep holes in Brick works / Masonry/ Plain/ Reinforced concrete abutment, wing wall/ return wall with 100 mm dia HDPE pipe  as per Drawing and Technical Specifications.</v>
      </c>
      <c r="C291" s="3" t="s">
        <v>75</v>
      </c>
      <c r="D291" s="1"/>
      <c r="E291" s="1"/>
      <c r="F291" s="1"/>
      <c r="G291" s="1"/>
      <c r="H291" s="1"/>
      <c r="I291" s="9"/>
    </row>
    <row r="292" spans="1:9" ht="47.25" x14ac:dyDescent="0.25">
      <c r="A292" s="5" t="s">
        <v>2004</v>
      </c>
      <c r="B292" s="7" t="str">
        <f>description_775</f>
        <v>Providing and applying 12.5 mm thick  Plaster with cement mortar  on brick work structure as per Technical Specifications , Cement Mortar 1:4 (1 cement : 4 sand), Using Concrete Mixer</v>
      </c>
      <c r="C292" s="3" t="s">
        <v>438</v>
      </c>
      <c r="D292" s="1"/>
      <c r="E292" s="1"/>
      <c r="F292" s="1"/>
      <c r="G292" s="1"/>
      <c r="H292" s="1"/>
      <c r="I292" s="9"/>
    </row>
    <row r="293" spans="1:9" ht="47.25" x14ac:dyDescent="0.25">
      <c r="A293" s="5" t="s">
        <v>2005</v>
      </c>
      <c r="B293" s="7" t="str">
        <f>description_774</f>
        <v>Providing and applying 12.5 mm thick  Plaster with cement mortar  on brick work structure as per Technical Specifications , Cement Mortar 1:4 (1 cement : 4 sand)</v>
      </c>
      <c r="C293" s="3" t="s">
        <v>438</v>
      </c>
      <c r="D293" s="1"/>
      <c r="E293" s="1"/>
      <c r="F293" s="1"/>
      <c r="G293" s="1"/>
      <c r="H293" s="1"/>
      <c r="I293" s="9"/>
    </row>
    <row r="294" spans="1:9" ht="47.25" x14ac:dyDescent="0.25">
      <c r="A294" s="5" t="s">
        <v>2006</v>
      </c>
      <c r="B294" s="7" t="str">
        <f>description_773</f>
        <v>Providing and applying 12.5 mm thick  Plaster with cement mortar  on brick work structure as per Technical Specifications , Cement Mortar 1:3 (1 cement : 3 sand), Using Concrete Mixer</v>
      </c>
      <c r="C294" s="3" t="s">
        <v>438</v>
      </c>
      <c r="D294" s="1"/>
      <c r="E294" s="1"/>
      <c r="F294" s="1"/>
      <c r="G294" s="1"/>
      <c r="H294" s="1"/>
      <c r="I294" s="9"/>
    </row>
    <row r="295" spans="1:9" ht="47.25" x14ac:dyDescent="0.25">
      <c r="A295" s="5" t="s">
        <v>2007</v>
      </c>
      <c r="B295" s="7" t="str">
        <f>description_772</f>
        <v>Providing and applying 12.5 mm thick  Plaster with cement mortar  on brick work structure as per Technical Specifications , Cement Mortar 1:3 (1 cement : 3 sand)</v>
      </c>
      <c r="C295" s="3" t="s">
        <v>438</v>
      </c>
      <c r="D295" s="1"/>
      <c r="E295" s="1"/>
      <c r="F295" s="1"/>
      <c r="G295" s="1"/>
      <c r="H295" s="1"/>
      <c r="I295" s="9"/>
    </row>
    <row r="296" spans="1:9" ht="47.25" x14ac:dyDescent="0.25">
      <c r="A296" s="5" t="s">
        <v>2008</v>
      </c>
      <c r="B296" s="7" t="str">
        <f>description_779</f>
        <v>Random Rubble Masonry, Providing and laying of Stone Masonry Work in Cement Mortar 1:3 in Foundation complete as per Drawing and Technical Specifications.</v>
      </c>
      <c r="C296" s="3" t="s">
        <v>84</v>
      </c>
      <c r="D296" s="1"/>
      <c r="E296" s="1"/>
      <c r="F296" s="1"/>
      <c r="G296" s="1"/>
      <c r="H296" s="1"/>
      <c r="I296" s="9"/>
    </row>
    <row r="297" spans="1:9" ht="47.25" x14ac:dyDescent="0.25">
      <c r="A297" s="5" t="s">
        <v>2009</v>
      </c>
      <c r="B297" s="7" t="str">
        <f>description_780</f>
        <v>Random Rubble Masonry, Providing and laying of Stone Masonry Work in Cement Mortar 1:3 in Foundation complete as per Drawing and Technical Specifications., Using Concrete Mixer</v>
      </c>
      <c r="C297" s="3" t="s">
        <v>84</v>
      </c>
      <c r="D297" s="1"/>
      <c r="E297" s="1"/>
      <c r="F297" s="1"/>
      <c r="G297" s="1"/>
      <c r="H297" s="1"/>
      <c r="I297" s="9"/>
    </row>
    <row r="298" spans="1:9" ht="47.25" x14ac:dyDescent="0.25">
      <c r="A298" s="5" t="s">
        <v>2010</v>
      </c>
      <c r="B298" s="7" t="str">
        <f>description_782</f>
        <v>Random Rubble Masonry, Providing and laying of Stone Masonry Work in Cement Mortar 1:4 in Foundation complete as per Drawing and Technical Specifications., Using Concrete Mixer</v>
      </c>
      <c r="C298" s="3" t="s">
        <v>84</v>
      </c>
      <c r="D298" s="1"/>
      <c r="E298" s="1"/>
      <c r="F298" s="1"/>
      <c r="G298" s="1"/>
      <c r="H298" s="1"/>
      <c r="I298" s="9"/>
    </row>
    <row r="299" spans="1:9" ht="47.25" x14ac:dyDescent="0.25">
      <c r="A299" s="5" t="s">
        <v>2011</v>
      </c>
      <c r="B299" s="7" t="str">
        <f>description_781</f>
        <v>Random Rubble Masonry, Providing and laying of Stone Masonry Work in Cement Mortar 1:4 in Foundation complete as per Drawing and Technical Specifications.</v>
      </c>
      <c r="C299" s="3" t="s">
        <v>84</v>
      </c>
      <c r="D299" s="1"/>
      <c r="E299" s="1"/>
      <c r="F299" s="1"/>
      <c r="G299" s="1"/>
      <c r="H299" s="1"/>
      <c r="I299" s="9"/>
    </row>
    <row r="300" spans="1:9" ht="47.25" x14ac:dyDescent="0.25">
      <c r="A300" s="5" t="s">
        <v>2012</v>
      </c>
      <c r="B300" s="7" t="str">
        <f>description_784</f>
        <v>Random Rubble Masonry, Providing and laying of Stone Masonry Work in Cement Mortar 1:6 in Foundation complete as per Drawing and Technical Specifications., Using Concrete Mixer</v>
      </c>
      <c r="C300" s="3" t="s">
        <v>84</v>
      </c>
      <c r="D300" s="1"/>
      <c r="E300" s="1"/>
      <c r="F300" s="1"/>
      <c r="G300" s="1"/>
      <c r="H300" s="1"/>
      <c r="I300" s="9"/>
    </row>
    <row r="301" spans="1:9" ht="47.25" x14ac:dyDescent="0.25">
      <c r="A301" s="5" t="s">
        <v>2013</v>
      </c>
      <c r="B301" s="7" t="str">
        <f>description_783</f>
        <v>Random Rubble Masonry, Providing and laying of Stone Masonry Work in Cement Mortar 1:6 in Foundation complete as per Drawing and Technical Specifications.</v>
      </c>
      <c r="C301" s="3" t="s">
        <v>84</v>
      </c>
      <c r="D301" s="1"/>
      <c r="E301" s="1"/>
      <c r="F301" s="1"/>
      <c r="G301" s="1"/>
      <c r="H301" s="1"/>
      <c r="I301" s="9"/>
    </row>
    <row r="302" spans="1:9" ht="31.5" x14ac:dyDescent="0.25">
      <c r="A302" s="5" t="s">
        <v>2014</v>
      </c>
      <c r="B302" s="7" t="str">
        <f>description_810</f>
        <v>Providing and Sealing of cracks/porous concrete by injection process through nipples/Grouting complete as per Technical Specification., Cement Grout</v>
      </c>
      <c r="C302" s="3" t="s">
        <v>144</v>
      </c>
      <c r="D302" s="1"/>
      <c r="E302" s="1"/>
      <c r="F302" s="1"/>
      <c r="G302" s="1"/>
      <c r="H302" s="1"/>
      <c r="I302" s="9"/>
    </row>
    <row r="303" spans="1:9" ht="47.25" x14ac:dyDescent="0.25">
      <c r="A303" s="5" t="s">
        <v>2015</v>
      </c>
      <c r="B303" s="7" t="str">
        <f>description_811</f>
        <v>Providing and Sealing of cracks/porous concrete by injection process through nipples/Grouting complete as per Technical Specification., Cement Mortar (1:1) Grouting</v>
      </c>
      <c r="C303" s="3" t="s">
        <v>144</v>
      </c>
      <c r="D303" s="1"/>
      <c r="E303" s="1"/>
      <c r="F303" s="1"/>
      <c r="G303" s="1"/>
      <c r="H303" s="1"/>
      <c r="I303" s="9"/>
    </row>
    <row r="304" spans="1:9" ht="31.5" x14ac:dyDescent="0.25">
      <c r="A304" s="5" t="s">
        <v>2016</v>
      </c>
      <c r="B304" s="7" t="str">
        <f>description_2290</f>
        <v>Providing and replacement of Expansion Joints complete as per drawings, Technical specifications and direction of the Engineer.</v>
      </c>
      <c r="C304" s="3" t="s">
        <v>75</v>
      </c>
      <c r="D304" s="1"/>
      <c r="E304" s="1"/>
      <c r="F304" s="1"/>
      <c r="G304" s="1"/>
      <c r="H304" s="1"/>
      <c r="I304" s="9"/>
    </row>
    <row r="305" spans="1:9" ht="31.5" x14ac:dyDescent="0.25">
      <c r="A305" s="5" t="s">
        <v>2017</v>
      </c>
      <c r="B305" s="7" t="str">
        <f>description_822</f>
        <v>Providing required parts and rectification of Bearings as per Technical Specifications and direction of the Engineer.</v>
      </c>
      <c r="C305" s="3" t="s">
        <v>49</v>
      </c>
      <c r="D305" s="1"/>
      <c r="E305" s="1"/>
      <c r="F305" s="1"/>
      <c r="G305" s="1"/>
      <c r="H305" s="1"/>
      <c r="I305" s="9"/>
    </row>
    <row r="306" spans="1:9" ht="31.5" x14ac:dyDescent="0.25">
      <c r="A306" s="5" t="s">
        <v>2018</v>
      </c>
      <c r="B306" s="7" t="str">
        <f>description_824</f>
        <v>Providing and replacement of Damaged Concrete Railing as per Drawing, Technical Specifications and direction of the Engineer,.</v>
      </c>
      <c r="C306" s="3" t="s">
        <v>75</v>
      </c>
      <c r="D306" s="1"/>
      <c r="E306" s="1"/>
      <c r="F306" s="1"/>
      <c r="G306" s="1"/>
      <c r="H306" s="1"/>
      <c r="I306" s="9"/>
    </row>
    <row r="307" spans="1:9" ht="31.5" x14ac:dyDescent="0.25">
      <c r="A307" s="5" t="s">
        <v>2019</v>
      </c>
      <c r="B307" s="7" t="str">
        <f>description_825</f>
        <v>Providing and replacement of Crash Barrier as per Drawing, Technical Specifications and instruction of the Engineer.</v>
      </c>
      <c r="C307" s="3" t="s">
        <v>75</v>
      </c>
      <c r="D307" s="1"/>
      <c r="E307" s="1"/>
      <c r="F307" s="1"/>
      <c r="G307" s="1"/>
      <c r="H307" s="1"/>
      <c r="I307" s="9"/>
    </row>
    <row r="308" spans="1:9" ht="31.5" x14ac:dyDescent="0.25">
      <c r="A308" s="5" t="s">
        <v>2020</v>
      </c>
      <c r="B308" s="7" t="str">
        <f>description_826</f>
        <v>Providing and replacement of Damaged  mild steel railing as per Drawing, Technical Specifications and direction of the Engineer.</v>
      </c>
      <c r="C308" s="3" t="s">
        <v>75</v>
      </c>
      <c r="D308" s="1"/>
      <c r="E308" s="1"/>
      <c r="F308" s="1"/>
      <c r="G308" s="1"/>
      <c r="H308" s="1"/>
      <c r="I308" s="9"/>
    </row>
    <row r="309" spans="1:9" ht="63" x14ac:dyDescent="0.25">
      <c r="A309" s="5" t="s">
        <v>2021</v>
      </c>
      <c r="B309" s="7" t="str">
        <f>description_827</f>
        <v>Repair of Crash Barrier, Providing and repair of concrete crash barrier with cement concrete M-30 grade by cutting and trimming the damaged portion to a regular shape, cleaning the area to be repaired thoroughly, applying cement concert after erection of proper form work.</v>
      </c>
      <c r="C309" s="3" t="s">
        <v>75</v>
      </c>
      <c r="D309" s="1"/>
      <c r="E309" s="1"/>
      <c r="F309" s="1"/>
      <c r="G309" s="1"/>
      <c r="H309" s="1"/>
      <c r="I309" s="9"/>
    </row>
    <row r="310" spans="1:9" ht="47.25" x14ac:dyDescent="0.25">
      <c r="A310" s="5" t="s">
        <v>2022</v>
      </c>
      <c r="B310" s="7" t="str">
        <f>description_828</f>
        <v>Providing and  repair of  RCC  railing to bring it to the original shape as per Drawing, Technical Specifications and instruction of the Engineer., Repair of RCC Railing</v>
      </c>
      <c r="C310" s="3" t="s">
        <v>75</v>
      </c>
      <c r="D310" s="1"/>
      <c r="E310" s="1"/>
      <c r="F310" s="1"/>
      <c r="G310" s="1"/>
      <c r="H310" s="1"/>
      <c r="I310" s="9"/>
    </row>
    <row r="311" spans="1:9" ht="47.25" x14ac:dyDescent="0.25">
      <c r="A311" s="5" t="s">
        <v>2023</v>
      </c>
      <c r="B311" s="7" t="str">
        <f>description_829</f>
        <v>Repair of Steel Railing, Providing and repair of steel railing to bring it to the original shape as per Drawing, Technical Specifications and direction of the Engineer.</v>
      </c>
      <c r="C311" s="3" t="s">
        <v>75</v>
      </c>
      <c r="D311" s="1"/>
      <c r="E311" s="1"/>
      <c r="F311" s="1"/>
      <c r="G311" s="1"/>
      <c r="H311" s="1"/>
      <c r="I311" s="9"/>
    </row>
    <row r="312" spans="1:9" ht="47.25" x14ac:dyDescent="0.25">
      <c r="A312" s="5" t="s">
        <v>2024</v>
      </c>
      <c r="B312" s="7" t="str">
        <f>description_830</f>
        <v>Painting of Steel Bridge, Providing and painting steel bridge including removal of old paints by sand blasting cleaning and repairing of metal surfaces for the application of new paints as per specification and direction of the Engineer.</v>
      </c>
      <c r="C312" s="3" t="s">
        <v>438</v>
      </c>
      <c r="D312" s="1"/>
      <c r="E312" s="1"/>
      <c r="F312" s="1"/>
      <c r="G312" s="1"/>
      <c r="H312" s="1"/>
      <c r="I312" s="9"/>
    </row>
    <row r="313" spans="1:9" ht="31.5" x14ac:dyDescent="0.25">
      <c r="A313" s="5" t="s">
        <v>2025</v>
      </c>
      <c r="B313" s="7" t="str">
        <f>description_831</f>
        <v>Providing and Painting of steel bridges with one coat of primer, one coat of epoxy and 2 coats of acrylic polyurethane as per specification.</v>
      </c>
      <c r="C313" s="3" t="s">
        <v>438</v>
      </c>
      <c r="D313" s="1"/>
      <c r="E313" s="1"/>
      <c r="F313" s="1"/>
      <c r="G313" s="1"/>
      <c r="H313" s="1"/>
      <c r="I313" s="9"/>
    </row>
    <row r="314" spans="1:9" ht="47.25" x14ac:dyDescent="0.25">
      <c r="A314" s="5" t="s">
        <v>2026</v>
      </c>
      <c r="B314" s="7" t="str">
        <f>description_832</f>
        <v>Providing and painting of steel bridges with one coat of primer, one coat of epoxy and 2 coats of acrylic polyurethane, without sprayer machine as per specification</v>
      </c>
      <c r="C314" s="3" t="s">
        <v>438</v>
      </c>
      <c r="D314" s="1"/>
      <c r="E314" s="1"/>
      <c r="F314" s="1"/>
      <c r="G314" s="1"/>
      <c r="H314" s="1"/>
      <c r="I314" s="9"/>
    </row>
    <row r="315" spans="1:9" ht="47.25" x14ac:dyDescent="0.25">
      <c r="A315" s="5" t="s">
        <v>2027</v>
      </c>
      <c r="B315" s="7" t="str">
        <f>description_934</f>
        <v>Maintenance,Carryout Routine ( regular maintenance) of Black top/ Gravel  road in plain area (  Terai) as per Technical Specifications and direction of the Engineer,</v>
      </c>
      <c r="C315" s="3" t="s">
        <v>2028</v>
      </c>
      <c r="D315" s="1"/>
      <c r="E315" s="1"/>
      <c r="F315" s="1"/>
      <c r="G315" s="1"/>
      <c r="H315" s="1"/>
      <c r="I315" s="9"/>
    </row>
    <row r="316" spans="1:9" ht="31.5" x14ac:dyDescent="0.25">
      <c r="A316" s="5" t="s">
        <v>2029</v>
      </c>
      <c r="B316" s="7" t="str">
        <f>description_935</f>
        <v>Maintenance, Carryout Routine ( regular maintenance) of Black top/ Gravel  road in Hilly area as per Technical Specifications and direction of the Engineer,</v>
      </c>
      <c r="C316" s="3" t="s">
        <v>2028</v>
      </c>
      <c r="D316" s="1"/>
      <c r="E316" s="1"/>
      <c r="F316" s="1"/>
      <c r="G316" s="1"/>
      <c r="H316" s="1"/>
      <c r="I316" s="9"/>
    </row>
    <row r="317" spans="1:9" ht="31.5" x14ac:dyDescent="0.25">
      <c r="A317" s="5" t="s">
        <v>2030</v>
      </c>
      <c r="B317" s="7" t="str">
        <f>description_936</f>
        <v>Maintenance, Carryout Routine ( regular maintenance) of Black top/ Gravel  road in Hilly area as per Technical Specifications and direction of the Engineer,</v>
      </c>
      <c r="C317" s="3" t="s">
        <v>2031</v>
      </c>
      <c r="D317" s="1"/>
      <c r="E317" s="1"/>
      <c r="F317" s="1"/>
      <c r="G317" s="1"/>
      <c r="H317" s="1"/>
      <c r="I317" s="9"/>
    </row>
    <row r="318" spans="1:9" ht="31.5" x14ac:dyDescent="0.25">
      <c r="A318" s="5" t="s">
        <v>2032</v>
      </c>
      <c r="B318" s="7" t="str">
        <f>description_937</f>
        <v>Restoration of Rain Cuts. Providing and restoration of rain cuts in embankment slopes as per specification and direction of the Engineer.</v>
      </c>
      <c r="C318" s="3" t="s">
        <v>84</v>
      </c>
      <c r="D318" s="1"/>
      <c r="E318" s="1"/>
      <c r="F318" s="1"/>
      <c r="G318" s="1"/>
      <c r="H318" s="1"/>
      <c r="I318" s="9"/>
    </row>
    <row r="319" spans="1:9" ht="63" x14ac:dyDescent="0.25">
      <c r="A319" s="5" t="s">
        <v>2033</v>
      </c>
      <c r="B319" s="7" t="str">
        <f>description_938</f>
        <v>Providing and restoration of rain cuts with surrounding  material benching for 300 mm width, laying fresh Material in layers not exceeding 250 mm and compacting to restore the original alignment, levels and slopes as per Technical Specification and direction of the Engineer.Manual means</v>
      </c>
      <c r="C319" s="3" t="s">
        <v>84</v>
      </c>
      <c r="D319" s="1"/>
      <c r="E319" s="1"/>
      <c r="F319" s="1"/>
      <c r="G319" s="1"/>
      <c r="H319" s="1"/>
      <c r="I319" s="9"/>
    </row>
    <row r="320" spans="1:9" ht="78.75" x14ac:dyDescent="0.25">
      <c r="A320" s="5" t="s">
        <v>2034</v>
      </c>
      <c r="B320" s="7" t="str">
        <f>description_943</f>
        <v>Maintenance of bituminous surface road with Emulsion, Providing required material and repair to pot holes including removal of failed material, trimming the sides to vertical , leveling the bottom, cleaning, filled with 75 mm Bituminous macadam  applying bitumen /emulsion prime coat  and  tack coat  as per Technical Specifications and direction of the Engineer.</v>
      </c>
      <c r="C320" s="3" t="s">
        <v>84</v>
      </c>
      <c r="D320" s="1"/>
      <c r="E320" s="1"/>
      <c r="F320" s="1"/>
      <c r="G320" s="1"/>
      <c r="H320" s="1"/>
      <c r="I320" s="9"/>
    </row>
    <row r="321" spans="1:9" ht="63" x14ac:dyDescent="0.25">
      <c r="A321" s="5" t="s">
        <v>2035</v>
      </c>
      <c r="B321" s="7" t="str">
        <f>description_950</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5 mm thickness</v>
      </c>
      <c r="C321" s="3" t="s">
        <v>438</v>
      </c>
      <c r="D321" s="1"/>
      <c r="E321" s="1"/>
      <c r="F321" s="1"/>
      <c r="G321" s="1"/>
      <c r="H321" s="1"/>
      <c r="I321" s="9"/>
    </row>
    <row r="322" spans="1:9" ht="63" x14ac:dyDescent="0.25">
      <c r="A322" s="5" t="s">
        <v>2036</v>
      </c>
      <c r="B322" s="7" t="str">
        <f>description_951</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3 mm thickness</v>
      </c>
      <c r="C322" s="3" t="s">
        <v>438</v>
      </c>
      <c r="D322" s="1"/>
      <c r="E322" s="1"/>
      <c r="F322" s="1"/>
      <c r="G322" s="1"/>
      <c r="H322" s="1"/>
      <c r="I322" s="9"/>
    </row>
    <row r="323" spans="1:9" ht="63" x14ac:dyDescent="0.25">
      <c r="A323" s="5" t="s">
        <v>2037</v>
      </c>
      <c r="B323" s="7" t="str">
        <f>description_952</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1.5 mm thickness</v>
      </c>
      <c r="C323" s="3" t="s">
        <v>438</v>
      </c>
      <c r="D323" s="1"/>
      <c r="E323" s="1"/>
      <c r="F323" s="1"/>
      <c r="G323" s="1"/>
      <c r="H323" s="1"/>
      <c r="I323" s="9"/>
    </row>
    <row r="324" spans="1:9" ht="47.25" x14ac:dyDescent="0.25">
      <c r="A324" s="5" t="s">
        <v>2038</v>
      </c>
      <c r="B324" s="7" t="str">
        <f>description_953</f>
        <v>Fog Spray, Providing and applying low viscosity bitumen emulsion for sealing cracks less than 3 mm wide or incipient fretting or disintegration in an existing bituminous surfacing.</v>
      </c>
      <c r="C324" s="3" t="s">
        <v>438</v>
      </c>
      <c r="D324" s="1"/>
      <c r="E324" s="1"/>
      <c r="F324" s="1"/>
      <c r="G324" s="1"/>
      <c r="H324" s="1"/>
      <c r="I324" s="9"/>
    </row>
    <row r="325" spans="1:9" ht="63" x14ac:dyDescent="0.25">
      <c r="A325" s="5" t="s">
        <v>2039</v>
      </c>
      <c r="B325" s="7" t="str">
        <f>description_954</f>
        <v>Fog Spray, Providing and applying low viscosity bitumen emulsion for sealing cracks less than 3 mm wide or incipient fretting or disintegration in an existing bituminous surfacing., In case it is decided by the engineer to blind the fog spray.</v>
      </c>
      <c r="C325" s="3" t="s">
        <v>438</v>
      </c>
      <c r="D325" s="1"/>
      <c r="E325" s="1"/>
      <c r="F325" s="1"/>
      <c r="G325" s="1"/>
      <c r="H325" s="1"/>
      <c r="I325" s="9"/>
    </row>
    <row r="326" spans="1:9" ht="63" x14ac:dyDescent="0.25">
      <c r="A326" s="5" t="s">
        <v>2040</v>
      </c>
      <c r="B326" s="7" t="str">
        <f>description_959</f>
        <v>Surface Dressing for maintenance works., Providing and laying surfacing dressing as wearing course in single coat using gravel of specified size for maintenance / repair works as per Technical Specification and instruction of the Engineer., :-19 mm nominal chipping size</v>
      </c>
      <c r="C326" s="3" t="s">
        <v>438</v>
      </c>
      <c r="D326" s="1"/>
      <c r="E326" s="1"/>
      <c r="F326" s="1"/>
      <c r="G326" s="1"/>
      <c r="H326" s="1"/>
      <c r="I326" s="9"/>
    </row>
    <row r="327" spans="1:9" ht="63" x14ac:dyDescent="0.25">
      <c r="A327" s="5" t="s">
        <v>2041</v>
      </c>
      <c r="B327" s="7" t="str">
        <f>description_960</f>
        <v>Surface Dressing for maintenance works., Providing and laying surfacing dressing as wearing course in single coat using gravel of specified size for maintenance / repair works as per Technical Specification and instruction of the Engineer., 13 mm nominal size chipping</v>
      </c>
      <c r="C327" s="3" t="s">
        <v>438</v>
      </c>
      <c r="D327" s="1"/>
      <c r="E327" s="1"/>
      <c r="F327" s="1"/>
      <c r="G327" s="1"/>
      <c r="H327" s="1"/>
      <c r="I327" s="9"/>
    </row>
    <row r="328" spans="1:9" ht="63" x14ac:dyDescent="0.25">
      <c r="A328" s="5" t="s">
        <v>2042</v>
      </c>
      <c r="B328" s="7" t="str">
        <f>description_961</f>
        <v>Surface Dressing for maintenance works., Providing and laying surfacing dressing as wearing course in single coat using gravel of specified size for maintenance / repair works as per Technical Specification and instruction of the Engineer., 9.5 mm nominal size chipping</v>
      </c>
      <c r="C328" s="3" t="s">
        <v>438</v>
      </c>
      <c r="D328" s="1"/>
      <c r="E328" s="1"/>
      <c r="F328" s="1"/>
      <c r="G328" s="1"/>
      <c r="H328" s="1"/>
      <c r="I328" s="9"/>
    </row>
    <row r="329" spans="1:9" ht="31.5" x14ac:dyDescent="0.25">
      <c r="A329" s="5" t="s">
        <v>2043</v>
      </c>
      <c r="B329" s="7" t="str">
        <f>description_968</f>
        <v>Carryout Routine using Labour based method for Local road as per direction of the Engineer,, District Road , Rural road class "A"</v>
      </c>
      <c r="C329" s="3" t="s">
        <v>2044</v>
      </c>
      <c r="D329" s="1"/>
      <c r="E329" s="1"/>
      <c r="F329" s="1"/>
      <c r="G329" s="1"/>
      <c r="H329" s="1"/>
      <c r="I329" s="9"/>
    </row>
    <row r="330" spans="1:9" ht="31.5" x14ac:dyDescent="0.25">
      <c r="A330" s="5" t="s">
        <v>2045</v>
      </c>
      <c r="B330" s="7" t="str">
        <f>description_969</f>
        <v>Carryout Routine using Labour based method for Local road as per direction of the Engineer,, Village Road , Rural road class "B"</v>
      </c>
      <c r="C330" s="3" t="s">
        <v>2044</v>
      </c>
      <c r="D330" s="1"/>
      <c r="E330" s="1"/>
      <c r="F330" s="1"/>
      <c r="G330" s="1"/>
      <c r="H330" s="1"/>
      <c r="I330" s="9"/>
    </row>
    <row r="331" spans="1:9" ht="31.5" x14ac:dyDescent="0.25">
      <c r="A331" s="5" t="s">
        <v>2046</v>
      </c>
      <c r="B331" s="7" t="str">
        <f>description_970</f>
        <v>Carryout Routine using Labour based method for Local road as per direction of the Engineer,, Main Trail  , Rural road Class "C"</v>
      </c>
      <c r="C331" s="3"/>
      <c r="D331" s="1"/>
      <c r="E331" s="1"/>
      <c r="F331" s="1"/>
      <c r="G331" s="1"/>
      <c r="H331" s="1"/>
      <c r="I331" s="9"/>
    </row>
    <row r="332" spans="1:9" ht="31.5" x14ac:dyDescent="0.25">
      <c r="A332" s="5" t="s">
        <v>2047</v>
      </c>
      <c r="B332" s="7" t="str">
        <f>description_971</f>
        <v>Carryout Routine using Labour based method for Local road as per direction of the Engineer,, Village Trail  , Rural road Class "D"</v>
      </c>
      <c r="C332" s="3"/>
      <c r="D332" s="1"/>
      <c r="E332" s="1"/>
      <c r="F332" s="1"/>
      <c r="G332" s="1"/>
      <c r="H332" s="1"/>
      <c r="I332" s="9"/>
    </row>
    <row r="333" spans="1:9" ht="31.5" x14ac:dyDescent="0.25">
      <c r="A333" s="5" t="s">
        <v>2048</v>
      </c>
      <c r="B333" s="7" t="str">
        <f>description_1011</f>
        <v>Providing, fitting and fixing mild steel railing complete as per drawing and Technical Specification</v>
      </c>
      <c r="C333" s="3" t="s">
        <v>463</v>
      </c>
      <c r="D333" s="1"/>
      <c r="E333" s="1"/>
      <c r="F333" s="1"/>
      <c r="G333" s="1"/>
      <c r="H333" s="1"/>
      <c r="I333" s="9"/>
    </row>
    <row r="334" spans="1:9" ht="31.5" x14ac:dyDescent="0.25">
      <c r="A334" s="5" t="s">
        <v>2049</v>
      </c>
      <c r="B334" s="7" t="str">
        <f>description_1012</f>
        <v>Providing and fixing Drainage Spouts complete as per Drawing and Technical specifications.</v>
      </c>
      <c r="C334" s="3" t="s">
        <v>1812</v>
      </c>
      <c r="D334" s="1"/>
      <c r="E334" s="1"/>
      <c r="F334" s="1"/>
      <c r="G334" s="1"/>
      <c r="H334" s="1"/>
      <c r="I334" s="9"/>
    </row>
    <row r="335" spans="1:9" ht="31.5" x14ac:dyDescent="0.25">
      <c r="A335" s="5" t="s">
        <v>2050</v>
      </c>
      <c r="B335" s="7" t="str">
        <f>description_1013</f>
        <v>Filler joint, Providing &amp; fixing 2 mm thick corrugated copper plate in expansion joint complete as per drawing &amp; Technical Specification.</v>
      </c>
      <c r="C335" s="3" t="s">
        <v>75</v>
      </c>
      <c r="D335" s="1"/>
      <c r="E335" s="1"/>
      <c r="F335" s="1"/>
      <c r="G335" s="1"/>
      <c r="H335" s="1"/>
      <c r="I335" s="9"/>
    </row>
    <row r="336" spans="1:9" ht="31.5" x14ac:dyDescent="0.25">
      <c r="A336" s="5" t="s">
        <v>2051</v>
      </c>
      <c r="B336" s="7" t="str">
        <f>description_1014</f>
        <v>, Providing &amp; fixing 20 mm thick compressible fiber board in expansion joint complete as per drawing &amp; Technical Specification.</v>
      </c>
      <c r="C336" s="3" t="s">
        <v>75</v>
      </c>
      <c r="D336" s="1"/>
      <c r="E336" s="1"/>
      <c r="F336" s="1"/>
      <c r="G336" s="1"/>
      <c r="H336" s="1"/>
      <c r="I336" s="9"/>
    </row>
    <row r="337" spans="1:9" ht="63" x14ac:dyDescent="0.25">
      <c r="A337" s="5" t="s">
        <v>2052</v>
      </c>
      <c r="B337" s="7" t="str">
        <f>description_1015</f>
        <v>, Providing and fixing in position 20 mm thick pre-moulded joint filler in expansion joint for fixed ends of simply supported spans not exceeding 10 m to cater for a horizontal movement upto 20 mm, covered with sealant complete as per Drawing and technical specifications.</v>
      </c>
      <c r="C337" s="3" t="s">
        <v>75</v>
      </c>
      <c r="D337" s="1"/>
      <c r="E337" s="1"/>
      <c r="F337" s="1"/>
      <c r="G337" s="1"/>
      <c r="H337" s="1"/>
      <c r="I337" s="9"/>
    </row>
    <row r="338" spans="1:9" ht="78.75" x14ac:dyDescent="0.25">
      <c r="A338" s="5" t="s">
        <v>2053</v>
      </c>
      <c r="B338" s="7" t="str">
        <f>description_1018</f>
        <v>Tubular Steel Railing on Medium Weight Steel Channel ( ISMC series) 100 mm x 50 mm, Providing, fixing and erecting 50 mm dia steel pipe railing in 3 rows duly painted on medium weight steel channels (ISMC series) 100 mm x 50 mm, 1.2 metres high above ground, 2 m center to center, complete as per Drawing and Technical specifications.</v>
      </c>
      <c r="C338" s="3" t="s">
        <v>75</v>
      </c>
      <c r="D338" s="1"/>
      <c r="E338" s="1"/>
      <c r="F338" s="1"/>
      <c r="G338" s="1"/>
      <c r="H338" s="1"/>
      <c r="I338" s="9"/>
    </row>
    <row r="339" spans="1:9" ht="78.75" x14ac:dyDescent="0.25">
      <c r="A339" s="5" t="s">
        <v>2054</v>
      </c>
      <c r="B339" s="7" t="str">
        <f>description_1019</f>
        <v>Tubular Steel Railing on Precast RCC Posts, 1.2 m High Above Ground Level, Providing, fencing and erecting 50 mm dia painted steel pipe railing in 3 rows on precast M 20 grade RCC vertical posts 1.8 metres high (1.2 m above GL) with 3 holes 50 mm dia for pipe, fixed 2 metres center to, complete as per Drawing and Technical Specifications.</v>
      </c>
      <c r="C339" s="3" t="s">
        <v>75</v>
      </c>
      <c r="D339" s="1"/>
      <c r="E339" s="1"/>
      <c r="F339" s="1"/>
      <c r="G339" s="1"/>
      <c r="H339" s="1"/>
      <c r="I339" s="9"/>
    </row>
    <row r="340" spans="1:9" ht="15.75" x14ac:dyDescent="0.25">
      <c r="G340" s="5" t="s">
        <v>2055</v>
      </c>
      <c r="H340" s="3">
        <f>SUM(H14:H339)</f>
        <v>0</v>
      </c>
    </row>
  </sheetData>
  <mergeCells count="11">
    <mergeCell ref="A11:B11"/>
    <mergeCell ref="A6:I6"/>
    <mergeCell ref="A7:I7"/>
    <mergeCell ref="A8:B8"/>
    <mergeCell ref="A9:B9"/>
    <mergeCell ref="A10:B10"/>
    <mergeCell ref="A1:I1"/>
    <mergeCell ref="A2:I2"/>
    <mergeCell ref="A3:I3"/>
    <mergeCell ref="A4:I4"/>
    <mergeCell ref="A5:I5"/>
  </mergeCells>
  <conditionalFormatting sqref="A13:I341">
    <cfRule type="containsBlanks" dxfId="17" priority="1">
      <formula>LEN(TRIM(A13))=0</formula>
    </cfRule>
  </conditionalFormatting>
  <pageMargins left="0.5" right="0.5" top="0.5" bottom="0.5" header="0.3" footer="0.3"/>
  <pageSetup paperSize="9" scale="61" fitToHeight="0" orientation="portrait" useFirstPageNumber="1" r:id="rId1"/>
  <headerFooter>
    <oddHeader>&amp;L Quantity Sheet &amp;R Page &amp;P of &amp;N</oddHeader>
    <oddFooter>&amp;L Prepared By:________________ &amp;C Checked By:________________ &amp;R Approved By:________________</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56"/>
  <sheetViews>
    <sheetView view="pageBreakPreview" topLeftCell="A2" zoomScale="90" zoomScaleSheetLayoutView="90" workbookViewId="0">
      <pane xSplit="2" ySplit="1" topLeftCell="C3" activePane="bottomRight" state="frozen"/>
      <selection activeCell="A2" sqref="A2"/>
      <selection pane="topRight" activeCell="C2" sqref="C2"/>
      <selection pane="bottomLeft" activeCell="A3" sqref="A3"/>
      <selection pane="bottomRight" activeCell="G153" sqref="G153"/>
    </sheetView>
  </sheetViews>
  <sheetFormatPr defaultRowHeight="15" x14ac:dyDescent="0.25"/>
  <cols>
    <col min="2" max="2" width="25.5703125" customWidth="1"/>
    <col min="4" max="4" width="16" customWidth="1"/>
    <col min="5" max="13" width="15.7109375" customWidth="1"/>
  </cols>
  <sheetData>
    <row r="1" spans="1:16" ht="15.75" x14ac:dyDescent="0.25">
      <c r="A1" s="418" t="s">
        <v>1337</v>
      </c>
      <c r="B1" s="418"/>
      <c r="C1" s="418"/>
      <c r="D1" s="418"/>
      <c r="E1" s="418"/>
      <c r="F1" s="418"/>
      <c r="G1" s="418"/>
      <c r="H1" s="418"/>
      <c r="I1" s="418"/>
      <c r="J1" s="418"/>
      <c r="K1" s="418"/>
      <c r="L1" s="418"/>
      <c r="M1" s="418"/>
    </row>
    <row r="2" spans="1:16" ht="47.25" x14ac:dyDescent="0.25">
      <c r="A2" s="4" t="s">
        <v>1272</v>
      </c>
      <c r="B2" s="4" t="s">
        <v>1273</v>
      </c>
      <c r="C2" s="4" t="s">
        <v>20</v>
      </c>
      <c r="D2" s="4" t="s">
        <v>1338</v>
      </c>
      <c r="E2" s="4" t="s">
        <v>1339</v>
      </c>
      <c r="F2" s="4" t="s">
        <v>1340</v>
      </c>
      <c r="G2" s="4" t="s">
        <v>1341</v>
      </c>
      <c r="H2" s="4" t="s">
        <v>1342</v>
      </c>
      <c r="I2" s="4" t="s">
        <v>1343</v>
      </c>
      <c r="J2" s="4" t="s">
        <v>1344</v>
      </c>
      <c r="K2" s="4" t="s">
        <v>1345</v>
      </c>
      <c r="L2" s="4" t="s">
        <v>1346</v>
      </c>
      <c r="M2" s="4" t="s">
        <v>1309</v>
      </c>
    </row>
    <row r="3" spans="1:16" ht="15.75" x14ac:dyDescent="0.25">
      <c r="A3" s="7">
        <v>1</v>
      </c>
      <c r="B3" s="7" t="s">
        <v>1347</v>
      </c>
      <c r="C3" s="7" t="s">
        <v>75</v>
      </c>
      <c r="D3" s="10">
        <v>0</v>
      </c>
      <c r="E3" s="7">
        <f>d_t_ac_pipe_100_mm_dia</f>
        <v>0</v>
      </c>
      <c r="F3" s="10">
        <f t="shared" ref="F3:F34" si="0">SUM(D3,E3)</f>
        <v>0</v>
      </c>
      <c r="G3" s="11"/>
      <c r="H3" s="9"/>
      <c r="K3" s="10">
        <f t="shared" ref="K3:K34" si="1">SUM(G3,H3,I3,J3)</f>
        <v>0</v>
      </c>
      <c r="L3" s="10">
        <f>ac_pipe_100_mm_dia</f>
        <v>0</v>
      </c>
      <c r="M3" s="9"/>
    </row>
    <row r="4" spans="1:16" ht="15.75" x14ac:dyDescent="0.25">
      <c r="A4" s="7">
        <v>2</v>
      </c>
      <c r="B4" s="7" t="s">
        <v>1348</v>
      </c>
      <c r="C4" s="7" t="s">
        <v>49</v>
      </c>
      <c r="D4" s="10">
        <v>0</v>
      </c>
      <c r="E4" s="7">
        <f>d_t_ac_pipe_collar</f>
        <v>0</v>
      </c>
      <c r="F4" s="10">
        <f t="shared" si="0"/>
        <v>0</v>
      </c>
      <c r="G4" s="11"/>
      <c r="H4" s="9"/>
      <c r="K4" s="10">
        <f t="shared" si="1"/>
        <v>0</v>
      </c>
      <c r="L4" s="10">
        <f>ac_pipe_100_mm_dia</f>
        <v>0</v>
      </c>
      <c r="M4" s="9"/>
    </row>
    <row r="5" spans="1:16" ht="15.75" x14ac:dyDescent="0.25">
      <c r="A5" s="7">
        <v>3</v>
      </c>
      <c r="B5" s="7" t="s">
        <v>2340</v>
      </c>
      <c r="C5" s="7" t="s">
        <v>144</v>
      </c>
      <c r="D5" s="10">
        <v>266</v>
      </c>
      <c r="E5" s="7">
        <f>d_t_admixture</f>
        <v>0</v>
      </c>
      <c r="F5" s="10">
        <f t="shared" si="0"/>
        <v>266</v>
      </c>
      <c r="G5" s="11"/>
      <c r="H5" s="9"/>
      <c r="K5" s="10">
        <f t="shared" si="1"/>
        <v>0</v>
      </c>
      <c r="L5" s="10">
        <f>admixture</f>
        <v>266</v>
      </c>
      <c r="M5" s="9"/>
      <c r="P5" t="s">
        <v>2388</v>
      </c>
    </row>
    <row r="6" spans="1:16" ht="15.75" x14ac:dyDescent="0.25">
      <c r="A6" s="7">
        <v>4</v>
      </c>
      <c r="B6" s="7" t="s">
        <v>1349</v>
      </c>
      <c r="C6" s="7" t="s">
        <v>84</v>
      </c>
      <c r="D6" s="249">
        <f>95*35.28</f>
        <v>3351.6</v>
      </c>
      <c r="E6" s="7">
        <f>d_t_aggregate_10_20_mm</f>
        <v>0</v>
      </c>
      <c r="F6" s="10">
        <f t="shared" si="0"/>
        <v>3351.6</v>
      </c>
      <c r="G6" s="11">
        <f t="shared" ref="G6:G12" si="2">col_rate_aggregate_13.2_mm</f>
        <v>1973.0390995849998</v>
      </c>
      <c r="H6" s="9"/>
      <c r="I6" s="10">
        <f t="shared" ref="I6:I12" si="3">IF(J6&gt; 0,man_load_aggregate,0)</f>
        <v>0</v>
      </c>
      <c r="J6" s="10">
        <f>t_aggregate_10_20_mm</f>
        <v>0</v>
      </c>
      <c r="K6" s="10">
        <f t="shared" si="1"/>
        <v>1973.0390995849998</v>
      </c>
      <c r="L6" s="10">
        <f>aggregate_10_20_mm</f>
        <v>3351.6</v>
      </c>
      <c r="M6" s="9"/>
      <c r="N6">
        <f>88*35.3</f>
        <v>3106.3999999999996</v>
      </c>
    </row>
    <row r="7" spans="1:16" ht="15.75" x14ac:dyDescent="0.25">
      <c r="A7" s="7">
        <v>5</v>
      </c>
      <c r="B7" s="7" t="s">
        <v>1350</v>
      </c>
      <c r="C7" s="7" t="s">
        <v>84</v>
      </c>
      <c r="D7" s="10">
        <f>90*35.28</f>
        <v>3175.2000000000003</v>
      </c>
      <c r="E7" s="7">
        <f>d_t_aggregate_10_mm</f>
        <v>0</v>
      </c>
      <c r="F7" s="10">
        <f t="shared" si="0"/>
        <v>3175.2000000000003</v>
      </c>
      <c r="G7" s="11">
        <f t="shared" si="2"/>
        <v>1973.0390995849998</v>
      </c>
      <c r="H7" s="9"/>
      <c r="I7" s="10">
        <f t="shared" si="3"/>
        <v>0</v>
      </c>
      <c r="J7" s="10">
        <f>t_aggregate_10_mm</f>
        <v>0</v>
      </c>
      <c r="K7" s="10">
        <f t="shared" si="1"/>
        <v>1973.0390995849998</v>
      </c>
      <c r="L7" s="10">
        <f>F7</f>
        <v>3175.2000000000003</v>
      </c>
      <c r="M7" s="9"/>
      <c r="N7">
        <f>89*35.3</f>
        <v>3141.7</v>
      </c>
    </row>
    <row r="8" spans="1:16" ht="15.75" x14ac:dyDescent="0.25">
      <c r="A8" s="7">
        <v>6</v>
      </c>
      <c r="B8" s="7" t="s">
        <v>1351</v>
      </c>
      <c r="C8" s="7" t="s">
        <v>84</v>
      </c>
      <c r="D8" s="10">
        <v>0</v>
      </c>
      <c r="E8" s="7">
        <f>d_t_aggregate_13.2_mm</f>
        <v>0</v>
      </c>
      <c r="F8" s="10">
        <f t="shared" si="0"/>
        <v>0</v>
      </c>
      <c r="G8" s="11">
        <f t="shared" si="2"/>
        <v>1973.0390995849998</v>
      </c>
      <c r="H8" s="9"/>
      <c r="I8" s="10">
        <f t="shared" si="3"/>
        <v>0</v>
      </c>
      <c r="J8" s="10">
        <f>t_aggregate_13.2_mm</f>
        <v>0</v>
      </c>
      <c r="K8" s="10">
        <f t="shared" si="1"/>
        <v>1973.0390995849998</v>
      </c>
      <c r="L8" s="10">
        <f>aggregate_13.2_mm</f>
        <v>0</v>
      </c>
      <c r="M8" s="9"/>
      <c r="N8">
        <f t="shared" ref="N8:N12" si="4">89*35.3</f>
        <v>3141.7</v>
      </c>
    </row>
    <row r="9" spans="1:16" ht="15.75" x14ac:dyDescent="0.25">
      <c r="A9" s="7">
        <v>7</v>
      </c>
      <c r="B9" s="7" t="s">
        <v>1352</v>
      </c>
      <c r="C9" s="7" t="s">
        <v>84</v>
      </c>
      <c r="D9" s="10">
        <f>90*35.28</f>
        <v>3175.2000000000003</v>
      </c>
      <c r="E9" s="7">
        <f>d_t_aggregate_20_40_mm</f>
        <v>0</v>
      </c>
      <c r="F9" s="10">
        <f t="shared" si="0"/>
        <v>3175.2000000000003</v>
      </c>
      <c r="G9" s="11">
        <f t="shared" si="2"/>
        <v>1973.0390995849998</v>
      </c>
      <c r="H9" s="9"/>
      <c r="I9" s="10">
        <f t="shared" si="3"/>
        <v>0</v>
      </c>
      <c r="J9" s="10">
        <f>t_aggregate_20_40_mm</f>
        <v>0</v>
      </c>
      <c r="K9" s="10">
        <f t="shared" si="1"/>
        <v>1973.0390995849998</v>
      </c>
      <c r="L9" s="10">
        <f>aggregate_20_40_mm</f>
        <v>3175.2000000000003</v>
      </c>
      <c r="M9" s="9"/>
      <c r="N9">
        <f>94*35.3</f>
        <v>3318.2</v>
      </c>
    </row>
    <row r="10" spans="1:16" ht="15.75" x14ac:dyDescent="0.25">
      <c r="A10" s="7">
        <v>8</v>
      </c>
      <c r="B10" s="7" t="s">
        <v>1353</v>
      </c>
      <c r="C10" s="7" t="s">
        <v>84</v>
      </c>
      <c r="D10" s="10">
        <f>95*35.28</f>
        <v>3351.6</v>
      </c>
      <c r="E10" s="7">
        <f>d_t_aggregate_20_mm</f>
        <v>0</v>
      </c>
      <c r="F10" s="10">
        <f t="shared" si="0"/>
        <v>3351.6</v>
      </c>
      <c r="G10" s="11">
        <f t="shared" si="2"/>
        <v>1973.0390995849998</v>
      </c>
      <c r="H10" s="9"/>
      <c r="I10" s="10">
        <f t="shared" si="3"/>
        <v>0</v>
      </c>
      <c r="J10" s="10">
        <f>t_aggregate_20_mm</f>
        <v>0</v>
      </c>
      <c r="K10" s="10">
        <f t="shared" si="1"/>
        <v>1973.0390995849998</v>
      </c>
      <c r="L10" s="10">
        <f>aggregate_20_mm</f>
        <v>3351.6</v>
      </c>
      <c r="M10" s="9"/>
      <c r="N10">
        <f t="shared" si="4"/>
        <v>3141.7</v>
      </c>
    </row>
    <row r="11" spans="1:16" ht="15.75" x14ac:dyDescent="0.25">
      <c r="A11" s="7">
        <v>9</v>
      </c>
      <c r="B11" s="277" t="s">
        <v>1354</v>
      </c>
      <c r="C11" s="277" t="s">
        <v>84</v>
      </c>
      <c r="D11" s="278">
        <f>70*35.28</f>
        <v>2469.6</v>
      </c>
      <c r="E11" s="7">
        <f>d_t_aggregate_40_70_mm</f>
        <v>0</v>
      </c>
      <c r="F11" s="10">
        <f t="shared" si="0"/>
        <v>2469.6</v>
      </c>
      <c r="G11" s="11">
        <f t="shared" si="2"/>
        <v>1973.0390995849998</v>
      </c>
      <c r="H11" s="9"/>
      <c r="I11" s="10">
        <f t="shared" si="3"/>
        <v>0</v>
      </c>
      <c r="J11" s="10">
        <f>t_aggregate_40_70_mm</f>
        <v>0</v>
      </c>
      <c r="K11" s="10">
        <f t="shared" si="1"/>
        <v>1973.0390995849998</v>
      </c>
      <c r="L11" s="10">
        <f>aggregate_40_70_mm</f>
        <v>2469.6</v>
      </c>
      <c r="M11" s="9"/>
    </row>
    <row r="12" spans="1:16" s="281" customFormat="1" ht="15.75" x14ac:dyDescent="0.25">
      <c r="A12" s="277">
        <v>10</v>
      </c>
      <c r="B12" s="277" t="s">
        <v>2103</v>
      </c>
      <c r="C12" s="277" t="s">
        <v>84</v>
      </c>
      <c r="D12" s="278">
        <f>90*35.28</f>
        <v>3175.2000000000003</v>
      </c>
      <c r="E12" s="277">
        <f>d_t_aggregate_10_mm</f>
        <v>0</v>
      </c>
      <c r="F12" s="278">
        <f t="shared" si="0"/>
        <v>3175.2000000000003</v>
      </c>
      <c r="G12" s="279">
        <f t="shared" si="2"/>
        <v>1973.0390995849998</v>
      </c>
      <c r="H12" s="280"/>
      <c r="I12" s="278">
        <f t="shared" si="3"/>
        <v>0</v>
      </c>
      <c r="J12" s="278">
        <f>t_aggregate_10_mm</f>
        <v>0</v>
      </c>
      <c r="K12" s="278">
        <f t="shared" si="1"/>
        <v>1973.0390995849998</v>
      </c>
      <c r="L12" s="278">
        <f>F12</f>
        <v>3175.2000000000003</v>
      </c>
      <c r="M12" s="280"/>
      <c r="N12" s="281">
        <f t="shared" si="4"/>
        <v>3141.7</v>
      </c>
    </row>
    <row r="13" spans="1:16" ht="31.5" x14ac:dyDescent="0.25">
      <c r="A13" s="7">
        <v>11</v>
      </c>
      <c r="B13" s="7" t="s">
        <v>1355</v>
      </c>
      <c r="C13" s="7" t="s">
        <v>438</v>
      </c>
      <c r="D13" s="10">
        <v>0</v>
      </c>
      <c r="E13" s="7">
        <f>d_t_aluminum_alloy_plate_2_mm</f>
        <v>0</v>
      </c>
      <c r="F13" s="10">
        <f t="shared" si="0"/>
        <v>0</v>
      </c>
      <c r="G13" s="11"/>
      <c r="H13" s="9"/>
      <c r="K13" s="10">
        <f t="shared" si="1"/>
        <v>0</v>
      </c>
      <c r="L13" s="10">
        <f t="shared" ref="L13:L34" si="5">IF(G13=0,F13,IF(F13 &lt; K13,F13,K13))</f>
        <v>0</v>
      </c>
      <c r="M13" s="9"/>
    </row>
    <row r="14" spans="1:16" s="354" customFormat="1" ht="15.75" x14ac:dyDescent="0.25">
      <c r="A14" s="347">
        <v>12</v>
      </c>
      <c r="B14" s="277" t="s">
        <v>1356</v>
      </c>
      <c r="C14" s="277" t="s">
        <v>144</v>
      </c>
      <c r="D14" s="278">
        <v>370</v>
      </c>
      <c r="E14" s="347">
        <f>d_t_anti_stripping_agent</f>
        <v>0</v>
      </c>
      <c r="F14" s="10">
        <f t="shared" si="0"/>
        <v>370</v>
      </c>
      <c r="G14" s="11"/>
      <c r="H14" s="9"/>
      <c r="K14" s="10">
        <f t="shared" si="1"/>
        <v>0</v>
      </c>
      <c r="L14" s="10">
        <v>322.5</v>
      </c>
      <c r="M14" s="9"/>
      <c r="P14" s="354" t="s">
        <v>2389</v>
      </c>
    </row>
    <row r="15" spans="1:16" ht="15.75" x14ac:dyDescent="0.25">
      <c r="A15" s="7">
        <v>13</v>
      </c>
      <c r="B15" s="7" t="s">
        <v>1357</v>
      </c>
      <c r="C15" s="7" t="s">
        <v>84</v>
      </c>
      <c r="D15" s="10">
        <f>82*35.28</f>
        <v>2892.96</v>
      </c>
      <c r="E15" s="7">
        <f>d_t_base_course_material</f>
        <v>0</v>
      </c>
      <c r="F15" s="10">
        <f t="shared" si="0"/>
        <v>2892.96</v>
      </c>
      <c r="G15" s="11"/>
      <c r="H15" s="9"/>
      <c r="K15" s="10">
        <f t="shared" si="1"/>
        <v>0</v>
      </c>
      <c r="L15" s="10">
        <f t="shared" si="5"/>
        <v>2892.96</v>
      </c>
      <c r="M15" s="9"/>
      <c r="N15">
        <f>82*35.31</f>
        <v>2895.42</v>
      </c>
    </row>
    <row r="16" spans="1:16" s="338" customFormat="1" ht="15.75" x14ac:dyDescent="0.25">
      <c r="A16" s="335">
        <v>14</v>
      </c>
      <c r="B16" s="335" t="s">
        <v>1358</v>
      </c>
      <c r="C16" s="335" t="s">
        <v>144</v>
      </c>
      <c r="D16" s="247">
        <v>20</v>
      </c>
      <c r="E16" s="335">
        <f>d_t_bentonite</f>
        <v>0</v>
      </c>
      <c r="F16" s="247">
        <f t="shared" si="0"/>
        <v>20</v>
      </c>
      <c r="G16" s="336"/>
      <c r="H16" s="337"/>
      <c r="K16" s="247">
        <f t="shared" si="1"/>
        <v>0</v>
      </c>
      <c r="L16" s="247">
        <f t="shared" si="5"/>
        <v>20</v>
      </c>
      <c r="M16" s="337"/>
    </row>
    <row r="17" spans="1:16" ht="15.75" x14ac:dyDescent="0.25">
      <c r="A17" s="7">
        <v>15</v>
      </c>
      <c r="B17" s="7" t="s">
        <v>1359</v>
      </c>
      <c r="C17" s="7" t="s">
        <v>144</v>
      </c>
      <c r="D17" s="10">
        <v>120</v>
      </c>
      <c r="E17" s="7">
        <f>d_t_binding_wire</f>
        <v>0</v>
      </c>
      <c r="F17" s="10">
        <f t="shared" si="0"/>
        <v>120</v>
      </c>
      <c r="G17" s="11"/>
      <c r="H17" s="9"/>
      <c r="K17" s="10">
        <f t="shared" si="1"/>
        <v>0</v>
      </c>
      <c r="L17" s="10">
        <f t="shared" si="5"/>
        <v>120</v>
      </c>
      <c r="M17" s="9"/>
      <c r="P17" s="338" t="s">
        <v>2374</v>
      </c>
    </row>
    <row r="18" spans="1:16" ht="15.75" x14ac:dyDescent="0.25">
      <c r="A18" s="7">
        <v>16</v>
      </c>
      <c r="B18" s="7" t="s">
        <v>1360</v>
      </c>
      <c r="C18" s="7" t="s">
        <v>35</v>
      </c>
      <c r="D18" s="10">
        <f>108*1000</f>
        <v>108000</v>
      </c>
      <c r="E18" s="7">
        <f>d_t_bitumen</f>
        <v>0</v>
      </c>
      <c r="F18" s="10">
        <f t="shared" si="0"/>
        <v>108000</v>
      </c>
      <c r="G18" s="11"/>
      <c r="H18" s="9"/>
      <c r="K18" s="10">
        <f t="shared" si="1"/>
        <v>0</v>
      </c>
      <c r="L18" s="10">
        <f t="shared" si="5"/>
        <v>108000</v>
      </c>
      <c r="M18" s="9"/>
      <c r="P18" t="s">
        <v>2373</v>
      </c>
    </row>
    <row r="19" spans="1:16" ht="15.75" x14ac:dyDescent="0.25">
      <c r="A19" s="7">
        <v>17</v>
      </c>
      <c r="B19" s="7" t="s">
        <v>1361</v>
      </c>
      <c r="C19" s="7" t="s">
        <v>35</v>
      </c>
      <c r="D19" s="10">
        <f>bitumen</f>
        <v>108000</v>
      </c>
      <c r="E19" s="7">
        <f>d_t_bitumen_vg_10</f>
        <v>0</v>
      </c>
      <c r="F19" s="10">
        <f t="shared" si="0"/>
        <v>108000</v>
      </c>
      <c r="G19" s="11"/>
      <c r="H19" s="9"/>
      <c r="K19" s="10">
        <f t="shared" si="1"/>
        <v>0</v>
      </c>
      <c r="L19" s="10">
        <f t="shared" si="5"/>
        <v>108000</v>
      </c>
      <c r="M19" s="9"/>
    </row>
    <row r="20" spans="1:16" ht="15.75" x14ac:dyDescent="0.25">
      <c r="A20" s="7">
        <v>18</v>
      </c>
      <c r="B20" s="7" t="s">
        <v>1362</v>
      </c>
      <c r="C20" s="7" t="s">
        <v>84</v>
      </c>
      <c r="D20" s="10">
        <v>0</v>
      </c>
      <c r="E20" s="7">
        <f>d_t_borrow_pit_material</f>
        <v>0</v>
      </c>
      <c r="F20" s="10">
        <f t="shared" si="0"/>
        <v>0</v>
      </c>
      <c r="G20" s="11"/>
      <c r="H20" s="9"/>
      <c r="K20" s="10">
        <f t="shared" si="1"/>
        <v>0</v>
      </c>
      <c r="L20" s="10">
        <f t="shared" si="5"/>
        <v>0</v>
      </c>
      <c r="M20" s="9"/>
    </row>
    <row r="21" spans="1:16" ht="15.75" x14ac:dyDescent="0.25">
      <c r="A21" s="7">
        <v>19</v>
      </c>
      <c r="B21" s="7" t="s">
        <v>1363</v>
      </c>
      <c r="C21" s="7" t="s">
        <v>49</v>
      </c>
      <c r="D21" s="10">
        <v>15.14</v>
      </c>
      <c r="E21" s="7">
        <f>d_t_bricks</f>
        <v>0</v>
      </c>
      <c r="F21" s="10">
        <f t="shared" si="0"/>
        <v>15.14</v>
      </c>
      <c r="G21" s="11"/>
      <c r="H21" s="9"/>
      <c r="K21" s="10">
        <f t="shared" si="1"/>
        <v>0</v>
      </c>
      <c r="L21" s="10">
        <f t="shared" si="5"/>
        <v>15.14</v>
      </c>
      <c r="M21" s="9"/>
    </row>
    <row r="22" spans="1:16" ht="15.75" x14ac:dyDescent="0.25">
      <c r="A22" s="7">
        <v>20</v>
      </c>
      <c r="B22" s="7" t="s">
        <v>1364</v>
      </c>
      <c r="C22" s="7" t="s">
        <v>49</v>
      </c>
      <c r="D22" s="10">
        <f>bricks</f>
        <v>15.14</v>
      </c>
      <c r="E22" s="7">
        <f>d_t_bricks_1st_class</f>
        <v>0</v>
      </c>
      <c r="F22" s="10">
        <f t="shared" si="0"/>
        <v>15.14</v>
      </c>
      <c r="G22" s="11"/>
      <c r="H22" s="9"/>
      <c r="K22" s="10">
        <f t="shared" si="1"/>
        <v>0</v>
      </c>
      <c r="L22" s="10">
        <f t="shared" si="5"/>
        <v>15.14</v>
      </c>
      <c r="M22" s="9"/>
    </row>
    <row r="23" spans="1:16" s="338" customFormat="1" ht="15.75" x14ac:dyDescent="0.25">
      <c r="A23" s="335">
        <v>21</v>
      </c>
      <c r="B23" s="335" t="s">
        <v>1365</v>
      </c>
      <c r="C23" s="335" t="s">
        <v>84</v>
      </c>
      <c r="D23" s="247">
        <v>550.79999999999995</v>
      </c>
      <c r="E23" s="335">
        <f>d_t_capping_layer</f>
        <v>0</v>
      </c>
      <c r="F23" s="247">
        <f t="shared" si="0"/>
        <v>550.79999999999995</v>
      </c>
      <c r="G23" s="336"/>
      <c r="H23" s="337"/>
      <c r="K23" s="247">
        <f t="shared" si="1"/>
        <v>0</v>
      </c>
      <c r="L23" s="247">
        <f t="shared" si="5"/>
        <v>550.79999999999995</v>
      </c>
      <c r="M23" s="337"/>
    </row>
    <row r="24" spans="1:16" s="338" customFormat="1" ht="15.75" x14ac:dyDescent="0.25">
      <c r="A24" s="335">
        <v>22</v>
      </c>
      <c r="B24" s="335" t="s">
        <v>1366</v>
      </c>
      <c r="C24" s="335" t="s">
        <v>106</v>
      </c>
      <c r="D24" s="247">
        <v>1025</v>
      </c>
      <c r="E24" s="335">
        <f>d_t_cats_eye</f>
        <v>0</v>
      </c>
      <c r="F24" s="247">
        <f t="shared" si="0"/>
        <v>1025</v>
      </c>
      <c r="G24" s="336"/>
      <c r="H24" s="337"/>
      <c r="K24" s="247">
        <f t="shared" si="1"/>
        <v>0</v>
      </c>
      <c r="L24" s="247">
        <f t="shared" si="5"/>
        <v>1025</v>
      </c>
      <c r="M24" s="337"/>
    </row>
    <row r="25" spans="1:16" ht="15.75" x14ac:dyDescent="0.25">
      <c r="A25" s="7">
        <v>23</v>
      </c>
      <c r="B25" s="7" t="s">
        <v>1367</v>
      </c>
      <c r="C25" s="7" t="s">
        <v>35</v>
      </c>
      <c r="D25" s="10">
        <f>(640+11.55)*20</f>
        <v>13031</v>
      </c>
      <c r="E25" s="7">
        <f>d_t_cement</f>
        <v>0</v>
      </c>
      <c r="F25" s="10">
        <f t="shared" si="0"/>
        <v>13031</v>
      </c>
      <c r="G25" s="11"/>
      <c r="H25" s="9"/>
      <c r="K25" s="10">
        <f t="shared" si="1"/>
        <v>0</v>
      </c>
      <c r="L25" s="10">
        <f t="shared" si="5"/>
        <v>13031</v>
      </c>
      <c r="M25" s="9"/>
      <c r="N25">
        <f>200*825</f>
        <v>165000</v>
      </c>
      <c r="P25" t="s">
        <v>2375</v>
      </c>
    </row>
    <row r="26" spans="1:16" s="338" customFormat="1" ht="15.75" x14ac:dyDescent="0.25">
      <c r="A26" s="335">
        <v>24</v>
      </c>
      <c r="B26" s="335" t="s">
        <v>1368</v>
      </c>
      <c r="C26" s="335" t="s">
        <v>106</v>
      </c>
      <c r="D26" s="247">
        <v>0</v>
      </c>
      <c r="E26" s="335">
        <f>d_t_clamps</f>
        <v>0</v>
      </c>
      <c r="F26" s="247">
        <f t="shared" si="0"/>
        <v>0</v>
      </c>
      <c r="G26" s="336"/>
      <c r="H26" s="337"/>
      <c r="K26" s="247">
        <f t="shared" si="1"/>
        <v>0</v>
      </c>
      <c r="L26" s="247">
        <f t="shared" si="5"/>
        <v>0</v>
      </c>
      <c r="M26" s="337"/>
    </row>
    <row r="27" spans="1:16" ht="31.5" x14ac:dyDescent="0.25">
      <c r="A27" s="7">
        <v>25</v>
      </c>
      <c r="B27" s="7" t="s">
        <v>1369</v>
      </c>
      <c r="C27" s="7" t="s">
        <v>438</v>
      </c>
      <c r="D27" s="10">
        <v>0</v>
      </c>
      <c r="E27" s="7">
        <f>d_t_compressible_fiber_board_20_mm</f>
        <v>0</v>
      </c>
      <c r="F27" s="10">
        <f t="shared" si="0"/>
        <v>0</v>
      </c>
      <c r="G27" s="11"/>
      <c r="H27" s="9"/>
      <c r="K27" s="10">
        <f t="shared" si="1"/>
        <v>0</v>
      </c>
      <c r="L27" s="10">
        <f t="shared" si="5"/>
        <v>0</v>
      </c>
      <c r="M27" s="9"/>
    </row>
    <row r="28" spans="1:16" ht="15.75" x14ac:dyDescent="0.25">
      <c r="A28" s="7">
        <v>26</v>
      </c>
      <c r="B28" s="7" t="s">
        <v>1370</v>
      </c>
      <c r="C28" s="7" t="s">
        <v>438</v>
      </c>
      <c r="D28" s="10">
        <f>53*10.76</f>
        <v>570.28</v>
      </c>
      <c r="E28" s="7">
        <f>d_t_concrete_block_footpath</f>
        <v>0</v>
      </c>
      <c r="F28" s="10">
        <f t="shared" si="0"/>
        <v>570.28</v>
      </c>
      <c r="G28" s="11"/>
      <c r="H28" s="9"/>
      <c r="K28" s="10">
        <f t="shared" si="1"/>
        <v>0</v>
      </c>
      <c r="L28" s="10">
        <f t="shared" si="5"/>
        <v>570.28</v>
      </c>
      <c r="M28" s="9"/>
      <c r="N28">
        <f>10.76*50</f>
        <v>538</v>
      </c>
      <c r="P28" t="s">
        <v>2390</v>
      </c>
    </row>
    <row r="29" spans="1:16" s="363" customFormat="1" ht="15.75" x14ac:dyDescent="0.25">
      <c r="A29" s="359">
        <v>27</v>
      </c>
      <c r="B29" s="359" t="s">
        <v>1371</v>
      </c>
      <c r="C29" s="359" t="s">
        <v>1812</v>
      </c>
      <c r="D29" s="360">
        <v>350</v>
      </c>
      <c r="E29" s="359">
        <f>d_t_concrete_block_kerb</f>
        <v>0</v>
      </c>
      <c r="F29" s="360">
        <f t="shared" si="0"/>
        <v>350</v>
      </c>
      <c r="G29" s="361"/>
      <c r="H29" s="362"/>
      <c r="K29" s="364">
        <f t="shared" si="1"/>
        <v>0</v>
      </c>
      <c r="L29" s="360">
        <f t="shared" si="5"/>
        <v>350</v>
      </c>
      <c r="M29" s="362"/>
      <c r="N29" s="363">
        <f>(340.71/30)*25</f>
        <v>283.92499999999995</v>
      </c>
      <c r="P29" s="363" t="s">
        <v>2376</v>
      </c>
    </row>
    <row r="30" spans="1:16" ht="15.75" x14ac:dyDescent="0.25">
      <c r="A30" s="7">
        <v>28</v>
      </c>
      <c r="B30" s="7" t="s">
        <v>1372</v>
      </c>
      <c r="C30" s="7" t="s">
        <v>144</v>
      </c>
      <c r="D30" s="10">
        <v>0</v>
      </c>
      <c r="E30" s="7">
        <f>d_t_copper_plate</f>
        <v>0</v>
      </c>
      <c r="F30" s="10">
        <f t="shared" si="0"/>
        <v>0</v>
      </c>
      <c r="G30" s="11"/>
      <c r="H30" s="9"/>
      <c r="K30" s="10">
        <f t="shared" si="1"/>
        <v>0</v>
      </c>
      <c r="L30" s="10">
        <f t="shared" si="5"/>
        <v>0</v>
      </c>
      <c r="M30" s="9"/>
    </row>
    <row r="31" spans="1:16" ht="15.75" x14ac:dyDescent="0.25">
      <c r="A31" s="7">
        <v>29</v>
      </c>
      <c r="B31" s="7" t="s">
        <v>1373</v>
      </c>
      <c r="C31" s="7" t="s">
        <v>37</v>
      </c>
      <c r="D31" s="10">
        <v>0</v>
      </c>
      <c r="E31" s="7">
        <f>d_t_corrosion_resistant_steel</f>
        <v>0</v>
      </c>
      <c r="F31" s="10">
        <f t="shared" si="0"/>
        <v>0</v>
      </c>
      <c r="G31" s="11"/>
      <c r="H31" s="9"/>
      <c r="K31" s="10">
        <f t="shared" si="1"/>
        <v>0</v>
      </c>
      <c r="L31" s="10">
        <f t="shared" si="5"/>
        <v>0</v>
      </c>
      <c r="M31" s="9"/>
    </row>
    <row r="32" spans="1:16" ht="15.75" x14ac:dyDescent="0.25">
      <c r="A32" s="7">
        <v>30</v>
      </c>
      <c r="B32" s="7" t="s">
        <v>1374</v>
      </c>
      <c r="C32" s="7" t="s">
        <v>35</v>
      </c>
      <c r="D32" s="10">
        <f>bitumen</f>
        <v>108000</v>
      </c>
      <c r="E32" s="7">
        <f>d_t_cutback_bitumen</f>
        <v>0</v>
      </c>
      <c r="F32" s="10">
        <f t="shared" si="0"/>
        <v>108000</v>
      </c>
      <c r="G32" s="11"/>
      <c r="H32" s="9"/>
      <c r="K32" s="10">
        <f t="shared" si="1"/>
        <v>0</v>
      </c>
      <c r="L32" s="10">
        <f t="shared" si="5"/>
        <v>108000</v>
      </c>
      <c r="M32" s="9"/>
    </row>
    <row r="33" spans="1:16" s="210" customFormat="1" ht="15.75" x14ac:dyDescent="0.25">
      <c r="A33" s="203">
        <v>31</v>
      </c>
      <c r="B33" s="203" t="s">
        <v>1375</v>
      </c>
      <c r="C33" s="203" t="s">
        <v>1376</v>
      </c>
      <c r="D33" s="243">
        <f>148/1.13</f>
        <v>130.97345132743365</v>
      </c>
      <c r="E33" s="203">
        <f>d_t_diesel</f>
        <v>0</v>
      </c>
      <c r="F33" s="243">
        <f t="shared" si="0"/>
        <v>130.97345132743365</v>
      </c>
      <c r="G33" s="198"/>
      <c r="H33" s="209"/>
      <c r="K33" s="208">
        <f t="shared" si="1"/>
        <v>0</v>
      </c>
      <c r="L33" s="243">
        <f t="shared" si="5"/>
        <v>130.97345132743365</v>
      </c>
      <c r="M33" s="209"/>
    </row>
    <row r="34" spans="1:16" s="338" customFormat="1" ht="15.75" x14ac:dyDescent="0.25">
      <c r="A34" s="335">
        <v>32</v>
      </c>
      <c r="B34" s="335" t="s">
        <v>1377</v>
      </c>
      <c r="C34" s="335" t="s">
        <v>49</v>
      </c>
      <c r="D34" s="247">
        <v>35000</v>
      </c>
      <c r="E34" s="335">
        <f>d_t_elastomeric_bearing</f>
        <v>0</v>
      </c>
      <c r="F34" s="247">
        <f t="shared" si="0"/>
        <v>35000</v>
      </c>
      <c r="G34" s="336"/>
      <c r="H34" s="337"/>
      <c r="K34" s="247">
        <f t="shared" si="1"/>
        <v>0</v>
      </c>
      <c r="L34" s="247">
        <f t="shared" si="5"/>
        <v>35000</v>
      </c>
      <c r="M34" s="337"/>
    </row>
    <row r="35" spans="1:16" ht="15.75" x14ac:dyDescent="0.25">
      <c r="A35" s="7">
        <v>33</v>
      </c>
      <c r="B35" s="7" t="s">
        <v>1378</v>
      </c>
      <c r="C35" s="7" t="s">
        <v>49</v>
      </c>
      <c r="D35" s="10">
        <v>0</v>
      </c>
      <c r="E35" s="7">
        <f>d_t_electric_detonator</f>
        <v>0</v>
      </c>
      <c r="F35" s="10">
        <f t="shared" ref="F35:F66" si="6">SUM(D35,E35)</f>
        <v>0</v>
      </c>
      <c r="G35" s="11"/>
      <c r="H35" s="9"/>
      <c r="K35" s="10">
        <f t="shared" ref="K35:K66" si="7">SUM(G35,H35,I35,J35)</f>
        <v>0</v>
      </c>
      <c r="L35" s="10">
        <f t="shared" ref="L35:L66" si="8">IF(G35=0,F35,IF(F35 &lt; K35,F35,K35))</f>
        <v>0</v>
      </c>
      <c r="M35" s="9"/>
    </row>
    <row r="36" spans="1:16" ht="15.75" x14ac:dyDescent="0.25">
      <c r="A36" s="7">
        <v>34</v>
      </c>
      <c r="B36" s="7" t="s">
        <v>1379</v>
      </c>
      <c r="C36" s="7" t="s">
        <v>1380</v>
      </c>
      <c r="D36" s="248">
        <v>11.5</v>
      </c>
      <c r="E36" s="7">
        <f>d_t_electricity</f>
        <v>0</v>
      </c>
      <c r="F36" s="249">
        <f t="shared" si="6"/>
        <v>11.5</v>
      </c>
      <c r="G36" s="11"/>
      <c r="H36" s="9"/>
      <c r="K36" s="10">
        <f t="shared" si="7"/>
        <v>0</v>
      </c>
      <c r="L36" s="10">
        <f t="shared" si="8"/>
        <v>11.5</v>
      </c>
      <c r="M36" s="9"/>
    </row>
    <row r="37" spans="1:16" s="353" customFormat="1" ht="15.75" x14ac:dyDescent="0.25">
      <c r="A37" s="349">
        <v>35</v>
      </c>
      <c r="B37" s="349" t="s">
        <v>2369</v>
      </c>
      <c r="C37" s="349" t="s">
        <v>35</v>
      </c>
      <c r="D37" s="350">
        <f>94*1000</f>
        <v>94000</v>
      </c>
      <c r="E37" s="349">
        <f>d_t_emulsion</f>
        <v>0</v>
      </c>
      <c r="F37" s="350">
        <f t="shared" si="6"/>
        <v>94000</v>
      </c>
      <c r="G37" s="351"/>
      <c r="H37" s="352"/>
      <c r="K37" s="350">
        <f t="shared" si="7"/>
        <v>0</v>
      </c>
      <c r="L37" s="350">
        <f t="shared" si="8"/>
        <v>94000</v>
      </c>
      <c r="M37" s="352"/>
      <c r="P37" s="353" t="s">
        <v>2373</v>
      </c>
    </row>
    <row r="38" spans="1:16" ht="15.75" x14ac:dyDescent="0.25">
      <c r="A38" s="7">
        <v>36</v>
      </c>
      <c r="B38" s="7" t="s">
        <v>1381</v>
      </c>
      <c r="C38" s="7" t="s">
        <v>144</v>
      </c>
      <c r="D38" s="10">
        <v>0</v>
      </c>
      <c r="E38" s="7">
        <f>d_t_epoxy_bonding_agent</f>
        <v>0</v>
      </c>
      <c r="F38" s="10">
        <f t="shared" si="6"/>
        <v>0</v>
      </c>
      <c r="G38" s="11"/>
      <c r="H38" s="9"/>
      <c r="K38" s="10">
        <f t="shared" si="7"/>
        <v>0</v>
      </c>
      <c r="L38" s="10">
        <f t="shared" si="8"/>
        <v>0</v>
      </c>
      <c r="M38" s="9"/>
    </row>
    <row r="39" spans="1:16" ht="31.5" x14ac:dyDescent="0.25">
      <c r="A39" s="7">
        <v>37</v>
      </c>
      <c r="B39" s="7" t="s">
        <v>1382</v>
      </c>
      <c r="C39" s="7" t="s">
        <v>1133</v>
      </c>
      <c r="D39" s="10">
        <v>0</v>
      </c>
      <c r="E39" s="7">
        <f>d_t_epoxy_red_zinc_oxide_phosphate_primer</f>
        <v>0</v>
      </c>
      <c r="F39" s="10">
        <f t="shared" si="6"/>
        <v>0</v>
      </c>
      <c r="G39" s="11"/>
      <c r="H39" s="9"/>
      <c r="K39" s="10">
        <f t="shared" si="7"/>
        <v>0</v>
      </c>
      <c r="L39" s="10">
        <f t="shared" si="8"/>
        <v>0</v>
      </c>
      <c r="M39" s="9"/>
    </row>
    <row r="40" spans="1:16" ht="15.75" x14ac:dyDescent="0.25">
      <c r="A40" s="7">
        <v>38</v>
      </c>
      <c r="B40" s="7" t="s">
        <v>1383</v>
      </c>
      <c r="C40" s="7" t="s">
        <v>75</v>
      </c>
      <c r="D40" s="10">
        <v>0</v>
      </c>
      <c r="E40" s="7">
        <f>d_t_expansion_joint</f>
        <v>0</v>
      </c>
      <c r="F40" s="10">
        <f t="shared" si="6"/>
        <v>0</v>
      </c>
      <c r="G40" s="11"/>
      <c r="H40" s="9"/>
      <c r="K40" s="10">
        <f t="shared" si="7"/>
        <v>0</v>
      </c>
      <c r="L40" s="10">
        <f t="shared" si="8"/>
        <v>0</v>
      </c>
      <c r="M40" s="9"/>
    </row>
    <row r="41" spans="1:16" s="338" customFormat="1" ht="15.75" x14ac:dyDescent="0.25">
      <c r="A41" s="335">
        <v>39</v>
      </c>
      <c r="B41" s="335" t="s">
        <v>1384</v>
      </c>
      <c r="C41" s="335" t="s">
        <v>84</v>
      </c>
      <c r="D41" s="247">
        <v>550.79999999999995</v>
      </c>
      <c r="E41" s="335">
        <f>d_t_filter_material</f>
        <v>0</v>
      </c>
      <c r="F41" s="247">
        <f t="shared" si="6"/>
        <v>550.79999999999995</v>
      </c>
      <c r="G41" s="336"/>
      <c r="H41" s="337"/>
      <c r="K41" s="247">
        <f>F41</f>
        <v>550.79999999999995</v>
      </c>
      <c r="L41" s="247">
        <f t="shared" si="8"/>
        <v>550.79999999999995</v>
      </c>
      <c r="M41" s="337"/>
    </row>
    <row r="42" spans="1:16" ht="15.75" x14ac:dyDescent="0.25">
      <c r="A42" s="7">
        <v>40</v>
      </c>
      <c r="B42" s="7" t="s">
        <v>1385</v>
      </c>
      <c r="C42" s="7" t="s">
        <v>463</v>
      </c>
      <c r="D42" s="10">
        <v>0</v>
      </c>
      <c r="E42" s="7">
        <f>d_t_fuse_wire_blasting</f>
        <v>0</v>
      </c>
      <c r="F42" s="10">
        <f t="shared" si="6"/>
        <v>0</v>
      </c>
      <c r="G42" s="11"/>
      <c r="H42" s="9"/>
      <c r="K42" s="10">
        <f t="shared" si="7"/>
        <v>0</v>
      </c>
      <c r="L42" s="10">
        <f t="shared" si="8"/>
        <v>0</v>
      </c>
      <c r="M42" s="9"/>
    </row>
    <row r="43" spans="1:16" ht="47.25" x14ac:dyDescent="0.25">
      <c r="A43" s="7">
        <v>41</v>
      </c>
      <c r="B43" s="7" t="s">
        <v>1386</v>
      </c>
      <c r="C43" s="7" t="s">
        <v>438</v>
      </c>
      <c r="D43" s="10">
        <v>270</v>
      </c>
      <c r="E43" s="7">
        <f>d_t_Gabion_100x120_MW2.7_3.7_SW3.4_4.4_LW2.2_3.2</f>
        <v>0</v>
      </c>
      <c r="F43" s="10">
        <f t="shared" si="6"/>
        <v>270</v>
      </c>
      <c r="G43" s="11"/>
      <c r="H43" s="9"/>
      <c r="K43" s="10">
        <f t="shared" si="7"/>
        <v>0</v>
      </c>
      <c r="L43" s="10">
        <f t="shared" si="8"/>
        <v>270</v>
      </c>
      <c r="M43" s="9"/>
    </row>
    <row r="44" spans="1:16" ht="31.5" x14ac:dyDescent="0.25">
      <c r="A44" s="7">
        <v>42</v>
      </c>
      <c r="B44" s="7" t="s">
        <v>1387</v>
      </c>
      <c r="C44" s="7" t="s">
        <v>438</v>
      </c>
      <c r="D44" s="10">
        <v>270</v>
      </c>
      <c r="E44" s="7">
        <f>d_t_Gabion_100x120_MW3_SW3.9_LW2.4</f>
        <v>0</v>
      </c>
      <c r="F44" s="10">
        <f t="shared" si="6"/>
        <v>270</v>
      </c>
      <c r="G44" s="11"/>
      <c r="H44" s="9"/>
      <c r="K44" s="10">
        <f t="shared" si="7"/>
        <v>0</v>
      </c>
      <c r="L44" s="10">
        <f t="shared" si="8"/>
        <v>270</v>
      </c>
      <c r="M44" s="9"/>
    </row>
    <row r="45" spans="1:16" ht="31.5" x14ac:dyDescent="0.25">
      <c r="A45" s="7">
        <v>43</v>
      </c>
      <c r="B45" s="7" t="s">
        <v>1388</v>
      </c>
      <c r="C45" s="7" t="s">
        <v>438</v>
      </c>
      <c r="D45" s="10">
        <v>328</v>
      </c>
      <c r="E45" s="7">
        <f>d_t_Gabion_50x80_MW2.7_SW3.4_LW2.2</f>
        <v>0</v>
      </c>
      <c r="F45" s="10">
        <f t="shared" si="6"/>
        <v>328</v>
      </c>
      <c r="G45" s="11"/>
      <c r="H45" s="9"/>
      <c r="K45" s="10">
        <f t="shared" si="7"/>
        <v>0</v>
      </c>
      <c r="L45" s="10">
        <f t="shared" si="8"/>
        <v>328</v>
      </c>
      <c r="M45" s="9"/>
    </row>
    <row r="46" spans="1:16" ht="31.5" x14ac:dyDescent="0.25">
      <c r="A46" s="7">
        <v>44</v>
      </c>
      <c r="B46" s="7" t="s">
        <v>1389</v>
      </c>
      <c r="C46" s="7" t="s">
        <v>438</v>
      </c>
      <c r="D46" s="10">
        <v>318</v>
      </c>
      <c r="E46" s="7">
        <f>d_t_Gabion_100x120_MW2.7_SW3.4_LW2.2</f>
        <v>0</v>
      </c>
      <c r="F46" s="10">
        <f t="shared" si="6"/>
        <v>318</v>
      </c>
      <c r="G46" s="11"/>
      <c r="H46" s="9"/>
      <c r="K46" s="10">
        <f t="shared" si="7"/>
        <v>0</v>
      </c>
      <c r="L46" s="10">
        <f t="shared" si="8"/>
        <v>318</v>
      </c>
      <c r="M46" s="9"/>
    </row>
    <row r="47" spans="1:16" ht="15.75" x14ac:dyDescent="0.25">
      <c r="A47" s="7">
        <v>45</v>
      </c>
      <c r="B47" s="7" t="s">
        <v>1390</v>
      </c>
      <c r="C47" s="7" t="s">
        <v>144</v>
      </c>
      <c r="D47" s="10">
        <v>129</v>
      </c>
      <c r="E47" s="7">
        <f>d_t_gabion_mesh_wire</f>
        <v>0</v>
      </c>
      <c r="F47" s="10">
        <f t="shared" si="6"/>
        <v>129</v>
      </c>
      <c r="G47" s="11"/>
      <c r="H47" s="9"/>
      <c r="K47" s="10">
        <f t="shared" si="7"/>
        <v>0</v>
      </c>
      <c r="L47" s="10">
        <f t="shared" si="8"/>
        <v>129</v>
      </c>
      <c r="M47" s="9"/>
    </row>
    <row r="48" spans="1:16" ht="15.75" x14ac:dyDescent="0.25">
      <c r="A48" s="7">
        <v>46</v>
      </c>
      <c r="B48" s="7" t="s">
        <v>1391</v>
      </c>
      <c r="C48" s="7" t="s">
        <v>438</v>
      </c>
      <c r="D48" s="10">
        <v>0</v>
      </c>
      <c r="E48" s="7">
        <f>d_t_Galvanized_Angle</f>
        <v>0</v>
      </c>
      <c r="F48" s="10">
        <f t="shared" si="6"/>
        <v>0</v>
      </c>
      <c r="G48" s="11"/>
      <c r="H48" s="9"/>
      <c r="K48" s="10">
        <f t="shared" si="7"/>
        <v>0</v>
      </c>
      <c r="L48" s="10">
        <f t="shared" si="8"/>
        <v>0</v>
      </c>
      <c r="M48" s="9"/>
    </row>
    <row r="49" spans="1:15" ht="31.5" x14ac:dyDescent="0.25">
      <c r="A49" s="7">
        <v>47</v>
      </c>
      <c r="B49" s="7" t="s">
        <v>1392</v>
      </c>
      <c r="C49" s="7" t="s">
        <v>144</v>
      </c>
      <c r="D49" s="10">
        <v>0</v>
      </c>
      <c r="E49" s="7">
        <f>d_t_galvanized_angle_section_100_100_mm</f>
        <v>0</v>
      </c>
      <c r="F49" s="10">
        <f t="shared" si="6"/>
        <v>0</v>
      </c>
      <c r="G49" s="11"/>
      <c r="H49" s="9"/>
      <c r="K49" s="10">
        <f t="shared" si="7"/>
        <v>0</v>
      </c>
      <c r="L49" s="10">
        <f t="shared" si="8"/>
        <v>0</v>
      </c>
      <c r="M49" s="9"/>
    </row>
    <row r="50" spans="1:15" ht="15.75" x14ac:dyDescent="0.25">
      <c r="A50" s="7">
        <v>48</v>
      </c>
      <c r="B50" s="7" t="s">
        <v>1393</v>
      </c>
      <c r="C50" s="7" t="s">
        <v>144</v>
      </c>
      <c r="D50" s="10">
        <v>0</v>
      </c>
      <c r="E50" s="7">
        <f>d_t_galvanized_channel_post</f>
        <v>0</v>
      </c>
      <c r="F50" s="10">
        <f t="shared" si="6"/>
        <v>0</v>
      </c>
      <c r="G50" s="11"/>
      <c r="H50" s="9"/>
      <c r="K50" s="10">
        <f t="shared" si="7"/>
        <v>0</v>
      </c>
      <c r="L50" s="10">
        <f t="shared" si="8"/>
        <v>0</v>
      </c>
      <c r="M50" s="9"/>
    </row>
    <row r="51" spans="1:15" ht="31.5" x14ac:dyDescent="0.25">
      <c r="A51" s="7">
        <v>49</v>
      </c>
      <c r="B51" s="7" t="s">
        <v>1394</v>
      </c>
      <c r="C51" s="7" t="s">
        <v>144</v>
      </c>
      <c r="D51" s="10">
        <v>0</v>
      </c>
      <c r="E51" s="7">
        <f>d_t_galvanized_corrugated_thrie_beam</f>
        <v>0</v>
      </c>
      <c r="F51" s="10">
        <f t="shared" si="6"/>
        <v>0</v>
      </c>
      <c r="G51" s="11"/>
      <c r="H51" s="9"/>
      <c r="K51" s="10">
        <f t="shared" si="7"/>
        <v>0</v>
      </c>
      <c r="L51" s="10">
        <f t="shared" si="8"/>
        <v>0</v>
      </c>
      <c r="M51" s="9"/>
    </row>
    <row r="52" spans="1:15" ht="31.5" x14ac:dyDescent="0.25">
      <c r="A52" s="7">
        <v>50</v>
      </c>
      <c r="B52" s="7" t="s">
        <v>1395</v>
      </c>
      <c r="C52" s="7" t="s">
        <v>144</v>
      </c>
      <c r="D52" s="10">
        <v>0</v>
      </c>
      <c r="E52" s="7">
        <f>d_t_galvanized_corrugated_w_beam_sheet</f>
        <v>0</v>
      </c>
      <c r="F52" s="10">
        <f t="shared" si="6"/>
        <v>0</v>
      </c>
      <c r="G52" s="11"/>
      <c r="H52" s="9"/>
      <c r="K52" s="10">
        <f t="shared" si="7"/>
        <v>0</v>
      </c>
      <c r="L52" s="10">
        <f t="shared" si="8"/>
        <v>0</v>
      </c>
      <c r="M52" s="9"/>
    </row>
    <row r="53" spans="1:15" ht="15.75" x14ac:dyDescent="0.25">
      <c r="A53" s="7">
        <v>51</v>
      </c>
      <c r="B53" s="7" t="s">
        <v>1396</v>
      </c>
      <c r="C53" s="7" t="s">
        <v>49</v>
      </c>
      <c r="D53" s="10">
        <v>0</v>
      </c>
      <c r="E53" s="7">
        <f>d_t_galvanized_ms_clamp</f>
        <v>0</v>
      </c>
      <c r="F53" s="10">
        <f t="shared" si="6"/>
        <v>0</v>
      </c>
      <c r="G53" s="11"/>
      <c r="H53" s="9"/>
      <c r="K53" s="10">
        <f t="shared" si="7"/>
        <v>0</v>
      </c>
      <c r="L53" s="10">
        <f t="shared" si="8"/>
        <v>0</v>
      </c>
      <c r="M53" s="9"/>
    </row>
    <row r="54" spans="1:15" ht="15.75" x14ac:dyDescent="0.25">
      <c r="A54" s="7">
        <v>52</v>
      </c>
      <c r="B54" s="7" t="s">
        <v>1397</v>
      </c>
      <c r="C54" s="7" t="s">
        <v>144</v>
      </c>
      <c r="D54" s="10">
        <v>0</v>
      </c>
      <c r="E54" s="7">
        <f>d_t_galvanized_spacer_channel</f>
        <v>0</v>
      </c>
      <c r="F54" s="10">
        <f t="shared" si="6"/>
        <v>0</v>
      </c>
      <c r="G54" s="11"/>
      <c r="H54" s="9"/>
      <c r="K54" s="10">
        <f t="shared" si="7"/>
        <v>0</v>
      </c>
      <c r="L54" s="10">
        <f t="shared" si="8"/>
        <v>0</v>
      </c>
      <c r="M54" s="9"/>
    </row>
    <row r="55" spans="1:15" ht="15.75" x14ac:dyDescent="0.25">
      <c r="A55" s="7">
        <v>53</v>
      </c>
      <c r="B55" s="7" t="s">
        <v>1398</v>
      </c>
      <c r="C55" s="7" t="s">
        <v>35</v>
      </c>
      <c r="D55" s="10">
        <v>0</v>
      </c>
      <c r="E55" s="7">
        <f>d_t_galvanized_steel</f>
        <v>0</v>
      </c>
      <c r="F55" s="10">
        <f t="shared" si="6"/>
        <v>0</v>
      </c>
      <c r="G55" s="11"/>
      <c r="H55" s="9"/>
      <c r="K55" s="10">
        <f t="shared" si="7"/>
        <v>0</v>
      </c>
      <c r="L55" s="10">
        <f t="shared" si="8"/>
        <v>0</v>
      </c>
      <c r="M55" s="9"/>
    </row>
    <row r="56" spans="1:15" ht="15.75" x14ac:dyDescent="0.25">
      <c r="A56" s="7">
        <v>54</v>
      </c>
      <c r="B56" s="7" t="s">
        <v>1399</v>
      </c>
      <c r="C56" s="7" t="s">
        <v>37</v>
      </c>
      <c r="D56" s="10">
        <v>0</v>
      </c>
      <c r="E56" s="7">
        <f>d_t_gelatin</f>
        <v>0</v>
      </c>
      <c r="F56" s="10">
        <f t="shared" si="6"/>
        <v>0</v>
      </c>
      <c r="G56" s="11"/>
      <c r="H56" s="9"/>
      <c r="K56" s="10">
        <f t="shared" si="7"/>
        <v>0</v>
      </c>
      <c r="L56" s="10">
        <f t="shared" si="8"/>
        <v>0</v>
      </c>
      <c r="M56" s="9"/>
    </row>
    <row r="57" spans="1:15" s="409" customFormat="1" ht="15.75" x14ac:dyDescent="0.25">
      <c r="A57" s="203">
        <v>55</v>
      </c>
      <c r="B57" s="203" t="s">
        <v>1400</v>
      </c>
      <c r="C57" s="203" t="s">
        <v>438</v>
      </c>
      <c r="D57" s="208">
        <v>126</v>
      </c>
      <c r="E57" s="203">
        <f>d_t_geotextile</f>
        <v>0</v>
      </c>
      <c r="F57" s="208">
        <f t="shared" si="6"/>
        <v>126</v>
      </c>
      <c r="G57" s="198"/>
      <c r="H57" s="209"/>
      <c r="K57" s="208">
        <f t="shared" si="7"/>
        <v>0</v>
      </c>
      <c r="L57" s="208">
        <f t="shared" si="8"/>
        <v>126</v>
      </c>
      <c r="M57" s="209"/>
    </row>
    <row r="58" spans="1:15" ht="15.75" x14ac:dyDescent="0.25">
      <c r="A58" s="7">
        <v>56</v>
      </c>
      <c r="B58" s="7" t="s">
        <v>1401</v>
      </c>
      <c r="C58" s="7" t="s">
        <v>49</v>
      </c>
      <c r="D58" s="10">
        <v>0</v>
      </c>
      <c r="E58" s="7">
        <f>d_t_gi_bolt_dia_10_mm</f>
        <v>0</v>
      </c>
      <c r="F58" s="10">
        <f t="shared" si="6"/>
        <v>0</v>
      </c>
      <c r="G58" s="11"/>
      <c r="H58" s="9"/>
      <c r="K58" s="10">
        <f t="shared" si="7"/>
        <v>0</v>
      </c>
      <c r="L58" s="10">
        <f t="shared" si="8"/>
        <v>0</v>
      </c>
      <c r="M58" s="9"/>
    </row>
    <row r="59" spans="1:15" ht="15.75" x14ac:dyDescent="0.25">
      <c r="A59" s="7">
        <v>57</v>
      </c>
      <c r="B59" s="7" t="s">
        <v>1402</v>
      </c>
      <c r="C59" s="7" t="s">
        <v>75</v>
      </c>
      <c r="D59" s="10">
        <v>1848</v>
      </c>
      <c r="E59" s="7">
        <f>d_t_gi_pipe_dia_100_mm</f>
        <v>0</v>
      </c>
      <c r="F59" s="10">
        <f t="shared" si="6"/>
        <v>1848</v>
      </c>
      <c r="G59" s="11"/>
      <c r="H59" s="9"/>
      <c r="K59" s="10">
        <f t="shared" si="7"/>
        <v>0</v>
      </c>
      <c r="L59" s="10">
        <f t="shared" si="8"/>
        <v>1848</v>
      </c>
      <c r="M59" s="9"/>
      <c r="O59" t="s">
        <v>2393</v>
      </c>
    </row>
    <row r="60" spans="1:15" ht="15.75" x14ac:dyDescent="0.25">
      <c r="A60" s="7">
        <v>58</v>
      </c>
      <c r="B60" s="7" t="s">
        <v>1403</v>
      </c>
      <c r="C60" s="7" t="s">
        <v>37</v>
      </c>
      <c r="D60" s="10">
        <f>gabion_mesh_wire</f>
        <v>129</v>
      </c>
      <c r="E60" s="7">
        <f>d_t_gi_wire</f>
        <v>0</v>
      </c>
      <c r="F60" s="10">
        <f t="shared" si="6"/>
        <v>129</v>
      </c>
      <c r="G60" s="11"/>
      <c r="H60" s="9"/>
      <c r="K60" s="10">
        <f t="shared" si="7"/>
        <v>0</v>
      </c>
      <c r="L60" s="10">
        <f t="shared" si="8"/>
        <v>129</v>
      </c>
      <c r="M60" s="9"/>
    </row>
    <row r="61" spans="1:15" s="338" customFormat="1" ht="15.75" x14ac:dyDescent="0.25">
      <c r="A61" s="335">
        <v>59</v>
      </c>
      <c r="B61" s="335" t="s">
        <v>1404</v>
      </c>
      <c r="C61" s="335" t="s">
        <v>144</v>
      </c>
      <c r="D61" s="247">
        <v>157</v>
      </c>
      <c r="E61" s="335">
        <f>d_t_glass_beads</f>
        <v>0</v>
      </c>
      <c r="F61" s="247">
        <f t="shared" si="6"/>
        <v>157</v>
      </c>
      <c r="G61" s="336"/>
      <c r="H61" s="337"/>
      <c r="K61" s="247">
        <f t="shared" si="7"/>
        <v>0</v>
      </c>
      <c r="L61" s="247">
        <f t="shared" si="8"/>
        <v>157</v>
      </c>
      <c r="M61" s="337"/>
    </row>
    <row r="62" spans="1:15" ht="15.75" x14ac:dyDescent="0.25">
      <c r="A62" s="7">
        <v>60</v>
      </c>
      <c r="B62" s="7" t="s">
        <v>1405</v>
      </c>
      <c r="C62" s="7" t="s">
        <v>84</v>
      </c>
      <c r="D62" s="10">
        <v>0</v>
      </c>
      <c r="E62" s="7">
        <f>d_t_gravel</f>
        <v>0</v>
      </c>
      <c r="F62" s="10">
        <f t="shared" si="6"/>
        <v>0</v>
      </c>
      <c r="G62" s="11">
        <f>col_rate_gravel_70_100_mm</f>
        <v>2889.15</v>
      </c>
      <c r="H62" s="9"/>
      <c r="I62" s="10">
        <f>IF(J62&gt; 0,man_load_gravel,0)</f>
        <v>0</v>
      </c>
      <c r="K62" s="10">
        <f t="shared" si="7"/>
        <v>2889.15</v>
      </c>
      <c r="L62" s="10">
        <f t="shared" si="8"/>
        <v>0</v>
      </c>
      <c r="M62" s="9"/>
    </row>
    <row r="63" spans="1:15" s="353" customFormat="1" ht="31.5" x14ac:dyDescent="0.25">
      <c r="A63" s="349">
        <v>61</v>
      </c>
      <c r="B63" s="349" t="s">
        <v>2338</v>
      </c>
      <c r="C63" s="349" t="s">
        <v>75</v>
      </c>
      <c r="D63" s="350">
        <v>484</v>
      </c>
      <c r="E63" s="349">
        <f>d_t_HDPE_pipe_110_mm</f>
        <v>0</v>
      </c>
      <c r="F63" s="350">
        <f t="shared" si="6"/>
        <v>484</v>
      </c>
      <c r="G63" s="351"/>
      <c r="H63" s="352"/>
      <c r="K63" s="350">
        <f t="shared" si="7"/>
        <v>0</v>
      </c>
      <c r="L63" s="350">
        <f t="shared" si="8"/>
        <v>484</v>
      </c>
      <c r="M63" s="352"/>
      <c r="O63" s="353">
        <v>287</v>
      </c>
    </row>
    <row r="64" spans="1:15" s="353" customFormat="1" ht="31.5" x14ac:dyDescent="0.25">
      <c r="A64" s="349">
        <v>62</v>
      </c>
      <c r="B64" s="349" t="s">
        <v>2339</v>
      </c>
      <c r="C64" s="349" t="s">
        <v>75</v>
      </c>
      <c r="D64" s="350">
        <v>1027</v>
      </c>
      <c r="E64" s="349">
        <f>d_t_HDPE_pipe_150_mm</f>
        <v>0</v>
      </c>
      <c r="F64" s="350">
        <f t="shared" si="6"/>
        <v>1027</v>
      </c>
      <c r="G64" s="351"/>
      <c r="H64" s="352"/>
      <c r="K64" s="350">
        <f t="shared" si="7"/>
        <v>0</v>
      </c>
      <c r="L64" s="350">
        <f t="shared" si="8"/>
        <v>1027</v>
      </c>
      <c r="M64" s="352"/>
    </row>
    <row r="65" spans="1:13" ht="15.75" x14ac:dyDescent="0.25">
      <c r="A65" s="7">
        <v>63</v>
      </c>
      <c r="B65" s="7" t="s">
        <v>1406</v>
      </c>
      <c r="C65" s="7" t="s">
        <v>1133</v>
      </c>
      <c r="D65" s="10">
        <v>0</v>
      </c>
      <c r="E65" s="7">
        <f>d_t_high_built_epoxy</f>
        <v>0</v>
      </c>
      <c r="F65" s="10">
        <f t="shared" si="6"/>
        <v>0</v>
      </c>
      <c r="G65" s="11"/>
      <c r="H65" s="9"/>
      <c r="K65" s="10">
        <f t="shared" si="7"/>
        <v>0</v>
      </c>
      <c r="L65" s="10">
        <f t="shared" si="8"/>
        <v>0</v>
      </c>
      <c r="M65" s="9"/>
    </row>
    <row r="66" spans="1:13" ht="15.75" x14ac:dyDescent="0.25">
      <c r="A66" s="7">
        <v>64</v>
      </c>
      <c r="B66" s="7" t="s">
        <v>1407</v>
      </c>
      <c r="C66" s="7" t="s">
        <v>75</v>
      </c>
      <c r="D66" s="10">
        <v>13525</v>
      </c>
      <c r="E66" s="7">
        <f>d_t_hume_pipe_dia_1000_mm</f>
        <v>0</v>
      </c>
      <c r="F66" s="10">
        <f t="shared" si="6"/>
        <v>13525</v>
      </c>
      <c r="G66" s="11"/>
      <c r="H66" s="9"/>
      <c r="K66" s="10">
        <f t="shared" si="7"/>
        <v>0</v>
      </c>
      <c r="L66" s="10">
        <f t="shared" si="8"/>
        <v>13525</v>
      </c>
      <c r="M66" s="9"/>
    </row>
    <row r="67" spans="1:13" ht="15.75" x14ac:dyDescent="0.25">
      <c r="A67" s="7">
        <v>65</v>
      </c>
      <c r="B67" s="7" t="s">
        <v>1408</v>
      </c>
      <c r="C67" s="7" t="s">
        <v>75</v>
      </c>
      <c r="D67" s="10">
        <v>0</v>
      </c>
      <c r="E67" s="7">
        <f>d_t_hume_pipe_dia_100_mm</f>
        <v>0</v>
      </c>
      <c r="F67" s="10">
        <f t="shared" ref="F67:F98" si="9">SUM(D67,E67)</f>
        <v>0</v>
      </c>
      <c r="G67" s="11"/>
      <c r="H67" s="9"/>
      <c r="K67" s="10">
        <f t="shared" ref="K67:K98" si="10">SUM(G67,H67,I67,J67)</f>
        <v>0</v>
      </c>
      <c r="L67" s="10">
        <f t="shared" ref="L67:L98" si="11">IF(G67=0,F67,IF(F67 &lt; K67,F67,K67))</f>
        <v>0</v>
      </c>
      <c r="M67" s="9"/>
    </row>
    <row r="68" spans="1:13" ht="15.75" x14ac:dyDescent="0.25">
      <c r="A68" s="7">
        <v>66</v>
      </c>
      <c r="B68" s="7" t="s">
        <v>1409</v>
      </c>
      <c r="C68" s="7" t="s">
        <v>75</v>
      </c>
      <c r="D68" s="10">
        <v>16100</v>
      </c>
      <c r="E68" s="7">
        <f>d_t_hume_pipe_dia_1200_mm</f>
        <v>0</v>
      </c>
      <c r="F68" s="10">
        <f t="shared" si="9"/>
        <v>16100</v>
      </c>
      <c r="G68" s="11"/>
      <c r="H68" s="9"/>
      <c r="K68" s="10">
        <f t="shared" si="10"/>
        <v>0</v>
      </c>
      <c r="L68" s="10">
        <f t="shared" si="11"/>
        <v>16100</v>
      </c>
      <c r="M68" s="9"/>
    </row>
    <row r="69" spans="1:13" ht="15.75" x14ac:dyDescent="0.25">
      <c r="A69" s="7">
        <v>67</v>
      </c>
      <c r="B69" s="7" t="s">
        <v>1410</v>
      </c>
      <c r="C69" s="7" t="s">
        <v>75</v>
      </c>
      <c r="D69" s="10">
        <v>3140</v>
      </c>
      <c r="E69" s="7">
        <f>d_t_hume_pipe_dia_300_mm</f>
        <v>0</v>
      </c>
      <c r="F69" s="10">
        <f t="shared" si="9"/>
        <v>3140</v>
      </c>
      <c r="G69" s="11"/>
      <c r="H69" s="9"/>
      <c r="K69" s="10">
        <f t="shared" si="10"/>
        <v>0</v>
      </c>
      <c r="L69" s="10">
        <f t="shared" si="11"/>
        <v>3140</v>
      </c>
      <c r="M69" s="9"/>
    </row>
    <row r="70" spans="1:13" ht="15.75" x14ac:dyDescent="0.25">
      <c r="A70" s="7">
        <v>68</v>
      </c>
      <c r="B70" s="7" t="s">
        <v>1411</v>
      </c>
      <c r="C70" s="7" t="s">
        <v>75</v>
      </c>
      <c r="D70" s="10">
        <v>4500</v>
      </c>
      <c r="E70" s="7">
        <f>d_t_hume_pipe_dia_450_mm</f>
        <v>0</v>
      </c>
      <c r="F70" s="10">
        <f t="shared" si="9"/>
        <v>4500</v>
      </c>
      <c r="G70" s="11"/>
      <c r="H70" s="9"/>
      <c r="K70" s="10">
        <f t="shared" si="10"/>
        <v>0</v>
      </c>
      <c r="L70" s="10">
        <f t="shared" si="11"/>
        <v>4500</v>
      </c>
      <c r="M70" s="9"/>
    </row>
    <row r="71" spans="1:13" ht="15.75" x14ac:dyDescent="0.25">
      <c r="A71" s="7">
        <v>69</v>
      </c>
      <c r="B71" s="7" t="s">
        <v>1412</v>
      </c>
      <c r="C71" s="7" t="s">
        <v>75</v>
      </c>
      <c r="D71" s="10">
        <v>6200</v>
      </c>
      <c r="E71" s="7">
        <f>d_t_hume_pipe_dia_600_mm</f>
        <v>0</v>
      </c>
      <c r="F71" s="10">
        <f t="shared" si="9"/>
        <v>6200</v>
      </c>
      <c r="G71" s="11"/>
      <c r="H71" s="9"/>
      <c r="K71" s="10">
        <f t="shared" si="10"/>
        <v>0</v>
      </c>
      <c r="L71" s="10">
        <f t="shared" si="11"/>
        <v>6200</v>
      </c>
      <c r="M71" s="9"/>
    </row>
    <row r="72" spans="1:13" ht="15.75" x14ac:dyDescent="0.25">
      <c r="A72" s="7">
        <v>70</v>
      </c>
      <c r="B72" s="7" t="s">
        <v>1413</v>
      </c>
      <c r="C72" s="7" t="s">
        <v>75</v>
      </c>
      <c r="D72" s="10">
        <v>12172</v>
      </c>
      <c r="E72" s="7">
        <f>d_t_hume_pipe_dia_900_mm</f>
        <v>0</v>
      </c>
      <c r="F72" s="10">
        <f t="shared" si="9"/>
        <v>12172</v>
      </c>
      <c r="G72" s="11"/>
      <c r="H72" s="9"/>
      <c r="K72" s="10">
        <f t="shared" si="10"/>
        <v>0</v>
      </c>
      <c r="L72" s="10">
        <f t="shared" si="11"/>
        <v>12172</v>
      </c>
      <c r="M72" s="9"/>
    </row>
    <row r="73" spans="1:13" ht="15.75" x14ac:dyDescent="0.25">
      <c r="A73" s="7">
        <v>71</v>
      </c>
      <c r="B73" s="7" t="s">
        <v>2341</v>
      </c>
      <c r="C73" s="7" t="s">
        <v>35</v>
      </c>
      <c r="D73" s="10">
        <f>100*1000</f>
        <v>100000</v>
      </c>
      <c r="E73" s="7">
        <f>d_t_HYSD_bar</f>
        <v>0</v>
      </c>
      <c r="F73" s="10">
        <f t="shared" si="9"/>
        <v>100000</v>
      </c>
      <c r="G73" s="11"/>
      <c r="H73" s="9"/>
      <c r="K73" s="10">
        <f t="shared" si="10"/>
        <v>0</v>
      </c>
      <c r="L73" s="10">
        <f t="shared" si="11"/>
        <v>100000</v>
      </c>
      <c r="M73" s="9"/>
    </row>
    <row r="74" spans="1:13" ht="15.75" x14ac:dyDescent="0.25">
      <c r="A74" s="7">
        <v>72</v>
      </c>
      <c r="B74" s="7" t="s">
        <v>1414</v>
      </c>
      <c r="C74" s="7" t="s">
        <v>1376</v>
      </c>
      <c r="D74" s="355">
        <f>diesel</f>
        <v>130.97345132743365</v>
      </c>
      <c r="E74" s="7">
        <f>d_t_kerosene</f>
        <v>0</v>
      </c>
      <c r="F74" s="249">
        <f t="shared" si="9"/>
        <v>130.97345132743365</v>
      </c>
      <c r="G74" s="11"/>
      <c r="H74" s="9"/>
      <c r="K74" s="10">
        <f t="shared" si="10"/>
        <v>0</v>
      </c>
      <c r="L74" s="10">
        <f t="shared" si="11"/>
        <v>130.97345132743365</v>
      </c>
      <c r="M74" s="9"/>
    </row>
    <row r="75" spans="1:13" s="338" customFormat="1" ht="15.75" x14ac:dyDescent="0.25">
      <c r="A75" s="335">
        <v>73</v>
      </c>
      <c r="B75" s="335" t="s">
        <v>1415</v>
      </c>
      <c r="C75" s="335" t="s">
        <v>35</v>
      </c>
      <c r="D75" s="247">
        <v>19000</v>
      </c>
      <c r="E75" s="335">
        <f>d_t_lime</f>
        <v>0</v>
      </c>
      <c r="F75" s="247">
        <f t="shared" si="9"/>
        <v>19000</v>
      </c>
      <c r="G75" s="336"/>
      <c r="H75" s="337"/>
      <c r="K75" s="247">
        <f t="shared" si="10"/>
        <v>0</v>
      </c>
      <c r="L75" s="247">
        <f t="shared" si="11"/>
        <v>19000</v>
      </c>
      <c r="M75" s="337"/>
    </row>
    <row r="76" spans="1:13" ht="15.75" x14ac:dyDescent="0.25">
      <c r="A76" s="7">
        <v>74</v>
      </c>
      <c r="B76" s="7" t="s">
        <v>1416</v>
      </c>
      <c r="C76" s="7" t="s">
        <v>1376</v>
      </c>
      <c r="D76" s="10">
        <v>0</v>
      </c>
      <c r="E76" s="7">
        <f>d_t_lpg</f>
        <v>0</v>
      </c>
      <c r="F76" s="10">
        <f t="shared" si="9"/>
        <v>0</v>
      </c>
      <c r="G76" s="11"/>
      <c r="H76" s="9"/>
      <c r="K76" s="10">
        <f t="shared" si="10"/>
        <v>0</v>
      </c>
      <c r="L76" s="10">
        <f t="shared" si="11"/>
        <v>0</v>
      </c>
      <c r="M76" s="9"/>
    </row>
    <row r="77" spans="1:13" ht="15.75" x14ac:dyDescent="0.25">
      <c r="A77" s="7">
        <v>75</v>
      </c>
      <c r="B77" s="7" t="s">
        <v>1417</v>
      </c>
      <c r="C77" s="7" t="s">
        <v>35</v>
      </c>
      <c r="D77" s="10">
        <v>0</v>
      </c>
      <c r="E77" s="7">
        <f>d_t_ms_bar</f>
        <v>0</v>
      </c>
      <c r="F77" s="10">
        <f t="shared" si="9"/>
        <v>0</v>
      </c>
      <c r="G77" s="11"/>
      <c r="H77" s="9"/>
      <c r="K77" s="10">
        <f t="shared" si="10"/>
        <v>0</v>
      </c>
      <c r="L77" s="10">
        <f t="shared" si="11"/>
        <v>0</v>
      </c>
      <c r="M77" s="9"/>
    </row>
    <row r="78" spans="1:13" ht="15.75" x14ac:dyDescent="0.25">
      <c r="A78" s="7">
        <v>76</v>
      </c>
      <c r="B78" s="7" t="s">
        <v>1418</v>
      </c>
      <c r="C78" s="7" t="s">
        <v>35</v>
      </c>
      <c r="D78" s="10">
        <v>0</v>
      </c>
      <c r="E78" s="7">
        <f>d_t_ms_channel</f>
        <v>0</v>
      </c>
      <c r="F78" s="10">
        <f t="shared" si="9"/>
        <v>0</v>
      </c>
      <c r="G78" s="11"/>
      <c r="H78" s="9"/>
      <c r="K78" s="10">
        <f t="shared" si="10"/>
        <v>0</v>
      </c>
      <c r="L78" s="10">
        <f t="shared" si="11"/>
        <v>0</v>
      </c>
      <c r="M78" s="9"/>
    </row>
    <row r="79" spans="1:13" ht="15.75" x14ac:dyDescent="0.25">
      <c r="A79" s="7">
        <v>77</v>
      </c>
      <c r="B79" s="7" t="s">
        <v>1419</v>
      </c>
      <c r="C79" s="7" t="s">
        <v>49</v>
      </c>
      <c r="D79" s="10">
        <v>0</v>
      </c>
      <c r="E79" s="7">
        <f>d_t_ms_clamp</f>
        <v>0</v>
      </c>
      <c r="F79" s="10">
        <f t="shared" si="9"/>
        <v>0</v>
      </c>
      <c r="G79" s="11"/>
      <c r="H79" s="9"/>
      <c r="K79" s="10">
        <f t="shared" si="10"/>
        <v>0</v>
      </c>
      <c r="L79" s="10">
        <f t="shared" si="11"/>
        <v>0</v>
      </c>
      <c r="M79" s="9"/>
    </row>
    <row r="80" spans="1:13" ht="15.75" x14ac:dyDescent="0.25">
      <c r="A80" s="7">
        <v>78</v>
      </c>
      <c r="B80" s="7" t="s">
        <v>1420</v>
      </c>
      <c r="C80" s="7" t="s">
        <v>35</v>
      </c>
      <c r="D80" s="10">
        <v>0</v>
      </c>
      <c r="E80" s="7">
        <f>d_t_ms_flat_pipe</f>
        <v>0</v>
      </c>
      <c r="F80" s="10">
        <f t="shared" si="9"/>
        <v>0</v>
      </c>
      <c r="G80" s="11"/>
      <c r="H80" s="9"/>
      <c r="K80" s="10">
        <f t="shared" si="10"/>
        <v>0</v>
      </c>
      <c r="L80" s="10">
        <f t="shared" si="11"/>
        <v>0</v>
      </c>
      <c r="M80" s="9"/>
    </row>
    <row r="81" spans="1:15" ht="15.75" x14ac:dyDescent="0.25">
      <c r="A81" s="7">
        <v>79</v>
      </c>
      <c r="B81" s="7" t="s">
        <v>1421</v>
      </c>
      <c r="C81" s="7" t="s">
        <v>75</v>
      </c>
      <c r="D81" s="10">
        <v>0</v>
      </c>
      <c r="E81" s="7">
        <f>d_t_ms_pipe_25_mm</f>
        <v>0</v>
      </c>
      <c r="F81" s="10">
        <f t="shared" si="9"/>
        <v>0</v>
      </c>
      <c r="G81" s="11"/>
      <c r="H81" s="9"/>
      <c r="K81" s="10">
        <f t="shared" si="10"/>
        <v>0</v>
      </c>
      <c r="L81" s="10">
        <f t="shared" si="11"/>
        <v>0</v>
      </c>
      <c r="M81" s="9"/>
    </row>
    <row r="82" spans="1:15" ht="15.75" x14ac:dyDescent="0.25">
      <c r="A82" s="7">
        <v>80</v>
      </c>
      <c r="B82" s="7" t="s">
        <v>1422</v>
      </c>
      <c r="C82" s="7" t="s">
        <v>75</v>
      </c>
      <c r="D82" s="10">
        <v>0</v>
      </c>
      <c r="E82" s="7">
        <f>d_t_ms_pipe_50_mm</f>
        <v>0</v>
      </c>
      <c r="F82" s="10">
        <f t="shared" si="9"/>
        <v>0</v>
      </c>
      <c r="G82" s="11"/>
      <c r="H82" s="9"/>
      <c r="K82" s="10">
        <f t="shared" si="10"/>
        <v>0</v>
      </c>
      <c r="L82" s="10">
        <f t="shared" si="11"/>
        <v>0</v>
      </c>
      <c r="M82" s="9"/>
    </row>
    <row r="83" spans="1:15" s="353" customFormat="1" ht="15.75" x14ac:dyDescent="0.25">
      <c r="A83" s="349">
        <v>81</v>
      </c>
      <c r="B83" s="349" t="s">
        <v>1423</v>
      </c>
      <c r="C83" s="349" t="s">
        <v>463</v>
      </c>
      <c r="D83" s="350">
        <v>964</v>
      </c>
      <c r="E83" s="349">
        <f>d_t_ms_pipes_dia_40mm</f>
        <v>0</v>
      </c>
      <c r="F83" s="350">
        <f t="shared" si="9"/>
        <v>964</v>
      </c>
      <c r="G83" s="351"/>
      <c r="H83" s="352"/>
      <c r="K83" s="350">
        <f t="shared" si="10"/>
        <v>0</v>
      </c>
      <c r="L83" s="350">
        <f t="shared" si="11"/>
        <v>964</v>
      </c>
      <c r="M83" s="352"/>
      <c r="O83" s="353" t="s">
        <v>2377</v>
      </c>
    </row>
    <row r="84" spans="1:15" ht="15.75" x14ac:dyDescent="0.25">
      <c r="A84" s="7">
        <v>82</v>
      </c>
      <c r="B84" s="7" t="s">
        <v>1424</v>
      </c>
      <c r="C84" s="7" t="s">
        <v>144</v>
      </c>
      <c r="D84" s="10">
        <v>0</v>
      </c>
      <c r="E84" s="7">
        <f>d_t_ms_plate</f>
        <v>0</v>
      </c>
      <c r="F84" s="10">
        <f t="shared" si="9"/>
        <v>0</v>
      </c>
      <c r="G84" s="11"/>
      <c r="H84" s="9"/>
      <c r="K84" s="10">
        <f t="shared" si="10"/>
        <v>0</v>
      </c>
      <c r="L84" s="10">
        <f t="shared" si="11"/>
        <v>0</v>
      </c>
      <c r="M84" s="9"/>
    </row>
    <row r="85" spans="1:15" ht="15.75" x14ac:dyDescent="0.25">
      <c r="A85" s="7">
        <v>83</v>
      </c>
      <c r="B85" s="7" t="s">
        <v>1425</v>
      </c>
      <c r="C85" s="7" t="s">
        <v>438</v>
      </c>
      <c r="D85" s="10">
        <v>0</v>
      </c>
      <c r="E85" s="7">
        <f>d_t_ms_sheet_2_mm</f>
        <v>0</v>
      </c>
      <c r="F85" s="10">
        <f t="shared" si="9"/>
        <v>0</v>
      </c>
      <c r="G85" s="11"/>
      <c r="H85" s="9"/>
      <c r="K85" s="10">
        <f t="shared" si="10"/>
        <v>0</v>
      </c>
      <c r="L85" s="10">
        <f t="shared" si="11"/>
        <v>0</v>
      </c>
      <c r="M85" s="9"/>
    </row>
    <row r="86" spans="1:15" ht="15.75" x14ac:dyDescent="0.25">
      <c r="A86" s="7">
        <v>84</v>
      </c>
      <c r="B86" s="7" t="s">
        <v>1426</v>
      </c>
      <c r="C86" s="7" t="s">
        <v>144</v>
      </c>
      <c r="D86" s="10">
        <v>132</v>
      </c>
      <c r="E86" s="7">
        <f>d_t_nails_spikes</f>
        <v>0</v>
      </c>
      <c r="F86" s="10">
        <f t="shared" si="9"/>
        <v>132</v>
      </c>
      <c r="G86" s="11"/>
      <c r="H86" s="9"/>
      <c r="K86" s="10">
        <f t="shared" si="10"/>
        <v>0</v>
      </c>
      <c r="L86" s="10">
        <f t="shared" si="11"/>
        <v>132</v>
      </c>
      <c r="M86" s="9"/>
      <c r="O86" t="s">
        <v>2378</v>
      </c>
    </row>
    <row r="87" spans="1:15" ht="15.75" x14ac:dyDescent="0.25">
      <c r="A87" s="7">
        <v>85</v>
      </c>
      <c r="B87" s="7" t="s">
        <v>1427</v>
      </c>
      <c r="C87" s="7" t="s">
        <v>35</v>
      </c>
      <c r="D87" s="10">
        <v>195</v>
      </c>
      <c r="E87" s="7">
        <f>d_t_nuts_bolts</f>
        <v>0</v>
      </c>
      <c r="F87" s="10">
        <f t="shared" si="9"/>
        <v>195</v>
      </c>
      <c r="G87" s="11"/>
      <c r="H87" s="9"/>
      <c r="K87" s="10">
        <f t="shared" si="10"/>
        <v>0</v>
      </c>
      <c r="L87" s="10">
        <f t="shared" si="11"/>
        <v>195</v>
      </c>
      <c r="M87" s="9"/>
    </row>
    <row r="88" spans="1:15" ht="31.5" x14ac:dyDescent="0.25">
      <c r="A88" s="7">
        <v>86</v>
      </c>
      <c r="B88" s="7" t="s">
        <v>1428</v>
      </c>
      <c r="C88" s="7" t="s">
        <v>1133</v>
      </c>
      <c r="D88" s="10">
        <v>0</v>
      </c>
      <c r="E88" s="7">
        <f>d_t_pack_high_built_polyur_ethane</f>
        <v>0</v>
      </c>
      <c r="F88" s="10">
        <f t="shared" si="9"/>
        <v>0</v>
      </c>
      <c r="G88" s="11"/>
      <c r="H88" s="9"/>
      <c r="K88" s="10">
        <f t="shared" si="10"/>
        <v>0</v>
      </c>
      <c r="L88" s="10">
        <f t="shared" si="11"/>
        <v>0</v>
      </c>
      <c r="M88" s="9"/>
    </row>
    <row r="89" spans="1:15" ht="15.75" x14ac:dyDescent="0.25">
      <c r="A89" s="7">
        <v>87</v>
      </c>
      <c r="B89" s="242" t="s">
        <v>2214</v>
      </c>
      <c r="C89" s="7" t="s">
        <v>488</v>
      </c>
      <c r="D89" s="10">
        <v>219</v>
      </c>
      <c r="E89" s="7">
        <f>d_t_paint</f>
        <v>0</v>
      </c>
      <c r="F89" s="10">
        <f t="shared" si="9"/>
        <v>219</v>
      </c>
      <c r="G89" s="11"/>
      <c r="H89" s="9"/>
      <c r="K89" s="10">
        <f t="shared" si="10"/>
        <v>0</v>
      </c>
      <c r="L89" s="10">
        <f t="shared" si="11"/>
        <v>219</v>
      </c>
      <c r="M89" s="9"/>
      <c r="O89" t="s">
        <v>2389</v>
      </c>
    </row>
    <row r="90" spans="1:15" ht="47.25" x14ac:dyDescent="0.25">
      <c r="A90" s="7">
        <v>88</v>
      </c>
      <c r="B90" s="7" t="s">
        <v>1429</v>
      </c>
      <c r="C90" s="7" t="s">
        <v>1103</v>
      </c>
      <c r="D90" s="10">
        <v>0</v>
      </c>
      <c r="E90" s="7">
        <f>d_t_part_of_bearing</f>
        <v>0</v>
      </c>
      <c r="F90" s="10">
        <f t="shared" si="9"/>
        <v>0</v>
      </c>
      <c r="G90" s="11"/>
      <c r="H90" s="9"/>
      <c r="K90" s="10">
        <f t="shared" si="10"/>
        <v>0</v>
      </c>
      <c r="L90" s="10">
        <f t="shared" si="11"/>
        <v>0</v>
      </c>
      <c r="M90" s="9"/>
    </row>
    <row r="91" spans="1:15" ht="15.75" x14ac:dyDescent="0.25">
      <c r="A91" s="7">
        <v>89</v>
      </c>
      <c r="B91" s="7" t="s">
        <v>1430</v>
      </c>
      <c r="C91" s="7" t="s">
        <v>1376</v>
      </c>
      <c r="D91" s="355">
        <f>160/1.13</f>
        <v>141.59292035398232</v>
      </c>
      <c r="E91" s="7">
        <f>d_t_petrol</f>
        <v>0</v>
      </c>
      <c r="F91" s="249">
        <f t="shared" si="9"/>
        <v>141.59292035398232</v>
      </c>
      <c r="G91" s="11"/>
      <c r="H91" s="9"/>
      <c r="K91" s="10">
        <f t="shared" si="10"/>
        <v>0</v>
      </c>
      <c r="L91" s="10">
        <f t="shared" si="11"/>
        <v>141.59292035398232</v>
      </c>
      <c r="M91" s="9"/>
    </row>
    <row r="92" spans="1:15" s="356" customFormat="1" ht="31.5" x14ac:dyDescent="0.25">
      <c r="A92" s="277">
        <v>90</v>
      </c>
      <c r="B92" s="277" t="s">
        <v>2370</v>
      </c>
      <c r="C92" s="277" t="s">
        <v>84</v>
      </c>
      <c r="D92" s="278">
        <f>1627*35.28</f>
        <v>57400.560000000005</v>
      </c>
      <c r="E92" s="277">
        <f>d_t_planks_38mm_thick</f>
        <v>0</v>
      </c>
      <c r="F92" s="278">
        <f t="shared" si="9"/>
        <v>57400.560000000005</v>
      </c>
      <c r="G92" s="279"/>
      <c r="H92" s="280"/>
      <c r="K92" s="278">
        <f t="shared" si="10"/>
        <v>0</v>
      </c>
      <c r="L92" s="278">
        <f t="shared" si="11"/>
        <v>57400.560000000005</v>
      </c>
      <c r="M92" s="280"/>
      <c r="N92" s="356">
        <f>235*10.76/0.038</f>
        <v>66542.105263157893</v>
      </c>
      <c r="O92" s="356" t="s">
        <v>2379</v>
      </c>
    </row>
    <row r="93" spans="1:15" s="363" customFormat="1" ht="15.75" x14ac:dyDescent="0.25">
      <c r="A93" s="359">
        <v>91</v>
      </c>
      <c r="B93" s="359" t="s">
        <v>1431</v>
      </c>
      <c r="C93" s="359" t="s">
        <v>438</v>
      </c>
      <c r="D93" s="364">
        <f>80*10.76</f>
        <v>860.8</v>
      </c>
      <c r="E93" s="359">
        <f>d_t_ply_wood_12mm_thick</f>
        <v>0</v>
      </c>
      <c r="F93" s="364">
        <f t="shared" si="9"/>
        <v>860.8</v>
      </c>
      <c r="G93" s="361"/>
      <c r="H93" s="362"/>
      <c r="K93" s="364">
        <f t="shared" si="10"/>
        <v>0</v>
      </c>
      <c r="L93" s="364">
        <f t="shared" si="11"/>
        <v>860.8</v>
      </c>
      <c r="M93" s="362"/>
      <c r="N93" s="363">
        <f>10.76*80</f>
        <v>860.8</v>
      </c>
      <c r="O93" s="363" t="s">
        <v>2380</v>
      </c>
    </row>
    <row r="94" spans="1:15" s="363" customFormat="1" ht="15.75" x14ac:dyDescent="0.25">
      <c r="A94" s="359">
        <v>92</v>
      </c>
      <c r="B94" s="359" t="s">
        <v>1432</v>
      </c>
      <c r="C94" s="359" t="s">
        <v>438</v>
      </c>
      <c r="D94" s="364">
        <f>57*10.76</f>
        <v>613.31999999999994</v>
      </c>
      <c r="E94" s="359">
        <f>d_t_ply_wood_9mm_thick</f>
        <v>0</v>
      </c>
      <c r="F94" s="364">
        <f t="shared" si="9"/>
        <v>613.31999999999994</v>
      </c>
      <c r="G94" s="361"/>
      <c r="H94" s="362"/>
      <c r="K94" s="364">
        <f t="shared" si="10"/>
        <v>0</v>
      </c>
      <c r="L94" s="364">
        <f t="shared" si="11"/>
        <v>613.31999999999994</v>
      </c>
      <c r="M94" s="362"/>
    </row>
    <row r="95" spans="1:15" ht="31.5" x14ac:dyDescent="0.25">
      <c r="A95" s="7">
        <v>93</v>
      </c>
      <c r="B95" s="7" t="s">
        <v>1433</v>
      </c>
      <c r="C95" s="7" t="s">
        <v>84</v>
      </c>
      <c r="D95" s="10">
        <v>0</v>
      </c>
      <c r="E95" s="7">
        <f>d_t_pre_coated_stone_chips_13mm</f>
        <v>0</v>
      </c>
      <c r="F95" s="10">
        <f t="shared" si="9"/>
        <v>0</v>
      </c>
      <c r="G95" s="11"/>
      <c r="H95" s="9"/>
      <c r="K95" s="10">
        <f t="shared" si="10"/>
        <v>0</v>
      </c>
      <c r="L95" s="10">
        <f t="shared" si="11"/>
        <v>0</v>
      </c>
      <c r="M95" s="9"/>
    </row>
    <row r="96" spans="1:15" ht="31.5" x14ac:dyDescent="0.25">
      <c r="A96" s="7">
        <v>94</v>
      </c>
      <c r="B96" s="7" t="s">
        <v>1434</v>
      </c>
      <c r="C96" s="7" t="s">
        <v>75</v>
      </c>
      <c r="D96" s="10">
        <v>0</v>
      </c>
      <c r="E96" s="7">
        <f>d_t_preformed_continuous_chloroprene_elastomer</f>
        <v>0</v>
      </c>
      <c r="F96" s="10">
        <f t="shared" si="9"/>
        <v>0</v>
      </c>
      <c r="G96" s="11"/>
      <c r="H96" s="9"/>
      <c r="K96" s="10">
        <f t="shared" si="10"/>
        <v>0</v>
      </c>
      <c r="L96" s="10">
        <f t="shared" si="11"/>
        <v>0</v>
      </c>
      <c r="M96" s="9"/>
    </row>
    <row r="97" spans="1:14" ht="15.75" x14ac:dyDescent="0.25">
      <c r="A97" s="7">
        <v>95</v>
      </c>
      <c r="B97" s="7" t="s">
        <v>1435</v>
      </c>
      <c r="C97" s="7" t="s">
        <v>438</v>
      </c>
      <c r="D97" s="10">
        <v>0</v>
      </c>
      <c r="E97" s="7">
        <f>d_t_pre_moulded_joint_filler</f>
        <v>0</v>
      </c>
      <c r="F97" s="10">
        <f t="shared" si="9"/>
        <v>0</v>
      </c>
      <c r="G97" s="11"/>
      <c r="H97" s="9"/>
      <c r="K97" s="10">
        <f t="shared" si="10"/>
        <v>0</v>
      </c>
      <c r="L97" s="10">
        <f t="shared" si="11"/>
        <v>0</v>
      </c>
      <c r="M97" s="9"/>
    </row>
    <row r="98" spans="1:14" ht="15.75" x14ac:dyDescent="0.25">
      <c r="A98" s="7">
        <v>96</v>
      </c>
      <c r="B98" s="7" t="s">
        <v>1436</v>
      </c>
      <c r="C98" s="7" t="s">
        <v>49</v>
      </c>
      <c r="D98" s="10">
        <v>0</v>
      </c>
      <c r="E98" s="7">
        <f>d_t_project_signboard</f>
        <v>0</v>
      </c>
      <c r="F98" s="10">
        <f t="shared" si="9"/>
        <v>0</v>
      </c>
      <c r="G98" s="11"/>
      <c r="H98" s="9"/>
      <c r="K98" s="10">
        <f t="shared" si="10"/>
        <v>0</v>
      </c>
      <c r="L98" s="10">
        <f t="shared" si="11"/>
        <v>0</v>
      </c>
      <c r="M98" s="9"/>
    </row>
    <row r="99" spans="1:14" ht="15.75" x14ac:dyDescent="0.25">
      <c r="A99" s="7">
        <v>97</v>
      </c>
      <c r="B99" s="7" t="s">
        <v>1437</v>
      </c>
      <c r="C99" s="7" t="s">
        <v>75</v>
      </c>
      <c r="D99" s="10">
        <v>0</v>
      </c>
      <c r="E99" s="7">
        <f>d_t_PVC_pipe_200_mm</f>
        <v>0</v>
      </c>
      <c r="F99" s="10">
        <f t="shared" ref="F99:F130" si="12">SUM(D99,E99)</f>
        <v>0</v>
      </c>
      <c r="G99" s="11"/>
      <c r="H99" s="9"/>
      <c r="K99" s="10">
        <f t="shared" ref="K99:K130" si="13">SUM(G99,H99,I99,J99)</f>
        <v>0</v>
      </c>
      <c r="L99" s="10">
        <f t="shared" ref="L99:L130" si="14">IF(G99=0,F99,IF(F99 &lt; K99,F99,K99))</f>
        <v>0</v>
      </c>
      <c r="M99" s="9"/>
    </row>
    <row r="100" spans="1:14" ht="15.75" x14ac:dyDescent="0.25">
      <c r="A100" s="7">
        <v>98</v>
      </c>
      <c r="B100" s="7" t="s">
        <v>1438</v>
      </c>
      <c r="C100" s="7" t="s">
        <v>84</v>
      </c>
      <c r="D100" s="10">
        <v>0</v>
      </c>
      <c r="E100" s="7">
        <f>d_t_rafter_beam_battens</f>
        <v>0</v>
      </c>
      <c r="F100" s="10">
        <f t="shared" si="12"/>
        <v>0</v>
      </c>
      <c r="G100" s="11"/>
      <c r="H100" s="9"/>
      <c r="K100" s="10">
        <f t="shared" si="13"/>
        <v>0</v>
      </c>
      <c r="L100" s="10">
        <f t="shared" si="14"/>
        <v>0</v>
      </c>
      <c r="M100" s="9"/>
    </row>
    <row r="101" spans="1:14" ht="31.5" x14ac:dyDescent="0.25">
      <c r="A101" s="7">
        <v>99</v>
      </c>
      <c r="B101" s="7" t="s">
        <v>1439</v>
      </c>
      <c r="C101" s="7" t="s">
        <v>106</v>
      </c>
      <c r="D101" s="10">
        <v>0</v>
      </c>
      <c r="E101" s="7">
        <f>d_t_RCC_collar_dia_1000_mm</f>
        <v>0</v>
      </c>
      <c r="F101" s="10">
        <f t="shared" si="12"/>
        <v>0</v>
      </c>
      <c r="G101" s="11"/>
      <c r="H101" s="9"/>
      <c r="K101" s="10">
        <f t="shared" si="13"/>
        <v>0</v>
      </c>
      <c r="L101" s="10">
        <f t="shared" si="14"/>
        <v>0</v>
      </c>
      <c r="M101" s="9"/>
    </row>
    <row r="102" spans="1:14" ht="31.5" x14ac:dyDescent="0.25">
      <c r="A102" s="7">
        <v>100</v>
      </c>
      <c r="B102" s="7" t="s">
        <v>1440</v>
      </c>
      <c r="C102" s="7" t="s">
        <v>106</v>
      </c>
      <c r="D102" s="10">
        <v>0</v>
      </c>
      <c r="E102" s="7">
        <f>d_t_RCC_collar_dia_1200_mm</f>
        <v>0</v>
      </c>
      <c r="F102" s="10">
        <f t="shared" si="12"/>
        <v>0</v>
      </c>
      <c r="G102" s="11"/>
      <c r="H102" s="9"/>
      <c r="K102" s="10">
        <f t="shared" si="13"/>
        <v>0</v>
      </c>
      <c r="L102" s="10">
        <f t="shared" si="14"/>
        <v>0</v>
      </c>
      <c r="M102" s="9"/>
    </row>
    <row r="103" spans="1:14" ht="15.75" x14ac:dyDescent="0.25">
      <c r="A103" s="7">
        <v>101</v>
      </c>
      <c r="B103" s="7" t="s">
        <v>1441</v>
      </c>
      <c r="C103" s="7" t="s">
        <v>106</v>
      </c>
      <c r="D103" s="10">
        <v>0</v>
      </c>
      <c r="E103" s="7">
        <f>d_t_RCC_collar_dia_300_mm</f>
        <v>0</v>
      </c>
      <c r="F103" s="10">
        <f t="shared" si="12"/>
        <v>0</v>
      </c>
      <c r="G103" s="11"/>
      <c r="H103" s="9"/>
      <c r="K103" s="10">
        <f t="shared" si="13"/>
        <v>0</v>
      </c>
      <c r="L103" s="10">
        <f t="shared" si="14"/>
        <v>0</v>
      </c>
      <c r="M103" s="9"/>
    </row>
    <row r="104" spans="1:14" ht="15.75" x14ac:dyDescent="0.25">
      <c r="A104" s="7">
        <v>102</v>
      </c>
      <c r="B104" s="7" t="s">
        <v>1442</v>
      </c>
      <c r="C104" s="7" t="s">
        <v>106</v>
      </c>
      <c r="D104" s="10">
        <v>0</v>
      </c>
      <c r="E104" s="7">
        <f>d_t_RCC_collar_dia_450_mm</f>
        <v>0</v>
      </c>
      <c r="F104" s="10">
        <f t="shared" si="12"/>
        <v>0</v>
      </c>
      <c r="G104" s="11"/>
      <c r="H104" s="9"/>
      <c r="K104" s="10">
        <f t="shared" si="13"/>
        <v>0</v>
      </c>
      <c r="L104" s="10">
        <f t="shared" si="14"/>
        <v>0</v>
      </c>
      <c r="M104" s="9"/>
    </row>
    <row r="105" spans="1:14" ht="15.75" x14ac:dyDescent="0.25">
      <c r="A105" s="7">
        <v>103</v>
      </c>
      <c r="B105" s="7" t="s">
        <v>1443</v>
      </c>
      <c r="C105" s="7" t="s">
        <v>106</v>
      </c>
      <c r="D105" s="10">
        <v>0</v>
      </c>
      <c r="E105" s="7">
        <f>d_t_RCC_collar_dia_600_mm</f>
        <v>0</v>
      </c>
      <c r="F105" s="10">
        <f t="shared" si="12"/>
        <v>0</v>
      </c>
      <c r="G105" s="11"/>
      <c r="H105" s="9"/>
      <c r="K105" s="10">
        <f t="shared" si="13"/>
        <v>0</v>
      </c>
      <c r="L105" s="10">
        <f t="shared" si="14"/>
        <v>0</v>
      </c>
      <c r="M105" s="9"/>
    </row>
    <row r="106" spans="1:14" ht="15.75" x14ac:dyDescent="0.25">
      <c r="A106" s="7">
        <v>104</v>
      </c>
      <c r="B106" s="7" t="s">
        <v>1444</v>
      </c>
      <c r="C106" s="7" t="s">
        <v>106</v>
      </c>
      <c r="D106" s="10">
        <v>0</v>
      </c>
      <c r="E106" s="7">
        <f>d_t_RCC_collar_dia_900_mm</f>
        <v>0</v>
      </c>
      <c r="F106" s="10">
        <f t="shared" si="12"/>
        <v>0</v>
      </c>
      <c r="G106" s="11"/>
      <c r="H106" s="9"/>
      <c r="K106" s="10">
        <f t="shared" si="13"/>
        <v>0</v>
      </c>
      <c r="L106" s="10">
        <f t="shared" si="14"/>
        <v>0</v>
      </c>
      <c r="M106" s="9"/>
    </row>
    <row r="107" spans="1:14" ht="15.75" x14ac:dyDescent="0.25">
      <c r="A107" s="7">
        <v>105</v>
      </c>
      <c r="B107" s="7" t="s">
        <v>1445</v>
      </c>
      <c r="C107" s="7" t="s">
        <v>144</v>
      </c>
      <c r="D107" s="10">
        <v>0</v>
      </c>
      <c r="E107" s="7">
        <f>d_t_RS_joist</f>
        <v>0</v>
      </c>
      <c r="F107" s="10">
        <f t="shared" si="12"/>
        <v>0</v>
      </c>
      <c r="G107" s="11"/>
      <c r="H107" s="9"/>
      <c r="K107" s="10">
        <f t="shared" si="13"/>
        <v>0</v>
      </c>
      <c r="L107" s="10">
        <f t="shared" si="14"/>
        <v>0</v>
      </c>
      <c r="M107" s="9"/>
    </row>
    <row r="108" spans="1:14" s="363" customFormat="1" ht="15.75" x14ac:dyDescent="0.25">
      <c r="A108" s="359">
        <v>106</v>
      </c>
      <c r="B108" s="359" t="s">
        <v>1446</v>
      </c>
      <c r="C108" s="359" t="s">
        <v>84</v>
      </c>
      <c r="D108" s="364">
        <f>73*35.28</f>
        <v>2575.44</v>
      </c>
      <c r="E108" s="359">
        <f>d_t_rubble</f>
        <v>0</v>
      </c>
      <c r="F108" s="364">
        <f t="shared" si="12"/>
        <v>2575.44</v>
      </c>
      <c r="G108" s="361">
        <f>F108</f>
        <v>2575.44</v>
      </c>
      <c r="H108" s="362"/>
      <c r="I108" s="364">
        <f>IF(J108&gt; 0,man_load_rubble,0)</f>
        <v>0</v>
      </c>
      <c r="J108" s="364">
        <f>t_rubble</f>
        <v>0</v>
      </c>
      <c r="K108" s="364">
        <f t="shared" si="13"/>
        <v>2575.44</v>
      </c>
      <c r="L108" s="364">
        <f t="shared" si="14"/>
        <v>2575.44</v>
      </c>
      <c r="M108" s="362"/>
      <c r="N108" s="363">
        <f>63*35.3</f>
        <v>2223.8999999999996</v>
      </c>
    </row>
    <row r="109" spans="1:14" s="363" customFormat="1" ht="15.75" x14ac:dyDescent="0.25">
      <c r="A109" s="365"/>
      <c r="B109" s="365" t="s">
        <v>2353</v>
      </c>
      <c r="C109" s="365" t="s">
        <v>84</v>
      </c>
      <c r="D109" s="366">
        <f>70*35.28</f>
        <v>2469.6</v>
      </c>
      <c r="E109" s="365"/>
      <c r="F109" s="366">
        <f>D109</f>
        <v>2469.6</v>
      </c>
      <c r="G109" s="367">
        <f>F109</f>
        <v>2469.6</v>
      </c>
      <c r="H109" s="368"/>
      <c r="I109" s="366"/>
      <c r="J109" s="369"/>
      <c r="K109" s="364">
        <f t="shared" si="13"/>
        <v>2469.6</v>
      </c>
      <c r="L109" s="366">
        <f>K109</f>
        <v>2469.6</v>
      </c>
      <c r="M109" s="368"/>
    </row>
    <row r="110" spans="1:14" ht="15.75" x14ac:dyDescent="0.25">
      <c r="A110" s="7">
        <v>107</v>
      </c>
      <c r="B110" s="7" t="s">
        <v>1447</v>
      </c>
      <c r="C110" s="7" t="s">
        <v>84</v>
      </c>
      <c r="D110" s="10">
        <f>6090*35.28</f>
        <v>214855.2</v>
      </c>
      <c r="E110" s="7">
        <f>d_t_sal_wood</f>
        <v>0</v>
      </c>
      <c r="F110" s="10">
        <v>54695</v>
      </c>
      <c r="G110" s="11"/>
      <c r="H110" s="9"/>
      <c r="I110" s="10">
        <f>IF(J110&gt; 0,man_load_timber,0)</f>
        <v>0</v>
      </c>
      <c r="K110" s="10">
        <f t="shared" si="13"/>
        <v>0</v>
      </c>
      <c r="L110" s="10">
        <f t="shared" si="14"/>
        <v>54695</v>
      </c>
      <c r="M110" s="9"/>
      <c r="N110">
        <f>sal_wood/35.3</f>
        <v>6086.5495750708224</v>
      </c>
    </row>
    <row r="111" spans="1:14" s="414" customFormat="1" ht="15.75" x14ac:dyDescent="0.25">
      <c r="A111" s="410">
        <v>108</v>
      </c>
      <c r="B111" s="410" t="s">
        <v>1448</v>
      </c>
      <c r="C111" s="410" t="s">
        <v>84</v>
      </c>
      <c r="D111" s="411">
        <f>90*35.28</f>
        <v>3175.2000000000003</v>
      </c>
      <c r="E111" s="410">
        <f>d_t_sand</f>
        <v>0</v>
      </c>
      <c r="F111" s="411">
        <f t="shared" si="12"/>
        <v>3175.2000000000003</v>
      </c>
      <c r="G111" s="412">
        <f>col_rate_sand</f>
        <v>1444.575</v>
      </c>
      <c r="H111" s="413"/>
      <c r="I111" s="411">
        <f>IF(J111&gt; 0,man_load_sand,0)</f>
        <v>0</v>
      </c>
      <c r="J111" s="411">
        <f>t_sand</f>
        <v>0</v>
      </c>
      <c r="K111" s="411">
        <f t="shared" si="13"/>
        <v>1444.575</v>
      </c>
      <c r="L111" s="411">
        <f>F111</f>
        <v>3175.2000000000003</v>
      </c>
      <c r="M111" s="413"/>
      <c r="N111" s="414">
        <f>88*35.3</f>
        <v>3106.3999999999996</v>
      </c>
    </row>
    <row r="112" spans="1:14" ht="15.75" x14ac:dyDescent="0.25">
      <c r="A112" s="7">
        <v>109</v>
      </c>
      <c r="B112" s="7" t="s">
        <v>1449</v>
      </c>
      <c r="C112" s="7" t="s">
        <v>463</v>
      </c>
      <c r="D112" s="10">
        <v>0</v>
      </c>
      <c r="E112" s="7">
        <f>d_t_steel_tube_dia_50_mm</f>
        <v>0</v>
      </c>
      <c r="F112" s="10">
        <f t="shared" si="12"/>
        <v>0</v>
      </c>
      <c r="G112" s="11"/>
      <c r="H112" s="9"/>
      <c r="K112" s="10">
        <f t="shared" si="13"/>
        <v>0</v>
      </c>
      <c r="L112" s="10">
        <f t="shared" si="14"/>
        <v>0</v>
      </c>
      <c r="M112" s="9"/>
    </row>
    <row r="113" spans="1:14" ht="15.75" x14ac:dyDescent="0.25">
      <c r="A113" s="7">
        <v>110</v>
      </c>
      <c r="B113" s="7" t="s">
        <v>1450</v>
      </c>
      <c r="C113" s="7" t="s">
        <v>144</v>
      </c>
      <c r="D113" s="10">
        <v>0</v>
      </c>
      <c r="E113" s="7">
        <f>d_t_steel_wire_40_mm</f>
        <v>0</v>
      </c>
      <c r="F113" s="10">
        <f t="shared" si="12"/>
        <v>0</v>
      </c>
      <c r="G113" s="11"/>
      <c r="H113" s="9"/>
      <c r="K113" s="10">
        <f t="shared" si="13"/>
        <v>0</v>
      </c>
      <c r="L113" s="10">
        <f t="shared" si="14"/>
        <v>0</v>
      </c>
      <c r="M113" s="9"/>
    </row>
    <row r="114" spans="1:14" ht="15.75" x14ac:dyDescent="0.25">
      <c r="A114" s="7">
        <v>111</v>
      </c>
      <c r="B114" s="7" t="s">
        <v>1451</v>
      </c>
      <c r="C114" s="7" t="s">
        <v>84</v>
      </c>
      <c r="D114" s="10">
        <f>35*35.28</f>
        <v>1234.8</v>
      </c>
      <c r="E114" s="7">
        <f>d_t_stone_dust</f>
        <v>0</v>
      </c>
      <c r="F114" s="10">
        <f t="shared" si="12"/>
        <v>1234.8</v>
      </c>
      <c r="G114" s="11"/>
      <c r="H114" s="9"/>
      <c r="K114" s="10">
        <f t="shared" si="13"/>
        <v>0</v>
      </c>
      <c r="L114" s="10">
        <f t="shared" si="14"/>
        <v>1234.8</v>
      </c>
      <c r="M114" s="9"/>
      <c r="N114">
        <f>41.04*35.3</f>
        <v>1448.7119999999998</v>
      </c>
    </row>
    <row r="115" spans="1:14" ht="15.75" x14ac:dyDescent="0.25">
      <c r="A115" s="7">
        <v>112</v>
      </c>
      <c r="B115" s="7" t="s">
        <v>1452</v>
      </c>
      <c r="C115" s="7" t="s">
        <v>438</v>
      </c>
      <c r="D115" s="10">
        <v>0</v>
      </c>
      <c r="E115" s="7">
        <f>d_t_stone_slab_50_mm</f>
        <v>0</v>
      </c>
      <c r="F115" s="10">
        <f t="shared" si="12"/>
        <v>0</v>
      </c>
      <c r="G115" s="11"/>
      <c r="H115" s="9"/>
      <c r="K115" s="10">
        <f t="shared" si="13"/>
        <v>0</v>
      </c>
      <c r="L115" s="10">
        <f t="shared" si="14"/>
        <v>0</v>
      </c>
      <c r="M115" s="9"/>
    </row>
    <row r="116" spans="1:14" ht="15.75" x14ac:dyDescent="0.25">
      <c r="A116" s="7">
        <v>113</v>
      </c>
      <c r="B116" s="7" t="s">
        <v>1453</v>
      </c>
      <c r="C116" s="7" t="s">
        <v>49</v>
      </c>
      <c r="D116" s="10">
        <v>0</v>
      </c>
      <c r="E116" s="7">
        <f>d_t_street_lighting_pole_9_m</f>
        <v>0</v>
      </c>
      <c r="F116" s="10">
        <f t="shared" si="12"/>
        <v>0</v>
      </c>
      <c r="G116" s="11"/>
      <c r="H116" s="9"/>
      <c r="K116" s="10">
        <f t="shared" si="13"/>
        <v>0</v>
      </c>
      <c r="L116" s="10">
        <f t="shared" si="14"/>
        <v>0</v>
      </c>
      <c r="M116" s="9"/>
    </row>
    <row r="117" spans="1:14" ht="31.5" x14ac:dyDescent="0.25">
      <c r="A117" s="7">
        <v>114</v>
      </c>
      <c r="B117" s="7" t="s">
        <v>1454</v>
      </c>
      <c r="C117" s="7" t="s">
        <v>75</v>
      </c>
      <c r="D117" s="10">
        <v>11000</v>
      </c>
      <c r="E117" s="7">
        <f>d_t_strip_or_box_seal_expansion_joint</f>
        <v>0</v>
      </c>
      <c r="F117" s="10">
        <f t="shared" si="12"/>
        <v>11000</v>
      </c>
      <c r="G117" s="11"/>
      <c r="H117" s="9"/>
      <c r="K117" s="10">
        <f t="shared" si="13"/>
        <v>0</v>
      </c>
      <c r="L117" s="10">
        <f t="shared" si="14"/>
        <v>11000</v>
      </c>
      <c r="M117" s="9"/>
      <c r="N117" t="s">
        <v>2394</v>
      </c>
    </row>
    <row r="118" spans="1:14" ht="15.75" x14ac:dyDescent="0.25">
      <c r="A118" s="7">
        <v>115</v>
      </c>
      <c r="B118" s="7" t="s">
        <v>1455</v>
      </c>
      <c r="C118" s="7" t="s">
        <v>35</v>
      </c>
      <c r="D118" s="10">
        <f>96*1000</f>
        <v>96000</v>
      </c>
      <c r="E118" s="7">
        <f>d_t_structural_steel</f>
        <v>0</v>
      </c>
      <c r="F118" s="10">
        <f t="shared" si="12"/>
        <v>96000</v>
      </c>
      <c r="G118" s="11"/>
      <c r="H118" s="9"/>
      <c r="K118" s="10">
        <f t="shared" si="13"/>
        <v>0</v>
      </c>
      <c r="L118" s="10">
        <f t="shared" si="14"/>
        <v>96000</v>
      </c>
      <c r="M118" s="9"/>
      <c r="N118" t="s">
        <v>2391</v>
      </c>
    </row>
    <row r="119" spans="1:14" ht="15.75" x14ac:dyDescent="0.25">
      <c r="A119" s="7">
        <v>116</v>
      </c>
      <c r="B119" s="7" t="s">
        <v>1456</v>
      </c>
      <c r="C119" s="7" t="s">
        <v>144</v>
      </c>
      <c r="D119" s="10">
        <v>0</v>
      </c>
      <c r="E119" s="7">
        <f>d_t_struts</f>
        <v>0</v>
      </c>
      <c r="F119" s="10">
        <f t="shared" si="12"/>
        <v>0</v>
      </c>
      <c r="G119" s="11"/>
      <c r="H119" s="9"/>
      <c r="K119" s="10">
        <f t="shared" si="13"/>
        <v>0</v>
      </c>
      <c r="L119" s="10">
        <f t="shared" si="14"/>
        <v>0</v>
      </c>
      <c r="M119" s="9"/>
    </row>
    <row r="120" spans="1:14" s="338" customFormat="1" ht="15.75" x14ac:dyDescent="0.25">
      <c r="A120" s="335">
        <v>117</v>
      </c>
      <c r="B120" s="335" t="s">
        <v>1457</v>
      </c>
      <c r="C120" s="335" t="s">
        <v>84</v>
      </c>
      <c r="D120" s="247">
        <v>54684</v>
      </c>
      <c r="E120" s="335">
        <f>d_t_struts_ballies</f>
        <v>0</v>
      </c>
      <c r="F120" s="247">
        <f t="shared" si="12"/>
        <v>54684</v>
      </c>
      <c r="G120" s="336"/>
      <c r="H120" s="337"/>
      <c r="K120" s="247">
        <f t="shared" si="13"/>
        <v>0</v>
      </c>
      <c r="L120" s="247">
        <f t="shared" si="14"/>
        <v>54684</v>
      </c>
      <c r="M120" s="337"/>
    </row>
    <row r="121" spans="1:14" s="210" customFormat="1" ht="15.75" x14ac:dyDescent="0.25">
      <c r="A121" s="203">
        <v>118</v>
      </c>
      <c r="B121" s="203" t="s">
        <v>1458</v>
      </c>
      <c r="C121" s="203" t="s">
        <v>84</v>
      </c>
      <c r="D121" s="208">
        <f>61*35.28</f>
        <v>2152.08</v>
      </c>
      <c r="E121" s="203">
        <f>d_t_sub_base_material</f>
        <v>0</v>
      </c>
      <c r="F121" s="208">
        <f t="shared" si="12"/>
        <v>2152.08</v>
      </c>
      <c r="G121" s="198"/>
      <c r="H121" s="209"/>
      <c r="K121" s="208">
        <f t="shared" si="13"/>
        <v>0</v>
      </c>
      <c r="L121" s="208">
        <f t="shared" si="14"/>
        <v>2152.08</v>
      </c>
      <c r="M121" s="209"/>
      <c r="N121" s="210">
        <f>57.42*35.3</f>
        <v>2026.9259999999999</v>
      </c>
    </row>
    <row r="122" spans="1:14" s="210" customFormat="1" ht="31.5" x14ac:dyDescent="0.25">
      <c r="A122" s="203">
        <v>119</v>
      </c>
      <c r="B122" s="203" t="s">
        <v>1459</v>
      </c>
      <c r="C122" s="203" t="s">
        <v>84</v>
      </c>
      <c r="D122" s="208">
        <f>sub_base_material</f>
        <v>2152.08</v>
      </c>
      <c r="E122" s="203">
        <f>d_t_sub_base_material_footpath</f>
        <v>0</v>
      </c>
      <c r="F122" s="208">
        <f t="shared" si="12"/>
        <v>2152.08</v>
      </c>
      <c r="G122" s="198"/>
      <c r="H122" s="209"/>
      <c r="K122" s="208">
        <f t="shared" si="13"/>
        <v>0</v>
      </c>
      <c r="L122" s="208">
        <f t="shared" si="14"/>
        <v>2152.08</v>
      </c>
      <c r="M122" s="209"/>
    </row>
    <row r="123" spans="1:14" s="376" customFormat="1" ht="15.75" x14ac:dyDescent="0.25">
      <c r="A123" s="370"/>
      <c r="B123" s="371" t="s">
        <v>2371</v>
      </c>
      <c r="C123" s="371" t="s">
        <v>84</v>
      </c>
      <c r="D123" s="372">
        <f>31*35.28*1.05</f>
        <v>1148.364</v>
      </c>
      <c r="E123" s="370"/>
      <c r="F123" s="373"/>
      <c r="G123" s="374"/>
      <c r="H123" s="375"/>
      <c r="K123" s="373"/>
      <c r="L123" s="373">
        <f>D123</f>
        <v>1148.364</v>
      </c>
      <c r="M123" s="375"/>
    </row>
    <row r="124" spans="1:14" ht="15.75" x14ac:dyDescent="0.25">
      <c r="A124" s="7">
        <v>120</v>
      </c>
      <c r="B124" s="7" t="s">
        <v>1460</v>
      </c>
      <c r="C124" s="7" t="s">
        <v>84</v>
      </c>
      <c r="D124" s="10">
        <v>0</v>
      </c>
      <c r="E124" s="7">
        <f>d_t_surface_dressing_chips</f>
        <v>0</v>
      </c>
      <c r="F124" s="10">
        <f t="shared" si="12"/>
        <v>0</v>
      </c>
      <c r="G124" s="11"/>
      <c r="H124" s="9"/>
      <c r="K124" s="10">
        <f t="shared" si="13"/>
        <v>0</v>
      </c>
      <c r="L124" s="10">
        <f t="shared" si="14"/>
        <v>0</v>
      </c>
      <c r="M124" s="9"/>
    </row>
    <row r="125" spans="1:14" ht="15.75" x14ac:dyDescent="0.25">
      <c r="A125" s="7">
        <v>121</v>
      </c>
      <c r="B125" s="7" t="s">
        <v>1461</v>
      </c>
      <c r="C125" s="7" t="s">
        <v>488</v>
      </c>
      <c r="D125" s="10">
        <f>paint</f>
        <v>219</v>
      </c>
      <c r="E125" s="7">
        <f>d_t_thermoplastic_paint</f>
        <v>0</v>
      </c>
      <c r="F125" s="10">
        <v>562</v>
      </c>
      <c r="G125" s="11"/>
      <c r="H125" s="9"/>
      <c r="K125" s="10">
        <f t="shared" si="13"/>
        <v>0</v>
      </c>
      <c r="L125" s="10">
        <f t="shared" si="14"/>
        <v>562</v>
      </c>
      <c r="M125" s="9"/>
    </row>
    <row r="126" spans="1:14" ht="31.5" x14ac:dyDescent="0.25">
      <c r="A126" s="7">
        <v>122</v>
      </c>
      <c r="B126" s="7" t="s">
        <v>1462</v>
      </c>
      <c r="C126" s="7" t="s">
        <v>272</v>
      </c>
      <c r="D126" s="10">
        <v>0</v>
      </c>
      <c r="E126" s="7">
        <f>d_t_tiles_300_300_mm_and_25mm_thick</f>
        <v>0</v>
      </c>
      <c r="F126" s="10">
        <f t="shared" si="12"/>
        <v>0</v>
      </c>
      <c r="G126" s="11"/>
      <c r="H126" s="9"/>
      <c r="K126" s="10">
        <f t="shared" si="13"/>
        <v>0</v>
      </c>
      <c r="L126" s="10">
        <f t="shared" si="14"/>
        <v>0</v>
      </c>
      <c r="M126" s="9"/>
    </row>
    <row r="127" spans="1:14" ht="15.75" x14ac:dyDescent="0.25">
      <c r="A127" s="7">
        <v>123</v>
      </c>
      <c r="B127" s="7" t="s">
        <v>1463</v>
      </c>
      <c r="C127" s="7" t="s">
        <v>49</v>
      </c>
      <c r="D127" s="10">
        <v>0</v>
      </c>
      <c r="E127" s="7">
        <f>d_t_vapor_lamp</f>
        <v>0</v>
      </c>
      <c r="F127" s="10">
        <f t="shared" si="12"/>
        <v>0</v>
      </c>
      <c r="G127" s="11"/>
      <c r="H127" s="9"/>
      <c r="K127" s="10">
        <f t="shared" si="13"/>
        <v>0</v>
      </c>
      <c r="L127" s="10">
        <f t="shared" si="14"/>
        <v>0</v>
      </c>
      <c r="M127" s="9"/>
    </row>
    <row r="128" spans="1:14" ht="15.75" x14ac:dyDescent="0.25">
      <c r="A128" s="7">
        <v>124</v>
      </c>
      <c r="B128" s="7" t="s">
        <v>1464</v>
      </c>
      <c r="C128" s="7" t="s">
        <v>144</v>
      </c>
      <c r="D128" s="10">
        <v>0</v>
      </c>
      <c r="E128" s="7">
        <f>d_t_ms_angle</f>
        <v>0</v>
      </c>
      <c r="F128" s="10">
        <f t="shared" si="12"/>
        <v>0</v>
      </c>
      <c r="G128" s="11"/>
      <c r="H128" s="9"/>
      <c r="K128" s="10">
        <f t="shared" si="13"/>
        <v>0</v>
      </c>
      <c r="L128" s="10">
        <f t="shared" si="14"/>
        <v>0</v>
      </c>
      <c r="M128" s="9"/>
    </row>
    <row r="129" spans="1:14" ht="15.75" x14ac:dyDescent="0.25">
      <c r="A129" s="7">
        <v>125</v>
      </c>
      <c r="B129" s="7" t="s">
        <v>1465</v>
      </c>
      <c r="C129" s="7" t="s">
        <v>172</v>
      </c>
      <c r="D129" s="10">
        <v>310</v>
      </c>
      <c r="E129" s="7">
        <f>d_t_water</f>
        <v>0</v>
      </c>
      <c r="F129" s="10">
        <f t="shared" si="12"/>
        <v>310</v>
      </c>
      <c r="G129" s="11"/>
      <c r="H129" s="9"/>
      <c r="K129" s="10">
        <f t="shared" si="13"/>
        <v>0</v>
      </c>
      <c r="L129" s="10">
        <f t="shared" si="14"/>
        <v>310</v>
      </c>
      <c r="M129" s="9"/>
    </row>
    <row r="130" spans="1:14" ht="15.75" x14ac:dyDescent="0.25">
      <c r="A130" s="7">
        <v>126</v>
      </c>
      <c r="B130" s="7" t="s">
        <v>1466</v>
      </c>
      <c r="C130" s="7" t="s">
        <v>84</v>
      </c>
      <c r="D130" s="10">
        <v>0</v>
      </c>
      <c r="E130" s="7">
        <f>d_t_wooden_packing</f>
        <v>0</v>
      </c>
      <c r="F130" s="10">
        <f t="shared" si="12"/>
        <v>0</v>
      </c>
      <c r="G130" s="11"/>
      <c r="H130" s="9"/>
      <c r="K130" s="10">
        <f t="shared" si="13"/>
        <v>0</v>
      </c>
      <c r="L130" s="10">
        <f t="shared" si="14"/>
        <v>0</v>
      </c>
      <c r="M130" s="9"/>
    </row>
    <row r="131" spans="1:14" ht="15.75" x14ac:dyDescent="0.25">
      <c r="A131" s="357">
        <v>127</v>
      </c>
      <c r="B131" s="357" t="s">
        <v>2292</v>
      </c>
      <c r="C131" s="357" t="s">
        <v>438</v>
      </c>
      <c r="D131" s="358">
        <v>1435.26</v>
      </c>
      <c r="E131" s="270"/>
      <c r="F131" s="269">
        <v>1435.26</v>
      </c>
      <c r="G131" s="270"/>
      <c r="H131" s="270"/>
      <c r="I131" s="270"/>
      <c r="J131" s="270"/>
      <c r="K131" s="270"/>
      <c r="L131" s="271">
        <v>1435.26</v>
      </c>
      <c r="M131" s="259"/>
      <c r="N131" s="259"/>
    </row>
    <row r="132" spans="1:14" s="259" customFormat="1" ht="15.75" x14ac:dyDescent="0.25">
      <c r="A132" s="276">
        <v>128</v>
      </c>
      <c r="B132" s="320" t="s">
        <v>2298</v>
      </c>
      <c r="C132" s="270" t="s">
        <v>2337</v>
      </c>
      <c r="D132" s="269">
        <v>1112</v>
      </c>
      <c r="E132" s="270"/>
      <c r="F132" s="318"/>
      <c r="G132" s="319"/>
      <c r="H132" s="319"/>
      <c r="I132" s="319"/>
      <c r="J132" s="319"/>
      <c r="K132" s="319"/>
      <c r="L132" s="318"/>
    </row>
    <row r="133" spans="1:14" s="259" customFormat="1" ht="15.75" x14ac:dyDescent="0.25">
      <c r="A133" s="270">
        <v>129</v>
      </c>
      <c r="B133" s="320" t="s">
        <v>2320</v>
      </c>
      <c r="C133" s="270" t="s">
        <v>2337</v>
      </c>
      <c r="D133" s="269">
        <v>1668</v>
      </c>
      <c r="E133" s="270"/>
      <c r="F133" s="318"/>
      <c r="G133" s="319" t="s">
        <v>2381</v>
      </c>
      <c r="H133" s="319"/>
      <c r="I133" s="319"/>
      <c r="J133" s="319"/>
      <c r="K133" s="319"/>
      <c r="L133" s="318"/>
    </row>
    <row r="134" spans="1:14" s="259" customFormat="1" ht="15.75" x14ac:dyDescent="0.25">
      <c r="A134" s="276">
        <v>130</v>
      </c>
      <c r="B134" s="320" t="s">
        <v>2322</v>
      </c>
      <c r="C134" s="270" t="s">
        <v>2337</v>
      </c>
      <c r="D134" s="269">
        <v>2113</v>
      </c>
      <c r="E134" s="270"/>
      <c r="F134" s="318"/>
      <c r="G134" s="319"/>
      <c r="H134" s="319"/>
      <c r="I134" s="319"/>
      <c r="J134" s="319"/>
      <c r="K134" s="319"/>
      <c r="L134" s="318"/>
    </row>
    <row r="135" spans="1:14" s="259" customFormat="1" ht="15.75" x14ac:dyDescent="0.25">
      <c r="A135" s="270">
        <v>131</v>
      </c>
      <c r="B135" s="320" t="s">
        <v>2324</v>
      </c>
      <c r="C135" s="270" t="s">
        <v>2337</v>
      </c>
      <c r="D135" s="269">
        <v>3515</v>
      </c>
      <c r="E135" s="270"/>
      <c r="F135" s="318"/>
      <c r="G135" s="319"/>
      <c r="H135" s="319"/>
      <c r="I135" s="319"/>
      <c r="J135" s="319"/>
      <c r="K135" s="319"/>
      <c r="L135" s="318"/>
    </row>
    <row r="136" spans="1:14" s="259" customFormat="1" ht="15.75" x14ac:dyDescent="0.25">
      <c r="A136" s="276">
        <v>132</v>
      </c>
      <c r="B136" s="320" t="s">
        <v>2326</v>
      </c>
      <c r="C136" s="270" t="s">
        <v>2337</v>
      </c>
      <c r="D136" s="269">
        <v>4527</v>
      </c>
      <c r="E136" s="270"/>
      <c r="F136" s="318"/>
      <c r="G136" s="319"/>
      <c r="H136" s="319"/>
      <c r="I136" s="319"/>
      <c r="J136" s="319"/>
      <c r="K136" s="319"/>
      <c r="L136" s="318"/>
    </row>
    <row r="137" spans="1:14" s="259" customFormat="1" ht="15.75" x14ac:dyDescent="0.25">
      <c r="A137" s="270">
        <v>133</v>
      </c>
      <c r="B137" s="320" t="s">
        <v>2328</v>
      </c>
      <c r="C137" s="270" t="s">
        <v>2337</v>
      </c>
      <c r="D137" s="269">
        <v>5406</v>
      </c>
      <c r="E137" s="270"/>
      <c r="F137" s="318"/>
      <c r="G137" s="319"/>
      <c r="H137" s="319"/>
      <c r="I137" s="319"/>
      <c r="J137" s="319"/>
      <c r="K137" s="319"/>
      <c r="L137" s="318"/>
    </row>
    <row r="138" spans="1:14" s="259" customFormat="1" ht="15.75" x14ac:dyDescent="0.25">
      <c r="A138" s="276">
        <v>134</v>
      </c>
      <c r="B138" s="320" t="s">
        <v>2330</v>
      </c>
      <c r="C138" s="270" t="s">
        <v>2337</v>
      </c>
      <c r="D138" s="269">
        <v>9310</v>
      </c>
      <c r="E138" s="270"/>
      <c r="F138" s="318"/>
      <c r="G138" s="319"/>
      <c r="H138" s="319"/>
      <c r="I138" s="319"/>
      <c r="J138" s="319"/>
      <c r="K138" s="319"/>
      <c r="L138" s="318"/>
    </row>
    <row r="139" spans="1:14" s="259" customFormat="1" ht="15.75" x14ac:dyDescent="0.25">
      <c r="A139" s="270">
        <v>135</v>
      </c>
      <c r="B139" s="320" t="s">
        <v>2333</v>
      </c>
      <c r="C139" s="270" t="s">
        <v>2337</v>
      </c>
      <c r="D139" s="269">
        <v>14985</v>
      </c>
      <c r="E139" s="270"/>
      <c r="F139" s="318"/>
      <c r="G139" s="319"/>
      <c r="H139" s="319"/>
      <c r="I139" s="319"/>
      <c r="J139" s="319"/>
      <c r="K139" s="319"/>
      <c r="L139" s="318"/>
    </row>
    <row r="140" spans="1:14" s="259" customFormat="1" ht="15.75" x14ac:dyDescent="0.25">
      <c r="A140" s="276">
        <v>136</v>
      </c>
      <c r="B140" s="320" t="s">
        <v>2335</v>
      </c>
      <c r="C140" s="270" t="s">
        <v>2337</v>
      </c>
      <c r="D140" s="269">
        <v>22572</v>
      </c>
      <c r="E140" s="270"/>
      <c r="F140" s="318"/>
      <c r="G140" s="319"/>
      <c r="H140" s="319"/>
      <c r="I140" s="319"/>
      <c r="J140" s="319"/>
      <c r="K140" s="319"/>
      <c r="L140" s="318"/>
    </row>
    <row r="141" spans="1:14" s="259" customFormat="1" ht="15.75" x14ac:dyDescent="0.25">
      <c r="A141" s="270"/>
      <c r="B141" s="270"/>
      <c r="C141" s="270"/>
      <c r="D141" s="269"/>
      <c r="E141" s="270"/>
      <c r="F141" s="318"/>
      <c r="G141" s="319"/>
      <c r="H141" s="319"/>
      <c r="I141" s="319"/>
      <c r="J141" s="319"/>
      <c r="K141" s="319"/>
      <c r="L141" s="318"/>
    </row>
    <row r="142" spans="1:14" s="259" customFormat="1" ht="15.75" x14ac:dyDescent="0.25">
      <c r="A142" s="270"/>
      <c r="B142" s="270"/>
      <c r="C142" s="270"/>
      <c r="D142" s="269"/>
      <c r="E142" s="270"/>
      <c r="F142" s="318"/>
      <c r="G142" s="319"/>
      <c r="H142" s="319"/>
      <c r="I142" s="319"/>
      <c r="J142" s="319"/>
      <c r="K142" s="319"/>
      <c r="L142" s="318"/>
    </row>
    <row r="143" spans="1:14" ht="15.75" x14ac:dyDescent="0.25">
      <c r="A143" s="418" t="s">
        <v>1467</v>
      </c>
      <c r="B143" s="418"/>
      <c r="C143" s="418"/>
      <c r="D143" s="418"/>
      <c r="E143" s="418"/>
    </row>
    <row r="144" spans="1:14" ht="31.5" x14ac:dyDescent="0.25">
      <c r="A144" s="4" t="s">
        <v>1272</v>
      </c>
      <c r="B144" s="4" t="s">
        <v>1273</v>
      </c>
      <c r="C144" s="4" t="s">
        <v>20</v>
      </c>
      <c r="D144" s="4" t="s">
        <v>1338</v>
      </c>
      <c r="E144" s="4" t="s">
        <v>1309</v>
      </c>
    </row>
    <row r="145" spans="1:5" ht="15.75" x14ac:dyDescent="0.25">
      <c r="A145" s="7">
        <v>1</v>
      </c>
      <c r="B145" s="7" t="s">
        <v>1468</v>
      </c>
      <c r="C145" s="7" t="s">
        <v>28</v>
      </c>
      <c r="D145" s="10">
        <v>825</v>
      </c>
      <c r="E145" s="9"/>
    </row>
    <row r="146" spans="1:5" ht="15.75" x14ac:dyDescent="0.25">
      <c r="A146" s="7">
        <v>2</v>
      </c>
      <c r="B146" s="7" t="s">
        <v>1469</v>
      </c>
      <c r="C146" s="7" t="s">
        <v>28</v>
      </c>
      <c r="D146" s="10">
        <f>blaster</f>
        <v>825</v>
      </c>
      <c r="E146" s="9"/>
    </row>
    <row r="147" spans="1:5" ht="15.75" x14ac:dyDescent="0.25">
      <c r="A147" s="7">
        <v>3</v>
      </c>
      <c r="B147" s="7" t="s">
        <v>1470</v>
      </c>
      <c r="C147" s="7" t="s">
        <v>28</v>
      </c>
      <c r="D147" s="10">
        <v>1035</v>
      </c>
      <c r="E147" s="9"/>
    </row>
    <row r="148" spans="1:5" ht="15.75" x14ac:dyDescent="0.25">
      <c r="A148" s="7">
        <v>4</v>
      </c>
      <c r="B148" s="7" t="s">
        <v>1471</v>
      </c>
      <c r="C148" s="7" t="s">
        <v>28</v>
      </c>
      <c r="D148" s="10">
        <v>1245</v>
      </c>
      <c r="E148" s="9"/>
    </row>
    <row r="149" spans="1:5" ht="15.75" x14ac:dyDescent="0.25">
      <c r="A149" s="7">
        <v>5</v>
      </c>
      <c r="B149" s="7" t="s">
        <v>1472</v>
      </c>
      <c r="C149" s="7" t="s">
        <v>28</v>
      </c>
      <c r="D149" s="10">
        <f>skilled</f>
        <v>1245</v>
      </c>
      <c r="E149" s="9"/>
    </row>
    <row r="150" spans="1:5" ht="15.75" x14ac:dyDescent="0.25">
      <c r="A150" s="7">
        <v>6</v>
      </c>
      <c r="B150" s="7" t="s">
        <v>1473</v>
      </c>
      <c r="C150" s="7" t="s">
        <v>28</v>
      </c>
      <c r="D150" s="10">
        <f>skilled_blacksmith</f>
        <v>1245</v>
      </c>
      <c r="E150" s="9"/>
    </row>
    <row r="151" spans="1:5" ht="15.75" x14ac:dyDescent="0.25">
      <c r="A151" s="7">
        <v>7</v>
      </c>
      <c r="B151" s="7" t="s">
        <v>1474</v>
      </c>
      <c r="C151" s="7" t="s">
        <v>28</v>
      </c>
      <c r="D151" s="10">
        <f>skilled_electrician_lineman</f>
        <v>1245</v>
      </c>
      <c r="E151" s="9"/>
    </row>
    <row r="152" spans="1:5" ht="15.75" x14ac:dyDescent="0.25">
      <c r="A152" s="7">
        <v>8</v>
      </c>
      <c r="B152" s="7" t="s">
        <v>1475</v>
      </c>
      <c r="C152" s="7" t="s">
        <v>28</v>
      </c>
      <c r="D152" s="10">
        <f>skilled_mason</f>
        <v>1245</v>
      </c>
      <c r="E152" s="9"/>
    </row>
    <row r="153" spans="1:5" ht="15.75" x14ac:dyDescent="0.25">
      <c r="A153" s="7">
        <v>9</v>
      </c>
      <c r="B153" s="7" t="s">
        <v>1476</v>
      </c>
      <c r="C153" s="7" t="s">
        <v>28</v>
      </c>
      <c r="D153" s="10">
        <f>skilled_painter</f>
        <v>1245</v>
      </c>
      <c r="E153" s="9"/>
    </row>
    <row r="154" spans="1:5" ht="15.75" x14ac:dyDescent="0.25">
      <c r="A154" s="7">
        <v>10</v>
      </c>
      <c r="B154" s="7" t="s">
        <v>1477</v>
      </c>
      <c r="C154" s="7" t="s">
        <v>28</v>
      </c>
      <c r="D154" s="10">
        <f>blaster</f>
        <v>825</v>
      </c>
      <c r="E154" s="9"/>
    </row>
    <row r="155" spans="1:5" ht="15.75" x14ac:dyDescent="0.25">
      <c r="A155" s="7">
        <v>11</v>
      </c>
      <c r="B155" s="7" t="s">
        <v>1478</v>
      </c>
      <c r="C155" s="7" t="s">
        <v>28</v>
      </c>
      <c r="D155" s="10">
        <f>supervisor</f>
        <v>825</v>
      </c>
      <c r="E155" s="9"/>
    </row>
    <row r="156" spans="1:5" ht="15.75" x14ac:dyDescent="0.25">
      <c r="A156" s="7">
        <v>12</v>
      </c>
      <c r="B156" s="7" t="s">
        <v>1479</v>
      </c>
      <c r="C156" s="7" t="s">
        <v>28</v>
      </c>
      <c r="D156" s="10">
        <v>935</v>
      </c>
      <c r="E156" s="9"/>
    </row>
  </sheetData>
  <sheetProtection algorithmName="SHA-512" hashValue="w2KSnQbQZzsEvzp5DIqhJfu85YrmaaAtM3qmAuB2xIlIDpfzWENxIlXdX/ezQs5djo18JJIUQg+9v0ALyzNSHw==" saltValue="SbFE2krgyrRWok/vSqUuyg==" spinCount="100000" sheet="1" objects="1" scenarios="1"/>
  <mergeCells count="2">
    <mergeCell ref="A1:M1"/>
    <mergeCell ref="A143:E143"/>
  </mergeCells>
  <conditionalFormatting sqref="A145:E156">
    <cfRule type="containsBlanks" dxfId="16" priority="2">
      <formula>LEN(TRIM(A145))=0</formula>
    </cfRule>
  </conditionalFormatting>
  <conditionalFormatting sqref="A132 A134 A136 A138 A140 A3:M130">
    <cfRule type="containsBlanks" dxfId="15" priority="1">
      <formula>LEN(TRIM(A3))=0</formula>
    </cfRule>
  </conditionalFormatting>
  <pageMargins left="0.5" right="0.5" top="0.5" bottom="0.5" header="0.3" footer="0.3"/>
  <pageSetup paperSize="9" scale="45" fitToHeight="0" orientation="portrait" useFirstPageNumber="1" r:id="rId1"/>
  <headerFooter>
    <oddHeader>&amp;L District Rates &amp;R Page &amp;P of &amp;N</oddHeader>
    <oddFooter>&amp;L Prepared By:________________ &amp;C Checked By:________________ &amp;R Approved By:________________</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1"/>
  <sheetViews>
    <sheetView view="pageBreakPreview" topLeftCell="A3" zoomScale="60" zoomScaleNormal="100" workbookViewId="0">
      <pane xSplit="2" ySplit="2" topLeftCell="C38" activePane="bottomRight" state="frozen"/>
      <selection activeCell="A3" sqref="A3"/>
      <selection pane="topRight" activeCell="B3" sqref="B3"/>
      <selection pane="bottomLeft" activeCell="A5" sqref="A5"/>
      <selection pane="bottomRight" activeCell="AA23" sqref="AA23"/>
    </sheetView>
  </sheetViews>
  <sheetFormatPr defaultRowHeight="15" x14ac:dyDescent="0.25"/>
  <cols>
    <col min="1" max="1" width="4" style="259" customWidth="1"/>
    <col min="3" max="3" width="30.7109375" customWidth="1"/>
    <col min="4" max="4" width="20.7109375" customWidth="1"/>
    <col min="6" max="6" width="20.7109375" customWidth="1"/>
    <col min="10" max="10" width="10.140625" bestFit="1" customWidth="1"/>
    <col min="11" max="11" width="10.7109375" customWidth="1"/>
    <col min="12" max="12" width="9" bestFit="1" customWidth="1"/>
    <col min="15" max="15" width="10.7109375" customWidth="1"/>
    <col min="17" max="18" width="10.7109375" customWidth="1"/>
    <col min="20" max="20" width="11.42578125" customWidth="1"/>
  </cols>
  <sheetData>
    <row r="1" spans="1:20" ht="15.75" x14ac:dyDescent="0.25">
      <c r="B1" s="416" t="s">
        <v>1480</v>
      </c>
      <c r="C1" s="416"/>
      <c r="D1" s="416"/>
      <c r="E1" s="416"/>
      <c r="F1" s="416"/>
      <c r="G1" s="416"/>
      <c r="H1" s="416"/>
      <c r="I1" s="416"/>
      <c r="J1" s="416"/>
      <c r="K1" s="416"/>
      <c r="L1" s="416"/>
      <c r="M1" s="416"/>
      <c r="N1" s="416"/>
      <c r="O1" s="416"/>
      <c r="P1" s="416"/>
      <c r="Q1" s="416"/>
      <c r="R1" s="416"/>
    </row>
    <row r="2" spans="1:20" ht="15.75" x14ac:dyDescent="0.25">
      <c r="B2" s="416" t="s">
        <v>1481</v>
      </c>
      <c r="C2" s="416"/>
      <c r="D2" s="416"/>
      <c r="E2" s="416"/>
      <c r="F2" s="416"/>
      <c r="G2" s="416"/>
      <c r="H2" s="416"/>
      <c r="I2" s="416"/>
      <c r="J2" s="416"/>
      <c r="K2" s="416"/>
      <c r="L2" s="416"/>
      <c r="M2" s="416"/>
      <c r="N2" s="416"/>
      <c r="O2" s="416"/>
      <c r="P2" s="416"/>
      <c r="Q2" s="416"/>
      <c r="R2" s="416"/>
    </row>
    <row r="3" spans="1:20" ht="15.75" customHeight="1" x14ac:dyDescent="0.25">
      <c r="A3" s="424" t="s">
        <v>1272</v>
      </c>
      <c r="B3" s="425" t="s">
        <v>1482</v>
      </c>
      <c r="C3" s="425" t="s">
        <v>1483</v>
      </c>
      <c r="D3" s="426" t="s">
        <v>1484</v>
      </c>
      <c r="E3" s="426" t="s">
        <v>1485</v>
      </c>
      <c r="F3" s="426" t="s">
        <v>1486</v>
      </c>
      <c r="G3" s="426" t="s">
        <v>1487</v>
      </c>
      <c r="H3" s="426" t="s">
        <v>1488</v>
      </c>
      <c r="I3" s="426" t="s">
        <v>20</v>
      </c>
      <c r="J3" s="426" t="s">
        <v>1489</v>
      </c>
      <c r="K3" s="426" t="s">
        <v>1490</v>
      </c>
      <c r="L3" s="426" t="s">
        <v>1491</v>
      </c>
      <c r="M3" s="426"/>
      <c r="N3" s="426"/>
      <c r="O3" s="426"/>
      <c r="P3" s="426" t="s">
        <v>1496</v>
      </c>
      <c r="Q3" s="426" t="s">
        <v>1497</v>
      </c>
      <c r="R3" s="426" t="s">
        <v>1498</v>
      </c>
      <c r="S3" s="322" t="s">
        <v>2343</v>
      </c>
      <c r="T3" s="322" t="s">
        <v>2344</v>
      </c>
    </row>
    <row r="4" spans="1:20" ht="31.5" x14ac:dyDescent="0.25">
      <c r="A4" s="424"/>
      <c r="B4" s="425"/>
      <c r="C4" s="425"/>
      <c r="D4" s="426"/>
      <c r="E4" s="426"/>
      <c r="F4" s="426"/>
      <c r="G4" s="426"/>
      <c r="H4" s="426"/>
      <c r="I4" s="426"/>
      <c r="J4" s="426"/>
      <c r="K4" s="426"/>
      <c r="L4" s="328" t="s">
        <v>1492</v>
      </c>
      <c r="M4" s="328" t="s">
        <v>1493</v>
      </c>
      <c r="N4" s="328" t="s">
        <v>1494</v>
      </c>
      <c r="O4" s="328" t="s">
        <v>1495</v>
      </c>
      <c r="P4" s="426"/>
      <c r="Q4" s="426"/>
      <c r="R4" s="426"/>
      <c r="S4" s="322" t="s">
        <v>47</v>
      </c>
      <c r="T4" s="323" t="s">
        <v>2345</v>
      </c>
    </row>
    <row r="5" spans="1:20" ht="31.5" x14ac:dyDescent="0.25">
      <c r="A5" s="270">
        <v>1</v>
      </c>
      <c r="B5" s="324" t="s">
        <v>1499</v>
      </c>
      <c r="C5" s="324" t="s">
        <v>63</v>
      </c>
      <c r="D5" s="7" t="s">
        <v>1500</v>
      </c>
      <c r="E5" s="7" t="s">
        <v>1501</v>
      </c>
      <c r="F5" s="7" t="s">
        <v>1502</v>
      </c>
      <c r="G5" s="7">
        <v>0.8</v>
      </c>
      <c r="H5" s="7">
        <v>0.8</v>
      </c>
      <c r="I5" s="7" t="s">
        <v>58</v>
      </c>
      <c r="J5" s="7">
        <f t="shared" ref="J5:J48" si="0">ROUND(SUM(K5:O5),0)</f>
        <v>1190</v>
      </c>
      <c r="K5" s="203">
        <v>192</v>
      </c>
      <c r="L5" s="7">
        <f>ROUND((P5+R5)*diesel+Q5*electricity*G5*H5,0)</f>
        <v>750</v>
      </c>
      <c r="M5" s="18">
        <f t="shared" ref="M5:M51" si="1">S5*skilled+T5*unskilled</f>
        <v>155.625</v>
      </c>
      <c r="N5" s="203">
        <v>42</v>
      </c>
      <c r="O5" s="203">
        <v>50</v>
      </c>
      <c r="P5" s="203">
        <v>5.73</v>
      </c>
      <c r="Q5" s="203"/>
      <c r="R5" s="203"/>
      <c r="S5" s="203">
        <v>0.125</v>
      </c>
      <c r="T5" s="203"/>
    </row>
    <row r="6" spans="1:20" ht="31.5" x14ac:dyDescent="0.25">
      <c r="A6" s="270">
        <v>2</v>
      </c>
      <c r="B6" s="324"/>
      <c r="C6" s="324" t="s">
        <v>1503</v>
      </c>
      <c r="D6" s="7" t="s">
        <v>2346</v>
      </c>
      <c r="E6" s="7" t="s">
        <v>1504</v>
      </c>
      <c r="F6" s="7"/>
      <c r="G6" s="7"/>
      <c r="H6" s="7"/>
      <c r="I6" s="7"/>
      <c r="J6" s="7">
        <f t="shared" si="0"/>
        <v>299</v>
      </c>
      <c r="K6" s="203">
        <v>26</v>
      </c>
      <c r="L6" s="7">
        <f>ROUND((P6+R6)*diesel+Q6*electricity*G6*H6,0)</f>
        <v>262</v>
      </c>
      <c r="M6" s="18">
        <f t="shared" si="1"/>
        <v>0</v>
      </c>
      <c r="N6" s="203">
        <v>3</v>
      </c>
      <c r="O6" s="203">
        <v>8</v>
      </c>
      <c r="P6" s="203"/>
      <c r="Q6" s="203"/>
      <c r="R6" s="203">
        <v>2</v>
      </c>
      <c r="S6" s="203"/>
      <c r="T6" s="203"/>
    </row>
    <row r="7" spans="1:20" ht="31.5" x14ac:dyDescent="0.25">
      <c r="A7" s="270">
        <v>3</v>
      </c>
      <c r="B7" s="324" t="s">
        <v>1505</v>
      </c>
      <c r="C7" s="324" t="s">
        <v>1506</v>
      </c>
      <c r="D7" s="7" t="s">
        <v>1507</v>
      </c>
      <c r="E7" s="7" t="s">
        <v>1508</v>
      </c>
      <c r="F7" s="7" t="s">
        <v>1376</v>
      </c>
      <c r="G7" s="7">
        <v>0.7</v>
      </c>
      <c r="H7" s="7">
        <v>0.7</v>
      </c>
      <c r="I7" s="7" t="s">
        <v>58</v>
      </c>
      <c r="J7" s="7">
        <f t="shared" si="0"/>
        <v>701</v>
      </c>
      <c r="K7" s="203">
        <v>40</v>
      </c>
      <c r="L7" s="7">
        <f>ROUND((P7+R7 * 0.6)*diesel+Q7*electricity*G7*H7,0)</f>
        <v>650</v>
      </c>
      <c r="M7" s="18">
        <f t="shared" si="1"/>
        <v>0</v>
      </c>
      <c r="N7" s="203">
        <v>3</v>
      </c>
      <c r="O7" s="203">
        <v>8</v>
      </c>
      <c r="P7" s="203">
        <v>1.96</v>
      </c>
      <c r="Q7" s="203"/>
      <c r="R7" s="203">
        <v>5</v>
      </c>
      <c r="S7" s="203"/>
      <c r="T7" s="203"/>
    </row>
    <row r="8" spans="1:20" ht="31.5" x14ac:dyDescent="0.25">
      <c r="A8" s="270">
        <v>4</v>
      </c>
      <c r="B8" s="324" t="s">
        <v>1509</v>
      </c>
      <c r="C8" s="324" t="s">
        <v>1510</v>
      </c>
      <c r="D8" s="7" t="s">
        <v>1511</v>
      </c>
      <c r="E8" s="7" t="s">
        <v>1512</v>
      </c>
      <c r="F8" s="7" t="s">
        <v>1513</v>
      </c>
      <c r="G8" s="7">
        <v>0.8</v>
      </c>
      <c r="H8" s="7">
        <v>0.8</v>
      </c>
      <c r="I8" s="7" t="s">
        <v>58</v>
      </c>
      <c r="J8" s="7">
        <f t="shared" si="0"/>
        <v>2689</v>
      </c>
      <c r="K8" s="203">
        <v>443</v>
      </c>
      <c r="L8" s="7">
        <f t="shared" ref="L8:L17" si="2">ROUND((P8+R8)*diesel+Q8*electricity*G8*H8,0)</f>
        <v>1734</v>
      </c>
      <c r="M8" s="18">
        <f t="shared" si="1"/>
        <v>272.5</v>
      </c>
      <c r="N8" s="203">
        <v>63</v>
      </c>
      <c r="O8" s="203">
        <v>176</v>
      </c>
      <c r="P8" s="203">
        <v>10.24</v>
      </c>
      <c r="Q8" s="203"/>
      <c r="R8" s="203">
        <v>3</v>
      </c>
      <c r="S8" s="203">
        <v>0.125</v>
      </c>
      <c r="T8" s="203">
        <v>0.125</v>
      </c>
    </row>
    <row r="9" spans="1:20" ht="31.5" x14ac:dyDescent="0.25">
      <c r="A9" s="270">
        <v>5</v>
      </c>
      <c r="B9" s="324" t="s">
        <v>1514</v>
      </c>
      <c r="C9" s="324" t="s">
        <v>1515</v>
      </c>
      <c r="D9" s="7" t="s">
        <v>1516</v>
      </c>
      <c r="E9" s="7" t="s">
        <v>1508</v>
      </c>
      <c r="F9" s="7" t="s">
        <v>1513</v>
      </c>
      <c r="G9" s="7">
        <v>0.85</v>
      </c>
      <c r="H9" s="7">
        <v>0.8</v>
      </c>
      <c r="I9" s="7" t="s">
        <v>58</v>
      </c>
      <c r="J9" s="7">
        <f t="shared" si="0"/>
        <v>1488</v>
      </c>
      <c r="K9" s="203">
        <v>196</v>
      </c>
      <c r="L9" s="7">
        <f t="shared" si="2"/>
        <v>925</v>
      </c>
      <c r="M9" s="18">
        <f t="shared" si="1"/>
        <v>272.5</v>
      </c>
      <c r="N9" s="203">
        <v>30</v>
      </c>
      <c r="O9" s="203">
        <v>64</v>
      </c>
      <c r="P9" s="203">
        <v>7.06</v>
      </c>
      <c r="Q9" s="203"/>
      <c r="R9" s="203"/>
      <c r="S9" s="203">
        <v>0.125</v>
      </c>
      <c r="T9" s="203">
        <v>0.125</v>
      </c>
    </row>
    <row r="10" spans="1:20" ht="31.5" x14ac:dyDescent="0.25">
      <c r="A10" s="270">
        <v>6</v>
      </c>
      <c r="B10" s="324" t="s">
        <v>1517</v>
      </c>
      <c r="C10" s="324" t="s">
        <v>276</v>
      </c>
      <c r="D10" s="7" t="s">
        <v>1518</v>
      </c>
      <c r="E10" s="7" t="s">
        <v>1519</v>
      </c>
      <c r="F10" s="7" t="s">
        <v>84</v>
      </c>
      <c r="G10" s="7">
        <v>0.8</v>
      </c>
      <c r="H10" s="7">
        <v>0.8</v>
      </c>
      <c r="I10" s="7" t="s">
        <v>58</v>
      </c>
      <c r="J10" s="7">
        <f t="shared" si="0"/>
        <v>296</v>
      </c>
      <c r="K10" s="203">
        <v>31</v>
      </c>
      <c r="L10" s="7">
        <f t="shared" si="2"/>
        <v>251</v>
      </c>
      <c r="M10" s="18">
        <f t="shared" si="1"/>
        <v>0</v>
      </c>
      <c r="N10" s="203">
        <v>3</v>
      </c>
      <c r="O10" s="203">
        <v>11</v>
      </c>
      <c r="P10" s="203">
        <v>1.92</v>
      </c>
      <c r="Q10" s="203"/>
      <c r="R10" s="203"/>
      <c r="S10" s="203"/>
      <c r="T10" s="203"/>
    </row>
    <row r="11" spans="1:20" ht="15.75" x14ac:dyDescent="0.25">
      <c r="A11" s="270">
        <v>7</v>
      </c>
      <c r="B11" s="324"/>
      <c r="C11" s="325" t="s">
        <v>1520</v>
      </c>
      <c r="D11" s="7"/>
      <c r="E11" s="7" t="s">
        <v>1504</v>
      </c>
      <c r="F11" s="7"/>
      <c r="G11" s="7"/>
      <c r="H11" s="7"/>
      <c r="I11" s="7"/>
      <c r="J11" s="7">
        <f t="shared" si="0"/>
        <v>0</v>
      </c>
      <c r="K11" s="203"/>
      <c r="L11" s="7">
        <f t="shared" si="2"/>
        <v>0</v>
      </c>
      <c r="M11" s="18">
        <f t="shared" si="1"/>
        <v>0</v>
      </c>
      <c r="N11" s="203"/>
      <c r="O11" s="203"/>
      <c r="P11" s="203"/>
      <c r="Q11" s="203"/>
      <c r="R11" s="203"/>
      <c r="S11" s="203"/>
      <c r="T11" s="203"/>
    </row>
    <row r="12" spans="1:20" ht="31.5" x14ac:dyDescent="0.25">
      <c r="A12" s="270">
        <v>8</v>
      </c>
      <c r="B12" s="324" t="s">
        <v>1521</v>
      </c>
      <c r="C12" s="324" t="s">
        <v>1522</v>
      </c>
      <c r="D12" s="7"/>
      <c r="E12" s="7" t="s">
        <v>1504</v>
      </c>
      <c r="F12" s="7"/>
      <c r="G12" s="7">
        <v>0.75</v>
      </c>
      <c r="H12" s="7">
        <v>0.75</v>
      </c>
      <c r="I12" s="7" t="s">
        <v>58</v>
      </c>
      <c r="J12" s="7">
        <f t="shared" si="0"/>
        <v>2903</v>
      </c>
      <c r="K12" s="203">
        <v>820</v>
      </c>
      <c r="L12" s="7">
        <f t="shared" si="2"/>
        <v>1327</v>
      </c>
      <c r="M12" s="18">
        <f t="shared" si="1"/>
        <v>272.5</v>
      </c>
      <c r="N12" s="203">
        <v>145</v>
      </c>
      <c r="O12" s="203">
        <v>338</v>
      </c>
      <c r="P12" s="203">
        <v>10.130000000000001</v>
      </c>
      <c r="Q12" s="203"/>
      <c r="R12" s="203"/>
      <c r="S12" s="203">
        <v>0.125</v>
      </c>
      <c r="T12" s="203">
        <v>0.125</v>
      </c>
    </row>
    <row r="13" spans="1:20" ht="31.5" x14ac:dyDescent="0.25">
      <c r="A13" s="270">
        <v>9</v>
      </c>
      <c r="B13" s="324" t="s">
        <v>1523</v>
      </c>
      <c r="C13" s="324" t="s">
        <v>1524</v>
      </c>
      <c r="D13" s="7" t="s">
        <v>1525</v>
      </c>
      <c r="E13" s="7" t="s">
        <v>1526</v>
      </c>
      <c r="F13" s="7" t="s">
        <v>1527</v>
      </c>
      <c r="G13" s="7">
        <v>0.85</v>
      </c>
      <c r="H13" s="7">
        <v>0.8</v>
      </c>
      <c r="I13" s="7" t="s">
        <v>58</v>
      </c>
      <c r="J13" s="7">
        <f t="shared" si="0"/>
        <v>4188</v>
      </c>
      <c r="K13" s="203">
        <v>1300</v>
      </c>
      <c r="L13" s="7">
        <f t="shared" si="2"/>
        <v>1852</v>
      </c>
      <c r="M13" s="18">
        <f t="shared" si="1"/>
        <v>155.625</v>
      </c>
      <c r="N13" s="203">
        <v>330</v>
      </c>
      <c r="O13" s="203">
        <v>550</v>
      </c>
      <c r="P13" s="203">
        <v>14.14</v>
      </c>
      <c r="Q13" s="203"/>
      <c r="R13" s="203"/>
      <c r="S13" s="203">
        <v>0.125</v>
      </c>
      <c r="T13" s="203"/>
    </row>
    <row r="14" spans="1:20" ht="31.5" x14ac:dyDescent="0.25">
      <c r="A14" s="270">
        <v>10</v>
      </c>
      <c r="B14" s="324" t="s">
        <v>1528</v>
      </c>
      <c r="C14" s="324" t="s">
        <v>1529</v>
      </c>
      <c r="D14" s="7"/>
      <c r="E14" s="7" t="s">
        <v>1504</v>
      </c>
      <c r="F14" s="7"/>
      <c r="G14" s="7">
        <v>0.9</v>
      </c>
      <c r="H14" s="7">
        <v>0.9</v>
      </c>
      <c r="I14" s="7" t="s">
        <v>58</v>
      </c>
      <c r="J14" s="7">
        <f t="shared" si="0"/>
        <v>629</v>
      </c>
      <c r="K14" s="203">
        <v>126</v>
      </c>
      <c r="L14" s="7">
        <f t="shared" si="2"/>
        <v>170</v>
      </c>
      <c r="M14" s="18">
        <f t="shared" si="1"/>
        <v>272.5</v>
      </c>
      <c r="N14" s="203">
        <v>24</v>
      </c>
      <c r="O14" s="203">
        <v>36</v>
      </c>
      <c r="P14" s="203">
        <v>1.3</v>
      </c>
      <c r="Q14" s="203"/>
      <c r="R14" s="203"/>
      <c r="S14" s="203">
        <v>0.125</v>
      </c>
      <c r="T14" s="203">
        <v>0.125</v>
      </c>
    </row>
    <row r="15" spans="1:20" ht="31.5" x14ac:dyDescent="0.25">
      <c r="A15" s="270">
        <v>11</v>
      </c>
      <c r="B15" s="324" t="s">
        <v>1530</v>
      </c>
      <c r="C15" s="324" t="s">
        <v>1531</v>
      </c>
      <c r="D15" s="7"/>
      <c r="E15" s="7" t="s">
        <v>1532</v>
      </c>
      <c r="F15" s="7" t="s">
        <v>1533</v>
      </c>
      <c r="G15" s="7">
        <v>0.8</v>
      </c>
      <c r="H15" s="7">
        <v>0.8</v>
      </c>
      <c r="I15" s="7" t="s">
        <v>58</v>
      </c>
      <c r="J15" s="7">
        <f t="shared" si="0"/>
        <v>1313</v>
      </c>
      <c r="K15" s="203">
        <v>375</v>
      </c>
      <c r="L15" s="7">
        <f t="shared" si="2"/>
        <v>657</v>
      </c>
      <c r="M15" s="18">
        <f t="shared" si="1"/>
        <v>155.625</v>
      </c>
      <c r="N15" s="203">
        <v>50</v>
      </c>
      <c r="O15" s="203">
        <v>75</v>
      </c>
      <c r="P15" s="203">
        <v>3.89</v>
      </c>
      <c r="Q15" s="203">
        <v>20</v>
      </c>
      <c r="R15" s="203"/>
      <c r="S15" s="203">
        <v>0.125</v>
      </c>
      <c r="T15" s="203"/>
    </row>
    <row r="16" spans="1:20" ht="15.75" x14ac:dyDescent="0.25">
      <c r="A16" s="270">
        <v>12</v>
      </c>
      <c r="B16" s="324"/>
      <c r="C16" s="324" t="s">
        <v>1534</v>
      </c>
      <c r="D16" s="7"/>
      <c r="E16" s="7" t="s">
        <v>1504</v>
      </c>
      <c r="F16" s="7"/>
      <c r="G16" s="7"/>
      <c r="H16" s="7"/>
      <c r="I16" s="7"/>
      <c r="J16" s="7">
        <f t="shared" si="0"/>
        <v>855</v>
      </c>
      <c r="K16" s="203">
        <v>77</v>
      </c>
      <c r="L16" s="7">
        <f t="shared" si="2"/>
        <v>595</v>
      </c>
      <c r="M16" s="18">
        <f t="shared" si="1"/>
        <v>155.625</v>
      </c>
      <c r="N16" s="203">
        <v>10</v>
      </c>
      <c r="O16" s="203">
        <v>17</v>
      </c>
      <c r="P16" s="203">
        <v>4.54</v>
      </c>
      <c r="Q16" s="203"/>
      <c r="R16" s="203"/>
      <c r="S16" s="203">
        <v>0.125</v>
      </c>
      <c r="T16" s="203"/>
    </row>
    <row r="17" spans="1:20" ht="31.5" x14ac:dyDescent="0.25">
      <c r="A17" s="270">
        <v>13</v>
      </c>
      <c r="B17" s="324" t="s">
        <v>1535</v>
      </c>
      <c r="C17" s="324" t="s">
        <v>1536</v>
      </c>
      <c r="D17" s="7"/>
      <c r="E17" s="7" t="s">
        <v>1504</v>
      </c>
      <c r="F17" s="7"/>
      <c r="G17" s="7">
        <v>0.8</v>
      </c>
      <c r="H17" s="7">
        <v>0.9</v>
      </c>
      <c r="I17" s="7" t="s">
        <v>58</v>
      </c>
      <c r="J17" s="7">
        <f t="shared" si="0"/>
        <v>89</v>
      </c>
      <c r="K17" s="203">
        <v>63</v>
      </c>
      <c r="L17" s="7">
        <f t="shared" si="2"/>
        <v>8</v>
      </c>
      <c r="M17" s="18">
        <f t="shared" si="1"/>
        <v>0</v>
      </c>
      <c r="N17" s="203">
        <v>6</v>
      </c>
      <c r="O17" s="203">
        <v>12</v>
      </c>
      <c r="P17" s="203"/>
      <c r="Q17" s="203">
        <v>1</v>
      </c>
      <c r="R17" s="203"/>
      <c r="S17" s="203"/>
      <c r="T17" s="203"/>
    </row>
    <row r="18" spans="1:20" ht="31.5" x14ac:dyDescent="0.25">
      <c r="A18" s="270">
        <v>14</v>
      </c>
      <c r="B18" s="324" t="s">
        <v>2105</v>
      </c>
      <c r="C18" s="324" t="s">
        <v>1537</v>
      </c>
      <c r="D18" s="7" t="s">
        <v>1511</v>
      </c>
      <c r="E18" s="7">
        <v>1750</v>
      </c>
      <c r="F18" s="7" t="s">
        <v>1513</v>
      </c>
      <c r="G18" s="7"/>
      <c r="H18" s="7"/>
      <c r="I18" s="7" t="s">
        <v>58</v>
      </c>
      <c r="J18" s="7">
        <f t="shared" si="0"/>
        <v>751</v>
      </c>
      <c r="K18" s="203">
        <v>46</v>
      </c>
      <c r="L18" s="20">
        <f>4.1*adopted_rate_diesel</f>
        <v>536.99115044247787</v>
      </c>
      <c r="M18" s="18">
        <f t="shared" si="1"/>
        <v>155.625</v>
      </c>
      <c r="N18" s="203">
        <v>4</v>
      </c>
      <c r="O18" s="203">
        <v>8</v>
      </c>
      <c r="P18" s="203">
        <v>1.1499999999999999</v>
      </c>
      <c r="Q18" s="203"/>
      <c r="R18" s="203"/>
      <c r="S18" s="203">
        <v>0.125</v>
      </c>
      <c r="T18" s="203"/>
    </row>
    <row r="19" spans="1:20" ht="47.25" x14ac:dyDescent="0.25">
      <c r="A19" s="270">
        <v>15</v>
      </c>
      <c r="B19" s="324" t="s">
        <v>1538</v>
      </c>
      <c r="C19" s="324" t="s">
        <v>1539</v>
      </c>
      <c r="D19" s="7" t="s">
        <v>1540</v>
      </c>
      <c r="E19" s="7" t="s">
        <v>1541</v>
      </c>
      <c r="F19" s="7" t="s">
        <v>1527</v>
      </c>
      <c r="G19" s="7">
        <v>0.75</v>
      </c>
      <c r="H19" s="7">
        <v>0.8</v>
      </c>
      <c r="I19" s="7" t="s">
        <v>58</v>
      </c>
      <c r="J19" s="7">
        <f t="shared" si="0"/>
        <v>3102</v>
      </c>
      <c r="K19" s="203">
        <v>620</v>
      </c>
      <c r="L19" s="7">
        <f t="shared" ref="L19:L48" si="3">ROUND((P19+R19)*diesel+Q19*electricity*G19*H19,0)</f>
        <v>1886</v>
      </c>
      <c r="M19" s="18">
        <f t="shared" si="1"/>
        <v>155.625</v>
      </c>
      <c r="N19" s="203">
        <v>165</v>
      </c>
      <c r="O19" s="203">
        <v>275</v>
      </c>
      <c r="P19" s="203">
        <v>14.4</v>
      </c>
      <c r="Q19" s="203"/>
      <c r="R19" s="203"/>
      <c r="S19" s="203">
        <v>0.125</v>
      </c>
      <c r="T19" s="203"/>
    </row>
    <row r="20" spans="1:20" s="210" customFormat="1" ht="42" customHeight="1" x14ac:dyDescent="0.25">
      <c r="A20" s="389"/>
      <c r="B20" s="326"/>
      <c r="C20" s="326" t="s">
        <v>2392</v>
      </c>
      <c r="D20" s="326"/>
      <c r="E20" s="326">
        <v>26</v>
      </c>
      <c r="F20" s="326" t="s">
        <v>1618</v>
      </c>
      <c r="G20" s="408"/>
      <c r="H20" s="408"/>
      <c r="I20" s="326"/>
      <c r="J20" s="326">
        <f t="shared" si="0"/>
        <v>2137</v>
      </c>
      <c r="K20" s="326">
        <v>581</v>
      </c>
      <c r="L20" s="408">
        <f t="shared" si="3"/>
        <v>1046</v>
      </c>
      <c r="M20" s="18">
        <f t="shared" si="1"/>
        <v>155.625</v>
      </c>
      <c r="N20" s="326">
        <v>165</v>
      </c>
      <c r="O20" s="326">
        <v>189</v>
      </c>
      <c r="P20" s="326">
        <v>7.99</v>
      </c>
      <c r="Q20" s="326"/>
      <c r="R20" s="326"/>
      <c r="S20" s="326">
        <v>0.125</v>
      </c>
      <c r="T20" s="326"/>
    </row>
    <row r="21" spans="1:20" ht="31.5" x14ac:dyDescent="0.25">
      <c r="A21" s="270">
        <v>16</v>
      </c>
      <c r="B21" s="324" t="s">
        <v>1542</v>
      </c>
      <c r="C21" s="324" t="s">
        <v>1543</v>
      </c>
      <c r="D21" s="7" t="s">
        <v>1544</v>
      </c>
      <c r="E21" s="7" t="s">
        <v>1545</v>
      </c>
      <c r="F21" s="7" t="s">
        <v>1546</v>
      </c>
      <c r="G21" s="7">
        <v>0.6</v>
      </c>
      <c r="H21" s="7">
        <v>0.9</v>
      </c>
      <c r="I21" s="7" t="s">
        <v>58</v>
      </c>
      <c r="J21" s="7">
        <f t="shared" si="0"/>
        <v>855</v>
      </c>
      <c r="K21" s="203">
        <v>77</v>
      </c>
      <c r="L21" s="7">
        <f t="shared" si="3"/>
        <v>595</v>
      </c>
      <c r="M21" s="18">
        <f t="shared" si="1"/>
        <v>155.625</v>
      </c>
      <c r="N21" s="203">
        <v>10</v>
      </c>
      <c r="O21" s="203">
        <v>17</v>
      </c>
      <c r="P21" s="203">
        <v>4.54</v>
      </c>
      <c r="Q21" s="203"/>
      <c r="R21" s="203"/>
      <c r="S21" s="203">
        <v>0.125</v>
      </c>
      <c r="T21" s="203"/>
    </row>
    <row r="22" spans="1:20" ht="15.75" x14ac:dyDescent="0.25">
      <c r="A22" s="270">
        <v>17</v>
      </c>
      <c r="B22" s="324"/>
      <c r="C22" s="324" t="s">
        <v>1547</v>
      </c>
      <c r="D22" s="7"/>
      <c r="E22" s="7" t="s">
        <v>1504</v>
      </c>
      <c r="F22" s="7"/>
      <c r="G22" s="7"/>
      <c r="H22" s="7"/>
      <c r="I22" s="7"/>
      <c r="J22" s="204">
        <f t="shared" si="0"/>
        <v>387</v>
      </c>
      <c r="K22" s="203">
        <v>147</v>
      </c>
      <c r="L22" s="7">
        <f t="shared" si="3"/>
        <v>0</v>
      </c>
      <c r="M22" s="18">
        <f t="shared" si="1"/>
        <v>155.625</v>
      </c>
      <c r="N22" s="203">
        <v>28</v>
      </c>
      <c r="O22" s="203">
        <v>56</v>
      </c>
      <c r="P22" s="203"/>
      <c r="Q22" s="203">
        <v>2</v>
      </c>
      <c r="R22" s="203"/>
      <c r="S22" s="203">
        <v>0.125</v>
      </c>
      <c r="T22" s="203"/>
    </row>
    <row r="23" spans="1:20" s="210" customFormat="1" ht="31.5" x14ac:dyDescent="0.25">
      <c r="A23" s="270">
        <v>18</v>
      </c>
      <c r="B23" s="326" t="s">
        <v>1548</v>
      </c>
      <c r="C23" s="326" t="s">
        <v>2106</v>
      </c>
      <c r="D23" s="203" t="s">
        <v>1549</v>
      </c>
      <c r="E23" s="203" t="s">
        <v>1550</v>
      </c>
      <c r="F23" s="203" t="s">
        <v>1527</v>
      </c>
      <c r="G23" s="203">
        <v>0.9</v>
      </c>
      <c r="H23" s="203">
        <v>0.9</v>
      </c>
      <c r="I23" s="203" t="s">
        <v>58</v>
      </c>
      <c r="J23" s="203">
        <f t="shared" si="0"/>
        <v>28602</v>
      </c>
      <c r="K23" s="203">
        <v>693</v>
      </c>
      <c r="L23" s="203">
        <f t="shared" si="3"/>
        <v>27239</v>
      </c>
      <c r="M23" s="18">
        <f t="shared" si="1"/>
        <v>389.375</v>
      </c>
      <c r="N23" s="203">
        <v>108</v>
      </c>
      <c r="O23" s="203">
        <v>173</v>
      </c>
      <c r="P23" s="203">
        <v>6.91</v>
      </c>
      <c r="Q23" s="203">
        <v>15</v>
      </c>
      <c r="R23" s="203">
        <v>200</v>
      </c>
      <c r="S23" s="203">
        <v>0.125</v>
      </c>
      <c r="T23" s="203">
        <v>0.25</v>
      </c>
    </row>
    <row r="24" spans="1:20" ht="31.5" x14ac:dyDescent="0.25">
      <c r="A24" s="270">
        <v>19</v>
      </c>
      <c r="B24" s="324" t="s">
        <v>1551</v>
      </c>
      <c r="C24" s="324" t="s">
        <v>1552</v>
      </c>
      <c r="D24" s="7"/>
      <c r="E24" s="7" t="s">
        <v>1553</v>
      </c>
      <c r="F24" s="7" t="s">
        <v>1554</v>
      </c>
      <c r="G24" s="7">
        <v>0.8</v>
      </c>
      <c r="H24" s="7">
        <v>0.9</v>
      </c>
      <c r="I24" s="7" t="s">
        <v>58</v>
      </c>
      <c r="J24" s="7">
        <f t="shared" si="0"/>
        <v>165</v>
      </c>
      <c r="K24" s="203">
        <v>105</v>
      </c>
      <c r="L24" s="7">
        <f t="shared" si="3"/>
        <v>0</v>
      </c>
      <c r="M24" s="18">
        <f t="shared" si="1"/>
        <v>0</v>
      </c>
      <c r="N24" s="203">
        <v>20</v>
      </c>
      <c r="O24" s="203">
        <v>40</v>
      </c>
      <c r="P24" s="203"/>
      <c r="Q24" s="203"/>
      <c r="R24" s="203"/>
      <c r="S24" s="203"/>
      <c r="T24" s="203"/>
    </row>
    <row r="25" spans="1:20" ht="31.5" x14ac:dyDescent="0.25">
      <c r="A25" s="270">
        <v>20</v>
      </c>
      <c r="B25" s="324" t="s">
        <v>1555</v>
      </c>
      <c r="C25" s="324" t="s">
        <v>1556</v>
      </c>
      <c r="D25" s="7"/>
      <c r="E25" s="7" t="s">
        <v>1504</v>
      </c>
      <c r="F25" s="7"/>
      <c r="G25" s="7">
        <v>0.9</v>
      </c>
      <c r="H25" s="7">
        <v>0.9</v>
      </c>
      <c r="I25" s="7" t="s">
        <v>58</v>
      </c>
      <c r="J25" s="7">
        <f t="shared" si="0"/>
        <v>242</v>
      </c>
      <c r="K25" s="203">
        <v>22</v>
      </c>
      <c r="L25" s="7">
        <f t="shared" si="3"/>
        <v>212</v>
      </c>
      <c r="M25" s="18">
        <f t="shared" si="1"/>
        <v>0</v>
      </c>
      <c r="N25" s="203">
        <v>3</v>
      </c>
      <c r="O25" s="203">
        <v>5</v>
      </c>
      <c r="P25" s="203">
        <v>1.62</v>
      </c>
      <c r="Q25" s="203"/>
      <c r="R25" s="203"/>
      <c r="S25" s="203"/>
      <c r="T25" s="203"/>
    </row>
    <row r="26" spans="1:20" ht="31.5" x14ac:dyDescent="0.25">
      <c r="A26" s="270">
        <v>21</v>
      </c>
      <c r="B26" s="324" t="s">
        <v>1557</v>
      </c>
      <c r="C26" s="324" t="s">
        <v>431</v>
      </c>
      <c r="D26" s="7" t="s">
        <v>1558</v>
      </c>
      <c r="E26" s="7" t="s">
        <v>1559</v>
      </c>
      <c r="F26" s="7" t="s">
        <v>1560</v>
      </c>
      <c r="G26" s="7">
        <v>0.9</v>
      </c>
      <c r="H26" s="7">
        <v>0.85</v>
      </c>
      <c r="I26" s="7" t="s">
        <v>58</v>
      </c>
      <c r="J26" s="7">
        <f t="shared" si="0"/>
        <v>1337</v>
      </c>
      <c r="K26" s="203">
        <v>710</v>
      </c>
      <c r="L26" s="7">
        <f t="shared" si="3"/>
        <v>321</v>
      </c>
      <c r="M26" s="18">
        <f t="shared" si="1"/>
        <v>0</v>
      </c>
      <c r="N26" s="203">
        <v>68</v>
      </c>
      <c r="O26" s="203">
        <v>238</v>
      </c>
      <c r="P26" s="203">
        <v>2.4500000000000002</v>
      </c>
      <c r="Q26" s="203"/>
      <c r="R26" s="203"/>
      <c r="S26" s="203"/>
      <c r="T26" s="203"/>
    </row>
    <row r="27" spans="1:20" ht="31.5" x14ac:dyDescent="0.25">
      <c r="A27" s="270">
        <v>22</v>
      </c>
      <c r="B27" s="324" t="s">
        <v>1561</v>
      </c>
      <c r="C27" s="324" t="s">
        <v>1562</v>
      </c>
      <c r="D27" s="7" t="s">
        <v>1563</v>
      </c>
      <c r="E27" s="7" t="s">
        <v>1564</v>
      </c>
      <c r="F27" s="7" t="s">
        <v>1527</v>
      </c>
      <c r="G27" s="7">
        <v>0.85</v>
      </c>
      <c r="H27" s="7">
        <v>0.8</v>
      </c>
      <c r="I27" s="7" t="s">
        <v>58</v>
      </c>
      <c r="J27" s="7">
        <f t="shared" si="0"/>
        <v>2344</v>
      </c>
      <c r="K27" s="203">
        <v>543</v>
      </c>
      <c r="L27" s="7">
        <f t="shared" si="3"/>
        <v>1282</v>
      </c>
      <c r="M27" s="18">
        <f t="shared" si="1"/>
        <v>155.625</v>
      </c>
      <c r="N27" s="203">
        <v>136</v>
      </c>
      <c r="O27" s="203">
        <v>227</v>
      </c>
      <c r="P27" s="203">
        <v>9.7899999999999991</v>
      </c>
      <c r="Q27" s="203"/>
      <c r="R27" s="203"/>
      <c r="S27" s="203">
        <v>0.125</v>
      </c>
      <c r="T27" s="203"/>
    </row>
    <row r="28" spans="1:20" ht="31.5" x14ac:dyDescent="0.25">
      <c r="A28" s="270">
        <v>23</v>
      </c>
      <c r="B28" s="324" t="s">
        <v>1565</v>
      </c>
      <c r="C28" s="324" t="s">
        <v>422</v>
      </c>
      <c r="D28" s="7" t="s">
        <v>1566</v>
      </c>
      <c r="E28" s="7" t="s">
        <v>1567</v>
      </c>
      <c r="F28" s="7" t="s">
        <v>1568</v>
      </c>
      <c r="G28" s="7">
        <v>0.8</v>
      </c>
      <c r="H28" s="7">
        <v>0.9</v>
      </c>
      <c r="I28" s="7" t="s">
        <v>58</v>
      </c>
      <c r="J28" s="7">
        <f t="shared" si="0"/>
        <v>748</v>
      </c>
      <c r="K28" s="203">
        <v>69</v>
      </c>
      <c r="L28" s="7">
        <f t="shared" si="3"/>
        <v>385</v>
      </c>
      <c r="M28" s="18">
        <f t="shared" si="1"/>
        <v>272.5</v>
      </c>
      <c r="N28" s="203">
        <v>5</v>
      </c>
      <c r="O28" s="203">
        <v>16</v>
      </c>
      <c r="P28" s="203">
        <v>0</v>
      </c>
      <c r="Q28" s="203">
        <v>1</v>
      </c>
      <c r="R28" s="203">
        <v>2.88</v>
      </c>
      <c r="S28" s="203">
        <v>0.125</v>
      </c>
      <c r="T28" s="203">
        <v>0.125</v>
      </c>
    </row>
    <row r="29" spans="1:20" ht="31.5" x14ac:dyDescent="0.25">
      <c r="A29" s="270">
        <v>24</v>
      </c>
      <c r="B29" s="324" t="s">
        <v>1569</v>
      </c>
      <c r="C29" s="324" t="s">
        <v>1570</v>
      </c>
      <c r="D29" s="7" t="s">
        <v>1571</v>
      </c>
      <c r="E29" s="7" t="s">
        <v>1572</v>
      </c>
      <c r="F29" s="7" t="s">
        <v>1513</v>
      </c>
      <c r="G29" s="7">
        <v>0.8</v>
      </c>
      <c r="H29" s="7">
        <v>0.8</v>
      </c>
      <c r="I29" s="7" t="s">
        <v>58</v>
      </c>
      <c r="J29" s="7">
        <f t="shared" si="0"/>
        <v>1393</v>
      </c>
      <c r="K29" s="203">
        <v>297</v>
      </c>
      <c r="L29" s="7">
        <f t="shared" si="3"/>
        <v>838</v>
      </c>
      <c r="M29" s="18">
        <f t="shared" si="1"/>
        <v>155.625</v>
      </c>
      <c r="N29" s="203">
        <v>34</v>
      </c>
      <c r="O29" s="203">
        <v>68</v>
      </c>
      <c r="P29" s="203">
        <v>6.4</v>
      </c>
      <c r="Q29" s="203"/>
      <c r="R29" s="203"/>
      <c r="S29" s="203">
        <v>0.125</v>
      </c>
      <c r="T29" s="203"/>
    </row>
    <row r="30" spans="1:20" ht="31.5" x14ac:dyDescent="0.25">
      <c r="A30" s="270">
        <v>25</v>
      </c>
      <c r="B30" s="324" t="s">
        <v>1573</v>
      </c>
      <c r="C30" s="324" t="s">
        <v>1574</v>
      </c>
      <c r="D30" s="7"/>
      <c r="E30" s="7" t="s">
        <v>1504</v>
      </c>
      <c r="F30" s="7"/>
      <c r="G30" s="7">
        <v>0.9</v>
      </c>
      <c r="H30" s="7">
        <v>0.9</v>
      </c>
      <c r="I30" s="7" t="s">
        <v>58</v>
      </c>
      <c r="J30" s="7">
        <f t="shared" si="0"/>
        <v>296</v>
      </c>
      <c r="K30" s="203">
        <v>31</v>
      </c>
      <c r="L30" s="7">
        <f t="shared" si="3"/>
        <v>251</v>
      </c>
      <c r="M30" s="18">
        <f t="shared" si="1"/>
        <v>0</v>
      </c>
      <c r="N30" s="203">
        <v>3</v>
      </c>
      <c r="O30" s="203">
        <v>11</v>
      </c>
      <c r="P30" s="203">
        <v>1.92</v>
      </c>
      <c r="Q30" s="203"/>
      <c r="R30" s="203"/>
      <c r="S30" s="203"/>
      <c r="T30" s="203"/>
    </row>
    <row r="31" spans="1:20" ht="31.5" x14ac:dyDescent="0.25">
      <c r="A31" s="270">
        <v>26</v>
      </c>
      <c r="B31" s="324" t="s">
        <v>1575</v>
      </c>
      <c r="C31" s="324" t="s">
        <v>1576</v>
      </c>
      <c r="D31" s="7" t="s">
        <v>1577</v>
      </c>
      <c r="E31" s="7" t="s">
        <v>1578</v>
      </c>
      <c r="F31" s="7" t="s">
        <v>1513</v>
      </c>
      <c r="G31" s="7">
        <v>0.85</v>
      </c>
      <c r="H31" s="7">
        <v>0.85</v>
      </c>
      <c r="I31" s="7" t="s">
        <v>58</v>
      </c>
      <c r="J31" s="7">
        <f t="shared" si="0"/>
        <v>1397</v>
      </c>
      <c r="K31" s="203">
        <v>211</v>
      </c>
      <c r="L31" s="7">
        <f t="shared" si="3"/>
        <v>795</v>
      </c>
      <c r="M31" s="18">
        <f t="shared" si="1"/>
        <v>272.5</v>
      </c>
      <c r="N31" s="203">
        <v>32</v>
      </c>
      <c r="O31" s="203">
        <v>86</v>
      </c>
      <c r="P31" s="203">
        <v>6.07</v>
      </c>
      <c r="Q31" s="203"/>
      <c r="R31" s="203"/>
      <c r="S31" s="203">
        <v>0.125</v>
      </c>
      <c r="T31" s="203">
        <v>0.125</v>
      </c>
    </row>
    <row r="32" spans="1:20" ht="31.5" x14ac:dyDescent="0.25">
      <c r="A32" s="270">
        <v>27</v>
      </c>
      <c r="B32" s="324" t="s">
        <v>1579</v>
      </c>
      <c r="C32" s="324" t="s">
        <v>1580</v>
      </c>
      <c r="D32" s="7" t="s">
        <v>1581</v>
      </c>
      <c r="E32" s="7" t="s">
        <v>1582</v>
      </c>
      <c r="F32" s="7" t="s">
        <v>1527</v>
      </c>
      <c r="G32" s="7">
        <v>0.85</v>
      </c>
      <c r="H32" s="7">
        <v>0.85</v>
      </c>
      <c r="I32" s="7" t="s">
        <v>58</v>
      </c>
      <c r="J32" s="7">
        <f t="shared" si="0"/>
        <v>2915</v>
      </c>
      <c r="K32" s="203">
        <v>1016</v>
      </c>
      <c r="L32" s="7">
        <f t="shared" si="3"/>
        <v>1136</v>
      </c>
      <c r="M32" s="18">
        <f t="shared" si="1"/>
        <v>155.625</v>
      </c>
      <c r="N32" s="203">
        <v>256</v>
      </c>
      <c r="O32" s="203">
        <v>351</v>
      </c>
      <c r="P32" s="203">
        <v>8.67</v>
      </c>
      <c r="Q32" s="203"/>
      <c r="R32" s="203"/>
      <c r="S32" s="203">
        <v>0.125</v>
      </c>
      <c r="T32" s="203"/>
    </row>
    <row r="33" spans="1:20" ht="31.5" x14ac:dyDescent="0.25">
      <c r="A33" s="270">
        <v>28</v>
      </c>
      <c r="B33" s="324"/>
      <c r="C33" s="324" t="s">
        <v>1583</v>
      </c>
      <c r="D33" s="7"/>
      <c r="E33" s="7" t="s">
        <v>1504</v>
      </c>
      <c r="F33" s="7"/>
      <c r="G33" s="7"/>
      <c r="H33" s="7"/>
      <c r="I33" s="7"/>
      <c r="J33" s="7">
        <f t="shared" si="0"/>
        <v>0</v>
      </c>
      <c r="K33" s="203"/>
      <c r="L33" s="7">
        <f t="shared" si="3"/>
        <v>0</v>
      </c>
      <c r="M33" s="18">
        <f t="shared" si="1"/>
        <v>0</v>
      </c>
      <c r="N33" s="203"/>
      <c r="O33" s="203"/>
      <c r="P33" s="203"/>
      <c r="Q33" s="203"/>
      <c r="R33" s="203"/>
      <c r="S33" s="203"/>
      <c r="T33" s="203"/>
    </row>
    <row r="34" spans="1:20" ht="31.5" x14ac:dyDescent="0.25">
      <c r="A34" s="270">
        <v>29</v>
      </c>
      <c r="B34" s="324" t="s">
        <v>1584</v>
      </c>
      <c r="C34" s="324" t="s">
        <v>1585</v>
      </c>
      <c r="D34" s="7" t="s">
        <v>1586</v>
      </c>
      <c r="E34" s="7" t="s">
        <v>1587</v>
      </c>
      <c r="F34" s="7" t="s">
        <v>1527</v>
      </c>
      <c r="G34" s="7">
        <v>0.85</v>
      </c>
      <c r="H34" s="7">
        <v>0.85</v>
      </c>
      <c r="I34" s="7" t="s">
        <v>58</v>
      </c>
      <c r="J34" s="7">
        <f t="shared" si="0"/>
        <v>2374</v>
      </c>
      <c r="K34" s="203">
        <v>775</v>
      </c>
      <c r="L34" s="7">
        <f t="shared" si="3"/>
        <v>909</v>
      </c>
      <c r="M34" s="18">
        <f t="shared" si="1"/>
        <v>272.5</v>
      </c>
      <c r="N34" s="203">
        <v>119</v>
      </c>
      <c r="O34" s="203">
        <v>298</v>
      </c>
      <c r="P34" s="203">
        <v>6.94</v>
      </c>
      <c r="Q34" s="203"/>
      <c r="R34" s="203"/>
      <c r="S34" s="203">
        <v>0.125</v>
      </c>
      <c r="T34" s="203">
        <v>0.125</v>
      </c>
    </row>
    <row r="35" spans="1:20" ht="31.5" x14ac:dyDescent="0.25">
      <c r="A35" s="270">
        <v>30</v>
      </c>
      <c r="B35" s="324" t="s">
        <v>1588</v>
      </c>
      <c r="C35" s="324" t="s">
        <v>1589</v>
      </c>
      <c r="D35" s="7" t="s">
        <v>1590</v>
      </c>
      <c r="E35" s="7" t="s">
        <v>1591</v>
      </c>
      <c r="F35" s="7" t="s">
        <v>1560</v>
      </c>
      <c r="G35" s="7">
        <v>0.85</v>
      </c>
      <c r="H35" s="7">
        <v>0.85</v>
      </c>
      <c r="I35" s="7" t="s">
        <v>58</v>
      </c>
      <c r="J35" s="7">
        <f t="shared" si="0"/>
        <v>3434</v>
      </c>
      <c r="K35" s="203">
        <v>1600</v>
      </c>
      <c r="L35" s="7">
        <f t="shared" si="3"/>
        <v>1027</v>
      </c>
      <c r="M35" s="18">
        <f t="shared" si="1"/>
        <v>272.5</v>
      </c>
      <c r="N35" s="203">
        <v>267</v>
      </c>
      <c r="O35" s="203">
        <v>267</v>
      </c>
      <c r="P35" s="203">
        <v>7.84</v>
      </c>
      <c r="Q35" s="203"/>
      <c r="R35" s="203"/>
      <c r="S35" s="203">
        <v>0.125</v>
      </c>
      <c r="T35" s="203">
        <v>0.125</v>
      </c>
    </row>
    <row r="36" spans="1:20" ht="31.5" x14ac:dyDescent="0.25">
      <c r="A36" s="270">
        <v>31</v>
      </c>
      <c r="B36" s="324" t="s">
        <v>1592</v>
      </c>
      <c r="C36" s="324" t="s">
        <v>1593</v>
      </c>
      <c r="D36" s="7"/>
      <c r="E36" s="7" t="s">
        <v>1504</v>
      </c>
      <c r="F36" s="7"/>
      <c r="G36" s="7">
        <v>0.9</v>
      </c>
      <c r="H36" s="7">
        <v>0.9</v>
      </c>
      <c r="I36" s="7" t="s">
        <v>58</v>
      </c>
      <c r="J36" s="7">
        <f t="shared" si="0"/>
        <v>429</v>
      </c>
      <c r="K36" s="203">
        <v>54</v>
      </c>
      <c r="L36" s="7">
        <f t="shared" si="3"/>
        <v>191</v>
      </c>
      <c r="M36" s="18">
        <f t="shared" si="1"/>
        <v>155.625</v>
      </c>
      <c r="N36" s="203">
        <v>9</v>
      </c>
      <c r="O36" s="203">
        <v>19</v>
      </c>
      <c r="P36" s="203">
        <v>1.46</v>
      </c>
      <c r="Q36" s="203"/>
      <c r="R36" s="203"/>
      <c r="S36" s="203">
        <v>0.125</v>
      </c>
      <c r="T36" s="203"/>
    </row>
    <row r="37" spans="1:20" ht="31.5" x14ac:dyDescent="0.25">
      <c r="A37" s="270">
        <v>32</v>
      </c>
      <c r="B37" s="324" t="s">
        <v>1594</v>
      </c>
      <c r="C37" s="324" t="s">
        <v>1595</v>
      </c>
      <c r="D37" s="7" t="s">
        <v>1596</v>
      </c>
      <c r="E37" s="7" t="s">
        <v>1597</v>
      </c>
      <c r="F37" s="7" t="s">
        <v>1527</v>
      </c>
      <c r="G37" s="7">
        <v>0.8</v>
      </c>
      <c r="H37" s="7">
        <v>0.8</v>
      </c>
      <c r="I37" s="7" t="s">
        <v>58</v>
      </c>
      <c r="J37" s="7">
        <f t="shared" si="0"/>
        <v>2121</v>
      </c>
      <c r="K37" s="203">
        <v>539</v>
      </c>
      <c r="L37" s="7">
        <f t="shared" si="3"/>
        <v>1073</v>
      </c>
      <c r="M37" s="18">
        <f t="shared" si="1"/>
        <v>155.625</v>
      </c>
      <c r="N37" s="203">
        <v>57</v>
      </c>
      <c r="O37" s="203">
        <v>296</v>
      </c>
      <c r="P37" s="203">
        <v>8.19</v>
      </c>
      <c r="Q37" s="203"/>
      <c r="R37" s="203"/>
      <c r="S37" s="203">
        <v>0.125</v>
      </c>
      <c r="T37" s="203"/>
    </row>
    <row r="38" spans="1:20" ht="31.5" x14ac:dyDescent="0.25">
      <c r="A38" s="270">
        <v>33</v>
      </c>
      <c r="B38" s="324" t="s">
        <v>1598</v>
      </c>
      <c r="C38" s="324" t="s">
        <v>1599</v>
      </c>
      <c r="D38" s="7" t="s">
        <v>1600</v>
      </c>
      <c r="E38" s="7" t="s">
        <v>1601</v>
      </c>
      <c r="F38" s="7" t="s">
        <v>1602</v>
      </c>
      <c r="G38" s="7">
        <v>0.9</v>
      </c>
      <c r="H38" s="7">
        <v>0.9</v>
      </c>
      <c r="I38" s="7" t="s">
        <v>58</v>
      </c>
      <c r="J38" s="7">
        <f t="shared" si="0"/>
        <v>553</v>
      </c>
      <c r="K38" s="203">
        <v>92</v>
      </c>
      <c r="L38" s="7">
        <f t="shared" si="3"/>
        <v>432</v>
      </c>
      <c r="M38" s="18">
        <f t="shared" si="1"/>
        <v>0</v>
      </c>
      <c r="N38" s="203">
        <v>8</v>
      </c>
      <c r="O38" s="203">
        <v>21</v>
      </c>
      <c r="P38" s="203">
        <v>1.3</v>
      </c>
      <c r="Q38" s="203"/>
      <c r="R38" s="203">
        <v>2</v>
      </c>
      <c r="S38" s="203"/>
      <c r="T38" s="203"/>
    </row>
    <row r="39" spans="1:20" ht="31.5" x14ac:dyDescent="0.25">
      <c r="A39" s="270">
        <v>34</v>
      </c>
      <c r="B39" s="324" t="s">
        <v>1603</v>
      </c>
      <c r="C39" s="324" t="s">
        <v>1604</v>
      </c>
      <c r="D39" s="7"/>
      <c r="E39" s="7" t="s">
        <v>1504</v>
      </c>
      <c r="F39" s="7"/>
      <c r="G39" s="7">
        <v>0.8</v>
      </c>
      <c r="H39" s="7">
        <v>0.8</v>
      </c>
      <c r="I39" s="7" t="s">
        <v>58</v>
      </c>
      <c r="J39" s="7">
        <f t="shared" si="0"/>
        <v>1244</v>
      </c>
      <c r="K39" s="203">
        <v>848</v>
      </c>
      <c r="L39" s="7">
        <f t="shared" si="3"/>
        <v>110</v>
      </c>
      <c r="M39" s="18">
        <f t="shared" si="1"/>
        <v>0</v>
      </c>
      <c r="N39" s="203">
        <v>38</v>
      </c>
      <c r="O39" s="203">
        <v>248</v>
      </c>
      <c r="P39" s="203"/>
      <c r="Q39" s="203">
        <v>15</v>
      </c>
      <c r="R39" s="203"/>
      <c r="S39" s="203"/>
      <c r="T39" s="203"/>
    </row>
    <row r="40" spans="1:20" ht="31.5" x14ac:dyDescent="0.25">
      <c r="A40" s="270">
        <v>35</v>
      </c>
      <c r="B40" s="324" t="s">
        <v>1605</v>
      </c>
      <c r="C40" s="324" t="s">
        <v>77</v>
      </c>
      <c r="D40" s="7"/>
      <c r="E40" s="7" t="s">
        <v>1504</v>
      </c>
      <c r="F40" s="7"/>
      <c r="G40" s="7">
        <v>0.8</v>
      </c>
      <c r="H40" s="7">
        <v>0.9</v>
      </c>
      <c r="I40" s="7" t="s">
        <v>58</v>
      </c>
      <c r="J40" s="7">
        <f t="shared" si="0"/>
        <v>53</v>
      </c>
      <c r="K40" s="203">
        <v>53</v>
      </c>
      <c r="L40" s="7">
        <f t="shared" si="3"/>
        <v>0</v>
      </c>
      <c r="M40" s="18">
        <f t="shared" si="1"/>
        <v>0</v>
      </c>
      <c r="N40" s="203">
        <v>0</v>
      </c>
      <c r="O40" s="203"/>
      <c r="P40" s="203"/>
      <c r="Q40" s="203"/>
      <c r="R40" s="203"/>
      <c r="S40" s="203"/>
      <c r="T40" s="203"/>
    </row>
    <row r="41" spans="1:20" ht="31.5" x14ac:dyDescent="0.25">
      <c r="A41" s="270">
        <v>36</v>
      </c>
      <c r="B41" s="324" t="s">
        <v>1606</v>
      </c>
      <c r="C41" s="324" t="s">
        <v>1607</v>
      </c>
      <c r="D41" s="7" t="s">
        <v>1608</v>
      </c>
      <c r="E41" s="7" t="s">
        <v>1609</v>
      </c>
      <c r="F41" s="7" t="s">
        <v>1527</v>
      </c>
      <c r="G41" s="7">
        <v>0.7</v>
      </c>
      <c r="H41" s="7">
        <v>0.7</v>
      </c>
      <c r="I41" s="7" t="s">
        <v>58</v>
      </c>
      <c r="J41" s="7">
        <f t="shared" si="0"/>
        <v>1089</v>
      </c>
      <c r="K41" s="203">
        <v>173</v>
      </c>
      <c r="L41" s="7">
        <f t="shared" si="3"/>
        <v>707</v>
      </c>
      <c r="M41" s="18">
        <f t="shared" si="1"/>
        <v>155.625</v>
      </c>
      <c r="N41" s="203">
        <v>13</v>
      </c>
      <c r="O41" s="203">
        <v>40</v>
      </c>
      <c r="P41" s="203">
        <v>5.4</v>
      </c>
      <c r="Q41" s="203"/>
      <c r="R41" s="203"/>
      <c r="S41" s="203">
        <v>0.125</v>
      </c>
      <c r="T41" s="203"/>
    </row>
    <row r="42" spans="1:20" ht="31.5" x14ac:dyDescent="0.25">
      <c r="A42" s="270">
        <v>37</v>
      </c>
      <c r="B42" s="324" t="s">
        <v>1610</v>
      </c>
      <c r="C42" s="324" t="s">
        <v>1611</v>
      </c>
      <c r="D42" s="7" t="s">
        <v>1612</v>
      </c>
      <c r="E42" s="7" t="s">
        <v>1601</v>
      </c>
      <c r="F42" s="7" t="s">
        <v>1613</v>
      </c>
      <c r="G42" s="7">
        <v>0.85</v>
      </c>
      <c r="H42" s="7">
        <v>0.9</v>
      </c>
      <c r="I42" s="7" t="s">
        <v>58</v>
      </c>
      <c r="J42" s="7">
        <f t="shared" si="0"/>
        <v>1790</v>
      </c>
      <c r="K42" s="203">
        <v>977</v>
      </c>
      <c r="L42" s="7">
        <f t="shared" si="3"/>
        <v>401</v>
      </c>
      <c r="M42" s="18">
        <f t="shared" si="1"/>
        <v>0</v>
      </c>
      <c r="N42" s="203">
        <v>85</v>
      </c>
      <c r="O42" s="203">
        <v>327</v>
      </c>
      <c r="P42" s="203">
        <v>3.06</v>
      </c>
      <c r="Q42" s="203"/>
      <c r="R42" s="203"/>
      <c r="S42" s="203"/>
      <c r="T42" s="203"/>
    </row>
    <row r="43" spans="1:20" ht="47.25" x14ac:dyDescent="0.25">
      <c r="A43" s="270">
        <v>38</v>
      </c>
      <c r="B43" s="324" t="s">
        <v>1614</v>
      </c>
      <c r="C43" s="324" t="s">
        <v>1615</v>
      </c>
      <c r="D43" s="7" t="s">
        <v>1616</v>
      </c>
      <c r="E43" s="7" t="s">
        <v>1617</v>
      </c>
      <c r="F43" s="7" t="s">
        <v>1618</v>
      </c>
      <c r="G43" s="7">
        <v>0.65</v>
      </c>
      <c r="H43" s="7">
        <v>0.65</v>
      </c>
      <c r="I43" s="7" t="s">
        <v>58</v>
      </c>
      <c r="J43" s="7">
        <f t="shared" si="0"/>
        <v>1384</v>
      </c>
      <c r="K43" s="203">
        <v>148</v>
      </c>
      <c r="L43" s="7">
        <f t="shared" si="3"/>
        <v>885</v>
      </c>
      <c r="M43" s="18">
        <f t="shared" si="1"/>
        <v>272.5</v>
      </c>
      <c r="N43" s="203">
        <v>23</v>
      </c>
      <c r="O43" s="203">
        <v>55</v>
      </c>
      <c r="P43" s="203">
        <v>6.76</v>
      </c>
      <c r="Q43" s="203"/>
      <c r="R43" s="203"/>
      <c r="S43" s="203">
        <v>0.125</v>
      </c>
      <c r="T43" s="203">
        <v>0.125</v>
      </c>
    </row>
    <row r="44" spans="1:20" ht="31.5" x14ac:dyDescent="0.25">
      <c r="A44" s="270">
        <v>39</v>
      </c>
      <c r="B44" s="324" t="s">
        <v>1619</v>
      </c>
      <c r="C44" s="324" t="s">
        <v>424</v>
      </c>
      <c r="D44" s="7" t="s">
        <v>1620</v>
      </c>
      <c r="E44" s="7" t="s">
        <v>1545</v>
      </c>
      <c r="F44" s="7" t="s">
        <v>1621</v>
      </c>
      <c r="G44" s="7">
        <v>0.75</v>
      </c>
      <c r="H44" s="7">
        <v>0.75</v>
      </c>
      <c r="I44" s="7" t="s">
        <v>58</v>
      </c>
      <c r="J44" s="7">
        <f t="shared" si="0"/>
        <v>868</v>
      </c>
      <c r="K44" s="203">
        <v>80</v>
      </c>
      <c r="L44" s="7">
        <f t="shared" si="3"/>
        <v>589</v>
      </c>
      <c r="M44" s="18">
        <f t="shared" si="1"/>
        <v>155.625</v>
      </c>
      <c r="N44" s="203">
        <v>13</v>
      </c>
      <c r="O44" s="203">
        <v>30</v>
      </c>
      <c r="P44" s="203">
        <v>4.5</v>
      </c>
      <c r="Q44" s="203"/>
      <c r="R44" s="203"/>
      <c r="S44" s="203">
        <v>0.125</v>
      </c>
      <c r="T44" s="203"/>
    </row>
    <row r="45" spans="1:20" ht="31.5" x14ac:dyDescent="0.25">
      <c r="A45" s="270">
        <v>40</v>
      </c>
      <c r="B45" s="324" t="s">
        <v>1622</v>
      </c>
      <c r="C45" s="324" t="s">
        <v>207</v>
      </c>
      <c r="D45" s="7" t="s">
        <v>1623</v>
      </c>
      <c r="E45" s="7" t="s">
        <v>1504</v>
      </c>
      <c r="F45" s="7"/>
      <c r="G45" s="7">
        <v>0.75</v>
      </c>
      <c r="H45" s="7">
        <v>0.75</v>
      </c>
      <c r="I45" s="7" t="s">
        <v>58</v>
      </c>
      <c r="J45" s="7">
        <f t="shared" si="0"/>
        <v>991</v>
      </c>
      <c r="K45" s="203">
        <v>83</v>
      </c>
      <c r="L45" s="7">
        <f t="shared" si="3"/>
        <v>589</v>
      </c>
      <c r="M45" s="18">
        <f t="shared" si="1"/>
        <v>272.5</v>
      </c>
      <c r="N45" s="203">
        <v>13</v>
      </c>
      <c r="O45" s="203">
        <v>33</v>
      </c>
      <c r="P45" s="203">
        <v>4.5</v>
      </c>
      <c r="Q45" s="203"/>
      <c r="R45" s="203"/>
      <c r="S45" s="203">
        <v>0.125</v>
      </c>
      <c r="T45" s="203">
        <v>0.125</v>
      </c>
    </row>
    <row r="46" spans="1:20" ht="15.75" x14ac:dyDescent="0.25">
      <c r="A46" s="270">
        <v>41</v>
      </c>
      <c r="B46" s="324"/>
      <c r="C46" s="324" t="s">
        <v>1624</v>
      </c>
      <c r="D46" s="7"/>
      <c r="E46" s="7" t="s">
        <v>1504</v>
      </c>
      <c r="F46" s="7"/>
      <c r="G46" s="7"/>
      <c r="H46" s="7"/>
      <c r="I46" s="7"/>
      <c r="J46" s="7">
        <f t="shared" si="0"/>
        <v>0</v>
      </c>
      <c r="K46" s="203"/>
      <c r="L46" s="7">
        <f t="shared" si="3"/>
        <v>0</v>
      </c>
      <c r="M46" s="18">
        <f t="shared" si="1"/>
        <v>0</v>
      </c>
      <c r="N46" s="203"/>
      <c r="O46" s="203"/>
      <c r="P46" s="203"/>
      <c r="Q46" s="203"/>
      <c r="R46" s="203"/>
      <c r="S46" s="203"/>
      <c r="T46" s="203"/>
    </row>
    <row r="47" spans="1:20" ht="31.5" x14ac:dyDescent="0.25">
      <c r="A47" s="270">
        <v>42</v>
      </c>
      <c r="B47" s="324" t="s">
        <v>1625</v>
      </c>
      <c r="C47" s="324" t="s">
        <v>1626</v>
      </c>
      <c r="D47" s="7" t="s">
        <v>1627</v>
      </c>
      <c r="E47" s="7" t="s">
        <v>1504</v>
      </c>
      <c r="F47" s="7"/>
      <c r="G47" s="7">
        <v>0.75</v>
      </c>
      <c r="H47" s="7">
        <v>0.75</v>
      </c>
      <c r="I47" s="7" t="s">
        <v>58</v>
      </c>
      <c r="J47" s="7">
        <f t="shared" si="0"/>
        <v>991</v>
      </c>
      <c r="K47" s="203">
        <v>83</v>
      </c>
      <c r="L47" s="7">
        <f t="shared" si="3"/>
        <v>589</v>
      </c>
      <c r="M47" s="18">
        <f t="shared" si="1"/>
        <v>272.5</v>
      </c>
      <c r="N47" s="203">
        <v>13</v>
      </c>
      <c r="O47" s="203">
        <v>33</v>
      </c>
      <c r="P47" s="203">
        <v>4.5</v>
      </c>
      <c r="Q47" s="203"/>
      <c r="R47" s="203"/>
      <c r="S47" s="203">
        <v>0.125</v>
      </c>
      <c r="T47" s="203">
        <v>0.125</v>
      </c>
    </row>
    <row r="48" spans="1:20" ht="31.5" x14ac:dyDescent="0.25">
      <c r="A48" s="270">
        <v>43</v>
      </c>
      <c r="B48" s="324" t="s">
        <v>1628</v>
      </c>
      <c r="C48" s="324" t="s">
        <v>1629</v>
      </c>
      <c r="D48" s="7" t="s">
        <v>1630</v>
      </c>
      <c r="E48" s="7" t="s">
        <v>1631</v>
      </c>
      <c r="F48" s="7" t="s">
        <v>84</v>
      </c>
      <c r="G48" s="7">
        <v>0.7</v>
      </c>
      <c r="H48" s="7">
        <v>0.65</v>
      </c>
      <c r="I48" s="7" t="s">
        <v>58</v>
      </c>
      <c r="J48" s="7">
        <f t="shared" si="0"/>
        <v>2410</v>
      </c>
      <c r="K48" s="203">
        <v>532</v>
      </c>
      <c r="L48" s="7">
        <f t="shared" si="3"/>
        <v>1415</v>
      </c>
      <c r="M48" s="18">
        <f t="shared" si="1"/>
        <v>272.5</v>
      </c>
      <c r="N48" s="203">
        <v>37</v>
      </c>
      <c r="O48" s="203">
        <v>153</v>
      </c>
      <c r="P48" s="203">
        <v>10.8</v>
      </c>
      <c r="Q48" s="203"/>
      <c r="R48" s="203"/>
      <c r="S48" s="203">
        <v>0.125</v>
      </c>
      <c r="T48" s="203">
        <v>0.125</v>
      </c>
    </row>
    <row r="49" spans="1:20" ht="31.5" x14ac:dyDescent="0.25">
      <c r="A49" s="270">
        <v>44</v>
      </c>
      <c r="B49" s="324" t="s">
        <v>1606</v>
      </c>
      <c r="C49" s="324" t="s">
        <v>1607</v>
      </c>
      <c r="D49" s="7" t="s">
        <v>1608</v>
      </c>
      <c r="E49" s="7" t="s">
        <v>1609</v>
      </c>
      <c r="F49" s="7" t="s">
        <v>1527</v>
      </c>
      <c r="G49" s="7">
        <v>0.7</v>
      </c>
      <c r="H49" s="7">
        <v>0.7</v>
      </c>
      <c r="I49" s="7" t="s">
        <v>58</v>
      </c>
      <c r="J49" s="7">
        <v>1618</v>
      </c>
      <c r="K49" s="203">
        <v>461</v>
      </c>
      <c r="L49" s="7">
        <v>538</v>
      </c>
      <c r="M49" s="18">
        <f t="shared" si="1"/>
        <v>155.625</v>
      </c>
      <c r="N49" s="203">
        <v>66</v>
      </c>
      <c r="O49" s="203">
        <v>159</v>
      </c>
      <c r="P49" s="203">
        <v>7.28</v>
      </c>
      <c r="Q49" s="203"/>
      <c r="R49" s="203"/>
      <c r="S49" s="203">
        <v>0.125</v>
      </c>
      <c r="T49" s="203"/>
    </row>
    <row r="50" spans="1:20" ht="31.5" x14ac:dyDescent="0.25">
      <c r="A50" s="270">
        <v>45</v>
      </c>
      <c r="B50" s="324" t="s">
        <v>1632</v>
      </c>
      <c r="C50" s="324" t="s">
        <v>256</v>
      </c>
      <c r="D50" s="7"/>
      <c r="E50" s="7" t="s">
        <v>1633</v>
      </c>
      <c r="F50" s="7" t="s">
        <v>1533</v>
      </c>
      <c r="G50" s="7">
        <v>0.8</v>
      </c>
      <c r="H50" s="7">
        <v>0.8</v>
      </c>
      <c r="I50" s="7" t="s">
        <v>58</v>
      </c>
      <c r="J50" s="7">
        <f>ROUND(SUM(K50:O50),0)</f>
        <v>1094</v>
      </c>
      <c r="K50" s="203">
        <v>433</v>
      </c>
      <c r="L50" s="7">
        <f>ROUND((P50+R50)*diesel+Q50*electricity*G50*H50,0)</f>
        <v>221</v>
      </c>
      <c r="M50" s="18">
        <f t="shared" si="1"/>
        <v>272.5</v>
      </c>
      <c r="N50" s="203">
        <v>67</v>
      </c>
      <c r="O50" s="203">
        <v>100</v>
      </c>
      <c r="P50" s="203"/>
      <c r="Q50" s="203">
        <v>30</v>
      </c>
      <c r="R50" s="203"/>
      <c r="S50" s="203">
        <v>0.125</v>
      </c>
      <c r="T50" s="203">
        <v>0.125</v>
      </c>
    </row>
    <row r="51" spans="1:20" ht="31.5" x14ac:dyDescent="0.25">
      <c r="A51" s="270">
        <v>46</v>
      </c>
      <c r="B51" s="327" t="s">
        <v>1542</v>
      </c>
      <c r="C51" s="327" t="s">
        <v>1543</v>
      </c>
      <c r="D51" s="18" t="s">
        <v>2104</v>
      </c>
      <c r="E51" s="18">
        <v>63</v>
      </c>
      <c r="F51" s="18" t="s">
        <v>1546</v>
      </c>
      <c r="G51" s="17"/>
      <c r="H51" s="17"/>
      <c r="I51" s="18" t="s">
        <v>58</v>
      </c>
      <c r="J51" s="18">
        <f>SUM(K51:O51)</f>
        <v>854.24446902654881</v>
      </c>
      <c r="K51" s="203">
        <v>77</v>
      </c>
      <c r="L51" s="19">
        <f>P51*adopted_rate_diesel</f>
        <v>594.61946902654881</v>
      </c>
      <c r="M51" s="18">
        <f t="shared" si="1"/>
        <v>155.625</v>
      </c>
      <c r="N51" s="203">
        <v>10</v>
      </c>
      <c r="O51" s="203">
        <v>17</v>
      </c>
      <c r="P51" s="203">
        <v>4.54</v>
      </c>
      <c r="Q51" s="321"/>
      <c r="R51" s="321"/>
      <c r="S51" s="203">
        <v>0.125</v>
      </c>
      <c r="T51" s="203"/>
    </row>
  </sheetData>
  <mergeCells count="17">
    <mergeCell ref="R3:R4"/>
    <mergeCell ref="A3:A4"/>
    <mergeCell ref="B1:R1"/>
    <mergeCell ref="B2:R2"/>
    <mergeCell ref="B3:B4"/>
    <mergeCell ref="C3:C4"/>
    <mergeCell ref="D3:D4"/>
    <mergeCell ref="E3:E4"/>
    <mergeCell ref="F3:F4"/>
    <mergeCell ref="G3:G4"/>
    <mergeCell ref="H3:H4"/>
    <mergeCell ref="I3:I4"/>
    <mergeCell ref="J3:J4"/>
    <mergeCell ref="K3:K4"/>
    <mergeCell ref="L3:O3"/>
    <mergeCell ref="P3:P4"/>
    <mergeCell ref="Q3:Q4"/>
  </mergeCells>
  <pageMargins left="0.5" right="0.5" top="0.5" bottom="0.5" header="0.3" footer="0.3"/>
  <pageSetup paperSize="9" scale="58" fitToHeight="0" orientation="landscape" useFirstPageNumber="1" r:id="rId1"/>
  <headerFooter>
    <oddHeader>&amp;L Equipment Rates &amp;R Page &amp;P of &amp;N</oddHeader>
    <oddFooter>&amp;L Prepared By:________________ &amp;C Checked By:________________ &amp;R Approved By:________________</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24"/>
  <sheetViews>
    <sheetView tabSelected="1" view="pageBreakPreview" zoomScale="90" zoomScaleSheetLayoutView="90" workbookViewId="0">
      <selection activeCell="Q10" sqref="Q10"/>
    </sheetView>
  </sheetViews>
  <sheetFormatPr defaultRowHeight="15" x14ac:dyDescent="0.25"/>
  <cols>
    <col min="3" max="3" width="10.7109375" customWidth="1"/>
    <col min="4" max="4" width="70.7109375" customWidth="1"/>
    <col min="5" max="5" width="10.7109375" customWidth="1"/>
    <col min="6" max="9" width="13.140625" style="259" hidden="1" customWidth="1"/>
    <col min="10" max="11" width="13.140625" style="259" customWidth="1"/>
    <col min="12" max="12" width="12.7109375" style="403" customWidth="1"/>
    <col min="13" max="13" width="14.85546875" style="407" customWidth="1"/>
  </cols>
  <sheetData>
    <row r="1" spans="1:15" s="195" customFormat="1" ht="15.75" customHeight="1" x14ac:dyDescent="0.25">
      <c r="A1" s="432" t="s">
        <v>2352</v>
      </c>
      <c r="B1" s="432"/>
      <c r="C1" s="432"/>
      <c r="D1" s="432"/>
      <c r="E1" s="432"/>
      <c r="F1" s="432"/>
      <c r="G1" s="432"/>
      <c r="H1" s="432"/>
      <c r="I1" s="432"/>
      <c r="J1" s="432"/>
      <c r="K1" s="432"/>
      <c r="L1" s="432"/>
      <c r="M1" s="432"/>
    </row>
    <row r="2" spans="1:15" s="263" customFormat="1" ht="15.75" customHeight="1" x14ac:dyDescent="0.25">
      <c r="A2" s="432" t="s">
        <v>2296</v>
      </c>
      <c r="B2" s="432"/>
      <c r="C2" s="432"/>
      <c r="D2" s="432"/>
      <c r="E2" s="432"/>
      <c r="F2" s="432"/>
      <c r="G2" s="432"/>
      <c r="H2" s="432"/>
      <c r="I2" s="432"/>
      <c r="J2" s="432"/>
      <c r="K2" s="432"/>
      <c r="L2" s="432"/>
      <c r="M2" s="432"/>
    </row>
    <row r="3" spans="1:15" s="263" customFormat="1" ht="15.75" customHeight="1" x14ac:dyDescent="0.25">
      <c r="A3" s="432" t="s">
        <v>2386</v>
      </c>
      <c r="B3" s="432"/>
      <c r="C3" s="432"/>
      <c r="D3" s="432"/>
      <c r="E3" s="432"/>
      <c r="F3" s="432"/>
      <c r="G3" s="432"/>
      <c r="H3" s="432"/>
      <c r="I3" s="432"/>
      <c r="J3" s="432"/>
      <c r="K3" s="432"/>
      <c r="L3" s="432"/>
      <c r="M3" s="432"/>
    </row>
    <row r="4" spans="1:15" ht="18.75" customHeight="1" x14ac:dyDescent="0.25">
      <c r="A4" s="433" t="s">
        <v>2396</v>
      </c>
      <c r="B4" s="433"/>
      <c r="C4" s="433"/>
      <c r="D4" s="433"/>
      <c r="E4" s="433"/>
      <c r="F4" s="433"/>
      <c r="G4" s="433"/>
      <c r="H4" s="433"/>
      <c r="I4" s="433"/>
      <c r="J4" s="433"/>
      <c r="K4" s="433"/>
      <c r="L4" s="433"/>
      <c r="M4" s="433"/>
    </row>
    <row r="6" spans="1:15" ht="62.45" customHeight="1" x14ac:dyDescent="0.25">
      <c r="A6" s="4" t="s">
        <v>1272</v>
      </c>
      <c r="B6" s="4" t="s">
        <v>2097</v>
      </c>
      <c r="C6" s="4" t="s">
        <v>2098</v>
      </c>
      <c r="D6" s="4" t="s">
        <v>1273</v>
      </c>
      <c r="E6" s="4" t="s">
        <v>20</v>
      </c>
      <c r="F6" s="430" t="s">
        <v>2295</v>
      </c>
      <c r="G6" s="430"/>
      <c r="H6" s="430" t="s">
        <v>2372</v>
      </c>
      <c r="I6" s="430"/>
      <c r="J6" s="431" t="s">
        <v>2387</v>
      </c>
      <c r="K6" s="431"/>
      <c r="L6" s="431" t="s">
        <v>2395</v>
      </c>
      <c r="M6" s="431"/>
    </row>
    <row r="7" spans="1:15" s="259" customFormat="1" ht="15.75" x14ac:dyDescent="0.25">
      <c r="A7" s="275"/>
      <c r="B7" s="275"/>
      <c r="C7" s="275"/>
      <c r="D7" s="275"/>
      <c r="E7" s="275"/>
      <c r="F7" s="275" t="s">
        <v>2293</v>
      </c>
      <c r="G7" s="275" t="s">
        <v>2294</v>
      </c>
      <c r="H7" s="348" t="s">
        <v>2293</v>
      </c>
      <c r="I7" s="348" t="s">
        <v>2294</v>
      </c>
      <c r="J7" s="394" t="s">
        <v>2293</v>
      </c>
      <c r="K7" s="382" t="s">
        <v>2294</v>
      </c>
      <c r="L7" s="393" t="s">
        <v>2293</v>
      </c>
      <c r="M7" s="382" t="s">
        <v>2294</v>
      </c>
    </row>
    <row r="8" spans="1:15" ht="31.5" x14ac:dyDescent="0.25">
      <c r="A8" s="5">
        <v>1</v>
      </c>
      <c r="B8" s="5" t="s">
        <v>46</v>
      </c>
      <c r="C8" s="5">
        <v>110</v>
      </c>
      <c r="D8" s="7" t="str">
        <f>description_95</f>
        <v>Providing and installation of project signboards with size of 1.8 x 1.2 m as per specification  and instruction of engineer.</v>
      </c>
      <c r="E8" s="5" t="s">
        <v>49</v>
      </c>
      <c r="F8" s="272">
        <v>17799.7</v>
      </c>
      <c r="G8" s="272">
        <f>ROUND(F8/1.15,2)</f>
        <v>15478</v>
      </c>
      <c r="H8" s="272">
        <v>17886.53</v>
      </c>
      <c r="I8" s="272">
        <v>15553.5</v>
      </c>
      <c r="J8" s="272">
        <v>17919.88</v>
      </c>
      <c r="K8" s="272">
        <v>15582.5</v>
      </c>
      <c r="L8" s="395">
        <f>Rate_Analysis!U14</f>
        <v>17930.8</v>
      </c>
      <c r="M8" s="404">
        <f>ROUND(L8/1.15,2)</f>
        <v>15592</v>
      </c>
    </row>
    <row r="9" spans="1:15" ht="110.25" x14ac:dyDescent="0.25">
      <c r="A9" s="5">
        <v>3</v>
      </c>
      <c r="B9" s="5" t="s">
        <v>56</v>
      </c>
      <c r="C9" s="5">
        <v>201</v>
      </c>
      <c r="D9" s="7" t="str">
        <f>description_103</f>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
      <c r="E9" s="5" t="s">
        <v>438</v>
      </c>
      <c r="F9" s="272">
        <v>8.51</v>
      </c>
      <c r="G9" s="272">
        <f t="shared" ref="G9:G78" si="0">ROUND(F9/1.15,2)</f>
        <v>7.4</v>
      </c>
      <c r="H9" s="272">
        <v>6.78</v>
      </c>
      <c r="I9" s="272">
        <v>5.9</v>
      </c>
      <c r="J9" s="272">
        <v>6.57</v>
      </c>
      <c r="K9" s="272">
        <v>5.71</v>
      </c>
      <c r="L9" s="395">
        <f>Rate_Analysis!U34</f>
        <v>6.42</v>
      </c>
      <c r="M9" s="404">
        <f t="shared" ref="M9:M78" si="1">ROUND(L9/1.15,2)</f>
        <v>5.58</v>
      </c>
      <c r="O9" s="259"/>
    </row>
    <row r="10" spans="1:15" ht="94.5" x14ac:dyDescent="0.25">
      <c r="A10" s="5">
        <v>4</v>
      </c>
      <c r="B10" s="5" t="s">
        <v>62</v>
      </c>
      <c r="C10" s="5">
        <v>202</v>
      </c>
      <c r="D10" s="7" t="str">
        <f>description_121</f>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Lime /Cement Concrete, By Mechanical Means, Cement Concrete Grade M-15 &amp; M-20</v>
      </c>
      <c r="E10" s="5" t="s">
        <v>84</v>
      </c>
      <c r="F10" s="272">
        <v>2549.3200000000002</v>
      </c>
      <c r="G10" s="272">
        <f t="shared" si="0"/>
        <v>2216.8000000000002</v>
      </c>
      <c r="H10" s="272">
        <v>2738.27</v>
      </c>
      <c r="I10" s="272">
        <v>2381.1</v>
      </c>
      <c r="J10" s="272">
        <v>2686.29</v>
      </c>
      <c r="K10" s="272">
        <v>2335.9</v>
      </c>
      <c r="L10" s="395">
        <f>Rate_Analysis!U46</f>
        <v>2642.36</v>
      </c>
      <c r="M10" s="404">
        <f t="shared" si="1"/>
        <v>2297.6999999999998</v>
      </c>
      <c r="O10" s="259"/>
    </row>
    <row r="11" spans="1:15" ht="94.5" x14ac:dyDescent="0.25">
      <c r="A11" s="5">
        <v>5</v>
      </c>
      <c r="B11" s="5" t="s">
        <v>67</v>
      </c>
      <c r="C11" s="5">
        <v>202</v>
      </c>
      <c r="D11" s="7" t="str">
        <f>description_124</f>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
      <c r="E11" s="5" t="s">
        <v>84</v>
      </c>
      <c r="F11" s="272">
        <v>1724.08</v>
      </c>
      <c r="G11" s="272">
        <f t="shared" si="0"/>
        <v>1499.2</v>
      </c>
      <c r="H11" s="272">
        <v>1796.42</v>
      </c>
      <c r="I11" s="272">
        <v>1562.1</v>
      </c>
      <c r="J11" s="272">
        <v>1820.57</v>
      </c>
      <c r="K11" s="272">
        <v>1583.1</v>
      </c>
      <c r="L11" s="395">
        <f>Rate_Analysis!U57</f>
        <v>1817.35</v>
      </c>
      <c r="M11" s="404">
        <f t="shared" si="1"/>
        <v>1580.3</v>
      </c>
      <c r="O11" s="259"/>
    </row>
    <row r="12" spans="1:15" ht="94.5" x14ac:dyDescent="0.25">
      <c r="A12" s="5">
        <v>6</v>
      </c>
      <c r="B12" s="5" t="s">
        <v>69</v>
      </c>
      <c r="C12" s="5">
        <v>202</v>
      </c>
      <c r="D12" s="7" t="str">
        <f>description_128</f>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Stone Masonry, Rubble stone masonry in cement mortar.</v>
      </c>
      <c r="E12" s="5" t="s">
        <v>84</v>
      </c>
      <c r="F12" s="272">
        <v>1724.08</v>
      </c>
      <c r="G12" s="272">
        <f t="shared" si="0"/>
        <v>1499.2</v>
      </c>
      <c r="H12" s="272">
        <v>1796.42</v>
      </c>
      <c r="I12" s="272">
        <v>1562.1</v>
      </c>
      <c r="J12" s="272">
        <v>1820.57</v>
      </c>
      <c r="K12" s="272">
        <v>1583.1</v>
      </c>
      <c r="L12" s="395">
        <f>Rate_Analysis!U68</f>
        <v>1817.35</v>
      </c>
      <c r="M12" s="404">
        <f t="shared" si="1"/>
        <v>1580.3</v>
      </c>
      <c r="O12" s="259"/>
    </row>
    <row r="13" spans="1:15" ht="47.25" x14ac:dyDescent="0.25">
      <c r="A13" s="5">
        <v>7</v>
      </c>
      <c r="B13" s="5" t="s">
        <v>73</v>
      </c>
      <c r="C13" s="5">
        <v>701</v>
      </c>
      <c r="D13" s="7" t="str">
        <f>description_245</f>
        <v>Providing, jointing and laying HDPE pipes with or without collar etc. complete in place as per Drawing and Technical Specifications., a) 110 mm/125 mm outer dia.</v>
      </c>
      <c r="E13" s="5" t="s">
        <v>75</v>
      </c>
      <c r="F13" s="272">
        <v>595.29</v>
      </c>
      <c r="G13" s="272">
        <f t="shared" si="0"/>
        <v>517.64</v>
      </c>
      <c r="H13" s="272">
        <v>783.33</v>
      </c>
      <c r="I13" s="272">
        <v>681.16</v>
      </c>
      <c r="J13" s="272">
        <v>851.19</v>
      </c>
      <c r="K13" s="272">
        <v>740.17</v>
      </c>
      <c r="L13" s="395">
        <f>Rate_Analysis!U81</f>
        <v>849.12</v>
      </c>
      <c r="M13" s="404">
        <f t="shared" si="1"/>
        <v>738.37</v>
      </c>
      <c r="O13" s="259"/>
    </row>
    <row r="14" spans="1:15" s="210" customFormat="1" ht="47.25" x14ac:dyDescent="0.25">
      <c r="A14" s="202">
        <v>8</v>
      </c>
      <c r="B14" s="202" t="s">
        <v>82</v>
      </c>
      <c r="C14" s="202">
        <v>701</v>
      </c>
      <c r="D14" s="203" t="str">
        <f>description_246</f>
        <v>Providing and Laying Reinforced cement concrete NP3 Flush jointed pipe for culverts including fixing with cement mortar 1:2 as per Drawing and Technical Specifications., 300 mm  internal dia.</v>
      </c>
      <c r="E14" s="202" t="s">
        <v>75</v>
      </c>
      <c r="F14" s="273">
        <v>4177.88</v>
      </c>
      <c r="G14" s="273">
        <f t="shared" si="0"/>
        <v>3632.94</v>
      </c>
      <c r="H14" s="273">
        <v>4236.8999999999996</v>
      </c>
      <c r="I14" s="273">
        <v>3684.26</v>
      </c>
      <c r="J14" s="273">
        <v>4251.6899999999996</v>
      </c>
      <c r="K14" s="273">
        <v>3697.12</v>
      </c>
      <c r="L14" s="395">
        <f>Rate_Analysis!U93</f>
        <v>4266.76</v>
      </c>
      <c r="M14" s="404">
        <f t="shared" si="1"/>
        <v>3710.23</v>
      </c>
      <c r="O14" s="259"/>
    </row>
    <row r="15" spans="1:15" s="210" customFormat="1" ht="47.25" x14ac:dyDescent="0.25">
      <c r="A15" s="202">
        <v>9</v>
      </c>
      <c r="B15" s="202" t="s">
        <v>89</v>
      </c>
      <c r="C15" s="202">
        <v>701</v>
      </c>
      <c r="D15" s="203" t="str">
        <f>description_247</f>
        <v>Providing and Laying Reinforced cement concrete NP3 Flush jointed pipe for culverts including fixing with cement mortar 1:2 as per Drawing and Technical Specifications., 450 mm  internal dia.</v>
      </c>
      <c r="E15" s="202" t="s">
        <v>75</v>
      </c>
      <c r="F15" s="273">
        <v>5830.99</v>
      </c>
      <c r="G15" s="273">
        <f t="shared" si="0"/>
        <v>5070.43</v>
      </c>
      <c r="H15" s="273">
        <v>5899.29</v>
      </c>
      <c r="I15" s="273">
        <v>5129.82</v>
      </c>
      <c r="J15" s="273">
        <v>5916.7</v>
      </c>
      <c r="K15" s="273">
        <v>5144.96</v>
      </c>
      <c r="L15" s="395">
        <f>Rate_Analysis!U105</f>
        <v>5934.21</v>
      </c>
      <c r="M15" s="404">
        <f t="shared" si="1"/>
        <v>5160.18</v>
      </c>
      <c r="O15" s="259"/>
    </row>
    <row r="16" spans="1:15" s="210" customFormat="1" ht="47.25" x14ac:dyDescent="0.25">
      <c r="A16" s="202">
        <v>10</v>
      </c>
      <c r="B16" s="202" t="s">
        <v>92</v>
      </c>
      <c r="C16" s="202">
        <v>701</v>
      </c>
      <c r="D16" s="203" t="str">
        <f>description_248</f>
        <v>Providing and Laying Reinforced cement concrete NP3 Flush jointed pipe for culverts including fixing with cement mortar 1:2 as per Drawing and Technical Specifications., 600 mm  internal dia.</v>
      </c>
      <c r="E16" s="202" t="s">
        <v>75</v>
      </c>
      <c r="F16" s="273">
        <v>7875.1</v>
      </c>
      <c r="G16" s="273">
        <f t="shared" si="0"/>
        <v>6847.91</v>
      </c>
      <c r="H16" s="273">
        <v>7952.68</v>
      </c>
      <c r="I16" s="273">
        <v>6915.37</v>
      </c>
      <c r="J16" s="273">
        <v>7972.71</v>
      </c>
      <c r="K16" s="273">
        <v>6932.79</v>
      </c>
      <c r="L16" s="395">
        <f>Rate_Analysis!U117</f>
        <v>7992.65</v>
      </c>
      <c r="M16" s="404">
        <f t="shared" si="1"/>
        <v>6950.13</v>
      </c>
      <c r="O16" s="259"/>
    </row>
    <row r="17" spans="1:15" s="210" customFormat="1" ht="47.25" x14ac:dyDescent="0.25">
      <c r="A17" s="202">
        <v>11</v>
      </c>
      <c r="B17" s="202" t="s">
        <v>95</v>
      </c>
      <c r="C17" s="202">
        <v>701</v>
      </c>
      <c r="D17" s="203" t="str">
        <f>description_249</f>
        <v>Providing and Laying Reinforced cement concrete NP3 Flush jointed pipe for culverts including fixing with cement mortar 1:2 as per Drawing and Technical Specifications., 900 mm  internal dia.</v>
      </c>
      <c r="E17" s="202" t="s">
        <v>75</v>
      </c>
      <c r="F17" s="273">
        <v>14834.86</v>
      </c>
      <c r="G17" s="273">
        <f t="shared" si="0"/>
        <v>12899.88</v>
      </c>
      <c r="H17" s="273">
        <v>14921.73</v>
      </c>
      <c r="I17" s="273">
        <v>12975.42</v>
      </c>
      <c r="J17" s="273">
        <v>14944.38</v>
      </c>
      <c r="K17" s="273">
        <v>12995.11</v>
      </c>
      <c r="L17" s="395">
        <f>Rate_Analysis!U129</f>
        <v>14966.75</v>
      </c>
      <c r="M17" s="404">
        <f t="shared" si="1"/>
        <v>13014.57</v>
      </c>
      <c r="O17" s="259"/>
    </row>
    <row r="18" spans="1:15" s="210" customFormat="1" ht="47.25" x14ac:dyDescent="0.25">
      <c r="A18" s="202">
        <v>12</v>
      </c>
      <c r="B18" s="202" t="s">
        <v>98</v>
      </c>
      <c r="C18" s="202">
        <v>701</v>
      </c>
      <c r="D18" s="203" t="str">
        <f>description_250</f>
        <v>Providing and Laying Reinforced cement concrete NP3 Flush jointed pipe for culverts including fixing with cement mortar 1:2 as per Drawing and Technical Specifications., 1000 mm  internal dia.</v>
      </c>
      <c r="E18" s="202" t="s">
        <v>75</v>
      </c>
      <c r="F18" s="273">
        <v>16602.64</v>
      </c>
      <c r="G18" s="273">
        <f t="shared" si="0"/>
        <v>14437.08</v>
      </c>
      <c r="H18" s="273">
        <v>16717.509999999998</v>
      </c>
      <c r="I18" s="273">
        <v>14536.97</v>
      </c>
      <c r="J18" s="273">
        <v>16749.419999999998</v>
      </c>
      <c r="K18" s="273">
        <v>14564.71</v>
      </c>
      <c r="L18" s="395">
        <f>Rate_Analysis!U141</f>
        <v>16776.59</v>
      </c>
      <c r="M18" s="404">
        <f t="shared" si="1"/>
        <v>14588.34</v>
      </c>
      <c r="O18" s="259"/>
    </row>
    <row r="19" spans="1:15" s="210" customFormat="1" ht="47.25" x14ac:dyDescent="0.25">
      <c r="A19" s="202">
        <v>13</v>
      </c>
      <c r="B19" s="202" t="s">
        <v>101</v>
      </c>
      <c r="C19" s="202">
        <v>701</v>
      </c>
      <c r="D19" s="203" t="str">
        <f>description_251</f>
        <v>Providing and Laying Reinforced cement concrete NP3 Flush jointed pipe for culverts including fixing with cement mortar 1:2 as per Drawing and Technical Specifications., 1200 mm  internal dia.</v>
      </c>
      <c r="E19" s="202" t="s">
        <v>75</v>
      </c>
      <c r="F19" s="273">
        <v>19826.98</v>
      </c>
      <c r="G19" s="273">
        <f t="shared" si="0"/>
        <v>17240.849999999999</v>
      </c>
      <c r="H19" s="273">
        <v>19963.580000000002</v>
      </c>
      <c r="I19" s="273">
        <v>17359.63</v>
      </c>
      <c r="J19" s="273">
        <v>19998.400000000001</v>
      </c>
      <c r="K19" s="273">
        <v>17389.91</v>
      </c>
      <c r="L19" s="395">
        <f>Rate_Analysis!U153</f>
        <v>20033.41</v>
      </c>
      <c r="M19" s="404">
        <f t="shared" si="1"/>
        <v>17420.36</v>
      </c>
      <c r="O19" s="259"/>
    </row>
    <row r="20" spans="1:15" ht="47.25" x14ac:dyDescent="0.25">
      <c r="A20" s="5">
        <v>14</v>
      </c>
      <c r="B20" s="5" t="s">
        <v>104</v>
      </c>
      <c r="C20" s="5">
        <v>701</v>
      </c>
      <c r="D20" s="7" t="str">
        <f>description_252</f>
        <v>Providing and Laying Reinforced cement concrete NP3 Collar jointed pipe for culverts including fixing collar with cement mortar 1:2 as per Drawing and Technical Specifications., 300 mm internal dia.</v>
      </c>
      <c r="E20" s="5" t="s">
        <v>75</v>
      </c>
      <c r="F20" s="272">
        <v>4466.03</v>
      </c>
      <c r="G20" s="272">
        <f t="shared" si="0"/>
        <v>3883.5</v>
      </c>
      <c r="H20" s="272">
        <v>4525.05</v>
      </c>
      <c r="I20" s="272">
        <v>3934.83</v>
      </c>
      <c r="J20" s="272">
        <v>4539.83</v>
      </c>
      <c r="K20" s="272">
        <v>3947.68</v>
      </c>
      <c r="L20" s="395">
        <f>Rate_Analysis!U166</f>
        <v>4554.8999999999996</v>
      </c>
      <c r="M20" s="404">
        <f t="shared" si="1"/>
        <v>3960.78</v>
      </c>
      <c r="O20" s="259"/>
    </row>
    <row r="21" spans="1:15" ht="47.25" x14ac:dyDescent="0.25">
      <c r="A21" s="5">
        <v>15</v>
      </c>
      <c r="B21" s="5" t="s">
        <v>108</v>
      </c>
      <c r="C21" s="5">
        <v>701</v>
      </c>
      <c r="D21" s="7" t="str">
        <f>description_253</f>
        <v>Providing and Laying Reinforced cement concrete NP3 Collar jointed pipe for culverts including fixing collar with cement mortar 1:2 as per Drawing and Technical Specifications., 450 mm internal dia.</v>
      </c>
      <c r="E21" s="5" t="s">
        <v>75</v>
      </c>
      <c r="F21" s="272">
        <v>6244.99</v>
      </c>
      <c r="G21" s="272">
        <f t="shared" si="0"/>
        <v>5430.43</v>
      </c>
      <c r="H21" s="272">
        <v>6313.29</v>
      </c>
      <c r="I21" s="272">
        <v>5489.82</v>
      </c>
      <c r="J21" s="272">
        <v>6330.7</v>
      </c>
      <c r="K21" s="272">
        <v>5504.96</v>
      </c>
      <c r="L21" s="395">
        <f>Rate_Analysis!U179</f>
        <v>6348.21</v>
      </c>
      <c r="M21" s="404">
        <f t="shared" si="1"/>
        <v>5520.18</v>
      </c>
      <c r="O21" s="259"/>
    </row>
    <row r="22" spans="1:15" ht="47.25" x14ac:dyDescent="0.25">
      <c r="A22" s="5">
        <v>16</v>
      </c>
      <c r="B22" s="5" t="s">
        <v>111</v>
      </c>
      <c r="C22" s="5">
        <v>701</v>
      </c>
      <c r="D22" s="7" t="str">
        <f>description_254</f>
        <v>Providing and Laying Reinforced cement concrete NP3 Collar jointed pipe for culverts including fixing collar with cement mortar 1:2 as per Drawing and Technical Specifications., 600 mm internal dia.</v>
      </c>
      <c r="E22" s="5" t="s">
        <v>75</v>
      </c>
      <c r="F22" s="272">
        <v>8298.2999999999993</v>
      </c>
      <c r="G22" s="272">
        <f t="shared" si="0"/>
        <v>7215.91</v>
      </c>
      <c r="H22" s="272">
        <v>8375.8799999999992</v>
      </c>
      <c r="I22" s="272">
        <v>7283.37</v>
      </c>
      <c r="J22" s="272">
        <v>8395.91</v>
      </c>
      <c r="K22" s="272">
        <v>7300.79</v>
      </c>
      <c r="L22" s="395">
        <f>Rate_Analysis!U192</f>
        <v>8415.85</v>
      </c>
      <c r="M22" s="404">
        <f t="shared" si="1"/>
        <v>7318.13</v>
      </c>
      <c r="O22" s="259"/>
    </row>
    <row r="23" spans="1:15" ht="47.25" x14ac:dyDescent="0.25">
      <c r="A23" s="5">
        <v>17</v>
      </c>
      <c r="B23" s="5" t="s">
        <v>114</v>
      </c>
      <c r="C23" s="5">
        <v>701</v>
      </c>
      <c r="D23" s="7" t="str">
        <f>description_255</f>
        <v>Providing and Laying Reinforced cement concrete NP3 Collar jointed pipe for culverts including fixing collar with cement mortar 1:2 as per Drawing and Technical Specifications., 900 mm internal dia.</v>
      </c>
      <c r="E23" s="5" t="s">
        <v>75</v>
      </c>
      <c r="F23" s="272">
        <v>15954.31</v>
      </c>
      <c r="G23" s="272">
        <f t="shared" si="0"/>
        <v>13873.31</v>
      </c>
      <c r="H23" s="272">
        <v>16041.18</v>
      </c>
      <c r="I23" s="272">
        <v>13948.85</v>
      </c>
      <c r="J23" s="272">
        <v>16063.83</v>
      </c>
      <c r="K23" s="272">
        <v>13968.55</v>
      </c>
      <c r="L23" s="395">
        <f>Rate_Analysis!U205</f>
        <v>16086.21</v>
      </c>
      <c r="M23" s="404">
        <f t="shared" si="1"/>
        <v>13988.01</v>
      </c>
      <c r="O23" s="259"/>
    </row>
    <row r="24" spans="1:15" ht="47.25" x14ac:dyDescent="0.25">
      <c r="A24" s="5">
        <v>18</v>
      </c>
      <c r="B24" s="5" t="s">
        <v>117</v>
      </c>
      <c r="C24" s="5">
        <v>701</v>
      </c>
      <c r="D24" s="7" t="str">
        <f>description_256</f>
        <v>Providing and Laying Reinforced cement concrete NP3 Collar jointed pipe for culverts including fixing collar with cement mortar 1:2 as per Drawing and Technical Specifications., 1000 mm internal dia.</v>
      </c>
      <c r="E24" s="5" t="s">
        <v>75</v>
      </c>
      <c r="F24" s="272">
        <v>17847.22</v>
      </c>
      <c r="G24" s="272">
        <f t="shared" si="0"/>
        <v>15519.32</v>
      </c>
      <c r="H24" s="272">
        <v>17962.09</v>
      </c>
      <c r="I24" s="272">
        <v>15619.21</v>
      </c>
      <c r="J24" s="272">
        <v>17993.990000000002</v>
      </c>
      <c r="K24" s="272">
        <v>15646.95</v>
      </c>
      <c r="L24" s="395">
        <f>Rate_Analysis!U218</f>
        <v>18021.169999999998</v>
      </c>
      <c r="M24" s="404">
        <f t="shared" si="1"/>
        <v>15670.58</v>
      </c>
      <c r="O24" s="259"/>
    </row>
    <row r="25" spans="1:15" ht="47.25" x14ac:dyDescent="0.25">
      <c r="A25" s="5">
        <v>19</v>
      </c>
      <c r="B25" s="5" t="s">
        <v>120</v>
      </c>
      <c r="C25" s="5">
        <v>701</v>
      </c>
      <c r="D25" s="7" t="str">
        <f>description_257</f>
        <v>Providing and Laying Reinforced cement concrete NP3 Collar jointed pipe for culverts including fixing collar with cement mortar 1:2 as per Drawing and Technical Specifications., 1200 mm internal dia.</v>
      </c>
      <c r="E25" s="5" t="s">
        <v>75</v>
      </c>
      <c r="F25" s="272">
        <v>21307.81</v>
      </c>
      <c r="G25" s="272">
        <f t="shared" si="0"/>
        <v>18528.53</v>
      </c>
      <c r="H25" s="272">
        <v>21445.58</v>
      </c>
      <c r="I25" s="272">
        <v>18648.330000000002</v>
      </c>
      <c r="J25" s="272">
        <v>21480.400000000001</v>
      </c>
      <c r="K25" s="272">
        <v>18678.61</v>
      </c>
      <c r="L25" s="395">
        <f>Rate_Analysis!U231</f>
        <v>21515.41</v>
      </c>
      <c r="M25" s="404">
        <f t="shared" si="1"/>
        <v>18709.05</v>
      </c>
      <c r="O25" s="259"/>
    </row>
    <row r="26" spans="1:15" s="210" customFormat="1" ht="63" x14ac:dyDescent="0.25">
      <c r="A26" s="202">
        <v>20</v>
      </c>
      <c r="B26" s="202" t="s">
        <v>125</v>
      </c>
      <c r="C26" s="202">
        <v>905</v>
      </c>
      <c r="D26" s="203" t="str">
        <f>description_261</f>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
      <c r="E26" s="202" t="s">
        <v>84</v>
      </c>
      <c r="F26" s="273">
        <v>693.92</v>
      </c>
      <c r="G26" s="273">
        <f t="shared" si="0"/>
        <v>603.41</v>
      </c>
      <c r="H26" s="273">
        <v>803.98</v>
      </c>
      <c r="I26" s="273">
        <v>699.11</v>
      </c>
      <c r="J26" s="273">
        <v>847.41</v>
      </c>
      <c r="K26" s="273">
        <v>736.88</v>
      </c>
      <c r="L26" s="395">
        <f>Rate_Analysis!U242</f>
        <v>861.23</v>
      </c>
      <c r="M26" s="404">
        <f t="shared" si="1"/>
        <v>748.9</v>
      </c>
      <c r="O26" s="259"/>
    </row>
    <row r="27" spans="1:15" s="210" customFormat="1" ht="77.25" customHeight="1" x14ac:dyDescent="0.25">
      <c r="A27" s="202">
        <v>21</v>
      </c>
      <c r="B27" s="202" t="s">
        <v>129</v>
      </c>
      <c r="C27" s="202">
        <v>905</v>
      </c>
      <c r="D27" s="203"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E27" s="202" t="s">
        <v>84</v>
      </c>
      <c r="F27" s="273">
        <v>77.66</v>
      </c>
      <c r="G27" s="273">
        <f t="shared" si="0"/>
        <v>67.53</v>
      </c>
      <c r="H27" s="273">
        <v>77.290000000000006</v>
      </c>
      <c r="I27" s="273">
        <v>67.209999999999994</v>
      </c>
      <c r="J27" s="273">
        <v>74.33</v>
      </c>
      <c r="K27" s="273">
        <v>64.63</v>
      </c>
      <c r="L27" s="395">
        <f>Rate_Analysis!U253</f>
        <v>72.39</v>
      </c>
      <c r="M27" s="404">
        <f t="shared" si="1"/>
        <v>62.95</v>
      </c>
      <c r="O27" s="259"/>
    </row>
    <row r="28" spans="1:15" s="210" customFormat="1" ht="63" x14ac:dyDescent="0.25">
      <c r="A28" s="202">
        <v>22</v>
      </c>
      <c r="B28" s="202" t="s">
        <v>133</v>
      </c>
      <c r="C28" s="202">
        <v>905</v>
      </c>
      <c r="D28" s="203" t="str">
        <f>description_263</f>
        <v>Earthwork Excavation in Cutting., Roadway Excavation in ordinary rock  by Manual Means ., Roadway Excavation  in ordinary rock as per Drawing and Technical specification, including all lift and lead  as per Drawing and instruction of the Engineer.</v>
      </c>
      <c r="E28" s="202" t="s">
        <v>84</v>
      </c>
      <c r="F28" s="273">
        <v>801.31</v>
      </c>
      <c r="G28" s="273">
        <f t="shared" si="0"/>
        <v>696.79</v>
      </c>
      <c r="H28" s="273">
        <v>928.94</v>
      </c>
      <c r="I28" s="273">
        <v>807.77</v>
      </c>
      <c r="J28" s="273">
        <v>980.67</v>
      </c>
      <c r="K28" s="273">
        <v>852.76</v>
      </c>
      <c r="L28" s="395">
        <f>Rate_Analysis!U264</f>
        <v>996.66</v>
      </c>
      <c r="M28" s="404">
        <f t="shared" si="1"/>
        <v>866.66</v>
      </c>
      <c r="O28" s="259"/>
    </row>
    <row r="29" spans="1:15" s="210" customFormat="1" ht="63" x14ac:dyDescent="0.25">
      <c r="A29" s="202">
        <v>23</v>
      </c>
      <c r="B29" s="202" t="s">
        <v>137</v>
      </c>
      <c r="C29" s="202">
        <v>905</v>
      </c>
      <c r="D29" s="203" t="str">
        <f>description_264</f>
        <v>Earthwork Excavation in Cutting., Roadway Excavation in ordinary rock by Mechanical  Means ., Roadway Excavation  in ordinary rock as per Drawing and Technical specification, including  all lift and lead  as per Drawing and instruction of the Engineer.</v>
      </c>
      <c r="E29" s="202" t="s">
        <v>84</v>
      </c>
      <c r="F29" s="273">
        <v>232.97</v>
      </c>
      <c r="G29" s="273">
        <f t="shared" si="0"/>
        <v>202.58</v>
      </c>
      <c r="H29" s="273">
        <v>231.87</v>
      </c>
      <c r="I29" s="273">
        <v>201.63</v>
      </c>
      <c r="J29" s="273">
        <v>222.99</v>
      </c>
      <c r="K29" s="273">
        <v>193.9</v>
      </c>
      <c r="L29" s="395">
        <f>Rate_Analysis!U275</f>
        <v>217.18</v>
      </c>
      <c r="M29" s="404">
        <f t="shared" si="1"/>
        <v>188.85</v>
      </c>
      <c r="O29" s="259"/>
    </row>
    <row r="30" spans="1:15" ht="63" hidden="1" x14ac:dyDescent="0.25">
      <c r="A30" s="5">
        <v>24</v>
      </c>
      <c r="B30" s="5" t="s">
        <v>140</v>
      </c>
      <c r="C30" s="5">
        <v>905</v>
      </c>
      <c r="D30" s="7" t="str">
        <f>description_265</f>
        <v>Earthwork Excavation in Cutting., Roadway Excavation in Hard Rock, mechanical Drilling, Roadway Excavation in hard rock with mechanical  drilling, including  blasting and breaking, and disposal of cut road within all lifts and leads  as per Drawing and instruction of the Engineer.</v>
      </c>
      <c r="E30" s="5" t="s">
        <v>84</v>
      </c>
      <c r="F30" s="272">
        <v>-105.12</v>
      </c>
      <c r="G30" s="272">
        <f t="shared" si="0"/>
        <v>-91.41</v>
      </c>
      <c r="H30" s="272">
        <v>-583.72</v>
      </c>
      <c r="I30" s="272">
        <v>-507.58</v>
      </c>
      <c r="J30" s="272">
        <v>-521.79</v>
      </c>
      <c r="K30" s="272">
        <v>-453.73</v>
      </c>
      <c r="L30" s="395">
        <f>Rate_Analysis!U288</f>
        <v>-536.95000000000005</v>
      </c>
      <c r="M30" s="404">
        <f t="shared" si="1"/>
        <v>-466.91</v>
      </c>
      <c r="O30" s="259"/>
    </row>
    <row r="31" spans="1:15" s="281" customFormat="1" ht="78.75" x14ac:dyDescent="0.25">
      <c r="A31" s="386">
        <v>26</v>
      </c>
      <c r="B31" s="386" t="s">
        <v>155</v>
      </c>
      <c r="C31" s="386">
        <v>907</v>
      </c>
      <c r="D31" s="277" t="str">
        <f>description_273</f>
        <v>Excavation for Structures Foundation, Earth work in excavation of foundation of structures, including  construction of shoring and bracing, removal of stumps and other deleterious matter and backfilling with approved Material as per Drawing and Technical Specifications., Ordinary soil by Manual Means, Depth upto 3 m</v>
      </c>
      <c r="E31" s="386" t="s">
        <v>84</v>
      </c>
      <c r="F31" s="387">
        <v>808.45</v>
      </c>
      <c r="G31" s="387">
        <f t="shared" si="0"/>
        <v>703</v>
      </c>
      <c r="H31" s="387">
        <v>936.68</v>
      </c>
      <c r="I31" s="387">
        <v>814.5</v>
      </c>
      <c r="J31" s="387">
        <v>987.28</v>
      </c>
      <c r="K31" s="387">
        <v>858.5</v>
      </c>
      <c r="L31" s="396">
        <f>Rate_Analysis!U312</f>
        <v>1003.38</v>
      </c>
      <c r="M31" s="405">
        <f t="shared" si="1"/>
        <v>872.5</v>
      </c>
      <c r="O31" s="259"/>
    </row>
    <row r="32" spans="1:15" s="281" customFormat="1" ht="78.75" x14ac:dyDescent="0.25">
      <c r="A32" s="386">
        <v>27</v>
      </c>
      <c r="B32" s="386" t="s">
        <v>158</v>
      </c>
      <c r="C32" s="386">
        <v>907</v>
      </c>
      <c r="D32" s="277" t="str">
        <f>description_276</f>
        <v>Excavation for Structures Foundation, Earth work in excavation of foundation of structures, including  construction of shoring and bracing, removal of stumps and other deleterious matter and backfilling with approved Material as per Drawing and Technical Specifications., Ordinary soil by Mechanical Means, Depth upto 3 m</v>
      </c>
      <c r="E32" s="386" t="s">
        <v>84</v>
      </c>
      <c r="F32" s="387">
        <v>116.49</v>
      </c>
      <c r="G32" s="387">
        <f t="shared" si="0"/>
        <v>101.3</v>
      </c>
      <c r="H32" s="387">
        <v>115.93</v>
      </c>
      <c r="I32" s="387">
        <v>100.81</v>
      </c>
      <c r="J32" s="387">
        <v>111.5</v>
      </c>
      <c r="K32" s="387">
        <v>96.96</v>
      </c>
      <c r="L32" s="396">
        <f>Rate_Analysis!U323</f>
        <v>108.59</v>
      </c>
      <c r="M32" s="405">
        <f t="shared" si="1"/>
        <v>94.43</v>
      </c>
      <c r="O32" s="259"/>
    </row>
    <row r="33" spans="1:15" ht="78.75" x14ac:dyDescent="0.25">
      <c r="A33" s="5">
        <v>28</v>
      </c>
      <c r="B33" s="5" t="s">
        <v>161</v>
      </c>
      <c r="C33" s="5">
        <v>907</v>
      </c>
      <c r="D33" s="7" t="str">
        <f>description_277</f>
        <v>Excavation for Structures Foundation, Earth work in excavation of foundation of structures, including  construction of shoring and bracing, removal of stumps and other deleterious matter and backfilling with approved Material as per Drawing and Technical Specifications., Ordinary soil by Mechanical Means, Depth 3 m to 6 m</v>
      </c>
      <c r="E33" s="5" t="s">
        <v>84</v>
      </c>
      <c r="F33" s="272">
        <v>133.13</v>
      </c>
      <c r="G33" s="272">
        <f t="shared" si="0"/>
        <v>115.77</v>
      </c>
      <c r="H33" s="272">
        <v>132.5</v>
      </c>
      <c r="I33" s="272">
        <v>115.22</v>
      </c>
      <c r="J33" s="272">
        <v>127.43</v>
      </c>
      <c r="K33" s="272">
        <v>110.81</v>
      </c>
      <c r="L33" s="395">
        <f>Rate_Analysis!U334</f>
        <v>124.1</v>
      </c>
      <c r="M33" s="404">
        <f t="shared" si="1"/>
        <v>107.91</v>
      </c>
      <c r="O33" s="259"/>
    </row>
    <row r="34" spans="1:15" ht="78.75" x14ac:dyDescent="0.25">
      <c r="A34" s="5">
        <v>29</v>
      </c>
      <c r="B34" s="5" t="s">
        <v>164</v>
      </c>
      <c r="C34" s="5">
        <v>907</v>
      </c>
      <c r="D34" s="7" t="str">
        <f>description_278</f>
        <v>Excavation for Structures Foundation, Earth work in excavation of foundation of structures, including  construction of shoring and bracing, removal of stumps and other deleterious matter and backfilling with approved Material as per Drawing and Technical Specifications., Ordinary soil by Mechanical Means, Depth above 6 m</v>
      </c>
      <c r="E34" s="5" t="s">
        <v>84</v>
      </c>
      <c r="F34" s="272">
        <v>166.69</v>
      </c>
      <c r="G34" s="272">
        <f t="shared" si="0"/>
        <v>144.94999999999999</v>
      </c>
      <c r="H34" s="272">
        <v>167.71</v>
      </c>
      <c r="I34" s="272">
        <v>145.83000000000001</v>
      </c>
      <c r="J34" s="272">
        <v>162.37</v>
      </c>
      <c r="K34" s="272">
        <v>141.19</v>
      </c>
      <c r="L34" s="395">
        <f>Rate_Analysis!U345</f>
        <v>158.71</v>
      </c>
      <c r="M34" s="404">
        <f t="shared" si="1"/>
        <v>138.01</v>
      </c>
      <c r="O34" s="259"/>
    </row>
    <row r="35" spans="1:15" s="281" customFormat="1" ht="78.75" x14ac:dyDescent="0.25">
      <c r="A35" s="386">
        <v>30</v>
      </c>
      <c r="B35" s="386" t="s">
        <v>166</v>
      </c>
      <c r="C35" s="386">
        <v>907</v>
      </c>
      <c r="D35" s="277" t="str">
        <f>description_280</f>
        <v>Excavation for Structures Foundation, Earth work in excavation of foundation of structures, including  construction of shoring and bracing, removal of stumps and other deleterious matter and backfilling with approved Material as per Drawing and Technical Specifications., Ordinary Rock (not requiring blasting) by Mechanical Means, Depth upto 3 m</v>
      </c>
      <c r="E35" s="386" t="s">
        <v>84</v>
      </c>
      <c r="F35" s="387">
        <v>310.63</v>
      </c>
      <c r="G35" s="387">
        <f t="shared" si="0"/>
        <v>270.11</v>
      </c>
      <c r="H35" s="387">
        <v>309.16000000000003</v>
      </c>
      <c r="I35" s="387">
        <v>268.83</v>
      </c>
      <c r="J35" s="387">
        <v>297.33</v>
      </c>
      <c r="K35" s="387">
        <v>258.55</v>
      </c>
      <c r="L35" s="396">
        <f>Rate_Analysis!U356</f>
        <v>289.57</v>
      </c>
      <c r="M35" s="405">
        <f t="shared" si="1"/>
        <v>251.8</v>
      </c>
      <c r="O35" s="259"/>
    </row>
    <row r="36" spans="1:15" ht="47.25" x14ac:dyDescent="0.25">
      <c r="A36" s="5">
        <v>31</v>
      </c>
      <c r="B36" s="5" t="s">
        <v>170</v>
      </c>
      <c r="C36" s="5">
        <v>909910</v>
      </c>
      <c r="D36" s="7" t="str">
        <f>description_289</f>
        <v>Construction of Embankment  with Material obtained from Borrow pits, Providing, laying, spreading and compacting embankment with borrow material as per Drawing and Technical Specifications.</v>
      </c>
      <c r="E36" s="5" t="s">
        <v>84</v>
      </c>
      <c r="F36" s="272">
        <v>569.11</v>
      </c>
      <c r="G36" s="272">
        <f t="shared" si="0"/>
        <v>494.88</v>
      </c>
      <c r="H36" s="272">
        <v>562.13</v>
      </c>
      <c r="I36" s="272">
        <v>488.81</v>
      </c>
      <c r="J36" s="272">
        <v>555.48</v>
      </c>
      <c r="K36" s="272">
        <v>483.03</v>
      </c>
      <c r="L36" s="395">
        <f>Rate_Analysis!U370</f>
        <v>549.26</v>
      </c>
      <c r="M36" s="404">
        <f t="shared" si="1"/>
        <v>477.62</v>
      </c>
      <c r="O36" s="259"/>
    </row>
    <row r="37" spans="1:15" ht="63" x14ac:dyDescent="0.25">
      <c r="A37" s="5">
        <v>32</v>
      </c>
      <c r="B37" s="5" t="s">
        <v>178</v>
      </c>
      <c r="C37" s="5">
        <v>909910</v>
      </c>
      <c r="D37" s="7" t="str">
        <f>description_291</f>
        <v>Construction of Embankment with Material Deposited from Roadway Cutting, Providing, laying, spreading and compacting embankment with roadway cutting  material  and compact to the required density as per Drawing and Technical Specifications. (With machine)</v>
      </c>
      <c r="E37" s="5" t="s">
        <v>84</v>
      </c>
      <c r="F37" s="272">
        <v>370.38</v>
      </c>
      <c r="G37" s="272">
        <f t="shared" si="0"/>
        <v>322.07</v>
      </c>
      <c r="H37" s="272">
        <v>334.8</v>
      </c>
      <c r="I37" s="272">
        <v>291.13</v>
      </c>
      <c r="J37" s="272">
        <v>330.15</v>
      </c>
      <c r="K37" s="272">
        <v>287.08999999999997</v>
      </c>
      <c r="L37" s="395">
        <f>Rate_Analysis!U382</f>
        <v>326.76</v>
      </c>
      <c r="M37" s="404">
        <f t="shared" si="1"/>
        <v>284.14</v>
      </c>
      <c r="O37" s="259"/>
    </row>
    <row r="38" spans="1:15" s="281" customFormat="1" ht="47.25" x14ac:dyDescent="0.25">
      <c r="A38" s="386">
        <v>33</v>
      </c>
      <c r="B38" s="386" t="s">
        <v>181</v>
      </c>
      <c r="C38" s="386">
        <v>908</v>
      </c>
      <c r="D38" s="277" t="str">
        <f>description_293</f>
        <v>Providing suitable material and Back filling behind abutment, wing wall and return wall complete as per Drawing and Technical Specifications., Granular Material</v>
      </c>
      <c r="E38" s="386" t="s">
        <v>84</v>
      </c>
      <c r="F38" s="387">
        <v>1269.29</v>
      </c>
      <c r="G38" s="387">
        <f t="shared" si="0"/>
        <v>1103.73</v>
      </c>
      <c r="H38" s="387">
        <v>1389.87</v>
      </c>
      <c r="I38" s="387">
        <v>1208.58</v>
      </c>
      <c r="J38" s="387">
        <v>1415.51</v>
      </c>
      <c r="K38" s="387">
        <v>1230.8800000000001</v>
      </c>
      <c r="L38" s="396">
        <f>Rate_Analysis!U393</f>
        <v>1422.01</v>
      </c>
      <c r="M38" s="405">
        <f t="shared" si="1"/>
        <v>1236.53</v>
      </c>
      <c r="O38" s="259"/>
    </row>
    <row r="39" spans="1:15" ht="47.25" x14ac:dyDescent="0.25">
      <c r="A39" s="5">
        <v>34</v>
      </c>
      <c r="B39" s="5" t="s">
        <v>186</v>
      </c>
      <c r="C39" s="5">
        <v>908</v>
      </c>
      <c r="D39" s="7" t="str">
        <f>description_294</f>
        <v>Providing suitable material and Back filling behind abutment, wing wall and return wall complete as per Drawing and Technical Specifications., Sandy Material</v>
      </c>
      <c r="E39" s="5" t="s">
        <v>84</v>
      </c>
      <c r="F39" s="272">
        <v>4856.93</v>
      </c>
      <c r="G39" s="272">
        <f t="shared" si="0"/>
        <v>4223.42</v>
      </c>
      <c r="H39" s="272">
        <v>4977.51</v>
      </c>
      <c r="I39" s="272">
        <v>4328.2700000000004</v>
      </c>
      <c r="J39" s="272">
        <v>5003.1499999999996</v>
      </c>
      <c r="K39" s="272">
        <v>4350.57</v>
      </c>
      <c r="L39" s="395">
        <f>Rate_Analysis!U404</f>
        <v>5009.6499999999996</v>
      </c>
      <c r="M39" s="404">
        <f t="shared" si="1"/>
        <v>4356.22</v>
      </c>
      <c r="O39" s="259"/>
    </row>
    <row r="40" spans="1:15" s="210" customFormat="1" ht="47.25" x14ac:dyDescent="0.25">
      <c r="A40" s="202">
        <v>35</v>
      </c>
      <c r="B40" s="202" t="s">
        <v>2151</v>
      </c>
      <c r="C40" s="202">
        <v>908</v>
      </c>
      <c r="D40" s="203" t="str">
        <f>Rate_Analysis!C406</f>
        <v>Providing suitable material and Back filling behind abutment, wing wall and return wall complete as per Drawing and Technical Specifications., locally available material including compaction by tamping rod(with watering)</v>
      </c>
      <c r="E40" s="202" t="s">
        <v>84</v>
      </c>
      <c r="F40" s="273">
        <v>504.24</v>
      </c>
      <c r="G40" s="273">
        <f t="shared" si="0"/>
        <v>438.47</v>
      </c>
      <c r="H40" s="273">
        <v>578.98</v>
      </c>
      <c r="I40" s="273">
        <v>503.46</v>
      </c>
      <c r="J40" s="273">
        <v>609.54</v>
      </c>
      <c r="K40" s="273">
        <v>530.03</v>
      </c>
      <c r="L40" s="395">
        <f>Rate_Analysis!U415</f>
        <v>618.9</v>
      </c>
      <c r="M40" s="404">
        <f t="shared" si="1"/>
        <v>538.16999999999996</v>
      </c>
      <c r="O40" s="259"/>
    </row>
    <row r="41" spans="1:15" s="210" customFormat="1" ht="47.25" x14ac:dyDescent="0.25">
      <c r="A41" s="202">
        <v>36</v>
      </c>
      <c r="B41" s="202" t="s">
        <v>200</v>
      </c>
      <c r="C41" s="202">
        <v>908</v>
      </c>
      <c r="D41" s="203" t="str">
        <f>Rate_Analysis!C417</f>
        <v>Providing suitable material and Back filling behind abutment, wing wall and return wall complete as per Drawing and Technical Specifications., locally available material including compaction by tamping rod(without watering)</v>
      </c>
      <c r="E41" s="202" t="s">
        <v>84</v>
      </c>
      <c r="F41" s="273">
        <v>379.75</v>
      </c>
      <c r="G41" s="273">
        <f t="shared" si="0"/>
        <v>330.22</v>
      </c>
      <c r="H41" s="273">
        <v>440.28</v>
      </c>
      <c r="I41" s="273">
        <v>382.85</v>
      </c>
      <c r="J41" s="273">
        <v>464.92</v>
      </c>
      <c r="K41" s="273">
        <v>404.28</v>
      </c>
      <c r="L41" s="395">
        <f>Rate_Analysis!U426</f>
        <v>472.5</v>
      </c>
      <c r="M41" s="404">
        <f t="shared" si="1"/>
        <v>410.87</v>
      </c>
      <c r="O41" s="259"/>
    </row>
    <row r="42" spans="1:15" ht="78.75" x14ac:dyDescent="0.25">
      <c r="A42" s="5">
        <v>37</v>
      </c>
      <c r="B42" s="5" t="s">
        <v>188</v>
      </c>
      <c r="C42" s="5">
        <v>909910</v>
      </c>
      <c r="D42" s="7" t="str">
        <f>description_297</f>
        <v>Providing and laying of Filter media with granular Material/stone crushed aggregates  to a thickness of not less than 600 mm with smaller size towards the soil and bigger size towards the wall and provided over the entire surface behind abutment, wing wall and return wall to the full height compacted to a firm condition complete as per drawing and Technical Specification.</v>
      </c>
      <c r="E42" s="5" t="s">
        <v>84</v>
      </c>
      <c r="F42" s="272">
        <v>1776.7</v>
      </c>
      <c r="G42" s="272">
        <f t="shared" si="0"/>
        <v>1544.96</v>
      </c>
      <c r="H42" s="272">
        <v>1932.53</v>
      </c>
      <c r="I42" s="272">
        <v>1680.46</v>
      </c>
      <c r="J42" s="272">
        <v>1994.63</v>
      </c>
      <c r="K42" s="272">
        <v>1734.46</v>
      </c>
      <c r="L42" s="395">
        <f>Rate_Analysis!U437</f>
        <v>2014.18</v>
      </c>
      <c r="M42" s="404">
        <f t="shared" si="1"/>
        <v>1751.46</v>
      </c>
      <c r="O42" s="259"/>
    </row>
    <row r="43" spans="1:15" ht="47.25" x14ac:dyDescent="0.25">
      <c r="A43" s="5">
        <v>38</v>
      </c>
      <c r="B43" s="5" t="s">
        <v>192</v>
      </c>
      <c r="C43" s="5">
        <v>900</v>
      </c>
      <c r="D43" s="7" t="str">
        <f>description_271</f>
        <v>Removal of Unserviceable Soil with Disposal upto 1000 meters, Removal of unserviceable soil including excavation, loading and disposal upto 1000 meters lead</v>
      </c>
      <c r="E43" s="5" t="s">
        <v>84</v>
      </c>
      <c r="F43" s="272">
        <v>160.78</v>
      </c>
      <c r="G43" s="272">
        <f t="shared" si="0"/>
        <v>139.81</v>
      </c>
      <c r="H43" s="272">
        <v>167.01</v>
      </c>
      <c r="I43" s="272">
        <v>145.22999999999999</v>
      </c>
      <c r="J43" s="272">
        <v>159.66999999999999</v>
      </c>
      <c r="K43" s="272">
        <v>138.84</v>
      </c>
      <c r="L43" s="395">
        <f>Rate_Analysis!U448</f>
        <v>154.96</v>
      </c>
      <c r="M43" s="404">
        <f t="shared" si="1"/>
        <v>134.75</v>
      </c>
      <c r="O43" s="259"/>
    </row>
    <row r="44" spans="1:15" ht="31.5" x14ac:dyDescent="0.25">
      <c r="A44" s="5">
        <v>39</v>
      </c>
      <c r="B44" s="5" t="s">
        <v>195</v>
      </c>
      <c r="C44" s="5">
        <v>905</v>
      </c>
      <c r="D44" s="7" t="str">
        <f>description_270</f>
        <v>Earthwork Excavation in Cutting., Excavation in Marshy Soil, Roadway Excavation  in marshy soil  as per Drawing and Technical Specifications</v>
      </c>
      <c r="E44" s="5" t="s">
        <v>84</v>
      </c>
      <c r="F44" s="272">
        <v>192.94</v>
      </c>
      <c r="G44" s="272">
        <f t="shared" si="0"/>
        <v>167.77</v>
      </c>
      <c r="H44" s="272">
        <v>200.41</v>
      </c>
      <c r="I44" s="272">
        <v>174.27</v>
      </c>
      <c r="J44" s="272">
        <v>191.6</v>
      </c>
      <c r="K44" s="272">
        <v>166.61</v>
      </c>
      <c r="L44" s="395">
        <f>Rate_Analysis!U459</f>
        <v>185.95</v>
      </c>
      <c r="M44" s="404">
        <f t="shared" si="1"/>
        <v>161.69999999999999</v>
      </c>
      <c r="O44" s="259"/>
    </row>
    <row r="45" spans="1:15" ht="31.5" x14ac:dyDescent="0.25">
      <c r="A45" s="5">
        <v>40</v>
      </c>
      <c r="B45" s="5" t="s">
        <v>198</v>
      </c>
      <c r="C45" s="5">
        <v>909910</v>
      </c>
      <c r="D45" s="7" t="str">
        <f>description_298</f>
        <v>Providing and filling sand  in Foundation Trenches as per Drawing &amp; Technical Specification</v>
      </c>
      <c r="E45" s="5" t="s">
        <v>84</v>
      </c>
      <c r="F45" s="272">
        <v>4555</v>
      </c>
      <c r="G45" s="272">
        <f t="shared" si="0"/>
        <v>3960.87</v>
      </c>
      <c r="H45" s="272">
        <v>4598.18</v>
      </c>
      <c r="I45" s="272">
        <v>3998.42</v>
      </c>
      <c r="J45" s="272">
        <v>4615.8900000000003</v>
      </c>
      <c r="K45" s="272">
        <v>4013.82</v>
      </c>
      <c r="L45" s="395">
        <f>Rate_Analysis!U470</f>
        <v>4621.3</v>
      </c>
      <c r="M45" s="404">
        <f t="shared" si="1"/>
        <v>4018.52</v>
      </c>
      <c r="O45" s="259"/>
    </row>
    <row r="46" spans="1:15" ht="47.25" x14ac:dyDescent="0.25">
      <c r="A46" s="5">
        <v>41</v>
      </c>
      <c r="B46" s="5" t="s">
        <v>200</v>
      </c>
      <c r="C46" s="5">
        <v>908</v>
      </c>
      <c r="D46" s="7" t="str">
        <f>description_296</f>
        <v>Providing suitable material and Back filling behind abutment, wing wall and return wall complete as per Drawing and Technical Specifications., Locally available Material, with out watering and compaction by tamping rod</v>
      </c>
      <c r="E46" s="5" t="s">
        <v>84</v>
      </c>
      <c r="F46" s="272">
        <v>379.75</v>
      </c>
      <c r="G46" s="272">
        <f t="shared" si="0"/>
        <v>330.22</v>
      </c>
      <c r="H46" s="272">
        <v>440.28</v>
      </c>
      <c r="I46" s="272">
        <v>382.85</v>
      </c>
      <c r="J46" s="272">
        <v>464.92</v>
      </c>
      <c r="K46" s="272">
        <v>404.28</v>
      </c>
      <c r="L46" s="395">
        <f>Rate_Analysis!U481</f>
        <v>472.5</v>
      </c>
      <c r="M46" s="404">
        <f t="shared" si="1"/>
        <v>410.87</v>
      </c>
      <c r="O46" s="259"/>
    </row>
    <row r="47" spans="1:15" s="210" customFormat="1" ht="63" x14ac:dyDescent="0.25">
      <c r="A47" s="202">
        <v>42</v>
      </c>
      <c r="B47" s="202" t="s">
        <v>206</v>
      </c>
      <c r="C47" s="202">
        <v>1003</v>
      </c>
      <c r="D47" s="203" t="str">
        <f>description_301</f>
        <v>Scarifying Existing road Surface to a depth of 50 mm by Mechanical Means, Scarifying the existing road surface to a depth of 50 mm and disposal of scarified Material with in all lifts and lead as per Drawing and Technical Specifications.</v>
      </c>
      <c r="E47" s="202" t="s">
        <v>438</v>
      </c>
      <c r="F47" s="273">
        <v>23.36</v>
      </c>
      <c r="G47" s="273">
        <f t="shared" si="0"/>
        <v>20.309999999999999</v>
      </c>
      <c r="H47" s="273">
        <v>24.59</v>
      </c>
      <c r="I47" s="273">
        <v>21.38</v>
      </c>
      <c r="J47" s="273">
        <v>24.68</v>
      </c>
      <c r="K47" s="273">
        <v>21.46</v>
      </c>
      <c r="L47" s="395">
        <f>Rate_Analysis!U492</f>
        <v>24.54</v>
      </c>
      <c r="M47" s="404">
        <f t="shared" si="1"/>
        <v>21.34</v>
      </c>
      <c r="O47" s="259"/>
    </row>
    <row r="48" spans="1:15" s="210" customFormat="1" ht="63" x14ac:dyDescent="0.25">
      <c r="A48" s="202">
        <v>43</v>
      </c>
      <c r="B48" s="202" t="s">
        <v>209</v>
      </c>
      <c r="C48" s="202">
        <v>1003</v>
      </c>
      <c r="D48" s="203" t="str">
        <f>description_299</f>
        <v>Scarifying Existing road Surface to a Depth of 50 mm by
Manual Means, Scarifying the existing road surface to a depth of 50 mm and disposal of scarified Material with all lifts and leads as per Drawing and Technical Specifications.</v>
      </c>
      <c r="E48" s="202" t="s">
        <v>438</v>
      </c>
      <c r="F48" s="273">
        <v>35.92</v>
      </c>
      <c r="G48" s="273">
        <f t="shared" si="0"/>
        <v>31.23</v>
      </c>
      <c r="H48" s="273">
        <v>38.28</v>
      </c>
      <c r="I48" s="273">
        <v>33.29</v>
      </c>
      <c r="J48" s="273">
        <v>39.159999999999997</v>
      </c>
      <c r="K48" s="273">
        <v>34.049999999999997</v>
      </c>
      <c r="L48" s="397">
        <f>Rate_Analysis!U503</f>
        <v>39.25</v>
      </c>
      <c r="M48" s="406">
        <f t="shared" si="1"/>
        <v>34.130000000000003</v>
      </c>
      <c r="O48" s="259"/>
    </row>
    <row r="49" spans="1:15" ht="63" x14ac:dyDescent="0.25">
      <c r="A49" s="5">
        <v>44</v>
      </c>
      <c r="B49" s="5" t="s">
        <v>212</v>
      </c>
      <c r="C49" s="5">
        <v>1003</v>
      </c>
      <c r="D49" s="7" t="str">
        <f>description_302</f>
        <v>Scarifying Existing road Surface to a depth of 50 mm by Mechanical Means, Scarifying the existing bituminous road surface to a depth of 50 mm and disposal of scarified Material with in all lifts and lead as per Drawing and Technical Specifications.</v>
      </c>
      <c r="E49" s="5" t="s">
        <v>438</v>
      </c>
      <c r="F49" s="272">
        <v>14.57</v>
      </c>
      <c r="G49" s="272">
        <f t="shared" si="0"/>
        <v>12.67</v>
      </c>
      <c r="H49" s="272">
        <v>14.25</v>
      </c>
      <c r="I49" s="272">
        <v>12.39</v>
      </c>
      <c r="J49" s="272">
        <v>13.8</v>
      </c>
      <c r="K49" s="272">
        <v>12</v>
      </c>
      <c r="L49" s="395">
        <f>Rate_Analysis!U515</f>
        <v>13.48</v>
      </c>
      <c r="M49" s="404">
        <f t="shared" si="1"/>
        <v>11.72</v>
      </c>
      <c r="O49" s="259"/>
    </row>
    <row r="50" spans="1:15" ht="63" x14ac:dyDescent="0.25">
      <c r="A50" s="5">
        <v>45</v>
      </c>
      <c r="B50" s="5" t="s">
        <v>216</v>
      </c>
      <c r="C50" s="5">
        <v>1004</v>
      </c>
      <c r="D50" s="7" t="str">
        <f>description_303</f>
        <v>Construction of Subgrade and Earthen Shoulders with approved Material ( capping layer), Providing and laying sub-grade and earthen shoulders with approved Material obtained from borrow pits with all lifts &amp; leads as per Drawing and Technical Specifications.</v>
      </c>
      <c r="E50" s="5" t="s">
        <v>438</v>
      </c>
      <c r="F50" s="272">
        <v>904.62</v>
      </c>
      <c r="G50" s="272">
        <f t="shared" si="0"/>
        <v>786.63</v>
      </c>
      <c r="H50" s="272">
        <v>900.98</v>
      </c>
      <c r="I50" s="272">
        <v>783.46</v>
      </c>
      <c r="J50" s="272">
        <v>900.37</v>
      </c>
      <c r="K50" s="272">
        <v>782.93</v>
      </c>
      <c r="L50" s="395">
        <f>Rate_Analysis!U526</f>
        <v>899.82</v>
      </c>
      <c r="M50" s="404">
        <f t="shared" si="1"/>
        <v>782.45</v>
      </c>
      <c r="O50" s="259"/>
    </row>
    <row r="51" spans="1:15" ht="63" x14ac:dyDescent="0.25">
      <c r="A51" s="5">
        <v>46</v>
      </c>
      <c r="B51" s="5" t="s">
        <v>220</v>
      </c>
      <c r="C51" s="5" t="s">
        <v>2099</v>
      </c>
      <c r="D51" s="7" t="str">
        <f>description_304</f>
        <v>Compacting Original Ground, Compacting original ground supporting sub-grade, Loosening of the ground upto a level of 500 mm below the sub-grade level, watered, graded and compacted in layers as per Drawing and Technical Specifications.</v>
      </c>
      <c r="E51" s="5" t="s">
        <v>438</v>
      </c>
      <c r="F51" s="272">
        <v>127.03</v>
      </c>
      <c r="G51" s="272">
        <f t="shared" si="0"/>
        <v>110.46</v>
      </c>
      <c r="H51" s="272">
        <v>122.26</v>
      </c>
      <c r="I51" s="272">
        <v>106.31</v>
      </c>
      <c r="J51" s="272">
        <v>120.43</v>
      </c>
      <c r="K51" s="272">
        <v>104.72</v>
      </c>
      <c r="L51" s="395">
        <f>Rate_Analysis!U538</f>
        <v>119.14</v>
      </c>
      <c r="M51" s="404">
        <f t="shared" si="1"/>
        <v>103.6</v>
      </c>
      <c r="O51" s="259"/>
    </row>
    <row r="52" spans="1:15" ht="78.75" x14ac:dyDescent="0.25">
      <c r="A52" s="5">
        <v>47</v>
      </c>
      <c r="B52" s="5" t="s">
        <v>222</v>
      </c>
      <c r="C52" s="5" t="s">
        <v>2099</v>
      </c>
      <c r="D52" s="7" t="str">
        <f>description_305</f>
        <v>Compacting Original Ground, Compacting original ground supporting embankment, Loosening, leveling and Compacting original ground supporting embankment to facilitate placement of first layer of embankment, scarified to a depth of 150 mm, mixed with water at OMC and then compacted by rolling so as to achieve dry density as per Drawing and Technical Specifications.</v>
      </c>
      <c r="E52" s="5" t="s">
        <v>438</v>
      </c>
      <c r="F52" s="272">
        <v>71.959999999999994</v>
      </c>
      <c r="G52" s="272">
        <f t="shared" si="0"/>
        <v>62.57</v>
      </c>
      <c r="H52" s="272">
        <v>72.73</v>
      </c>
      <c r="I52" s="272">
        <v>63.24</v>
      </c>
      <c r="J52" s="272">
        <v>72.63</v>
      </c>
      <c r="K52" s="272">
        <v>63.16</v>
      </c>
      <c r="L52" s="395">
        <f>Rate_Analysis!U549</f>
        <v>72.430000000000007</v>
      </c>
      <c r="M52" s="404">
        <f t="shared" si="1"/>
        <v>62.98</v>
      </c>
      <c r="O52" s="259"/>
    </row>
    <row r="53" spans="1:15" ht="78.75" x14ac:dyDescent="0.25">
      <c r="A53" s="5">
        <v>48</v>
      </c>
      <c r="B53" s="5" t="s">
        <v>225</v>
      </c>
      <c r="C53" s="5">
        <v>1006</v>
      </c>
      <c r="D53" s="7" t="str">
        <f>description_306</f>
        <v>Lime Stabilization for Improving Sub-grade, Providing , laying and spreading available soil with 3 per cent slaked lime having minimum content of 70 per cent of CaO, mixing, grading and compacting at OMC to the desired density to form a layer of sub grade as per Drawing and Technical Specifications., By Mechanical Means</v>
      </c>
      <c r="E53" s="5" t="s">
        <v>438</v>
      </c>
      <c r="F53" s="272">
        <v>697.01</v>
      </c>
      <c r="G53" s="272">
        <f t="shared" si="0"/>
        <v>606.1</v>
      </c>
      <c r="H53" s="272">
        <v>695.05</v>
      </c>
      <c r="I53" s="272">
        <v>604.39</v>
      </c>
      <c r="J53" s="272">
        <v>695.09</v>
      </c>
      <c r="K53" s="272">
        <v>604.42999999999995</v>
      </c>
      <c r="L53" s="395">
        <f>Rate_Analysis!U561</f>
        <v>694.75</v>
      </c>
      <c r="M53" s="404">
        <f t="shared" si="1"/>
        <v>604.13</v>
      </c>
      <c r="O53" s="259"/>
    </row>
    <row r="54" spans="1:15" s="210" customFormat="1" ht="47.25" x14ac:dyDescent="0.25">
      <c r="A54" s="202">
        <v>49</v>
      </c>
      <c r="B54" s="202" t="s">
        <v>231</v>
      </c>
      <c r="C54" s="427"/>
      <c r="D54" s="203" t="str">
        <f>description_310</f>
        <v>Providing and laying of hand pack Stone soling with 150 to 200 mm thick stones and packing with smaller stone on prepared surface as per Drawing and Technical Specifications.</v>
      </c>
      <c r="E54" s="202" t="s">
        <v>1768</v>
      </c>
      <c r="F54" s="273">
        <v>6558.64</v>
      </c>
      <c r="G54" s="273">
        <f t="shared" si="0"/>
        <v>5703.17</v>
      </c>
      <c r="H54" s="273">
        <v>5366.9</v>
      </c>
      <c r="I54" s="273">
        <v>4666.87</v>
      </c>
      <c r="J54" s="273">
        <v>5245.76</v>
      </c>
      <c r="K54" s="273">
        <v>4561.53</v>
      </c>
      <c r="L54" s="395">
        <f>Rate_Analysis!U572</f>
        <v>5273.36</v>
      </c>
      <c r="M54" s="404">
        <f t="shared" si="1"/>
        <v>4585.53</v>
      </c>
      <c r="O54" s="259"/>
    </row>
    <row r="55" spans="1:15" s="210" customFormat="1" ht="47.25" x14ac:dyDescent="0.25">
      <c r="A55" s="273"/>
      <c r="B55" s="273"/>
      <c r="C55" s="429"/>
      <c r="D55" s="326" t="s">
        <v>2354</v>
      </c>
      <c r="E55" s="273" t="s">
        <v>84</v>
      </c>
      <c r="F55" s="273"/>
      <c r="G55" s="273"/>
      <c r="H55" s="273">
        <v>5026.1000000000004</v>
      </c>
      <c r="I55" s="273">
        <v>4370.5217391304359</v>
      </c>
      <c r="J55" s="273">
        <v>5099.7</v>
      </c>
      <c r="K55" s="273">
        <v>4434.521739130435</v>
      </c>
      <c r="L55" s="393">
        <f>Rate_Analysis!U583</f>
        <v>5127.3</v>
      </c>
      <c r="M55" s="404">
        <f>L55/1.15</f>
        <v>4458.521739130435</v>
      </c>
      <c r="O55" s="259"/>
    </row>
    <row r="56" spans="1:15" s="210" customFormat="1" ht="63" hidden="1" x14ac:dyDescent="0.25">
      <c r="A56" s="273"/>
      <c r="B56" s="273"/>
      <c r="C56" s="427" t="s">
        <v>2384</v>
      </c>
      <c r="D56" s="326" t="s">
        <v>2382</v>
      </c>
      <c r="E56" s="273" t="s">
        <v>84</v>
      </c>
      <c r="F56" s="273"/>
      <c r="G56" s="273"/>
      <c r="H56" s="273"/>
      <c r="I56" s="273"/>
      <c r="J56" s="273">
        <v>7783.81</v>
      </c>
      <c r="K56" s="273">
        <v>6768.5304347826095</v>
      </c>
      <c r="L56" s="393">
        <f>Rate_Analysis!U594</f>
        <v>7852.81</v>
      </c>
      <c r="M56" s="404">
        <f>L56/1.15</f>
        <v>6828.5304347826095</v>
      </c>
      <c r="O56" s="259"/>
    </row>
    <row r="57" spans="1:15" s="210" customFormat="1" ht="78.75" hidden="1" x14ac:dyDescent="0.25">
      <c r="A57" s="273"/>
      <c r="B57" s="273"/>
      <c r="C57" s="429"/>
      <c r="D57" s="326" t="s">
        <v>2385</v>
      </c>
      <c r="E57" s="273" t="str">
        <f>E56</f>
        <v>cum</v>
      </c>
      <c r="F57" s="273"/>
      <c r="G57" s="273"/>
      <c r="H57" s="273"/>
      <c r="I57" s="273"/>
      <c r="J57" s="273">
        <v>7637.75</v>
      </c>
      <c r="K57" s="273">
        <v>6641.521739130435</v>
      </c>
      <c r="L57" s="393">
        <f>Rate_Analysis!U606</f>
        <v>7706.75</v>
      </c>
      <c r="M57" s="404">
        <f>L57/1.15</f>
        <v>6701.521739130435</v>
      </c>
      <c r="O57" s="259"/>
    </row>
    <row r="58" spans="1:15" s="210" customFormat="1" ht="47.25" x14ac:dyDescent="0.25">
      <c r="A58" s="202">
        <v>50</v>
      </c>
      <c r="B58" s="202" t="s">
        <v>234</v>
      </c>
      <c r="C58" s="202"/>
      <c r="D58" s="203" t="str">
        <f>description_312</f>
        <v>Providing and laying  granular sub-base   on prepared surface, mixing  at OMC, and compacting  to achieve the desired density, complete as per Drawing and Technical Specifications., By Mechanical means</v>
      </c>
      <c r="E58" s="202" t="s">
        <v>84</v>
      </c>
      <c r="F58" s="273">
        <v>3242.06</v>
      </c>
      <c r="G58" s="273">
        <f t="shared" si="0"/>
        <v>2819.18</v>
      </c>
      <c r="H58" s="273">
        <v>3427.85</v>
      </c>
      <c r="I58" s="273">
        <v>2980.74</v>
      </c>
      <c r="J58" s="273">
        <v>3425.4</v>
      </c>
      <c r="K58" s="273">
        <v>2978.61</v>
      </c>
      <c r="L58" s="395">
        <f>Rate_Analysis!U618</f>
        <v>3423.21</v>
      </c>
      <c r="M58" s="404">
        <f t="shared" si="1"/>
        <v>2976.7</v>
      </c>
      <c r="O58" s="259"/>
    </row>
    <row r="59" spans="1:15" s="210" customFormat="1" ht="47.25" x14ac:dyDescent="0.25">
      <c r="A59" s="273"/>
      <c r="B59" s="273"/>
      <c r="C59" s="273"/>
      <c r="D59" s="203" t="s">
        <v>2355</v>
      </c>
      <c r="E59" s="273" t="s">
        <v>84</v>
      </c>
      <c r="F59" s="273"/>
      <c r="G59" s="273"/>
      <c r="H59" s="273">
        <v>3244.35</v>
      </c>
      <c r="I59" s="273">
        <v>2821.1739130434785</v>
      </c>
      <c r="J59" s="273">
        <v>3244.12</v>
      </c>
      <c r="K59" s="273">
        <v>2820.9739130434782</v>
      </c>
      <c r="L59" s="393">
        <f>Rate_Analysis!U629</f>
        <v>3243.61</v>
      </c>
      <c r="M59" s="404">
        <f>L59/1.15</f>
        <v>2820.5304347826091</v>
      </c>
      <c r="O59" s="259"/>
    </row>
    <row r="60" spans="1:15" s="210" customFormat="1" ht="47.25" x14ac:dyDescent="0.25">
      <c r="A60" s="273"/>
      <c r="B60" s="273"/>
      <c r="C60" s="273"/>
      <c r="D60" s="203" t="s">
        <v>2359</v>
      </c>
      <c r="E60" s="273" t="s">
        <v>84</v>
      </c>
      <c r="F60" s="273"/>
      <c r="G60" s="273"/>
      <c r="H60" s="273">
        <v>1950.38</v>
      </c>
      <c r="I60" s="273">
        <v>1695.9826086956523</v>
      </c>
      <c r="J60" s="273">
        <v>1947.93</v>
      </c>
      <c r="K60" s="273">
        <v>1693.8521739130438</v>
      </c>
      <c r="L60" s="393">
        <f>Rate_Analysis!U640</f>
        <v>1945.74</v>
      </c>
      <c r="M60" s="404">
        <f>L60/1.15</f>
        <v>1691.9478260869566</v>
      </c>
      <c r="O60" s="259"/>
    </row>
    <row r="61" spans="1:15" s="210" customFormat="1" ht="47.25" x14ac:dyDescent="0.25">
      <c r="A61" s="273"/>
      <c r="B61" s="273"/>
      <c r="C61" s="273"/>
      <c r="D61" s="203" t="s">
        <v>2360</v>
      </c>
      <c r="E61" s="273" t="s">
        <v>84</v>
      </c>
      <c r="F61" s="273"/>
      <c r="G61" s="273"/>
      <c r="H61" s="273">
        <v>1766.88</v>
      </c>
      <c r="I61" s="273">
        <v>1536.417391304348</v>
      </c>
      <c r="J61" s="273">
        <v>1766.65</v>
      </c>
      <c r="K61" s="273">
        <v>1536.217391304348</v>
      </c>
      <c r="L61" s="393">
        <f>Rate_Analysis!U651</f>
        <v>1766.14</v>
      </c>
      <c r="M61" s="404">
        <f>L61/1.15</f>
        <v>1535.7739130434784</v>
      </c>
      <c r="O61" s="259"/>
    </row>
    <row r="62" spans="1:15" ht="78.75" x14ac:dyDescent="0.25">
      <c r="A62" s="5">
        <v>51</v>
      </c>
      <c r="B62" s="5" t="s">
        <v>238</v>
      </c>
      <c r="C62" s="5"/>
      <c r="D62" s="7" t="str">
        <f>description_315</f>
        <v>Providing, laying and spreading Material on a prepared sub grade, adding the designed quantity of cement to the spread Material, mixing in place , grading and compacting  at OMC to achieve the desired unconfined compressive strength and to form a layer of sub-base/base as per Drawing and Technical Specifications.</v>
      </c>
      <c r="E62" s="5" t="s">
        <v>84</v>
      </c>
      <c r="F62" s="272">
        <v>6085.44</v>
      </c>
      <c r="G62" s="272">
        <f t="shared" si="0"/>
        <v>5291.69</v>
      </c>
      <c r="H62" s="272">
        <v>6336.57</v>
      </c>
      <c r="I62" s="272">
        <v>5510.06</v>
      </c>
      <c r="J62" s="272">
        <v>5655.86</v>
      </c>
      <c r="K62" s="272">
        <v>4918.1400000000003</v>
      </c>
      <c r="L62" s="395">
        <f>Rate_Analysis!U663</f>
        <v>5755.12</v>
      </c>
      <c r="M62" s="404">
        <f t="shared" si="1"/>
        <v>5004.45</v>
      </c>
      <c r="O62" s="259"/>
    </row>
    <row r="63" spans="1:15" s="210" customFormat="1" ht="60.75" customHeight="1" x14ac:dyDescent="0.25">
      <c r="A63" s="202">
        <v>52</v>
      </c>
      <c r="B63" s="202" t="s">
        <v>241</v>
      </c>
      <c r="C63" s="202" t="s">
        <v>2361</v>
      </c>
      <c r="D63" s="203" t="str">
        <f>description_326</f>
        <v>Providing and laying Crusher Run Macadam  on a prepared surface, spreading and mixing , watering and compacting  to  form a layer of sub-base/Base course as per Drawing and Technical Specifications., By Mix in Place Method</v>
      </c>
      <c r="E63" s="202" t="s">
        <v>84</v>
      </c>
      <c r="F63" s="273">
        <v>4608.12</v>
      </c>
      <c r="G63" s="273">
        <f t="shared" si="0"/>
        <v>4007.06</v>
      </c>
      <c r="H63" s="273">
        <v>5074.12</v>
      </c>
      <c r="I63" s="273">
        <v>4412.28</v>
      </c>
      <c r="J63" s="273">
        <v>4726.84</v>
      </c>
      <c r="K63" s="273">
        <v>4110.3</v>
      </c>
      <c r="L63" s="395">
        <f>Rate_Analysis!U678</f>
        <v>4726.4399999999996</v>
      </c>
      <c r="M63" s="404">
        <f t="shared" si="1"/>
        <v>4109.95</v>
      </c>
      <c r="O63" s="259"/>
    </row>
    <row r="64" spans="1:15" s="210" customFormat="1" ht="59.25" customHeight="1" x14ac:dyDescent="0.25">
      <c r="A64" s="202">
        <v>53</v>
      </c>
      <c r="B64" s="202" t="s">
        <v>247</v>
      </c>
      <c r="C64" s="202" t="s">
        <v>2362</v>
      </c>
      <c r="D64" s="203" t="str">
        <f>description_327</f>
        <v>Providing and laying Crusher Run Macadam  on a prepared surface, spreading and mixing , watering and compacting  to  form a layer of sub-base/Base course as per Drawing and Technical Specifications., By Mix in Place Method</v>
      </c>
      <c r="E64" s="202" t="s">
        <v>84</v>
      </c>
      <c r="F64" s="273">
        <v>4931.3900000000003</v>
      </c>
      <c r="G64" s="273">
        <f t="shared" si="0"/>
        <v>4288.17</v>
      </c>
      <c r="H64" s="273">
        <v>5291.08</v>
      </c>
      <c r="I64" s="273">
        <v>4600.9399999999996</v>
      </c>
      <c r="J64" s="273">
        <v>5130.5200000000004</v>
      </c>
      <c r="K64" s="273">
        <v>4461.32</v>
      </c>
      <c r="L64" s="395">
        <f>Rate_Analysis!U693</f>
        <v>5130.12</v>
      </c>
      <c r="M64" s="404">
        <f t="shared" si="1"/>
        <v>4460.97</v>
      </c>
      <c r="O64" s="259"/>
    </row>
    <row r="65" spans="1:15" ht="94.5" x14ac:dyDescent="0.25">
      <c r="A65" s="5">
        <v>54</v>
      </c>
      <c r="B65" s="5" t="s">
        <v>252</v>
      </c>
      <c r="C65" s="5"/>
      <c r="D65" s="7" t="str">
        <f>description_2051</f>
        <v>Providing, laying, spreading and compacting graded stone aggregate to wet mix macadam specification including premixing the Material with water at OMC laying in uniform layers  in sub- base / base course on well prepared surface and compacting  to achieve required density as per Drawing and Technical Specifications., Sub Base course with S1 material, Vibratory Road Roller</v>
      </c>
      <c r="E65" s="5" t="s">
        <v>84</v>
      </c>
      <c r="F65" s="272">
        <v>5177.7299999999996</v>
      </c>
      <c r="G65" s="272">
        <f t="shared" si="0"/>
        <v>4502.37</v>
      </c>
      <c r="H65" s="272">
        <v>5523.89</v>
      </c>
      <c r="I65" s="272">
        <v>4803.38</v>
      </c>
      <c r="J65" s="272">
        <v>5246.18</v>
      </c>
      <c r="K65" s="272">
        <v>4561.8999999999996</v>
      </c>
      <c r="L65" s="395">
        <f>Rate_Analysis!U706</f>
        <v>5245.32</v>
      </c>
      <c r="M65" s="404">
        <f t="shared" si="1"/>
        <v>4561.1499999999996</v>
      </c>
      <c r="O65" s="259"/>
    </row>
    <row r="66" spans="1:15" ht="94.5" x14ac:dyDescent="0.25">
      <c r="A66" s="5">
        <v>55</v>
      </c>
      <c r="B66" s="5" t="s">
        <v>260</v>
      </c>
      <c r="C66" s="5"/>
      <c r="D66" s="7" t="str">
        <f>description_2052</f>
        <v>Providing, laying, spreading and compacting graded stone aggregate to wet mix macadam specification including premixing the Material with water at OMC laying in uniform layers  in sub- base / base course on well prepared surface and compacting  to achieve required density as per Drawing and Technical Specifications., Sub Base course with S2 material, Vibratory Road Roller</v>
      </c>
      <c r="E66" s="5" t="s">
        <v>84</v>
      </c>
      <c r="F66" s="272">
        <v>5215.6400000000003</v>
      </c>
      <c r="G66" s="272">
        <f t="shared" si="0"/>
        <v>4535.34</v>
      </c>
      <c r="H66" s="272">
        <v>5523.89</v>
      </c>
      <c r="I66" s="272">
        <v>4803.38</v>
      </c>
      <c r="J66" s="272">
        <v>5246.18</v>
      </c>
      <c r="K66" s="272">
        <v>4561.8999999999996</v>
      </c>
      <c r="L66" s="395">
        <f>Rate_Analysis!U719</f>
        <v>5245.3</v>
      </c>
      <c r="M66" s="404">
        <f t="shared" si="1"/>
        <v>4561.13</v>
      </c>
      <c r="O66" s="259"/>
    </row>
    <row r="67" spans="1:15" ht="78.75" x14ac:dyDescent="0.25">
      <c r="A67" s="5">
        <v>56</v>
      </c>
      <c r="B67" s="5" t="s">
        <v>262</v>
      </c>
      <c r="C67" s="5"/>
      <c r="D67" s="7" t="str">
        <f>description_331</f>
        <v>Providing and making  footpath/separator  of  150 mm compacted granular sub base and 25 mm thick cement concrete grade M 15, over laid with pre-cast concrete tiles in cement mortar 1:3 including provision of all drainage arrangements but excluding Kerb channel as per Drawing and Technical Specifications.</v>
      </c>
      <c r="E67" s="5" t="s">
        <v>84</v>
      </c>
      <c r="F67" s="272">
        <v>1115.56</v>
      </c>
      <c r="G67" s="272">
        <f t="shared" si="0"/>
        <v>970.05</v>
      </c>
      <c r="H67" s="272">
        <v>1152.96</v>
      </c>
      <c r="I67" s="272">
        <v>1002.57</v>
      </c>
      <c r="J67" s="272">
        <v>1122.8499999999999</v>
      </c>
      <c r="K67" s="272">
        <v>976.39</v>
      </c>
      <c r="L67" s="395">
        <f>Rate_Analysis!U744</f>
        <v>1141.1400000000001</v>
      </c>
      <c r="M67" s="404">
        <f t="shared" si="1"/>
        <v>992.3</v>
      </c>
      <c r="O67" s="259"/>
    </row>
    <row r="68" spans="1:15" ht="47.25" x14ac:dyDescent="0.25">
      <c r="A68" s="5">
        <v>57</v>
      </c>
      <c r="B68" s="5" t="s">
        <v>279</v>
      </c>
      <c r="C68" s="5"/>
      <c r="D68" s="7" t="str">
        <f>description_328</f>
        <v>Providing and laying  Median and Island above road level with approved Material deposited including compacted as per Drawing and Specifications. ( using material from Roadway excavation).</v>
      </c>
      <c r="E68" s="5" t="s">
        <v>84</v>
      </c>
      <c r="F68" s="272">
        <v>668.37</v>
      </c>
      <c r="G68" s="272">
        <f t="shared" si="0"/>
        <v>581.19000000000005</v>
      </c>
      <c r="H68" s="272">
        <v>818.31</v>
      </c>
      <c r="I68" s="272">
        <v>711.57</v>
      </c>
      <c r="J68" s="272">
        <v>838.24</v>
      </c>
      <c r="K68" s="272">
        <v>728.9</v>
      </c>
      <c r="L68" s="395">
        <f>Rate_Analysis!U755</f>
        <v>842.29</v>
      </c>
      <c r="M68" s="404">
        <f t="shared" si="1"/>
        <v>732.43</v>
      </c>
      <c r="O68" s="259"/>
    </row>
    <row r="69" spans="1:15" ht="47.25" x14ac:dyDescent="0.25">
      <c r="A69" s="5">
        <v>58</v>
      </c>
      <c r="B69" s="5" t="s">
        <v>281</v>
      </c>
      <c r="C69" s="5"/>
      <c r="D69" s="7" t="str">
        <f>description_329</f>
        <v>Providing and laying  Median and Island above road level with approved Material deposited including compacted as per Drawing and Specifications. ( using material from borrow area).</v>
      </c>
      <c r="E69" s="5" t="s">
        <v>84</v>
      </c>
      <c r="F69" s="272">
        <v>751.1</v>
      </c>
      <c r="G69" s="272">
        <f t="shared" si="0"/>
        <v>653.13</v>
      </c>
      <c r="H69" s="272">
        <v>897.1</v>
      </c>
      <c r="I69" s="272">
        <v>780.09</v>
      </c>
      <c r="J69" s="272">
        <v>911.31</v>
      </c>
      <c r="K69" s="272">
        <v>792.44</v>
      </c>
      <c r="L69" s="395">
        <f>Rate_Analysis!U766</f>
        <v>912.36</v>
      </c>
      <c r="M69" s="404">
        <f t="shared" si="1"/>
        <v>793.36</v>
      </c>
      <c r="O69" s="259"/>
    </row>
    <row r="70" spans="1:15" s="210" customFormat="1" ht="78.75" x14ac:dyDescent="0.25">
      <c r="A70" s="202">
        <v>59</v>
      </c>
      <c r="B70" s="202" t="s">
        <v>286</v>
      </c>
      <c r="C70" s="202">
        <v>1302</v>
      </c>
      <c r="D70" s="203" t="str">
        <f>description_340</f>
        <v>Prime Coat, Prime Coat, with MC 30 / 70  by Mechanical Means, Providing and applying prime coat with Hot Bitumen ( including cutter) on prepared surface of granular base including cleaning of road surface and spraying by mechanical means as per Technical Specification ., Bitumen ( cutback) MC 30 ( for stabilized soil base/ crusher run macadam)</v>
      </c>
      <c r="E70" s="202" t="s">
        <v>1133</v>
      </c>
      <c r="F70" s="273">
        <v>120.33</v>
      </c>
      <c r="G70" s="273">
        <f t="shared" si="0"/>
        <v>104.63</v>
      </c>
      <c r="H70" s="273">
        <v>162.88999999999999</v>
      </c>
      <c r="I70" s="273">
        <v>141.63999999999999</v>
      </c>
      <c r="J70" s="273">
        <v>150.69</v>
      </c>
      <c r="K70" s="273">
        <v>131.03</v>
      </c>
      <c r="L70" s="397">
        <f>Rate_Analysis!U780</f>
        <v>154.06</v>
      </c>
      <c r="M70" s="406">
        <f t="shared" si="1"/>
        <v>133.97</v>
      </c>
      <c r="O70" s="259"/>
    </row>
    <row r="71" spans="1:15" ht="63" x14ac:dyDescent="0.25">
      <c r="A71" s="5">
        <v>60</v>
      </c>
      <c r="B71" s="5" t="s">
        <v>292</v>
      </c>
      <c r="C71" s="5">
        <v>1302</v>
      </c>
      <c r="D71" s="7" t="str">
        <f>description_343</f>
        <v xml:space="preserve">, Prime Coat,  with Emulsion by Mechanical Means, Providing and applying primer coat with Bitumen emulsion  on prepared surface of granular base including cleaning of road surface and spraying primer at  specified  rate  using mechanical means as per Technical Specification . </v>
      </c>
      <c r="E71" s="5" t="s">
        <v>1133</v>
      </c>
      <c r="F71" s="272">
        <v>105.43</v>
      </c>
      <c r="G71" s="272">
        <f t="shared" si="0"/>
        <v>91.68</v>
      </c>
      <c r="H71" s="272">
        <v>123.35</v>
      </c>
      <c r="I71" s="272">
        <v>107.26</v>
      </c>
      <c r="J71" s="272">
        <v>126.63</v>
      </c>
      <c r="K71" s="272">
        <v>110.11</v>
      </c>
      <c r="L71" s="395">
        <f>Rate_Analysis!U792</f>
        <v>129.47</v>
      </c>
      <c r="M71" s="404">
        <f t="shared" si="1"/>
        <v>112.58</v>
      </c>
      <c r="O71" s="259"/>
    </row>
    <row r="72" spans="1:15" s="210" customFormat="1" ht="47.25" x14ac:dyDescent="0.25">
      <c r="A72" s="202">
        <v>61</v>
      </c>
      <c r="B72" s="202" t="s">
        <v>296</v>
      </c>
      <c r="C72" s="202">
        <v>1302</v>
      </c>
      <c r="D72" s="203" t="str">
        <f>description_345</f>
        <v>Tack Coat, Tack coat with Bitumen By Mechanical Means, Providing and applying tack coat with hot  Bitumen  at specified rate on the prepared non-bituminous surfaces including cleaning as per Technical Speciation .</v>
      </c>
      <c r="E72" s="202" t="s">
        <v>1133</v>
      </c>
      <c r="F72" s="273">
        <v>109.19</v>
      </c>
      <c r="G72" s="273">
        <f t="shared" si="0"/>
        <v>94.95</v>
      </c>
      <c r="H72" s="273">
        <v>151.97</v>
      </c>
      <c r="I72" s="273">
        <v>132.15</v>
      </c>
      <c r="J72" s="273">
        <v>139.66</v>
      </c>
      <c r="K72" s="273">
        <v>121.44</v>
      </c>
      <c r="L72" s="395">
        <f>Rate_Analysis!U805</f>
        <v>143.07</v>
      </c>
      <c r="M72" s="404">
        <f t="shared" si="1"/>
        <v>124.41</v>
      </c>
      <c r="O72" s="259"/>
    </row>
    <row r="73" spans="1:15" ht="78.75" x14ac:dyDescent="0.25">
      <c r="A73" s="5">
        <v>62</v>
      </c>
      <c r="B73" s="5" t="s">
        <v>301</v>
      </c>
      <c r="C73" s="5">
        <v>1307</v>
      </c>
      <c r="D73" s="7" t="str">
        <f>description_350</f>
        <v>Bituminous Macadam, Providing and laying bituminous macadam with  hot mix plant  using crushed aggregates of  grading as per specification premixed with bituminous binder, laid over a previously prepared surface  as per Drawing and  Technical Specifications. , Grading I ( 40 mm nominal size ),  In case BM is laid over freshly laid tack coat</v>
      </c>
      <c r="E73" s="5" t="s">
        <v>84</v>
      </c>
      <c r="F73" s="272">
        <v>15204.87</v>
      </c>
      <c r="G73" s="272">
        <f t="shared" si="0"/>
        <v>13221.63</v>
      </c>
      <c r="H73" s="272">
        <v>18127.830000000002</v>
      </c>
      <c r="I73" s="272">
        <v>15763.33</v>
      </c>
      <c r="J73" s="272">
        <v>16888.36</v>
      </c>
      <c r="K73" s="272">
        <v>14685.53</v>
      </c>
      <c r="L73" s="395">
        <f>Rate_Analysis!U820</f>
        <v>17014.53</v>
      </c>
      <c r="M73" s="404">
        <f t="shared" si="1"/>
        <v>14795.24</v>
      </c>
      <c r="O73" s="259"/>
    </row>
    <row r="74" spans="1:15" ht="78.75" x14ac:dyDescent="0.25">
      <c r="A74" s="5">
        <v>63</v>
      </c>
      <c r="B74" s="5" t="s">
        <v>310</v>
      </c>
      <c r="C74" s="5">
        <v>1307</v>
      </c>
      <c r="D74" s="7" t="str">
        <f>description_352</f>
        <v>Bituminous Macadam, Providing and laying bituminous macadam with  hot mix plant  using crushed aggregates of  grading as per specification premixed with bituminous binder, laid over a previously prepared surface  as per Drawing and  Technical Specifications. , Grading II(19 mm nominal size),  In case BM is laid over freshly laid tack coat</v>
      </c>
      <c r="E74" s="5" t="s">
        <v>84</v>
      </c>
      <c r="F74" s="272">
        <v>15163.97</v>
      </c>
      <c r="G74" s="272">
        <f t="shared" si="0"/>
        <v>13186.06</v>
      </c>
      <c r="H74" s="272">
        <v>18000.77</v>
      </c>
      <c r="I74" s="272">
        <v>15652.84</v>
      </c>
      <c r="J74" s="272">
        <v>16873.28</v>
      </c>
      <c r="K74" s="272">
        <v>14672.42</v>
      </c>
      <c r="L74" s="395">
        <f>Rate_Analysis!U835</f>
        <v>16999.45</v>
      </c>
      <c r="M74" s="404">
        <f t="shared" si="1"/>
        <v>14782.13</v>
      </c>
      <c r="O74" s="259"/>
    </row>
    <row r="75" spans="1:15" ht="63" x14ac:dyDescent="0.25">
      <c r="A75" s="5">
        <v>64</v>
      </c>
      <c r="B75" s="5" t="s">
        <v>315</v>
      </c>
      <c r="C75" s="5">
        <v>1304</v>
      </c>
      <c r="D75" s="7" t="str">
        <f>description_353</f>
        <v>Bituminous Penetration Macadam, Providing and laying penetration macadam over prepared Base by providing a layer of compacted crushed coarse aggregate with applications of bituminous binder and key aggregates as per Drawing and Technical Specifications., 50 mm thick</v>
      </c>
      <c r="E75" s="5" t="s">
        <v>438</v>
      </c>
      <c r="F75" s="272">
        <v>605.98</v>
      </c>
      <c r="G75" s="272">
        <f t="shared" si="0"/>
        <v>526.94000000000005</v>
      </c>
      <c r="H75" s="272">
        <v>762.7</v>
      </c>
      <c r="I75" s="272">
        <v>663.22</v>
      </c>
      <c r="J75" s="272">
        <v>699.63</v>
      </c>
      <c r="K75" s="272">
        <v>608.37</v>
      </c>
      <c r="L75" s="395">
        <f>Rate_Analysis!U847</f>
        <v>711.17</v>
      </c>
      <c r="M75" s="404">
        <f t="shared" si="1"/>
        <v>618.41</v>
      </c>
      <c r="O75" s="259"/>
    </row>
    <row r="76" spans="1:15" ht="63" x14ac:dyDescent="0.25">
      <c r="A76" s="5">
        <v>65</v>
      </c>
      <c r="B76" s="5" t="s">
        <v>320</v>
      </c>
      <c r="C76" s="5">
        <v>1304</v>
      </c>
      <c r="D76" s="7" t="str">
        <f>description_354</f>
        <v>Bituminous Penetration Macadam, Providing and laying  penetration macadam over prepared Base by providing a layer of compacted crushed coarse aggregate  with  applications of bituminous binder and key aggregates as per Drawing and Technical Specifications., 75 mm thick</v>
      </c>
      <c r="E76" s="5" t="s">
        <v>438</v>
      </c>
      <c r="F76" s="272">
        <v>797.87</v>
      </c>
      <c r="G76" s="272">
        <f t="shared" si="0"/>
        <v>693.8</v>
      </c>
      <c r="H76" s="272">
        <v>1067.55</v>
      </c>
      <c r="I76" s="272">
        <v>928.3</v>
      </c>
      <c r="J76" s="272">
        <v>949.46</v>
      </c>
      <c r="K76" s="272">
        <v>825.62</v>
      </c>
      <c r="L76" s="395">
        <f>Rate_Analysis!U859</f>
        <v>966.69</v>
      </c>
      <c r="M76" s="404">
        <f t="shared" si="1"/>
        <v>840.6</v>
      </c>
      <c r="O76" s="259"/>
    </row>
    <row r="77" spans="1:15" ht="78.75" x14ac:dyDescent="0.25">
      <c r="A77" s="5">
        <v>66</v>
      </c>
      <c r="B77" s="5" t="s">
        <v>326</v>
      </c>
      <c r="C77" s="5">
        <v>1308</v>
      </c>
      <c r="D77" s="7" t="str">
        <f>description_2063</f>
        <v>Dense Graded Bituminous Macadam, Providing and laying dense bituminous macadam  using crushed aggregates of specified grading, premixed with bituminous binder and filler as per Drawing and Technical Specifications., Grading - I 40 mm (Nominal Size),  In case DBM is laid over freshly laid tack coat</v>
      </c>
      <c r="E77" s="5" t="s">
        <v>1786</v>
      </c>
      <c r="F77" s="272">
        <v>17823.009999999998</v>
      </c>
      <c r="G77" s="272">
        <f t="shared" si="0"/>
        <v>15498.27</v>
      </c>
      <c r="H77" s="272">
        <v>21666.14</v>
      </c>
      <c r="I77" s="272">
        <v>18840.12</v>
      </c>
      <c r="J77" s="272">
        <v>20182.41</v>
      </c>
      <c r="K77" s="272">
        <v>17549.919999999998</v>
      </c>
      <c r="L77" s="395">
        <f>Rate_Analysis!U876</f>
        <v>20395.400000000001</v>
      </c>
      <c r="M77" s="404">
        <f t="shared" si="1"/>
        <v>17735.13</v>
      </c>
      <c r="O77" s="259"/>
    </row>
    <row r="78" spans="1:15" ht="78.75" x14ac:dyDescent="0.25">
      <c r="A78" s="5">
        <v>67</v>
      </c>
      <c r="B78" s="5" t="s">
        <v>335</v>
      </c>
      <c r="C78" s="5">
        <v>1308</v>
      </c>
      <c r="D78" s="7" t="str">
        <f>description_2064</f>
        <v>Dense Graded Bituminous Macadam, Providing and laying dense bituminous macadam  using crushed aggregates of specified grading, premixed with bituminous binder and filler as per Drawing and Technical Specifications., Grading - II 19 mm (Nominal Size),  In case DBM is laid over freshly laid tack coat</v>
      </c>
      <c r="E78" s="5" t="s">
        <v>84</v>
      </c>
      <c r="F78" s="272">
        <v>17749.13</v>
      </c>
      <c r="G78" s="272">
        <f t="shared" si="0"/>
        <v>15434.03</v>
      </c>
      <c r="H78" s="272">
        <v>21671.7</v>
      </c>
      <c r="I78" s="272">
        <v>18844.96</v>
      </c>
      <c r="J78" s="272">
        <v>20232.830000000002</v>
      </c>
      <c r="K78" s="272">
        <v>17593.77</v>
      </c>
      <c r="L78" s="395">
        <f>Rate_Analysis!U893</f>
        <v>20445.82</v>
      </c>
      <c r="M78" s="404">
        <f t="shared" si="1"/>
        <v>17778.97</v>
      </c>
      <c r="O78" s="259"/>
    </row>
    <row r="79" spans="1:15" ht="78.75" x14ac:dyDescent="0.25">
      <c r="A79" s="5">
        <v>68</v>
      </c>
      <c r="B79" s="5" t="s">
        <v>340</v>
      </c>
      <c r="C79" s="5">
        <v>1309</v>
      </c>
      <c r="D79" s="7" t="str">
        <f>description_2065</f>
        <v>Bituminous Concrete / Asphalt Concrete, Providing and laying Bituminous concrete/ Asphalt concrete   using crushed aggregates of specified grading, premixed with bituminous binder  and filler as per Drawing and Technical  Specifications, Grading - I-19 mm (Nominal Size), In case BC is laid over freshly laid tack coat</v>
      </c>
      <c r="E79" s="5" t="s">
        <v>84</v>
      </c>
      <c r="F79" s="272">
        <v>21175.3</v>
      </c>
      <c r="G79" s="272">
        <f t="shared" ref="G79:G142" si="2">ROUND(F79/1.15,2)</f>
        <v>18413.3</v>
      </c>
      <c r="H79" s="272">
        <v>26692.66</v>
      </c>
      <c r="I79" s="272">
        <v>23211.01</v>
      </c>
      <c r="J79" s="272">
        <v>24791.279999999999</v>
      </c>
      <c r="K79" s="272">
        <v>21557.63</v>
      </c>
      <c r="L79" s="395">
        <f>Rate_Analysis!U909</f>
        <v>25127.759999999998</v>
      </c>
      <c r="M79" s="404">
        <f t="shared" ref="M79:M142" si="3">ROUND(L79/1.15,2)</f>
        <v>21850.23</v>
      </c>
      <c r="O79" s="259"/>
    </row>
    <row r="80" spans="1:15" s="210" customFormat="1" ht="78.75" x14ac:dyDescent="0.25">
      <c r="A80" s="202">
        <v>69</v>
      </c>
      <c r="B80" s="202" t="s">
        <v>344</v>
      </c>
      <c r="C80" s="202">
        <v>1309</v>
      </c>
      <c r="D80" s="203" t="str">
        <f>description_2066</f>
        <v>Bituminous Concrete / Asphalt Concrete, Providing and laying Bituminous concrete/ Asphalt concrete   using crushed aggregates of specified grading, premixed with bituminous binder  and filler as per Drawing and Technical  Specifications, Grading - II-13 mm (Nominal Size),  In case BC is laid over freshly laid tack coat</v>
      </c>
      <c r="E80" s="202" t="s">
        <v>84</v>
      </c>
      <c r="F80" s="273">
        <v>21176.13</v>
      </c>
      <c r="G80" s="273">
        <f t="shared" si="2"/>
        <v>18414.03</v>
      </c>
      <c r="H80" s="273">
        <v>26653.84</v>
      </c>
      <c r="I80" s="273">
        <v>23177.25</v>
      </c>
      <c r="J80" s="273">
        <v>24775.87</v>
      </c>
      <c r="K80" s="273">
        <v>21544.23</v>
      </c>
      <c r="L80" s="395">
        <f>Rate_Analysis!U925</f>
        <v>25112.36</v>
      </c>
      <c r="M80" s="404">
        <f t="shared" si="3"/>
        <v>21836.83</v>
      </c>
      <c r="O80" s="259"/>
    </row>
    <row r="81" spans="1:15" ht="63" x14ac:dyDescent="0.25">
      <c r="A81" s="5">
        <v>70</v>
      </c>
      <c r="B81" s="5" t="s">
        <v>350</v>
      </c>
      <c r="C81" s="5">
        <v>1303</v>
      </c>
      <c r="D81" s="7" t="str">
        <f>description_363</f>
        <v>Surface Dressing, Providing and laying surface dressing as wearing course in single coat using gravel  of specified size on a recently applied layer of bituminous binder on prepared surface  as per Drawing and Technical Specifications., MECHANICAL MEANS, 19 mm nominal chipping size</v>
      </c>
      <c r="E81" s="5" t="s">
        <v>438</v>
      </c>
      <c r="F81" s="272">
        <v>75.510000000000005</v>
      </c>
      <c r="G81" s="272">
        <f t="shared" si="2"/>
        <v>65.66</v>
      </c>
      <c r="H81" s="272">
        <v>80.16</v>
      </c>
      <c r="I81" s="272">
        <v>69.7</v>
      </c>
      <c r="J81" s="272">
        <v>75.13</v>
      </c>
      <c r="K81" s="272">
        <v>65.33</v>
      </c>
      <c r="L81" s="395">
        <f>Rate_Analysis!U936</f>
        <v>74.98</v>
      </c>
      <c r="M81" s="404">
        <f t="shared" si="3"/>
        <v>65.2</v>
      </c>
      <c r="O81" s="259"/>
    </row>
    <row r="82" spans="1:15" ht="63" x14ac:dyDescent="0.25">
      <c r="A82" s="5">
        <v>71</v>
      </c>
      <c r="B82" s="5" t="s">
        <v>354</v>
      </c>
      <c r="C82" s="5">
        <v>1303</v>
      </c>
      <c r="D82" s="7" t="str">
        <f>description_364</f>
        <v>Surface Dressing, Providing and laying surface dressing as wearing course in single coat using gravel  of specified size on a recently applied layer of bituminous binder on prepared surface  as per Drawing and Technical Specifications., MECHANICAL MEANS, 13 mm nominal size chipping</v>
      </c>
      <c r="E82" s="5" t="s">
        <v>438</v>
      </c>
      <c r="F82" s="272">
        <v>53.74</v>
      </c>
      <c r="G82" s="272">
        <f t="shared" si="2"/>
        <v>46.73</v>
      </c>
      <c r="H82" s="272">
        <v>49.26</v>
      </c>
      <c r="I82" s="272">
        <v>42.83</v>
      </c>
      <c r="J82" s="272">
        <v>50.05</v>
      </c>
      <c r="K82" s="272">
        <v>43.52</v>
      </c>
      <c r="L82" s="395">
        <f>Rate_Analysis!U947</f>
        <v>49.92</v>
      </c>
      <c r="M82" s="404">
        <f t="shared" si="3"/>
        <v>43.41</v>
      </c>
      <c r="O82" s="259"/>
    </row>
    <row r="83" spans="1:15" ht="63" x14ac:dyDescent="0.25">
      <c r="A83" s="5">
        <v>72</v>
      </c>
      <c r="B83" s="5" t="s">
        <v>358</v>
      </c>
      <c r="C83" s="5">
        <v>1303</v>
      </c>
      <c r="D83" s="7" t="str">
        <f>description_365</f>
        <v>Surface Dressing, Providing and laying surface dressing as wearing course in single coat using gravel  of specified size on a recently applied layer of bituminous binder on prepared surface  as per Drawing and Technical Specifications., MECHANICAL MEANS, 10 mm nominal size chipping</v>
      </c>
      <c r="E83" s="5" t="s">
        <v>438</v>
      </c>
      <c r="F83" s="272">
        <v>42.1</v>
      </c>
      <c r="G83" s="272">
        <f t="shared" si="2"/>
        <v>36.61</v>
      </c>
      <c r="H83" s="272">
        <v>38.39</v>
      </c>
      <c r="I83" s="272">
        <v>33.380000000000003</v>
      </c>
      <c r="J83" s="272">
        <v>38.99</v>
      </c>
      <c r="K83" s="272">
        <v>33.9</v>
      </c>
      <c r="L83" s="395">
        <f>Rate_Analysis!U958</f>
        <v>38.880000000000003</v>
      </c>
      <c r="M83" s="404">
        <f t="shared" si="3"/>
        <v>33.81</v>
      </c>
      <c r="O83" s="259"/>
    </row>
    <row r="84" spans="1:15" ht="63" x14ac:dyDescent="0.25">
      <c r="A84" s="5">
        <v>73</v>
      </c>
      <c r="B84" s="5" t="s">
        <v>361</v>
      </c>
      <c r="C84" s="5">
        <v>1303</v>
      </c>
      <c r="D84" s="7" t="str">
        <f>description_366</f>
        <v>Surface Dressing, Providing and laying surface dressing as wearing course in single coat using gravel  of specified size on a recently applied layer of bituminous binder on prepared surface  as per Drawing and Technical Specifications., MECHANICAL MEANS, 6.0 mm nominal size chipping</v>
      </c>
      <c r="E84" s="5" t="s">
        <v>438</v>
      </c>
      <c r="F84" s="272">
        <v>29.22</v>
      </c>
      <c r="G84" s="272">
        <f t="shared" si="2"/>
        <v>25.41</v>
      </c>
      <c r="H84" s="272">
        <v>25.66</v>
      </c>
      <c r="I84" s="272">
        <v>22.31</v>
      </c>
      <c r="J84" s="272">
        <v>25.96</v>
      </c>
      <c r="K84" s="272">
        <v>22.57</v>
      </c>
      <c r="L84" s="395">
        <f>Rate_Analysis!U969</f>
        <v>25.86</v>
      </c>
      <c r="M84" s="404">
        <f t="shared" si="3"/>
        <v>22.49</v>
      </c>
      <c r="O84" s="259"/>
    </row>
    <row r="85" spans="1:15" ht="31.5" x14ac:dyDescent="0.25">
      <c r="A85" s="5">
        <v>74</v>
      </c>
      <c r="B85" s="5" t="s">
        <v>366</v>
      </c>
      <c r="C85" s="5">
        <v>1310</v>
      </c>
      <c r="D85" s="7" t="str">
        <f>description_376</f>
        <v>Seal Surfacing, Providing and laying seal coat sealing the voids in a bituminous surface as per Drawing and Technical Specifications.</v>
      </c>
      <c r="E85" s="5" t="s">
        <v>438</v>
      </c>
      <c r="F85" s="272">
        <v>105.81</v>
      </c>
      <c r="G85" s="272">
        <f t="shared" si="2"/>
        <v>92.01</v>
      </c>
      <c r="H85" s="272">
        <v>130.38</v>
      </c>
      <c r="I85" s="272">
        <v>113.37</v>
      </c>
      <c r="J85" s="272">
        <v>121.75</v>
      </c>
      <c r="K85" s="272">
        <v>105.87</v>
      </c>
      <c r="L85" s="395">
        <f>Rate_Analysis!U982</f>
        <v>123.29</v>
      </c>
      <c r="M85" s="404">
        <f t="shared" si="3"/>
        <v>107.21</v>
      </c>
      <c r="O85" s="259"/>
    </row>
    <row r="86" spans="1:15" ht="78.75" x14ac:dyDescent="0.25">
      <c r="A86" s="5">
        <v>75</v>
      </c>
      <c r="B86" s="5" t="s">
        <v>372</v>
      </c>
      <c r="C86" s="5">
        <v>1310</v>
      </c>
      <c r="D86" s="7" t="str">
        <f>description_377</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as per Drawing and Technical Specifications., 5 mm thickness</v>
      </c>
      <c r="E86" s="5" t="s">
        <v>438</v>
      </c>
      <c r="F86" s="272">
        <v>129.82</v>
      </c>
      <c r="G86" s="272">
        <f t="shared" si="2"/>
        <v>112.89</v>
      </c>
      <c r="H86" s="272">
        <v>151.24</v>
      </c>
      <c r="I86" s="272">
        <v>131.51</v>
      </c>
      <c r="J86" s="272">
        <v>154.66999999999999</v>
      </c>
      <c r="K86" s="272">
        <v>134.5</v>
      </c>
      <c r="L86" s="395">
        <f>Rate_Analysis!U995</f>
        <v>157.94</v>
      </c>
      <c r="M86" s="404">
        <f t="shared" si="3"/>
        <v>137.34</v>
      </c>
      <c r="O86" s="259"/>
    </row>
    <row r="87" spans="1:15" ht="78.75" x14ac:dyDescent="0.25">
      <c r="A87" s="5">
        <v>76</v>
      </c>
      <c r="B87" s="5" t="s">
        <v>379</v>
      </c>
      <c r="C87" s="5">
        <v>1310</v>
      </c>
      <c r="D87" s="7" t="str">
        <f>description_378</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as per Drawing and Technical Specifications., 3 mm thickness</v>
      </c>
      <c r="E87" s="5" t="s">
        <v>438</v>
      </c>
      <c r="F87" s="272">
        <v>88.47</v>
      </c>
      <c r="G87" s="272">
        <f t="shared" si="2"/>
        <v>76.930000000000007</v>
      </c>
      <c r="H87" s="272">
        <v>103.84</v>
      </c>
      <c r="I87" s="272">
        <v>90.3</v>
      </c>
      <c r="J87" s="272">
        <v>106.3</v>
      </c>
      <c r="K87" s="272">
        <v>92.43</v>
      </c>
      <c r="L87" s="395">
        <f>Rate_Analysis!U1008</f>
        <v>108.63</v>
      </c>
      <c r="M87" s="404">
        <f t="shared" si="3"/>
        <v>94.46</v>
      </c>
      <c r="O87" s="259"/>
    </row>
    <row r="88" spans="1:15" ht="78.75" x14ac:dyDescent="0.25">
      <c r="A88" s="5">
        <v>77</v>
      </c>
      <c r="B88" s="5" t="s">
        <v>383</v>
      </c>
      <c r="C88" s="5">
        <v>1310</v>
      </c>
      <c r="D88" s="7" t="str">
        <f>description_379</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as per Drawing and Technical Specifications., 1.5 mm thickness</v>
      </c>
      <c r="E88" s="5" t="s">
        <v>438</v>
      </c>
      <c r="F88" s="272">
        <v>53.18</v>
      </c>
      <c r="G88" s="272">
        <f t="shared" si="2"/>
        <v>46.24</v>
      </c>
      <c r="H88" s="272">
        <v>62.51</v>
      </c>
      <c r="I88" s="272">
        <v>54.36</v>
      </c>
      <c r="J88" s="272">
        <v>64.02</v>
      </c>
      <c r="K88" s="272">
        <v>55.67</v>
      </c>
      <c r="L88" s="395">
        <f>Rate_Analysis!U1021</f>
        <v>65.44</v>
      </c>
      <c r="M88" s="404">
        <f t="shared" si="3"/>
        <v>56.9</v>
      </c>
      <c r="O88" s="259"/>
    </row>
    <row r="89" spans="1:15" ht="47.25" x14ac:dyDescent="0.25">
      <c r="A89" s="5">
        <v>78</v>
      </c>
      <c r="B89" s="5" t="s">
        <v>387</v>
      </c>
      <c r="C89" s="5">
        <v>1310</v>
      </c>
      <c r="D89" s="7" t="str">
        <f>description_380</f>
        <v>Fog Spray, Providing and applying low viscosity bitumen emulsion for sealing cracks less than 3 mm wide or incipient fretting or disintegration in an existing bituminous surfacing as per Drawing and Technical Specifications.</v>
      </c>
      <c r="E89" s="5" t="s">
        <v>438</v>
      </c>
      <c r="F89" s="272">
        <v>67.069999999999993</v>
      </c>
      <c r="G89" s="272">
        <f t="shared" si="2"/>
        <v>58.32</v>
      </c>
      <c r="H89" s="272">
        <v>79.72</v>
      </c>
      <c r="I89" s="272">
        <v>69.319999999999993</v>
      </c>
      <c r="J89" s="272">
        <v>81.86</v>
      </c>
      <c r="K89" s="272">
        <v>71.180000000000007</v>
      </c>
      <c r="L89" s="395">
        <f>Rate_Analysis!U1033</f>
        <v>83.86</v>
      </c>
      <c r="M89" s="404">
        <f t="shared" si="3"/>
        <v>72.92</v>
      </c>
      <c r="O89" s="259"/>
    </row>
    <row r="90" spans="1:15" ht="88.5" customHeight="1" x14ac:dyDescent="0.25">
      <c r="A90" s="5">
        <v>79</v>
      </c>
      <c r="B90" s="5" t="s">
        <v>391</v>
      </c>
      <c r="C90" s="5">
        <v>1313</v>
      </c>
      <c r="D90" s="7" t="str">
        <f>description_382</f>
        <v xml:space="preserve">Bituminous Cold Mix ( Including Gravel Emulsion), Providing, laying and rolling of bituminous cold mix on prepared base consisting of a mixture of unheated mineral aggregate and emulsified or cutback bitumen, including mixing in a plant of suitable type as per Drawing and Technical Specifications., Using bitumen emulsion and 9.5 mm or 13.2 mm  size aggregate </v>
      </c>
      <c r="E90" s="5" t="s">
        <v>84</v>
      </c>
      <c r="F90" s="272">
        <v>21034.04</v>
      </c>
      <c r="G90" s="272">
        <f t="shared" si="2"/>
        <v>18290.47</v>
      </c>
      <c r="H90" s="272">
        <v>24241.07</v>
      </c>
      <c r="I90" s="272">
        <v>21079.19</v>
      </c>
      <c r="J90" s="272">
        <v>24733.38</v>
      </c>
      <c r="K90" s="272">
        <v>21507.29</v>
      </c>
      <c r="L90" s="395">
        <f>Rate_Analysis!U1047</f>
        <v>25212.91</v>
      </c>
      <c r="M90" s="404">
        <f t="shared" si="3"/>
        <v>21924.27</v>
      </c>
      <c r="O90" s="259"/>
    </row>
    <row r="91" spans="1:15" ht="92.25" customHeight="1" x14ac:dyDescent="0.25">
      <c r="A91" s="5">
        <v>80</v>
      </c>
      <c r="B91" s="5" t="s">
        <v>398</v>
      </c>
      <c r="C91" s="5">
        <v>1313</v>
      </c>
      <c r="D91" s="7" t="str">
        <f>description_383</f>
        <v>Bituminous Cold Mix ( Including Gravel Emulsion), Providing, laying and rolling of bituminous cold mix on prepared base consisting of a mixture of unheated mineral aggregate and emulsified or cutback bitumen, including mixing in a plant of suitable type as per Drawing and Technical Specifications., Using bitumen emulsion and 19 mm or 26.5 mm nominal size aggregate</v>
      </c>
      <c r="E91" s="5" t="s">
        <v>84</v>
      </c>
      <c r="F91" s="272">
        <v>21105.29</v>
      </c>
      <c r="G91" s="272">
        <f t="shared" si="2"/>
        <v>18352.43</v>
      </c>
      <c r="H91" s="272">
        <v>24431.07</v>
      </c>
      <c r="I91" s="272">
        <v>21244.41</v>
      </c>
      <c r="J91" s="272">
        <v>24748.22</v>
      </c>
      <c r="K91" s="272">
        <v>21520.19</v>
      </c>
      <c r="L91" s="395">
        <f>Rate_Analysis!U1061</f>
        <v>25227.759999999998</v>
      </c>
      <c r="M91" s="404">
        <f t="shared" si="3"/>
        <v>21937.18</v>
      </c>
      <c r="O91" s="259"/>
    </row>
    <row r="92" spans="1:15" ht="93" customHeight="1" x14ac:dyDescent="0.25">
      <c r="A92" s="5">
        <v>81</v>
      </c>
      <c r="B92" s="5" t="s">
        <v>402</v>
      </c>
      <c r="C92" s="5">
        <v>1313</v>
      </c>
      <c r="D92" s="7" t="str">
        <f>description_384</f>
        <v>Bituminous Cold Mix ( Including Gravel Emulsion), Providing, laying and rolling of bituminous cold mix on prepared base consisting of a mixture of unheated mineral aggregate and emulsified or cutback bitumen, including mixing in a plant of suitable type as per Drawing and Technical Specifications., Using cutback bitumen and 9.5 mm or 13.2 mm nominal size aggregate</v>
      </c>
      <c r="E92" s="5" t="s">
        <v>84</v>
      </c>
      <c r="F92" s="272">
        <v>16236.6</v>
      </c>
      <c r="G92" s="272">
        <f t="shared" si="2"/>
        <v>14118.78</v>
      </c>
      <c r="H92" s="272">
        <v>20947.72</v>
      </c>
      <c r="I92" s="272">
        <v>18215.41</v>
      </c>
      <c r="J92" s="272">
        <v>19650.98</v>
      </c>
      <c r="K92" s="272">
        <v>17087.810000000001</v>
      </c>
      <c r="L92" s="395">
        <f>Rate_Analysis!U1075</f>
        <v>20024.48</v>
      </c>
      <c r="M92" s="404">
        <f t="shared" si="3"/>
        <v>17412.59</v>
      </c>
      <c r="O92" s="259"/>
    </row>
    <row r="93" spans="1:15" ht="100.5" customHeight="1" x14ac:dyDescent="0.25">
      <c r="A93" s="5">
        <v>82</v>
      </c>
      <c r="B93" s="5" t="s">
        <v>405</v>
      </c>
      <c r="C93" s="5">
        <v>1313</v>
      </c>
      <c r="D93" s="7" t="str">
        <f>description_385</f>
        <v>Bituminous Cold Mix ( Including Gravel Emulsion), Providing, laying and rolling of bituminous cold mix on prepared base consisting of a mixture of unheated mineral aggregate and emulsified or cutback bitumen, including mixing in a plant of suitable type as per Drawing and Technical Specifications., Using cutback bitumen and 19 mm or 26.5 mm nominal size aggregate</v>
      </c>
      <c r="E93" s="5" t="s">
        <v>84</v>
      </c>
      <c r="F93" s="272">
        <v>16308.44</v>
      </c>
      <c r="G93" s="272">
        <f t="shared" si="2"/>
        <v>14181.25</v>
      </c>
      <c r="H93" s="272">
        <v>21129.4</v>
      </c>
      <c r="I93" s="272">
        <v>18373.39</v>
      </c>
      <c r="J93" s="272">
        <v>19662.849999999999</v>
      </c>
      <c r="K93" s="272">
        <v>17098.13</v>
      </c>
      <c r="L93" s="395">
        <f>Rate_Analysis!U1089</f>
        <v>20036.36</v>
      </c>
      <c r="M93" s="404">
        <f t="shared" si="3"/>
        <v>17422.919999999998</v>
      </c>
      <c r="O93" s="259"/>
    </row>
    <row r="94" spans="1:15" ht="31.5" x14ac:dyDescent="0.25">
      <c r="A94" s="5">
        <v>83</v>
      </c>
      <c r="B94" s="5" t="s">
        <v>409</v>
      </c>
      <c r="C94" s="5">
        <v>1300</v>
      </c>
      <c r="D94" s="7" t="str">
        <f>description_387</f>
        <v>Anti- Stripping agent,  Providing and mixing  of Anti stripping agent  as per Design/ direction of Engineer</v>
      </c>
      <c r="E94" s="5" t="s">
        <v>144</v>
      </c>
      <c r="F94" s="272">
        <v>393.92</v>
      </c>
      <c r="G94" s="272">
        <f t="shared" si="2"/>
        <v>342.54</v>
      </c>
      <c r="H94" s="272">
        <v>394.64</v>
      </c>
      <c r="I94" s="272">
        <v>343.17</v>
      </c>
      <c r="J94" s="272">
        <v>394.94</v>
      </c>
      <c r="K94" s="272">
        <v>343.43</v>
      </c>
      <c r="L94" s="395">
        <f>Rate_Analysis!U1100</f>
        <v>395.03</v>
      </c>
      <c r="M94" s="404">
        <f t="shared" si="3"/>
        <v>343.5</v>
      </c>
      <c r="O94" s="259"/>
    </row>
    <row r="95" spans="1:15" ht="78.75" x14ac:dyDescent="0.25">
      <c r="A95" s="5">
        <v>84</v>
      </c>
      <c r="B95" s="5" t="s">
        <v>414</v>
      </c>
      <c r="C95" s="5">
        <v>1300</v>
      </c>
      <c r="D95" s="7" t="str">
        <f>description_394</f>
        <v>Mastic Asphalt, Providing and laying 25 mm thick mastic asphalt wearing course excluding prime coat with paving grade bitumen  including providing antiskid surface with bitumen pre-coated fine grained hard stone chipping  at an  spacing of 10 cm center to center in both directions all complete as per Drawing and Technical  specifications.</v>
      </c>
      <c r="E95" s="5" t="s">
        <v>438</v>
      </c>
      <c r="F95" s="272">
        <v>1277.8</v>
      </c>
      <c r="G95" s="272">
        <f t="shared" si="2"/>
        <v>1111.1300000000001</v>
      </c>
      <c r="H95" s="272">
        <v>1517.7</v>
      </c>
      <c r="I95" s="272">
        <v>1319.74</v>
      </c>
      <c r="J95" s="272">
        <v>1453.81</v>
      </c>
      <c r="K95" s="272">
        <v>1264.18</v>
      </c>
      <c r="L95" s="395">
        <f>Rate_Analysis!U1118</f>
        <v>1476.82</v>
      </c>
      <c r="M95" s="404">
        <f t="shared" si="3"/>
        <v>1284.19</v>
      </c>
      <c r="O95" s="259"/>
    </row>
    <row r="96" spans="1:15" ht="78.75" x14ac:dyDescent="0.25">
      <c r="A96" s="202">
        <v>85</v>
      </c>
      <c r="B96" s="202" t="s">
        <v>428</v>
      </c>
      <c r="C96" s="202">
        <v>1401</v>
      </c>
      <c r="D96" s="203" t="str">
        <f>description_395</f>
        <v>Precast Cement Concrete M 20 Kerb , Providing and laying of /20 precast  cement concrete Kerb  38 cm * 20 cm * 25  cm ( H*B*L)  with 12 mm thick 1:3 cement sand mortar bedding and joints including foundation excavation levelling but excluding foundation concrete for foundation or sand gravel material, all complete as per Drawing and Technical Specifications.</v>
      </c>
      <c r="E96" s="202" t="s">
        <v>75</v>
      </c>
      <c r="F96" s="273">
        <v>1423.28</v>
      </c>
      <c r="G96" s="272">
        <f t="shared" si="2"/>
        <v>1237.6300000000001</v>
      </c>
      <c r="H96" s="272">
        <v>1424.27</v>
      </c>
      <c r="I96" s="272">
        <v>1238.5</v>
      </c>
      <c r="J96" s="272">
        <v>1726.01</v>
      </c>
      <c r="K96" s="272">
        <v>1500.88</v>
      </c>
      <c r="L96" s="395">
        <f>Rate_Analysis!U1131</f>
        <v>1727.64</v>
      </c>
      <c r="M96" s="404">
        <f t="shared" si="3"/>
        <v>1502.3</v>
      </c>
      <c r="O96" s="259"/>
    </row>
    <row r="97" spans="1:15" ht="63" x14ac:dyDescent="0.25">
      <c r="A97" s="5">
        <v>86</v>
      </c>
      <c r="B97" s="5" t="s">
        <v>436</v>
      </c>
      <c r="C97" s="5">
        <v>1401</v>
      </c>
      <c r="D97" s="7" t="str">
        <f>description_396</f>
        <v>Cast in Situ Cement Concrete or natural stone block  for footpath, Providing and laying of precast / cast in situ  50 mm thick  cement concrete slab  footpath on 12 mm thick 1: 3 cement sand mortar over the prepared base, all complete as per Drawing and Technical Specifications.</v>
      </c>
      <c r="E97" s="5" t="s">
        <v>438</v>
      </c>
      <c r="F97" s="272">
        <v>1383.2</v>
      </c>
      <c r="G97" s="272">
        <f t="shared" si="2"/>
        <v>1202.78</v>
      </c>
      <c r="H97" s="272">
        <v>1488.76</v>
      </c>
      <c r="I97" s="272">
        <v>1294.57</v>
      </c>
      <c r="J97" s="272">
        <v>1500.14</v>
      </c>
      <c r="K97" s="272">
        <v>1304.47</v>
      </c>
      <c r="L97" s="395">
        <f>Rate_Analysis!U1144</f>
        <v>1519.35</v>
      </c>
      <c r="M97" s="404">
        <f t="shared" si="3"/>
        <v>1321.17</v>
      </c>
      <c r="O97" s="259"/>
    </row>
    <row r="98" spans="1:15" ht="94.5" x14ac:dyDescent="0.25">
      <c r="A98" s="5">
        <v>88</v>
      </c>
      <c r="B98" s="5" t="s">
        <v>445</v>
      </c>
      <c r="C98" s="5">
        <v>1401</v>
      </c>
      <c r="D98" s="7" t="str">
        <f>description_398</f>
        <v>Cast in Situ Cement Concrete  Kerb , Providing and laying cement concrete Kerb with top and bottom width 115 and 165 mm respectively, 250 mm high in M 20 grade PCC on M-10 grade foundation 150 mm thick, foundation having 50 mm projection beyond Kerb stone, Kerb stone laid with Kerb laying machine, foundation concrete laid manually, all complete as per Drawing and Technical Specifications.</v>
      </c>
      <c r="E98" s="5" t="s">
        <v>75</v>
      </c>
      <c r="F98" s="272">
        <v>976.75</v>
      </c>
      <c r="G98" s="272">
        <f t="shared" si="2"/>
        <v>849.35</v>
      </c>
      <c r="H98" s="272">
        <v>966.75</v>
      </c>
      <c r="I98" s="272">
        <v>840.65</v>
      </c>
      <c r="J98" s="272">
        <v>903.1</v>
      </c>
      <c r="K98" s="272">
        <v>785.3</v>
      </c>
      <c r="L98" s="395">
        <f>Rate_Analysis!U1170</f>
        <v>931.92</v>
      </c>
      <c r="M98" s="404">
        <f t="shared" si="3"/>
        <v>810.37</v>
      </c>
      <c r="O98" s="259"/>
    </row>
    <row r="99" spans="1:15" ht="47.25" x14ac:dyDescent="0.25">
      <c r="A99" s="5">
        <v>89</v>
      </c>
      <c r="B99" s="5" t="s">
        <v>450</v>
      </c>
      <c r="C99" s="5">
        <v>1403</v>
      </c>
      <c r="D99" s="7" t="str">
        <f>description_400</f>
        <v>Brick work for footpath, Providing and laying  brick on edge  over  60 mm thick  sand bed in footpath including excavation sand bedding all complete as  per Drawing and Technical Specifications.</v>
      </c>
      <c r="E99" s="5" t="s">
        <v>438</v>
      </c>
      <c r="F99" s="272">
        <v>1836.06</v>
      </c>
      <c r="G99" s="272">
        <f t="shared" si="2"/>
        <v>1596.57</v>
      </c>
      <c r="H99" s="272">
        <v>1996.85</v>
      </c>
      <c r="I99" s="272">
        <v>1736.39</v>
      </c>
      <c r="J99" s="272">
        <v>1976.18</v>
      </c>
      <c r="K99" s="272">
        <v>1718.42</v>
      </c>
      <c r="L99" s="395">
        <f>Rate_Analysis!U1181</f>
        <v>1983.65</v>
      </c>
      <c r="M99" s="404">
        <f t="shared" si="3"/>
        <v>1724.91</v>
      </c>
      <c r="O99" s="259"/>
    </row>
    <row r="100" spans="1:15" ht="47.25" x14ac:dyDescent="0.25">
      <c r="A100" s="5">
        <v>90</v>
      </c>
      <c r="B100" s="5" t="s">
        <v>454</v>
      </c>
      <c r="C100" s="5">
        <v>1403</v>
      </c>
      <c r="D100" s="7" t="str">
        <f>description_401</f>
        <v>Brick work for footpath, Providing and laying   flat brick   over  60 mm thick  sand bed in footpath including excavation sand bedding all complete as  per specification.</v>
      </c>
      <c r="E100" s="5" t="s">
        <v>438</v>
      </c>
      <c r="F100" s="272">
        <v>1136.57</v>
      </c>
      <c r="G100" s="272">
        <f t="shared" si="2"/>
        <v>988.32</v>
      </c>
      <c r="H100" s="272">
        <v>1232.82</v>
      </c>
      <c r="I100" s="272">
        <v>1072.02</v>
      </c>
      <c r="J100" s="272">
        <v>1225.77</v>
      </c>
      <c r="K100" s="272">
        <v>1065.8900000000001</v>
      </c>
      <c r="L100" s="395">
        <f>Rate_Analysis!U1192</f>
        <v>1230.95</v>
      </c>
      <c r="M100" s="404">
        <f t="shared" si="3"/>
        <v>1070.3900000000001</v>
      </c>
      <c r="O100" s="259"/>
    </row>
    <row r="101" spans="1:15" ht="47.25" x14ac:dyDescent="0.25">
      <c r="A101" s="5">
        <v>95</v>
      </c>
      <c r="B101" s="5" t="s">
        <v>485</v>
      </c>
      <c r="C101" s="5">
        <v>1501</v>
      </c>
      <c r="D101" s="7" t="str">
        <f>description_406</f>
        <v>Painting Two Coats on Concrete Surfaces, Providing and Painting two coats after filling the surface with synthetic enamel paint in all shades on concrete / plaster surfaces as per Drawing and Technical Specifications.</v>
      </c>
      <c r="E101" s="5" t="s">
        <v>438</v>
      </c>
      <c r="F101" s="272">
        <v>928.29</v>
      </c>
      <c r="G101" s="272">
        <f t="shared" si="2"/>
        <v>807.21</v>
      </c>
      <c r="H101" s="272">
        <v>1014.23</v>
      </c>
      <c r="I101" s="272">
        <v>881.94</v>
      </c>
      <c r="J101" s="272">
        <v>1041.05</v>
      </c>
      <c r="K101" s="272">
        <v>905.26</v>
      </c>
      <c r="L101" s="395">
        <f>Rate_Analysis!U1260</f>
        <v>1052.02</v>
      </c>
      <c r="M101" s="404">
        <f t="shared" si="3"/>
        <v>914.8</v>
      </c>
      <c r="O101" s="259"/>
    </row>
    <row r="102" spans="1:15" ht="47.25" x14ac:dyDescent="0.25">
      <c r="A102" s="5">
        <v>96</v>
      </c>
      <c r="B102" s="5" t="s">
        <v>492</v>
      </c>
      <c r="C102" s="5">
        <v>1501</v>
      </c>
      <c r="D102" s="7" t="str">
        <f>description_407</f>
        <v>Painting Two Coats on Steel Surfaces, Providing and applying two coats of ready mix paint of approved brand on steel surface after through cleaning of surface to give an even shade as per Drawing and Technical Specifications.</v>
      </c>
      <c r="E102" s="5" t="s">
        <v>438</v>
      </c>
      <c r="F102" s="272">
        <v>176.04</v>
      </c>
      <c r="G102" s="272">
        <f t="shared" si="2"/>
        <v>153.08000000000001</v>
      </c>
      <c r="H102" s="272">
        <v>192.64</v>
      </c>
      <c r="I102" s="272">
        <v>167.51</v>
      </c>
      <c r="J102" s="272">
        <v>198.07</v>
      </c>
      <c r="K102" s="272">
        <v>172.23</v>
      </c>
      <c r="L102" s="395">
        <f>Rate_Analysis!U1272</f>
        <v>200.19</v>
      </c>
      <c r="M102" s="404">
        <f t="shared" si="3"/>
        <v>174.08</v>
      </c>
      <c r="O102" s="259"/>
    </row>
    <row r="103" spans="1:15" ht="47.25" x14ac:dyDescent="0.25">
      <c r="A103" s="5">
        <v>97</v>
      </c>
      <c r="B103" s="5" t="s">
        <v>497</v>
      </c>
      <c r="C103" s="5">
        <v>1509</v>
      </c>
      <c r="D103" s="7" t="str">
        <f>description_408</f>
        <v>`, Providing and applying two coats of ready mix paint of approved brand on wood surface after thorough cleaning of surface to give an even shade as per Drawing and Technical Specifications.</v>
      </c>
      <c r="E103" s="5" t="s">
        <v>438</v>
      </c>
      <c r="F103" s="272">
        <v>183.88</v>
      </c>
      <c r="G103" s="272">
        <f t="shared" si="2"/>
        <v>159.9</v>
      </c>
      <c r="H103" s="272">
        <v>206.02</v>
      </c>
      <c r="I103" s="272">
        <v>179.15</v>
      </c>
      <c r="J103" s="272">
        <v>213.27</v>
      </c>
      <c r="K103" s="272">
        <v>185.45</v>
      </c>
      <c r="L103" s="395">
        <f>Rate_Analysis!U1284</f>
        <v>216.08</v>
      </c>
      <c r="M103" s="404">
        <f t="shared" si="3"/>
        <v>187.9</v>
      </c>
      <c r="O103" s="259"/>
    </row>
    <row r="104" spans="1:15" ht="94.5" x14ac:dyDescent="0.25">
      <c r="A104" s="5">
        <v>98</v>
      </c>
      <c r="B104" s="5" t="s">
        <v>500</v>
      </c>
      <c r="C104" s="5">
        <v>1503</v>
      </c>
      <c r="D104" s="7" t="str">
        <f>description_409</f>
        <v>Painting Lines, Dashes, Arrows etc. on Roads in Two Coats, Providing required material and Painting lines, dashes, arrows etc. on roads in two coats on new work with ready mixed road marking paint conforming to NS 408/ IS 164 on bituminous surface, including cleaning the surface of all dirt, dust and other foreign matter, demarcation at site and traffic control as per Drawing and Technical Specifications., Over 10 cm in width</v>
      </c>
      <c r="E104" s="5" t="s">
        <v>438</v>
      </c>
      <c r="F104" s="272">
        <v>386.6</v>
      </c>
      <c r="G104" s="272">
        <f t="shared" si="2"/>
        <v>336.17</v>
      </c>
      <c r="H104" s="272">
        <v>373.65</v>
      </c>
      <c r="I104" s="272">
        <v>324.91000000000003</v>
      </c>
      <c r="J104" s="272">
        <v>389.75</v>
      </c>
      <c r="K104" s="272">
        <v>338.91</v>
      </c>
      <c r="L104" s="395">
        <f>Rate_Analysis!U1295</f>
        <v>395.5</v>
      </c>
      <c r="M104" s="404">
        <f t="shared" si="3"/>
        <v>343.91</v>
      </c>
      <c r="O104" s="259"/>
    </row>
    <row r="105" spans="1:15" ht="94.5" x14ac:dyDescent="0.25">
      <c r="A105" s="5">
        <v>99</v>
      </c>
      <c r="B105" s="5" t="s">
        <v>503</v>
      </c>
      <c r="C105" s="5">
        <v>1503</v>
      </c>
      <c r="D105" s="7" t="str">
        <f>description_410</f>
        <v>Painting Lines, Dashes, Arrows etc. on Roads in Two Coats, Providing required material and Painting lines, dashes, arrows etc. on roads in two coats on new work with ready mixed road marking paint conforming to NS 408/ IS 164 on bituminous surface, including cleaning the surface of all dirt, dust and other foreign matter, demarcation at site and traffic control as per Drawing and Technical Specifications., Up to 10 cm in width</v>
      </c>
      <c r="E105" s="5" t="s">
        <v>438</v>
      </c>
      <c r="F105" s="272">
        <v>386.6</v>
      </c>
      <c r="G105" s="272">
        <f t="shared" si="2"/>
        <v>336.17</v>
      </c>
      <c r="H105" s="272">
        <v>373.65</v>
      </c>
      <c r="I105" s="272">
        <v>324.91000000000003</v>
      </c>
      <c r="J105" s="272">
        <v>389.75</v>
      </c>
      <c r="K105" s="272">
        <v>338.91</v>
      </c>
      <c r="L105" s="395">
        <f>Rate_Analysis!U1306</f>
        <v>395.5</v>
      </c>
      <c r="M105" s="404">
        <f t="shared" si="3"/>
        <v>343.91</v>
      </c>
      <c r="O105" s="259"/>
    </row>
    <row r="106" spans="1:15" ht="94.5" x14ac:dyDescent="0.25">
      <c r="A106" s="5">
        <v>100</v>
      </c>
      <c r="B106" s="5" t="s">
        <v>505</v>
      </c>
      <c r="C106" s="5">
        <v>1503</v>
      </c>
      <c r="D106" s="7" t="str">
        <f>description_411</f>
        <v>Painting Lines, Dashes, Arrows etc. on Roads in Two Coats on Old Work, Providing required materials and Painting lines, dashes, arrows etc. on roads in two coats on old work with ready mixed road marking paint conforming to NS 408/ IS: 164 on bituminous surface, including cleaning the surface of all dirt, dust and other foreign matter, demarcation at site and traffic control as per Drawing and Technical Specifications., over 10 cm in width</v>
      </c>
      <c r="E106" s="5" t="s">
        <v>438</v>
      </c>
      <c r="F106" s="272">
        <v>349.12</v>
      </c>
      <c r="G106" s="272">
        <f t="shared" si="2"/>
        <v>303.58</v>
      </c>
      <c r="H106" s="272">
        <v>359.04</v>
      </c>
      <c r="I106" s="272">
        <v>312.20999999999998</v>
      </c>
      <c r="J106" s="272">
        <v>375.14</v>
      </c>
      <c r="K106" s="272">
        <v>326.20999999999998</v>
      </c>
      <c r="L106" s="395">
        <f>Rate_Analysis!U1317</f>
        <v>380.89</v>
      </c>
      <c r="M106" s="404">
        <f t="shared" si="3"/>
        <v>331.21</v>
      </c>
      <c r="O106" s="259"/>
    </row>
    <row r="107" spans="1:15" ht="94.5" x14ac:dyDescent="0.25">
      <c r="A107" s="5">
        <v>101</v>
      </c>
      <c r="B107" s="5" t="s">
        <v>507</v>
      </c>
      <c r="C107" s="5">
        <v>1503</v>
      </c>
      <c r="D107" s="7" t="str">
        <f>description_412</f>
        <v>Painting Lines, Dashes, Arrows etc. on Roads in Two Coats on Old Work, Providing required materials and Painting lines, dashes, arrows etc. on roads in two coats on old work with ready mixed road marking paint conforming to NS 408/ IS: 164 on bituminous surface, including cleaning the surface of all dirt, dust and other foreign matter, demarcation at site and traffic control as per Drawing and Technical Specifications., Up to 10 cm in width</v>
      </c>
      <c r="E107" s="5" t="s">
        <v>438</v>
      </c>
      <c r="F107" s="272">
        <v>349.12</v>
      </c>
      <c r="G107" s="272">
        <f t="shared" si="2"/>
        <v>303.58</v>
      </c>
      <c r="H107" s="272">
        <v>359.04</v>
      </c>
      <c r="I107" s="272">
        <v>312.20999999999998</v>
      </c>
      <c r="J107" s="272">
        <v>375.14</v>
      </c>
      <c r="K107" s="272">
        <v>326.20999999999998</v>
      </c>
      <c r="L107" s="395">
        <f>Rate_Analysis!U1328</f>
        <v>380.89</v>
      </c>
      <c r="M107" s="404">
        <f t="shared" si="3"/>
        <v>331.21</v>
      </c>
      <c r="O107" s="259"/>
    </row>
    <row r="108" spans="1:15" ht="94.5" x14ac:dyDescent="0.25">
      <c r="A108" s="5">
        <v>102</v>
      </c>
      <c r="B108" s="5" t="s">
        <v>511</v>
      </c>
      <c r="C108" s="5">
        <v>1504</v>
      </c>
      <c r="D108" s="7" t="str">
        <f>description_413</f>
        <v>Road Marking with Hot Applied Thermoplastic Compound with Reflectorizing Glass Beads on Bituminous Surface, On smooth surface (similar to Asphalt concrete and rigid pavement), Providing and laying of hot applied thermoplastic compound at least 2 mm thick including reflectorizing glass beads as per DOR Traffic sign manual/ Specifications .The finished surface to be level, uniform and free from streaks and holes.</v>
      </c>
      <c r="E108" s="5" t="s">
        <v>438</v>
      </c>
      <c r="F108" s="272">
        <v>1621.73</v>
      </c>
      <c r="G108" s="272">
        <f t="shared" si="2"/>
        <v>1410.2</v>
      </c>
      <c r="H108" s="272">
        <v>1610</v>
      </c>
      <c r="I108" s="272">
        <v>1400</v>
      </c>
      <c r="J108" s="272">
        <v>1607.96</v>
      </c>
      <c r="K108" s="272">
        <v>1398.23</v>
      </c>
      <c r="L108" s="395">
        <f>Rate_Analysis!U1339</f>
        <v>1606.55</v>
      </c>
      <c r="M108" s="404">
        <f t="shared" si="3"/>
        <v>1397</v>
      </c>
      <c r="O108" s="259"/>
    </row>
    <row r="109" spans="1:15" ht="94.5" x14ac:dyDescent="0.25">
      <c r="A109" s="5">
        <v>103</v>
      </c>
      <c r="B109" s="5" t="s">
        <v>517</v>
      </c>
      <c r="C109" s="5">
        <v>1504</v>
      </c>
      <c r="D109" s="7" t="str">
        <f>description_414</f>
        <v>Road Marking with Hot Applied Thermoplastic Compound with Reflectorizing Glass Beads on Bituminous Surface, On rough surface ( similar to surface dressing), Providing and laying of hot applied thermoplastic compound at least 2 mm thick including reflectorizing glass beads as per DOR Traffic sign manual/ Specifications .The finished surface to be level, uniform and free from streaks and holes.</v>
      </c>
      <c r="E109" s="5" t="s">
        <v>438</v>
      </c>
      <c r="F109" s="272">
        <v>2774.07</v>
      </c>
      <c r="G109" s="272">
        <f t="shared" si="2"/>
        <v>2412.23</v>
      </c>
      <c r="H109" s="272">
        <v>2758.43</v>
      </c>
      <c r="I109" s="272">
        <v>2398.63</v>
      </c>
      <c r="J109" s="272">
        <v>2755.71</v>
      </c>
      <c r="K109" s="272">
        <v>2396.27</v>
      </c>
      <c r="L109" s="395">
        <f>Rate_Analysis!U1350</f>
        <v>2753.83</v>
      </c>
      <c r="M109" s="404">
        <f t="shared" si="3"/>
        <v>2394.63</v>
      </c>
      <c r="O109" s="259"/>
    </row>
    <row r="110" spans="1:15" ht="141.75" x14ac:dyDescent="0.25">
      <c r="A110" s="5">
        <v>104</v>
      </c>
      <c r="B110" s="5" t="s">
        <v>521</v>
      </c>
      <c r="C110" s="5">
        <v>1505</v>
      </c>
      <c r="D110" s="7" t="str">
        <f>description_2101</f>
        <v>Providing and fixing of road stud 100x 100 mm, die-cast in aluminum, resistant to corrosive effect of salt and grit, fitted with lenses reflectors, installed in concrete or asphaltic surface by drilling hole 30 mm upto a depth of 60 mm and bedded in a suitable bituminous grout or epoxy mortar, all as per Specification clause 1505., Providing and fixing of road stud 100 x 100 mm, die-cast in aluminum, resistant to corrosive effect of salt and grit, fitted with lenses reflectors, installed in concrete or asphaltic surface by drilling hole 30 mm upto a depth of 60 mm and bedded in a suitable bituminous grout or epoxy mortar, all as per Drawing and Technical Specifications., Cats Eye</v>
      </c>
      <c r="E110" s="5" t="s">
        <v>1812</v>
      </c>
      <c r="F110" s="272">
        <v>1354.82</v>
      </c>
      <c r="G110" s="272">
        <f t="shared" si="2"/>
        <v>1178.0999999999999</v>
      </c>
      <c r="H110" s="272">
        <v>1363.9</v>
      </c>
      <c r="I110" s="272">
        <v>1186</v>
      </c>
      <c r="J110" s="272">
        <v>1367.12</v>
      </c>
      <c r="K110" s="272">
        <v>1188.8</v>
      </c>
      <c r="L110" s="395">
        <f>Rate_Analysis!U1361</f>
        <v>1368.27</v>
      </c>
      <c r="M110" s="404">
        <f t="shared" si="3"/>
        <v>1189.8</v>
      </c>
      <c r="O110" s="259"/>
    </row>
    <row r="111" spans="1:15" ht="47.25" x14ac:dyDescent="0.25">
      <c r="A111" s="5">
        <v>105</v>
      </c>
      <c r="B111" s="5" t="s">
        <v>527</v>
      </c>
      <c r="C111" s="5">
        <v>1506</v>
      </c>
      <c r="D111" s="7" t="str">
        <f>description_2102</f>
        <v>Kilometer Stone, Providing and Fixing Reinforced cement concrete M 15 grade kilometer Post including painting and printing as per Standard Drawing-2070 and Technical Specifications. position, Five kilometer Post (precast)</v>
      </c>
      <c r="E111" s="5" t="s">
        <v>1812</v>
      </c>
      <c r="F111" s="272">
        <v>4381.99</v>
      </c>
      <c r="G111" s="272">
        <f t="shared" si="2"/>
        <v>3810.43</v>
      </c>
      <c r="H111" s="272">
        <v>4883.47</v>
      </c>
      <c r="I111" s="272">
        <v>4246.5</v>
      </c>
      <c r="J111" s="272">
        <v>4997.1000000000004</v>
      </c>
      <c r="K111" s="272">
        <v>4345.3</v>
      </c>
      <c r="L111" s="395">
        <f>Rate_Analysis!U1377</f>
        <v>5021.08</v>
      </c>
      <c r="M111" s="404">
        <f t="shared" si="3"/>
        <v>4366.16</v>
      </c>
      <c r="O111" s="259"/>
    </row>
    <row r="112" spans="1:15" ht="47.25" x14ac:dyDescent="0.25">
      <c r="A112" s="5">
        <v>106</v>
      </c>
      <c r="B112" s="5" t="s">
        <v>538</v>
      </c>
      <c r="C112" s="5">
        <v>1506</v>
      </c>
      <c r="D112" s="7" t="str">
        <f>description_2103</f>
        <v>Kilometer Stone, Providing and Fixing Reinforced cement concrete M 15 grade kilometer Post including painting and printing as per Standard Drawing-2070 and Technical Specifications. position, One kilometer post (precast)</v>
      </c>
      <c r="E112" s="5" t="s">
        <v>1812</v>
      </c>
      <c r="F112" s="272">
        <v>2330.1799999999998</v>
      </c>
      <c r="G112" s="272">
        <f t="shared" si="2"/>
        <v>2026.24</v>
      </c>
      <c r="H112" s="272">
        <v>2619.0300000000002</v>
      </c>
      <c r="I112" s="272">
        <v>2277.42</v>
      </c>
      <c r="J112" s="272">
        <v>2685.81</v>
      </c>
      <c r="K112" s="272">
        <v>2335.4899999999998</v>
      </c>
      <c r="L112" s="395">
        <f>Rate_Analysis!U1393</f>
        <v>2701.65</v>
      </c>
      <c r="M112" s="404">
        <f t="shared" si="3"/>
        <v>2349.2600000000002</v>
      </c>
      <c r="O112" s="259"/>
    </row>
    <row r="113" spans="1:15" ht="78.75" x14ac:dyDescent="0.25">
      <c r="A113" s="5">
        <v>107</v>
      </c>
      <c r="B113" s="5" t="s">
        <v>543</v>
      </c>
      <c r="C113" s="5">
        <v>1507</v>
      </c>
      <c r="D113" s="7" t="str">
        <f>description_418</f>
        <v>Road Delineators Post, Providing and installation of 150 mm * 150 mm 1. 5 m long delineators (road way indicators, hazard markers, object markers), 80-100 cm high above ground level, painted black and white in 20 cm wide strips, buried or pressed into the ground and conforming to the drawings and Technical Specifications.</v>
      </c>
      <c r="E113" s="5" t="s">
        <v>1812</v>
      </c>
      <c r="F113" s="272">
        <v>1684.75</v>
      </c>
      <c r="G113" s="272">
        <f t="shared" si="2"/>
        <v>1465</v>
      </c>
      <c r="H113" s="272">
        <v>1823.22</v>
      </c>
      <c r="I113" s="272">
        <v>1585.41</v>
      </c>
      <c r="J113" s="272">
        <v>1818.5</v>
      </c>
      <c r="K113" s="272">
        <v>1581.3</v>
      </c>
      <c r="L113" s="395">
        <f>Rate_Analysis!U1407</f>
        <v>1839.71</v>
      </c>
      <c r="M113" s="404">
        <f t="shared" si="3"/>
        <v>1599.75</v>
      </c>
      <c r="O113" s="259"/>
    </row>
    <row r="114" spans="1:15" ht="47.25" x14ac:dyDescent="0.25">
      <c r="A114" s="5">
        <v>108</v>
      </c>
      <c r="B114" s="5" t="s">
        <v>605</v>
      </c>
      <c r="C114" s="5">
        <v>1506</v>
      </c>
      <c r="D114" s="7" t="str">
        <f>description_428</f>
        <v>Lettering new Letter and Figures of any Shade, Providing and lettering new letter and figures of any shade with synthetic enamel paint black or any other approved color to give an even shade, Nepali</v>
      </c>
      <c r="E114" s="5" t="s">
        <v>1839</v>
      </c>
      <c r="F114" s="272">
        <v>4.3</v>
      </c>
      <c r="G114" s="272">
        <f t="shared" si="2"/>
        <v>3.74</v>
      </c>
      <c r="H114" s="272">
        <v>4.91</v>
      </c>
      <c r="I114" s="272">
        <v>4.2699999999999996</v>
      </c>
      <c r="J114" s="272">
        <v>5.0999999999999996</v>
      </c>
      <c r="K114" s="272">
        <v>4.43</v>
      </c>
      <c r="L114" s="395">
        <f>Rate_Analysis!U1531</f>
        <v>5.18</v>
      </c>
      <c r="M114" s="404">
        <f t="shared" si="3"/>
        <v>4.5</v>
      </c>
      <c r="O114" s="259"/>
    </row>
    <row r="115" spans="1:15" ht="47.25" x14ac:dyDescent="0.25">
      <c r="A115" s="5">
        <v>109</v>
      </c>
      <c r="B115" s="5" t="s">
        <v>607</v>
      </c>
      <c r="C115" s="5">
        <v>1506</v>
      </c>
      <c r="D115" s="7" t="str">
        <f>description_429</f>
        <v>Lettering new Letter and Figures of any Shade, Providing and lettering new letter and figures of any shade with synthetic enamel paint black or any other approved color to give an even shade, English and Roman</v>
      </c>
      <c r="E115" s="5" t="s">
        <v>1839</v>
      </c>
      <c r="F115" s="272">
        <v>2.76</v>
      </c>
      <c r="G115" s="272">
        <f t="shared" si="2"/>
        <v>2.4</v>
      </c>
      <c r="H115" s="272">
        <v>3.03</v>
      </c>
      <c r="I115" s="272">
        <v>2.63</v>
      </c>
      <c r="J115" s="272">
        <v>3.16</v>
      </c>
      <c r="K115" s="272">
        <v>2.75</v>
      </c>
      <c r="L115" s="395">
        <f>Rate_Analysis!U1542</f>
        <v>3.21</v>
      </c>
      <c r="M115" s="404">
        <f t="shared" si="3"/>
        <v>2.79</v>
      </c>
      <c r="O115" s="259"/>
    </row>
    <row r="116" spans="1:15" ht="63" x14ac:dyDescent="0.25">
      <c r="A116" s="5">
        <v>110</v>
      </c>
      <c r="B116" s="5" t="s">
        <v>611</v>
      </c>
      <c r="C116" s="5">
        <v>1612</v>
      </c>
      <c r="D116" s="7" t="str">
        <f>description_430</f>
        <v>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diameter-500 mm</v>
      </c>
      <c r="E116" s="5" t="s">
        <v>75</v>
      </c>
      <c r="F116" s="272">
        <v>4781.7</v>
      </c>
      <c r="G116" s="272">
        <f t="shared" si="2"/>
        <v>4158</v>
      </c>
      <c r="H116" s="272">
        <v>6058.78</v>
      </c>
      <c r="I116" s="272">
        <v>5268.5</v>
      </c>
      <c r="J116" s="272">
        <v>6008.75</v>
      </c>
      <c r="K116" s="272">
        <v>5225</v>
      </c>
      <c r="L116" s="395">
        <f>Rate_Analysis!U1554</f>
        <v>5952.4</v>
      </c>
      <c r="M116" s="404">
        <f t="shared" si="3"/>
        <v>5176</v>
      </c>
      <c r="O116" s="259"/>
    </row>
    <row r="117" spans="1:15" ht="63" x14ac:dyDescent="0.25">
      <c r="A117" s="5">
        <v>111</v>
      </c>
      <c r="B117" s="5" t="s">
        <v>617</v>
      </c>
      <c r="C117" s="5">
        <v>1612</v>
      </c>
      <c r="D117" s="7" t="str">
        <f>description_431</f>
        <v>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diameter-600 mm</v>
      </c>
      <c r="E117" s="5" t="s">
        <v>75</v>
      </c>
      <c r="F117" s="272">
        <v>6012.66</v>
      </c>
      <c r="G117" s="272">
        <f t="shared" si="2"/>
        <v>5228.3999999999996</v>
      </c>
      <c r="H117" s="272">
        <v>7582.18</v>
      </c>
      <c r="I117" s="272">
        <v>6593.2</v>
      </c>
      <c r="J117" s="272">
        <v>7538.71</v>
      </c>
      <c r="K117" s="272">
        <v>6555.4</v>
      </c>
      <c r="L117" s="395">
        <f>Rate_Analysis!U1566</f>
        <v>7475.69</v>
      </c>
      <c r="M117" s="404">
        <f t="shared" si="3"/>
        <v>6500.6</v>
      </c>
      <c r="O117" s="259"/>
    </row>
    <row r="118" spans="1:15" ht="63" x14ac:dyDescent="0.25">
      <c r="A118" s="5">
        <v>112</v>
      </c>
      <c r="B118" s="5" t="s">
        <v>620</v>
      </c>
      <c r="C118" s="5">
        <v>1612</v>
      </c>
      <c r="D118" s="7" t="str">
        <f>description_432</f>
        <v>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diameter-750 mm</v>
      </c>
      <c r="E118" s="5" t="s">
        <v>75</v>
      </c>
      <c r="F118" s="272">
        <v>9137.44</v>
      </c>
      <c r="G118" s="272">
        <f t="shared" si="2"/>
        <v>7945.6</v>
      </c>
      <c r="H118" s="272">
        <v>11509.55</v>
      </c>
      <c r="I118" s="272">
        <v>10008.299999999999</v>
      </c>
      <c r="J118" s="272">
        <v>11448.94</v>
      </c>
      <c r="K118" s="272">
        <v>9955.6</v>
      </c>
      <c r="L118" s="395">
        <f>Rate_Analysis!U1578</f>
        <v>11356.71</v>
      </c>
      <c r="M118" s="404">
        <f t="shared" si="3"/>
        <v>9875.4</v>
      </c>
      <c r="O118" s="259"/>
    </row>
    <row r="119" spans="1:15" ht="78.75" x14ac:dyDescent="0.25">
      <c r="A119" s="5">
        <v>113</v>
      </c>
      <c r="B119" s="5" t="s">
        <v>623</v>
      </c>
      <c r="C119" s="5">
        <v>1612</v>
      </c>
      <c r="D119" s="7" t="str">
        <f>description_433</f>
        <v>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diameter-1000 mm</v>
      </c>
      <c r="E119" s="5" t="s">
        <v>75</v>
      </c>
      <c r="F119" s="272">
        <v>12117.32</v>
      </c>
      <c r="G119" s="272">
        <f t="shared" si="2"/>
        <v>10536.8</v>
      </c>
      <c r="H119" s="272">
        <v>15256.36</v>
      </c>
      <c r="I119" s="272">
        <v>13266.4</v>
      </c>
      <c r="J119" s="272">
        <v>15169.42</v>
      </c>
      <c r="K119" s="272">
        <v>13190.8</v>
      </c>
      <c r="L119" s="395">
        <f>Rate_Analysis!U1590</f>
        <v>15043.38</v>
      </c>
      <c r="M119" s="404">
        <f t="shared" si="3"/>
        <v>13081.2</v>
      </c>
      <c r="O119" s="259"/>
    </row>
    <row r="120" spans="1:15" ht="78.75" x14ac:dyDescent="0.25">
      <c r="A120" s="5">
        <v>114</v>
      </c>
      <c r="B120" s="5" t="s">
        <v>625</v>
      </c>
      <c r="C120" s="5">
        <v>1612</v>
      </c>
      <c r="D120" s="7" t="str">
        <f>description_434</f>
        <v>Providing, Boring and installing bored  cast-in-situ RCC Pile excluding Reinforcement and Concrete in all types of soil  including  Bentonite and other consumable and removal of excavated earth with necessary lifts and lead  all complete as per Drawing and Technical Specifications., Pile diameter-1200 mm</v>
      </c>
      <c r="E120" s="5" t="s">
        <v>75</v>
      </c>
      <c r="F120" s="272">
        <v>15472.1</v>
      </c>
      <c r="G120" s="272">
        <f t="shared" si="2"/>
        <v>13454</v>
      </c>
      <c r="H120" s="272">
        <v>19413.73</v>
      </c>
      <c r="I120" s="272">
        <v>16881.5</v>
      </c>
      <c r="J120" s="272">
        <v>19309.650000000001</v>
      </c>
      <c r="K120" s="272">
        <v>16791</v>
      </c>
      <c r="L120" s="395">
        <f>Rate_Analysis!U1602</f>
        <v>19154.400000000001</v>
      </c>
      <c r="M120" s="404">
        <f t="shared" si="3"/>
        <v>16656</v>
      </c>
      <c r="O120" s="259"/>
    </row>
    <row r="121" spans="1:15" ht="78.75" x14ac:dyDescent="0.25">
      <c r="A121" s="5">
        <v>115</v>
      </c>
      <c r="B121" s="5" t="s">
        <v>628</v>
      </c>
      <c r="C121" s="5">
        <v>1612</v>
      </c>
      <c r="D121" s="7" t="str">
        <f>description_435</f>
        <v>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diameter-300 mm</v>
      </c>
      <c r="E121" s="5" t="s">
        <v>75</v>
      </c>
      <c r="F121" s="272">
        <v>6767.06</v>
      </c>
      <c r="G121" s="272">
        <f t="shared" si="2"/>
        <v>5884.4</v>
      </c>
      <c r="H121" s="272">
        <v>8510.23</v>
      </c>
      <c r="I121" s="272">
        <v>7400.2</v>
      </c>
      <c r="J121" s="272">
        <v>8533.4599999999991</v>
      </c>
      <c r="K121" s="272">
        <v>7420.4</v>
      </c>
      <c r="L121" s="395">
        <f>Rate_Analysis!U1614</f>
        <v>8492.2900000000009</v>
      </c>
      <c r="M121" s="404">
        <f t="shared" si="3"/>
        <v>7384.6</v>
      </c>
      <c r="O121" s="259"/>
    </row>
    <row r="122" spans="1:15" ht="78.75" x14ac:dyDescent="0.25">
      <c r="A122" s="5">
        <v>116</v>
      </c>
      <c r="B122" s="5" t="s">
        <v>630</v>
      </c>
      <c r="C122" s="5">
        <v>1612</v>
      </c>
      <c r="D122" s="7" t="str">
        <f>description_436</f>
        <v>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diameter-500 mm</v>
      </c>
      <c r="E122" s="5" t="s">
        <v>75</v>
      </c>
      <c r="F122" s="272">
        <v>8941.48</v>
      </c>
      <c r="G122" s="272">
        <f t="shared" si="2"/>
        <v>7775.2</v>
      </c>
      <c r="H122" s="272">
        <v>11241.94</v>
      </c>
      <c r="I122" s="272">
        <v>9775.6</v>
      </c>
      <c r="J122" s="272">
        <v>11266.78</v>
      </c>
      <c r="K122" s="272">
        <v>9797.2000000000007</v>
      </c>
      <c r="L122" s="395">
        <f>Rate_Analysis!U1626</f>
        <v>11208.82</v>
      </c>
      <c r="M122" s="404">
        <f t="shared" si="3"/>
        <v>9746.7999999999993</v>
      </c>
      <c r="O122" s="259"/>
    </row>
    <row r="123" spans="1:15" ht="78.75" x14ac:dyDescent="0.25">
      <c r="A123" s="5">
        <v>117</v>
      </c>
      <c r="B123" s="5" t="s">
        <v>632</v>
      </c>
      <c r="C123" s="5">
        <v>1612</v>
      </c>
      <c r="D123" s="7" t="str">
        <f>description_437</f>
        <v>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diameter-600 mm</v>
      </c>
      <c r="E123" s="5" t="s">
        <v>75</v>
      </c>
      <c r="F123" s="272">
        <v>12330.3</v>
      </c>
      <c r="G123" s="272">
        <f t="shared" si="2"/>
        <v>10722</v>
      </c>
      <c r="H123" s="272">
        <v>15361.7</v>
      </c>
      <c r="I123" s="272">
        <v>13358</v>
      </c>
      <c r="J123" s="272">
        <v>15454.85</v>
      </c>
      <c r="K123" s="272">
        <v>13439</v>
      </c>
      <c r="L123" s="395">
        <f>Rate_Analysis!U1638</f>
        <v>15401.95</v>
      </c>
      <c r="M123" s="404">
        <f t="shared" si="3"/>
        <v>13393</v>
      </c>
      <c r="O123" s="259"/>
    </row>
    <row r="124" spans="1:15" ht="78.75" x14ac:dyDescent="0.25">
      <c r="A124" s="5">
        <v>118</v>
      </c>
      <c r="B124" s="5" t="s">
        <v>634</v>
      </c>
      <c r="C124" s="5">
        <v>1612</v>
      </c>
      <c r="D124" s="7" t="str">
        <f>description_438</f>
        <v>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diameter-750 mm</v>
      </c>
      <c r="E124" s="5" t="s">
        <v>75</v>
      </c>
      <c r="F124" s="272">
        <v>13297.22</v>
      </c>
      <c r="G124" s="272">
        <f t="shared" si="2"/>
        <v>11562.8</v>
      </c>
      <c r="H124" s="272">
        <v>16747.91</v>
      </c>
      <c r="I124" s="272">
        <v>14563.4</v>
      </c>
      <c r="J124" s="272">
        <v>16785.169999999998</v>
      </c>
      <c r="K124" s="272">
        <v>14595.8</v>
      </c>
      <c r="L124" s="395">
        <f>Rate_Analysis!U1650</f>
        <v>16698.23</v>
      </c>
      <c r="M124" s="404">
        <f t="shared" si="3"/>
        <v>14520.2</v>
      </c>
      <c r="O124" s="259"/>
    </row>
    <row r="125" spans="1:15" ht="78.75" x14ac:dyDescent="0.25">
      <c r="A125" s="5">
        <v>119</v>
      </c>
      <c r="B125" s="5" t="s">
        <v>636</v>
      </c>
      <c r="C125" s="5">
        <v>1612</v>
      </c>
      <c r="D125" s="7" t="str">
        <f>description_439</f>
        <v>Providing, Boring and installing bored cast-in-situ RCC Pile excluding Reinforcement and Concrete in all types of Rock including Bentonite and other consumable and removal of excavated material with necessary lifts and lead all complete as per Drawing and Technical Specifications ., Pile diameter-1000 mm</v>
      </c>
      <c r="E125" s="5" t="s">
        <v>75</v>
      </c>
      <c r="F125" s="272">
        <v>20926.78</v>
      </c>
      <c r="G125" s="272">
        <f t="shared" si="2"/>
        <v>18197.2</v>
      </c>
      <c r="H125" s="272">
        <v>26258.639999999999</v>
      </c>
      <c r="I125" s="272">
        <v>22833.599999999999</v>
      </c>
      <c r="J125" s="272">
        <v>26376.63</v>
      </c>
      <c r="K125" s="272">
        <v>22936.2</v>
      </c>
      <c r="L125" s="395">
        <f>Rate_Analysis!U1662</f>
        <v>26265.77</v>
      </c>
      <c r="M125" s="404">
        <f t="shared" si="3"/>
        <v>22839.8</v>
      </c>
      <c r="O125" s="259"/>
    </row>
    <row r="126" spans="1:15" ht="31.5" x14ac:dyDescent="0.25">
      <c r="A126" s="5">
        <v>120</v>
      </c>
      <c r="B126" s="5" t="s">
        <v>641</v>
      </c>
      <c r="C126" s="5">
        <v>1613</v>
      </c>
      <c r="D126" s="7" t="str">
        <f>description_444</f>
        <v>Driving Vertical Steel Piles / Sheet piles excluding cost of steel complete as per Drawing and &amp; Technical Specification</v>
      </c>
      <c r="E126" s="5" t="s">
        <v>35</v>
      </c>
      <c r="F126" s="272">
        <v>16561.84</v>
      </c>
      <c r="G126" s="272">
        <f t="shared" si="2"/>
        <v>14401.6</v>
      </c>
      <c r="H126" s="272">
        <v>20999.46</v>
      </c>
      <c r="I126" s="272">
        <v>18260.400000000001</v>
      </c>
      <c r="J126" s="272">
        <v>20533.939999999999</v>
      </c>
      <c r="K126" s="272">
        <v>17855.599999999999</v>
      </c>
      <c r="L126" s="395">
        <f>Rate_Analysis!U1673</f>
        <v>20213.32</v>
      </c>
      <c r="M126" s="404">
        <f t="shared" si="3"/>
        <v>17576.8</v>
      </c>
      <c r="O126" s="259"/>
    </row>
    <row r="127" spans="1:15" ht="47.25" x14ac:dyDescent="0.25">
      <c r="A127" s="5">
        <v>121</v>
      </c>
      <c r="B127" s="5" t="s">
        <v>645</v>
      </c>
      <c r="C127" s="5" t="s">
        <v>2100</v>
      </c>
      <c r="D127" s="7" t="str">
        <f>description_564</f>
        <v>Providing , Preparing and Installing form work including necessary supports and removing after completion for foundation and footings., (Class F1 Finish), Using timber (soft wood )</v>
      </c>
      <c r="E127" s="5" t="s">
        <v>438</v>
      </c>
      <c r="F127" s="272">
        <v>787.54</v>
      </c>
      <c r="G127" s="272">
        <f t="shared" si="2"/>
        <v>684.82</v>
      </c>
      <c r="H127" s="272">
        <v>860.58</v>
      </c>
      <c r="I127" s="272">
        <v>748.33</v>
      </c>
      <c r="J127" s="272">
        <v>878.98</v>
      </c>
      <c r="K127" s="272">
        <v>764.33</v>
      </c>
      <c r="L127" s="395">
        <f>Rate_Analysis!U1686</f>
        <v>885.88</v>
      </c>
      <c r="M127" s="404">
        <f t="shared" si="3"/>
        <v>770.33</v>
      </c>
      <c r="O127" s="259"/>
    </row>
    <row r="128" spans="1:15" ht="47.25" x14ac:dyDescent="0.25">
      <c r="A128" s="5">
        <v>122</v>
      </c>
      <c r="B128" s="5" t="s">
        <v>650</v>
      </c>
      <c r="C128" s="5" t="s">
        <v>2100</v>
      </c>
      <c r="D128" s="7" t="str">
        <f>description_565</f>
        <v>Providing , Preparing and Installing form work including necessary supports and removing after completion for foundation and footings., (Class F1 Finish), Using steel</v>
      </c>
      <c r="E128" s="5" t="s">
        <v>438</v>
      </c>
      <c r="F128" s="272">
        <v>433.58</v>
      </c>
      <c r="G128" s="272">
        <f t="shared" si="2"/>
        <v>377.03</v>
      </c>
      <c r="H128" s="272">
        <v>495.13</v>
      </c>
      <c r="I128" s="272">
        <v>430.55</v>
      </c>
      <c r="J128" s="272">
        <v>522.15</v>
      </c>
      <c r="K128" s="272">
        <v>454.04</v>
      </c>
      <c r="L128" s="395">
        <f>Rate_Analysis!U1699</f>
        <v>529.91</v>
      </c>
      <c r="M128" s="404">
        <f t="shared" si="3"/>
        <v>460.79</v>
      </c>
      <c r="O128" s="259"/>
    </row>
    <row r="129" spans="1:15" ht="47.25" x14ac:dyDescent="0.25">
      <c r="A129" s="5">
        <v>123</v>
      </c>
      <c r="B129" s="5" t="s">
        <v>656</v>
      </c>
      <c r="C129" s="5" t="s">
        <v>2100</v>
      </c>
      <c r="D129" s="7" t="str">
        <f>description_566</f>
        <v>Providing , Preparing and Installing form work including necessary supports and removing after completion for walls., (Class F2 Finish), vertical plain surface, Using timber (soft wood ), Height upto 3 m</v>
      </c>
      <c r="E129" s="5" t="s">
        <v>438</v>
      </c>
      <c r="F129" s="272">
        <v>793.11</v>
      </c>
      <c r="G129" s="272">
        <f t="shared" si="2"/>
        <v>689.66</v>
      </c>
      <c r="H129" s="272">
        <v>832.14</v>
      </c>
      <c r="I129" s="272">
        <v>723.6</v>
      </c>
      <c r="J129" s="272">
        <v>854.91</v>
      </c>
      <c r="K129" s="272">
        <v>743.4</v>
      </c>
      <c r="L129" s="395">
        <f>Rate_Analysis!U1711</f>
        <v>863.77</v>
      </c>
      <c r="M129" s="404">
        <f t="shared" si="3"/>
        <v>751.1</v>
      </c>
      <c r="O129" s="259"/>
    </row>
    <row r="130" spans="1:15" ht="47.25" x14ac:dyDescent="0.25">
      <c r="A130" s="5">
        <v>124</v>
      </c>
      <c r="B130" s="5" t="s">
        <v>659</v>
      </c>
      <c r="C130" s="5" t="s">
        <v>2100</v>
      </c>
      <c r="D130" s="7" t="str">
        <f>description_567</f>
        <v>Providing , Preparing and Installing form work including necessary supports and removing after completion for walls., (Class F2 Finish), vertical plain surface, Using timber (soft wood ), Height above 3 m to 6 m</v>
      </c>
      <c r="E130" s="5" t="s">
        <v>438</v>
      </c>
      <c r="F130" s="272">
        <v>957.53</v>
      </c>
      <c r="G130" s="272">
        <f t="shared" si="2"/>
        <v>832.63</v>
      </c>
      <c r="H130" s="272">
        <v>1014.27</v>
      </c>
      <c r="I130" s="272">
        <v>881.97</v>
      </c>
      <c r="J130" s="272">
        <v>1042.33</v>
      </c>
      <c r="K130" s="272">
        <v>906.37</v>
      </c>
      <c r="L130" s="395">
        <f>Rate_Analysis!U1723</f>
        <v>1053.1400000000001</v>
      </c>
      <c r="M130" s="404">
        <f t="shared" si="3"/>
        <v>915.77</v>
      </c>
      <c r="O130" s="259"/>
    </row>
    <row r="131" spans="1:15" ht="47.25" x14ac:dyDescent="0.25">
      <c r="A131" s="5">
        <v>125</v>
      </c>
      <c r="B131" s="5" t="s">
        <v>661</v>
      </c>
      <c r="C131" s="5" t="s">
        <v>2100</v>
      </c>
      <c r="D131" s="7" t="str">
        <f>description_568</f>
        <v>Providing , Preparing and Installing form work including necessary supports and removing after completion for walls., (Class F2 Finish), vertical plain surface, Using timber (soft wood ), Height above 6 m to 9 m</v>
      </c>
      <c r="E131" s="5" t="s">
        <v>438</v>
      </c>
      <c r="F131" s="272">
        <v>1197.3800000000001</v>
      </c>
      <c r="G131" s="272">
        <f t="shared" si="2"/>
        <v>1041.2</v>
      </c>
      <c r="H131" s="272">
        <v>1283.68</v>
      </c>
      <c r="I131" s="272">
        <v>1116.24</v>
      </c>
      <c r="J131" s="272">
        <v>1321.4</v>
      </c>
      <c r="K131" s="272">
        <v>1149.04</v>
      </c>
      <c r="L131" s="395">
        <f>Rate_Analysis!U1735</f>
        <v>1335.66</v>
      </c>
      <c r="M131" s="404">
        <f t="shared" si="3"/>
        <v>1161.44</v>
      </c>
      <c r="O131" s="259"/>
    </row>
    <row r="132" spans="1:15" ht="47.25" x14ac:dyDescent="0.25">
      <c r="A132" s="5">
        <v>126</v>
      </c>
      <c r="B132" s="5" t="s">
        <v>666</v>
      </c>
      <c r="C132" s="5" t="s">
        <v>2100</v>
      </c>
      <c r="D132" s="7" t="str">
        <f>description_598</f>
        <v>Providing , Preparing and Installing form work including necessary supports and removing after completion for slab structure., Class F2 Finish, False work not included, Using timber</v>
      </c>
      <c r="E132" s="5" t="s">
        <v>438</v>
      </c>
      <c r="F132" s="272">
        <v>1027.01</v>
      </c>
      <c r="G132" s="272">
        <f t="shared" si="2"/>
        <v>893.05</v>
      </c>
      <c r="H132" s="272">
        <v>1127.47</v>
      </c>
      <c r="I132" s="272">
        <v>980.41</v>
      </c>
      <c r="J132" s="272">
        <v>1150.1199999999999</v>
      </c>
      <c r="K132" s="272">
        <v>1000.1</v>
      </c>
      <c r="L132" s="395">
        <f>Rate_Analysis!U1756</f>
        <v>1158.57</v>
      </c>
      <c r="M132" s="404">
        <f t="shared" si="3"/>
        <v>1007.45</v>
      </c>
      <c r="O132" s="259"/>
    </row>
    <row r="133" spans="1:15" ht="47.25" x14ac:dyDescent="0.25">
      <c r="A133" s="5">
        <v>127</v>
      </c>
      <c r="B133" s="5" t="s">
        <v>669</v>
      </c>
      <c r="C133" s="5" t="s">
        <v>2100</v>
      </c>
      <c r="D133" s="7" t="str">
        <f>description_600</f>
        <v>Providing , Preparing and Installing form work including necessary supports and removing after completion for slab structure., Class F2 Finish, False work not included, Using shuttering Ply</v>
      </c>
      <c r="E133" s="5" t="s">
        <v>438</v>
      </c>
      <c r="F133" s="272">
        <v>1229.24</v>
      </c>
      <c r="G133" s="272">
        <f t="shared" si="2"/>
        <v>1068.9000000000001</v>
      </c>
      <c r="H133" s="272">
        <v>1295.08</v>
      </c>
      <c r="I133" s="272">
        <v>1126.1600000000001</v>
      </c>
      <c r="J133" s="272">
        <v>1316.52</v>
      </c>
      <c r="K133" s="272">
        <v>1144.8</v>
      </c>
      <c r="L133" s="395">
        <f>Rate_Analysis!U1769</f>
        <v>1324.29</v>
      </c>
      <c r="M133" s="404">
        <f t="shared" si="3"/>
        <v>1151.56</v>
      </c>
      <c r="O133" s="259"/>
    </row>
    <row r="134" spans="1:15" ht="47.25" x14ac:dyDescent="0.25">
      <c r="A134" s="5">
        <v>128</v>
      </c>
      <c r="B134" s="5" t="s">
        <v>674</v>
      </c>
      <c r="C134" s="5" t="s">
        <v>2100</v>
      </c>
      <c r="D134" s="7" t="str">
        <f>description_599</f>
        <v>Providing , Preparing and Installing form work including necessary supports and removing after completion for slab structure., Class F2 Finish, False work not included, Using steel</v>
      </c>
      <c r="E134" s="5" t="s">
        <v>438</v>
      </c>
      <c r="F134" s="272">
        <v>365.62</v>
      </c>
      <c r="G134" s="272">
        <f t="shared" si="2"/>
        <v>317.93</v>
      </c>
      <c r="H134" s="272">
        <v>422.75</v>
      </c>
      <c r="I134" s="272">
        <v>367.61</v>
      </c>
      <c r="J134" s="272">
        <v>442.87</v>
      </c>
      <c r="K134" s="272">
        <v>385.1</v>
      </c>
      <c r="L134" s="395">
        <f>Rate_Analysis!U1781</f>
        <v>450.06</v>
      </c>
      <c r="M134" s="404">
        <f t="shared" si="3"/>
        <v>391.36</v>
      </c>
      <c r="O134" s="259"/>
    </row>
    <row r="135" spans="1:15" ht="47.25" x14ac:dyDescent="0.25">
      <c r="A135" s="5">
        <v>129</v>
      </c>
      <c r="B135" s="5" t="s">
        <v>677</v>
      </c>
      <c r="C135" s="5">
        <v>1803</v>
      </c>
      <c r="D135" s="7" t="str">
        <f>description_610</f>
        <v>Providing and assembling in position falsework for the construction of RCC superstructure and removing after completion including design &amp; drawings as per specification For Slab and Box culverts, Using timber, Height upto 2 m</v>
      </c>
      <c r="E135" s="5" t="s">
        <v>438</v>
      </c>
      <c r="F135" s="272">
        <v>2298.79</v>
      </c>
      <c r="G135" s="272">
        <f t="shared" si="2"/>
        <v>1998.95</v>
      </c>
      <c r="H135" s="272">
        <v>2557.54</v>
      </c>
      <c r="I135" s="272">
        <v>2223.9499999999998</v>
      </c>
      <c r="J135" s="272">
        <v>2640.34</v>
      </c>
      <c r="K135" s="272">
        <v>2295.9499999999998</v>
      </c>
      <c r="L135" s="395">
        <f>Rate_Analysis!U1792</f>
        <v>2672.54</v>
      </c>
      <c r="M135" s="404">
        <f t="shared" si="3"/>
        <v>2323.9499999999998</v>
      </c>
      <c r="O135" s="259"/>
    </row>
    <row r="136" spans="1:15" ht="63" x14ac:dyDescent="0.25">
      <c r="A136" s="5">
        <v>130</v>
      </c>
      <c r="B136" s="5" t="s">
        <v>680</v>
      </c>
      <c r="C136" s="5">
        <v>1803</v>
      </c>
      <c r="D136" s="7" t="str">
        <f>description_611</f>
        <v>Providing and assembling in position falsework for the construction of RCC superstructure and removing after completion including design &amp; drawings as per specification For Slab and Box culverts, Using timber, Height above 2 m to 4 m</v>
      </c>
      <c r="E136" s="5" t="s">
        <v>438</v>
      </c>
      <c r="F136" s="272">
        <v>4599.96</v>
      </c>
      <c r="G136" s="272">
        <f t="shared" si="2"/>
        <v>3999.97</v>
      </c>
      <c r="H136" s="272">
        <v>5142.76</v>
      </c>
      <c r="I136" s="272">
        <v>4471.97</v>
      </c>
      <c r="J136" s="272">
        <v>5319.86</v>
      </c>
      <c r="K136" s="272">
        <v>4625.97</v>
      </c>
      <c r="L136" s="395">
        <f>Rate_Analysis!U1803</f>
        <v>5387.71</v>
      </c>
      <c r="M136" s="404">
        <f t="shared" si="3"/>
        <v>4684.97</v>
      </c>
      <c r="O136" s="259"/>
    </row>
    <row r="137" spans="1:15" ht="63" x14ac:dyDescent="0.25">
      <c r="A137" s="5">
        <v>131</v>
      </c>
      <c r="B137" s="5" t="s">
        <v>682</v>
      </c>
      <c r="C137" s="5">
        <v>1803</v>
      </c>
      <c r="D137" s="7" t="str">
        <f>description_612</f>
        <v>Providing and assembling in position falsework for the construction of RCC superstructure and removing after completion including design &amp; drawings as per specification For Slab and Box culverts, Using timber, Height above 4 m to 6 m</v>
      </c>
      <c r="E137" s="5" t="s">
        <v>438</v>
      </c>
      <c r="F137" s="272">
        <v>6822.5</v>
      </c>
      <c r="G137" s="272">
        <f t="shared" si="2"/>
        <v>5932.61</v>
      </c>
      <c r="H137" s="272">
        <v>7649.35</v>
      </c>
      <c r="I137" s="272">
        <v>6651.61</v>
      </c>
      <c r="J137" s="272">
        <v>7920.75</v>
      </c>
      <c r="K137" s="272">
        <v>6887.61</v>
      </c>
      <c r="L137" s="395">
        <f>Rate_Analysis!U1814</f>
        <v>8024.25</v>
      </c>
      <c r="M137" s="404">
        <f t="shared" si="3"/>
        <v>6977.61</v>
      </c>
      <c r="O137" s="259"/>
    </row>
    <row r="138" spans="1:15" ht="63" x14ac:dyDescent="0.25">
      <c r="A138" s="5">
        <v>132</v>
      </c>
      <c r="B138" s="5" t="s">
        <v>684</v>
      </c>
      <c r="C138" s="5">
        <v>1803</v>
      </c>
      <c r="D138" s="7" t="str">
        <f>description_615</f>
        <v>Providing and assembling in position falsework for the construction of RCC superstructure and removing after completion including design &amp; drawings as per specification For Slab and Box culverts, Using steel, Height above 2 m to 4 m</v>
      </c>
      <c r="E138" s="5" t="s">
        <v>438</v>
      </c>
      <c r="F138" s="272">
        <v>2290.19</v>
      </c>
      <c r="G138" s="272">
        <f t="shared" si="2"/>
        <v>1991.47</v>
      </c>
      <c r="H138" s="272">
        <v>2638.27</v>
      </c>
      <c r="I138" s="272">
        <v>2294.15</v>
      </c>
      <c r="J138" s="272">
        <v>2765.64</v>
      </c>
      <c r="K138" s="272">
        <v>2404.9</v>
      </c>
      <c r="L138" s="395">
        <f>Rate_Analysis!U1826</f>
        <v>2808.19</v>
      </c>
      <c r="M138" s="404">
        <f t="shared" si="3"/>
        <v>2441.9</v>
      </c>
      <c r="O138" s="259"/>
    </row>
    <row r="139" spans="1:15" s="210" customFormat="1" ht="47.25" x14ac:dyDescent="0.25">
      <c r="A139" s="202">
        <v>133</v>
      </c>
      <c r="B139" s="202" t="s">
        <v>686</v>
      </c>
      <c r="C139" s="202">
        <v>1803</v>
      </c>
      <c r="D139" s="203" t="str">
        <f>description_614</f>
        <v>Providing and assembling in position falsework for the construction of RCC superstructure and removing after completion including design &amp; drawings as per specification For Slab and Box culverts, Using steel, Height upto 2 m</v>
      </c>
      <c r="E139" s="202" t="s">
        <v>438</v>
      </c>
      <c r="F139" s="273">
        <v>1444.79</v>
      </c>
      <c r="G139" s="273">
        <f t="shared" si="2"/>
        <v>1256.3399999999999</v>
      </c>
      <c r="H139" s="273">
        <v>1611.17</v>
      </c>
      <c r="I139" s="273">
        <v>1401.02</v>
      </c>
      <c r="J139" s="273">
        <v>1721.57</v>
      </c>
      <c r="K139" s="273">
        <v>1497.02</v>
      </c>
      <c r="L139" s="397">
        <f>Rate_Analysis!U1838</f>
        <v>1741.12</v>
      </c>
      <c r="M139" s="406">
        <f t="shared" si="3"/>
        <v>1514.02</v>
      </c>
      <c r="O139" s="259"/>
    </row>
    <row r="140" spans="1:15" ht="63" x14ac:dyDescent="0.25">
      <c r="A140" s="5">
        <v>134</v>
      </c>
      <c r="B140" s="5" t="s">
        <v>689</v>
      </c>
      <c r="C140" s="5">
        <v>1803</v>
      </c>
      <c r="D140" s="7" t="str">
        <f>description_616</f>
        <v>Providing and assembling in position falsework for the construction of RCC superstructure and removing after completion including design &amp; drawings as per specification For Slab and Box culverts, Using steel, Height above 4 m to 6 m</v>
      </c>
      <c r="E140" s="5" t="s">
        <v>438</v>
      </c>
      <c r="F140" s="272">
        <v>4130.5600000000004</v>
      </c>
      <c r="G140" s="272">
        <f t="shared" si="2"/>
        <v>3591.79</v>
      </c>
      <c r="H140" s="272">
        <v>4632.74</v>
      </c>
      <c r="I140" s="272">
        <v>4028.47</v>
      </c>
      <c r="J140" s="272">
        <v>4939.5</v>
      </c>
      <c r="K140" s="272">
        <v>4295.22</v>
      </c>
      <c r="L140" s="395">
        <f>Rate_Analysis!U1850</f>
        <v>5001.6000000000004</v>
      </c>
      <c r="M140" s="404">
        <f t="shared" si="3"/>
        <v>4349.22</v>
      </c>
      <c r="O140" s="259"/>
    </row>
    <row r="141" spans="1:15" ht="47.25" x14ac:dyDescent="0.25">
      <c r="A141" s="5">
        <v>135</v>
      </c>
      <c r="B141" s="5" t="s">
        <v>694</v>
      </c>
      <c r="C141" s="5">
        <v>1803</v>
      </c>
      <c r="D141" s="7" t="str">
        <f>description_618</f>
        <v>Providing and assembling in position falsework for the construction of RCC superstructure and removing after completion including design &amp; drawings as per specification, for RCC Beam Bridge, Using timber, Height upto 3 m</v>
      </c>
      <c r="E141" s="5" t="s">
        <v>438</v>
      </c>
      <c r="F141" s="272">
        <v>4515.5600000000004</v>
      </c>
      <c r="G141" s="272">
        <f t="shared" si="2"/>
        <v>3926.57</v>
      </c>
      <c r="H141" s="272">
        <v>4972.1099999999997</v>
      </c>
      <c r="I141" s="272">
        <v>4323.57</v>
      </c>
      <c r="J141" s="272">
        <v>5117.01</v>
      </c>
      <c r="K141" s="272">
        <v>4449.57</v>
      </c>
      <c r="L141" s="395">
        <f>Rate_Analysis!U1871</f>
        <v>5173.3599999999997</v>
      </c>
      <c r="M141" s="404">
        <f t="shared" si="3"/>
        <v>4498.57</v>
      </c>
      <c r="O141" s="259"/>
    </row>
    <row r="142" spans="1:15" ht="63" x14ac:dyDescent="0.25">
      <c r="A142" s="5">
        <v>136</v>
      </c>
      <c r="B142" s="5" t="s">
        <v>696</v>
      </c>
      <c r="C142" s="5">
        <v>1803</v>
      </c>
      <c r="D142" s="7" t="str">
        <f>description_619</f>
        <v>Providing and assembling in position falsework for the construction of RCC superstructure and removing after completion including design &amp; drawings as per specification, for RCC Beam Bridge, Using timber, Height above 3 m to 6 m</v>
      </c>
      <c r="E142" s="5" t="s">
        <v>438</v>
      </c>
      <c r="F142" s="272">
        <v>9376.1200000000008</v>
      </c>
      <c r="G142" s="272">
        <f t="shared" si="2"/>
        <v>8153.15</v>
      </c>
      <c r="H142" s="272">
        <v>10344.42</v>
      </c>
      <c r="I142" s="272">
        <v>8995.15</v>
      </c>
      <c r="J142" s="272">
        <v>10657.22</v>
      </c>
      <c r="K142" s="272">
        <v>9267.15</v>
      </c>
      <c r="L142" s="395">
        <f>Rate_Analysis!U1882</f>
        <v>10776.82</v>
      </c>
      <c r="M142" s="404">
        <f t="shared" si="3"/>
        <v>9371.15</v>
      </c>
      <c r="O142" s="259"/>
    </row>
    <row r="143" spans="1:15" ht="63" x14ac:dyDescent="0.25">
      <c r="A143" s="5">
        <v>137</v>
      </c>
      <c r="B143" s="5" t="s">
        <v>698</v>
      </c>
      <c r="C143" s="5">
        <v>1803</v>
      </c>
      <c r="D143" s="7" t="str">
        <f>description_620</f>
        <v>Providing and assembling in position falsework for the construction of RCC superstructure and removing after completion including design &amp; drawings as per specification, for RCC Beam Bridge, Using timber, Height above 6 m to 9 m</v>
      </c>
      <c r="E143" s="5" t="s">
        <v>438</v>
      </c>
      <c r="F143" s="272">
        <v>14824.66</v>
      </c>
      <c r="G143" s="272">
        <f t="shared" ref="G143:G206" si="4">ROUND(F143/1.15,2)</f>
        <v>12891.01</v>
      </c>
      <c r="H143" s="272">
        <v>16275.96</v>
      </c>
      <c r="I143" s="272">
        <v>14153.01</v>
      </c>
      <c r="J143" s="272">
        <v>16747.46</v>
      </c>
      <c r="K143" s="272">
        <v>14563.01</v>
      </c>
      <c r="L143" s="395">
        <f>Rate_Analysis!U1893</f>
        <v>16925.71</v>
      </c>
      <c r="M143" s="404">
        <f t="shared" ref="M143:M206" si="5">ROUND(L143/1.15,2)</f>
        <v>14718.01</v>
      </c>
      <c r="O143" s="259"/>
    </row>
    <row r="144" spans="1:15" ht="47.25" x14ac:dyDescent="0.25">
      <c r="A144" s="5">
        <v>138</v>
      </c>
      <c r="B144" s="5" t="s">
        <v>700</v>
      </c>
      <c r="C144" s="5">
        <v>1803</v>
      </c>
      <c r="D144" s="7" t="str">
        <f>description_623</f>
        <v>Providing and assembling in position falsework for the construction of RCC superstructure and removing after completion including design &amp; drawings as per specification, for RCC Beam Bridge, Using steel, Height above 3 m to 6m</v>
      </c>
      <c r="E144" s="5" t="s">
        <v>438</v>
      </c>
      <c r="F144" s="272">
        <v>4846.95</v>
      </c>
      <c r="G144" s="272">
        <f t="shared" si="4"/>
        <v>4214.74</v>
      </c>
      <c r="H144" s="272">
        <v>5453.78</v>
      </c>
      <c r="I144" s="272">
        <v>4742.42</v>
      </c>
      <c r="J144" s="272">
        <v>5805.68</v>
      </c>
      <c r="K144" s="272">
        <v>5048.42</v>
      </c>
      <c r="L144" s="395">
        <f>Rate_Analysis!U1905</f>
        <v>5881.01</v>
      </c>
      <c r="M144" s="404">
        <f t="shared" si="5"/>
        <v>5113.92</v>
      </c>
      <c r="O144" s="259"/>
    </row>
    <row r="145" spans="1:15" ht="47.25" x14ac:dyDescent="0.25">
      <c r="A145" s="5">
        <v>139</v>
      </c>
      <c r="B145" s="5" t="s">
        <v>702</v>
      </c>
      <c r="C145" s="5">
        <v>1803</v>
      </c>
      <c r="D145" s="7" t="str">
        <f>description_622</f>
        <v>Providing and assembling in position falsework for the construction of RCC superstructure and removing after completion including design &amp; drawings as per specification, for RCC Beam Bridge, Using steel, Height upto 3 m</v>
      </c>
      <c r="E145" s="5" t="s">
        <v>438</v>
      </c>
      <c r="F145" s="272">
        <v>2327.88</v>
      </c>
      <c r="G145" s="272">
        <f t="shared" si="4"/>
        <v>2024.24</v>
      </c>
      <c r="H145" s="272">
        <v>2616.73</v>
      </c>
      <c r="I145" s="272">
        <v>2275.42</v>
      </c>
      <c r="J145" s="272">
        <v>2784.06</v>
      </c>
      <c r="K145" s="272">
        <v>2420.92</v>
      </c>
      <c r="L145" s="395">
        <f>Rate_Analysis!U1917</f>
        <v>2819.13</v>
      </c>
      <c r="M145" s="404">
        <f t="shared" si="5"/>
        <v>2451.42</v>
      </c>
      <c r="O145" s="259"/>
    </row>
    <row r="146" spans="1:15" ht="51" customHeight="1" x14ac:dyDescent="0.25">
      <c r="A146" s="5">
        <v>140</v>
      </c>
      <c r="B146" s="5" t="s">
        <v>706</v>
      </c>
      <c r="C146" s="5">
        <v>1902</v>
      </c>
      <c r="D146" s="7" t="str">
        <f>description_637</f>
        <v>Supplying, fitting and fixing in position true to line and level elastomeric bearing  including all accessories as per Drawing and Technical Specifications.</v>
      </c>
      <c r="E146" s="5" t="s">
        <v>1875</v>
      </c>
      <c r="F146" s="272">
        <v>2223.9299999999998</v>
      </c>
      <c r="G146" s="272">
        <f t="shared" si="4"/>
        <v>1933.85</v>
      </c>
      <c r="H146" s="272">
        <v>2240.4</v>
      </c>
      <c r="I146" s="272">
        <v>1948.17</v>
      </c>
      <c r="J146" s="272">
        <v>2245.79</v>
      </c>
      <c r="K146" s="272">
        <v>1952.86</v>
      </c>
      <c r="L146" s="395">
        <f>Rate_Analysis!U1928</f>
        <v>2247.89</v>
      </c>
      <c r="M146" s="404">
        <f t="shared" si="5"/>
        <v>1954.69</v>
      </c>
      <c r="O146" s="259"/>
    </row>
    <row r="147" spans="1:15" ht="63" x14ac:dyDescent="0.25">
      <c r="A147" s="5">
        <v>141</v>
      </c>
      <c r="B147" s="5" t="s">
        <v>712</v>
      </c>
      <c r="C147" s="5">
        <v>1901</v>
      </c>
      <c r="D147" s="7" t="str">
        <f>description_641</f>
        <v xml:space="preserve">Elastomeric Slab Steel Expansion Joint, Providing and laying of an elastomeric slab steel expansion joint, catering to right or skew (less than 20 deg., moderately curved with maximum horizontal movement upto 50 mm, complete as per Drawings and Technical specifications </v>
      </c>
      <c r="E147" s="5" t="s">
        <v>75</v>
      </c>
      <c r="F147" s="272">
        <v>23390.81</v>
      </c>
      <c r="G147" s="272">
        <f t="shared" si="4"/>
        <v>20339.830000000002</v>
      </c>
      <c r="H147" s="272">
        <v>23417.16</v>
      </c>
      <c r="I147" s="272">
        <v>20362.75</v>
      </c>
      <c r="J147" s="272">
        <v>23425.79</v>
      </c>
      <c r="K147" s="272">
        <v>20370.25</v>
      </c>
      <c r="L147" s="395">
        <f>Rate_Analysis!U1939</f>
        <v>23429.14</v>
      </c>
      <c r="M147" s="404">
        <f t="shared" si="5"/>
        <v>20373.169999999998</v>
      </c>
      <c r="O147" s="259"/>
    </row>
    <row r="148" spans="1:15" ht="47.25" x14ac:dyDescent="0.25">
      <c r="A148" s="5">
        <v>142</v>
      </c>
      <c r="B148" s="5" t="s">
        <v>716</v>
      </c>
      <c r="C148" s="5">
        <v>1901</v>
      </c>
      <c r="D148" s="7" t="str">
        <f>description_643</f>
        <v>Strip Seal Expansion Joint, Providing and laying of a strip seal expansion joint catering to maximum horizontal movement upto 70 mm, complete as per approved Drawings and Technical specifications.</v>
      </c>
      <c r="E148" s="5" t="s">
        <v>75</v>
      </c>
      <c r="F148" s="272">
        <v>11268.08</v>
      </c>
      <c r="G148" s="272">
        <f t="shared" si="4"/>
        <v>9798.33</v>
      </c>
      <c r="H148" s="272">
        <v>11848.74</v>
      </c>
      <c r="I148" s="272">
        <v>10303.25</v>
      </c>
      <c r="J148" s="272">
        <v>11857.36</v>
      </c>
      <c r="K148" s="272">
        <v>10310.75</v>
      </c>
      <c r="L148" s="395">
        <f>Rate_Analysis!U1950</f>
        <v>12858.92</v>
      </c>
      <c r="M148" s="404">
        <f t="shared" si="5"/>
        <v>11181.67</v>
      </c>
      <c r="O148" s="259"/>
    </row>
    <row r="149" spans="1:15" s="210" customFormat="1" ht="31.5" x14ac:dyDescent="0.25">
      <c r="A149" s="202">
        <v>143</v>
      </c>
      <c r="B149" s="202" t="s">
        <v>727</v>
      </c>
      <c r="C149" s="202">
        <v>2000</v>
      </c>
      <c r="D149" s="203" t="str">
        <f>description_1</f>
        <v>Providing and laying of Plain Cement Concrete M 10 ( or 1:3:6 for nominal mix) in Foundation complete as per Drawing and Technical Specifications.</v>
      </c>
      <c r="E149" s="202" t="s">
        <v>84</v>
      </c>
      <c r="F149" s="273">
        <v>11607</v>
      </c>
      <c r="G149" s="273">
        <f t="shared" si="4"/>
        <v>10093.040000000001</v>
      </c>
      <c r="H149" s="273">
        <v>11271.15</v>
      </c>
      <c r="I149" s="273">
        <v>9801</v>
      </c>
      <c r="J149" s="273">
        <v>10424.35</v>
      </c>
      <c r="K149" s="273">
        <v>9064.65</v>
      </c>
      <c r="L149" s="395">
        <f>Rate_Analysis!U1976</f>
        <v>10721.12</v>
      </c>
      <c r="M149" s="404">
        <f t="shared" si="5"/>
        <v>9322.7099999999991</v>
      </c>
      <c r="O149" s="259"/>
    </row>
    <row r="150" spans="1:15" s="210" customFormat="1" ht="47.25" x14ac:dyDescent="0.25">
      <c r="A150" s="202">
        <v>144</v>
      </c>
      <c r="B150" s="202" t="s">
        <v>730</v>
      </c>
      <c r="C150" s="202">
        <v>2000</v>
      </c>
      <c r="D150" s="203" t="str">
        <f>description_2</f>
        <v>Providing and laying of Plain Cement Concrete M 10 ( or 1:3:6 for nominal mix) in Foundation complete as per Drawing and Technical Specifications., Manual Mixing</v>
      </c>
      <c r="E150" s="202" t="s">
        <v>84</v>
      </c>
      <c r="F150" s="273">
        <v>11585.23</v>
      </c>
      <c r="G150" s="273">
        <f t="shared" si="4"/>
        <v>10074.11</v>
      </c>
      <c r="H150" s="273">
        <v>11506.9</v>
      </c>
      <c r="I150" s="273">
        <v>10006</v>
      </c>
      <c r="J150" s="273">
        <v>10742.13</v>
      </c>
      <c r="K150" s="273">
        <v>9340.98</v>
      </c>
      <c r="L150" s="395">
        <f>Rate_Analysis!U1989</f>
        <v>11075.63</v>
      </c>
      <c r="M150" s="404">
        <f t="shared" si="5"/>
        <v>9630.98</v>
      </c>
      <c r="O150" s="259"/>
    </row>
    <row r="151" spans="1:15" s="210" customFormat="1" ht="31.5" x14ac:dyDescent="0.25">
      <c r="A151" s="202">
        <v>145</v>
      </c>
      <c r="B151" s="202" t="s">
        <v>732</v>
      </c>
      <c r="C151" s="202">
        <v>2000</v>
      </c>
      <c r="D151" s="203" t="str">
        <f>description_3</f>
        <v>Providing and laying of Plain/Reinforced Cement Concrete in Foundation complete as per Drawing and Technical Specifications, PCC Grade M 15</v>
      </c>
      <c r="E151" s="202" t="s">
        <v>84</v>
      </c>
      <c r="F151" s="273">
        <v>13439.07</v>
      </c>
      <c r="G151" s="273">
        <f t="shared" si="4"/>
        <v>11686.15</v>
      </c>
      <c r="H151" s="273">
        <v>13150.6</v>
      </c>
      <c r="I151" s="273">
        <v>11435.3</v>
      </c>
      <c r="J151" s="273">
        <v>12229.68</v>
      </c>
      <c r="K151" s="273">
        <v>10634.5</v>
      </c>
      <c r="L151" s="395">
        <f>Rate_Analysis!U2004</f>
        <v>12609.13</v>
      </c>
      <c r="M151" s="404">
        <f t="shared" si="5"/>
        <v>10964.46</v>
      </c>
      <c r="O151" s="259"/>
    </row>
    <row r="152" spans="1:15" s="210" customFormat="1" ht="47.25" x14ac:dyDescent="0.25">
      <c r="A152" s="202">
        <v>146</v>
      </c>
      <c r="B152" s="202" t="s">
        <v>737</v>
      </c>
      <c r="C152" s="202">
        <v>2000</v>
      </c>
      <c r="D152" s="203" t="str">
        <f>description_4</f>
        <v>Providing and laying of Plain/Reinforced Cement Concrete in Foundation complete as per Drawing and Technical Specifications, PCC Grade M 15, Manual Mixing</v>
      </c>
      <c r="E152" s="202" t="s">
        <v>84</v>
      </c>
      <c r="F152" s="273">
        <v>13696.69</v>
      </c>
      <c r="G152" s="273">
        <f t="shared" si="4"/>
        <v>11910.17</v>
      </c>
      <c r="H152" s="273">
        <v>13720.5</v>
      </c>
      <c r="I152" s="273">
        <v>11930.87</v>
      </c>
      <c r="J152" s="273">
        <v>12902.43</v>
      </c>
      <c r="K152" s="273">
        <v>11219.5</v>
      </c>
      <c r="L152" s="395">
        <f>Rate_Analysis!U2019</f>
        <v>13325.65</v>
      </c>
      <c r="M152" s="404">
        <f t="shared" si="5"/>
        <v>11587.52</v>
      </c>
      <c r="O152" s="259"/>
    </row>
    <row r="153" spans="1:15" s="210" customFormat="1" ht="31.5" hidden="1" x14ac:dyDescent="0.25">
      <c r="A153" s="202">
        <v>147</v>
      </c>
      <c r="B153" s="202" t="s">
        <v>739</v>
      </c>
      <c r="C153" s="202">
        <v>2000</v>
      </c>
      <c r="D153" s="203" t="str">
        <f>description_5</f>
        <v>Providing and laying of Plain/Reinforced Cement Concrete in Foundation complete as per Drawing and Technical Specifications, PCC Grade M 20</v>
      </c>
      <c r="E153" s="202" t="s">
        <v>84</v>
      </c>
      <c r="F153" s="273">
        <v>14764.72</v>
      </c>
      <c r="G153" s="273">
        <f t="shared" si="4"/>
        <v>12838.89</v>
      </c>
      <c r="H153" s="273">
        <v>14308.9</v>
      </c>
      <c r="I153" s="273">
        <v>12442.52</v>
      </c>
      <c r="J153" s="273">
        <v>13240.86</v>
      </c>
      <c r="K153" s="273">
        <v>11513.79</v>
      </c>
      <c r="L153" s="395">
        <f>Rate_Analysis!U2034</f>
        <v>13710.65</v>
      </c>
      <c r="M153" s="404">
        <f t="shared" si="5"/>
        <v>11922.3</v>
      </c>
      <c r="O153" s="259"/>
    </row>
    <row r="154" spans="1:15" s="210" customFormat="1" ht="31.5" x14ac:dyDescent="0.25">
      <c r="A154" s="202">
        <v>148</v>
      </c>
      <c r="B154" s="202" t="s">
        <v>741</v>
      </c>
      <c r="C154" s="202">
        <v>2000</v>
      </c>
      <c r="D154" s="203" t="str">
        <f>description_6</f>
        <v>Providing and laying of Plain/Reinforced Cement Concrete in Foundation complete as per Drawing and Technical Specifications., RCC Grade M 20</v>
      </c>
      <c r="E154" s="202" t="s">
        <v>84</v>
      </c>
      <c r="F154" s="273">
        <v>14746.96</v>
      </c>
      <c r="G154" s="273">
        <f t="shared" si="4"/>
        <v>12823.44</v>
      </c>
      <c r="H154" s="273">
        <v>14320.07</v>
      </c>
      <c r="I154" s="273">
        <v>12452.23</v>
      </c>
      <c r="J154" s="273">
        <v>13326.4</v>
      </c>
      <c r="K154" s="273">
        <v>11588.17</v>
      </c>
      <c r="L154" s="395">
        <f>Rate_Analysis!U2048</f>
        <v>13800.58</v>
      </c>
      <c r="M154" s="404">
        <f t="shared" si="5"/>
        <v>12000.5</v>
      </c>
      <c r="O154" s="259"/>
    </row>
    <row r="155" spans="1:15" s="210" customFormat="1" ht="31.5" hidden="1" x14ac:dyDescent="0.25">
      <c r="A155" s="202">
        <v>149</v>
      </c>
      <c r="B155" s="202" t="s">
        <v>744</v>
      </c>
      <c r="C155" s="202">
        <v>2000</v>
      </c>
      <c r="D155" s="203" t="str">
        <f>description_7</f>
        <v>Providing and laying of Plain/Reinforced Cement Concrete in Foundation complete as per Drawing and Technical Specifications., PCC Grade M 25</v>
      </c>
      <c r="E155" s="202" t="s">
        <v>84</v>
      </c>
      <c r="F155" s="273">
        <v>16116.76</v>
      </c>
      <c r="G155" s="273">
        <f t="shared" si="4"/>
        <v>14014.57</v>
      </c>
      <c r="H155" s="273">
        <v>15733.31</v>
      </c>
      <c r="I155" s="273">
        <v>13681.14</v>
      </c>
      <c r="J155" s="273">
        <v>14515.99</v>
      </c>
      <c r="K155" s="273">
        <v>12622.6</v>
      </c>
      <c r="L155" s="395">
        <f>Rate_Analysis!U2064</f>
        <v>15057.27</v>
      </c>
      <c r="M155" s="404">
        <f t="shared" si="5"/>
        <v>13093.28</v>
      </c>
      <c r="O155" s="259"/>
    </row>
    <row r="156" spans="1:15" s="210" customFormat="1" ht="31.5" x14ac:dyDescent="0.25">
      <c r="A156" s="202">
        <v>150</v>
      </c>
      <c r="B156" s="202" t="s">
        <v>748</v>
      </c>
      <c r="C156" s="202">
        <v>2000</v>
      </c>
      <c r="D156" s="203" t="str">
        <f>description_8</f>
        <v>Providing and laying of Plain/Reinforced Cement Concrete in Foundation complete as per Drawing and Technical Specifications., RCC Grade M 25</v>
      </c>
      <c r="E156" s="202" t="s">
        <v>84</v>
      </c>
      <c r="F156" s="273">
        <v>16153.85</v>
      </c>
      <c r="G156" s="273">
        <f t="shared" si="4"/>
        <v>14046.83</v>
      </c>
      <c r="H156" s="273">
        <v>15798.82</v>
      </c>
      <c r="I156" s="273">
        <v>13738.1</v>
      </c>
      <c r="J156" s="273">
        <v>14651.11</v>
      </c>
      <c r="K156" s="273">
        <v>12740.1</v>
      </c>
      <c r="L156" s="395">
        <f>Rate_Analysis!U2079</f>
        <v>15198.96</v>
      </c>
      <c r="M156" s="404">
        <f t="shared" si="5"/>
        <v>13216.49</v>
      </c>
      <c r="O156" s="259"/>
    </row>
    <row r="157" spans="1:15" s="210" customFormat="1" ht="31.5" x14ac:dyDescent="0.25">
      <c r="A157" s="202">
        <v>151</v>
      </c>
      <c r="B157" s="202" t="s">
        <v>751</v>
      </c>
      <c r="C157" s="202">
        <v>2000</v>
      </c>
      <c r="D157" s="203" t="str">
        <f>description_10</f>
        <v>Providing and laying of Plain/Reinforced Cement Concrete in Foundation complete as per Drawing and Technical Specifications., RCC Grade M30</v>
      </c>
      <c r="E157" s="202" t="s">
        <v>84</v>
      </c>
      <c r="F157" s="273">
        <v>16144.03</v>
      </c>
      <c r="G157" s="273">
        <f t="shared" si="4"/>
        <v>14038.29</v>
      </c>
      <c r="H157" s="273">
        <v>15783.55</v>
      </c>
      <c r="I157" s="273">
        <v>13724.83</v>
      </c>
      <c r="J157" s="273">
        <v>14632.23</v>
      </c>
      <c r="K157" s="273">
        <v>12723.68</v>
      </c>
      <c r="L157" s="395">
        <f>Rate_Analysis!U2094</f>
        <v>15181.81</v>
      </c>
      <c r="M157" s="404">
        <f t="shared" si="5"/>
        <v>13201.57</v>
      </c>
      <c r="O157" s="259"/>
    </row>
    <row r="158" spans="1:15" s="210" customFormat="1" ht="31.5" x14ac:dyDescent="0.25">
      <c r="A158" s="202">
        <v>152</v>
      </c>
      <c r="B158" s="202" t="s">
        <v>754</v>
      </c>
      <c r="C158" s="202">
        <v>2000</v>
      </c>
      <c r="D158" s="203" t="str">
        <f>description_11</f>
        <v>Providing and laying of Plain/Reinforced Cement Concrete in Foundation complete as per Drawing and Technical Specifications., RCC Grade M 35</v>
      </c>
      <c r="E158" s="202" t="s">
        <v>84</v>
      </c>
      <c r="F158" s="273">
        <v>16376.62</v>
      </c>
      <c r="G158" s="273">
        <f t="shared" si="4"/>
        <v>14240.54</v>
      </c>
      <c r="H158" s="273">
        <v>15985.09</v>
      </c>
      <c r="I158" s="273">
        <v>13900.08</v>
      </c>
      <c r="J158" s="273">
        <v>14797.56</v>
      </c>
      <c r="K158" s="273">
        <v>12867.44</v>
      </c>
      <c r="L158" s="395">
        <f>Rate_Analysis!U2109</f>
        <v>15364.46</v>
      </c>
      <c r="M158" s="404">
        <f t="shared" si="5"/>
        <v>13360.4</v>
      </c>
      <c r="O158" s="259"/>
    </row>
    <row r="159" spans="1:15" ht="47.25" hidden="1" x14ac:dyDescent="0.25">
      <c r="A159" s="5">
        <v>153</v>
      </c>
      <c r="B159" s="5" t="s">
        <v>757</v>
      </c>
      <c r="C159" s="5">
        <v>2000</v>
      </c>
      <c r="D159" s="7" t="str">
        <f>description_13</f>
        <v>Providing and laying of Plain/Reinforced cement concrete in sub-structure complete as per drawing and Technical Specifications, PCC Grade M 15, Height upto 5 m</v>
      </c>
      <c r="E159" s="5" t="s">
        <v>84</v>
      </c>
      <c r="F159" s="272">
        <v>14214.4</v>
      </c>
      <c r="G159" s="272">
        <f t="shared" si="4"/>
        <v>12360.35</v>
      </c>
      <c r="H159" s="272">
        <v>13909.29</v>
      </c>
      <c r="I159" s="272">
        <v>12095.03</v>
      </c>
      <c r="J159" s="272">
        <v>12935.24</v>
      </c>
      <c r="K159" s="272">
        <v>11248.03</v>
      </c>
      <c r="L159" s="395">
        <f>Rate_Analysis!U2125</f>
        <v>13336.58</v>
      </c>
      <c r="M159" s="404">
        <f t="shared" si="5"/>
        <v>11597.03</v>
      </c>
      <c r="O159" s="259"/>
    </row>
    <row r="160" spans="1:15" s="210" customFormat="1" ht="47.25" hidden="1" x14ac:dyDescent="0.25">
      <c r="A160" s="202">
        <v>154</v>
      </c>
      <c r="B160" s="202" t="s">
        <v>761</v>
      </c>
      <c r="C160" s="202">
        <v>2000</v>
      </c>
      <c r="D160" s="203" t="str">
        <f>description_14</f>
        <v>Providing and laying of Plain/Reinforced cement concrete in sub-structure complete as per drawing and Technical Specifications, PCC Grade M20, Height upto 5 m</v>
      </c>
      <c r="E160" s="202" t="s">
        <v>84</v>
      </c>
      <c r="F160" s="273">
        <v>15616.53</v>
      </c>
      <c r="G160" s="273">
        <f t="shared" si="4"/>
        <v>13579.59</v>
      </c>
      <c r="H160" s="273">
        <v>15134.42</v>
      </c>
      <c r="I160" s="273">
        <v>13160.37</v>
      </c>
      <c r="J160" s="273">
        <v>14004.76</v>
      </c>
      <c r="K160" s="273">
        <v>12178.05</v>
      </c>
      <c r="L160" s="395">
        <f>Rate_Analysis!U2140</f>
        <v>14501.65</v>
      </c>
      <c r="M160" s="404">
        <f t="shared" si="5"/>
        <v>12610.13</v>
      </c>
      <c r="O160" s="259"/>
    </row>
    <row r="161" spans="1:15" s="210" customFormat="1" ht="47.25" hidden="1" x14ac:dyDescent="0.25">
      <c r="A161" s="202">
        <v>155</v>
      </c>
      <c r="B161" s="202" t="s">
        <v>765</v>
      </c>
      <c r="C161" s="202">
        <v>2000</v>
      </c>
      <c r="D161" s="203" t="str">
        <f>description_15</f>
        <v>Providing and laying of Plain/Reinforced cement concrete in sub-structure complete as per drawing and Technical Specifications, PCC Grade M 25, Height upto 5 m</v>
      </c>
      <c r="E161" s="202" t="s">
        <v>84</v>
      </c>
      <c r="F161" s="273">
        <v>17087.64</v>
      </c>
      <c r="G161" s="273">
        <f t="shared" si="4"/>
        <v>14858.82</v>
      </c>
      <c r="H161" s="273">
        <v>16681.099999999999</v>
      </c>
      <c r="I161" s="273">
        <v>14505.3</v>
      </c>
      <c r="J161" s="273">
        <v>15390.45</v>
      </c>
      <c r="K161" s="273">
        <v>13383</v>
      </c>
      <c r="L161" s="395">
        <f>Rate_Analysis!U2156</f>
        <v>15964.33</v>
      </c>
      <c r="M161" s="404">
        <f t="shared" si="5"/>
        <v>13882.03</v>
      </c>
      <c r="O161" s="259"/>
    </row>
    <row r="162" spans="1:15" ht="47.25" hidden="1" x14ac:dyDescent="0.25">
      <c r="A162" s="5">
        <v>156</v>
      </c>
      <c r="B162" s="5" t="s">
        <v>768</v>
      </c>
      <c r="C162" s="5">
        <v>2000</v>
      </c>
      <c r="D162" s="7" t="str">
        <f>description_16</f>
        <v>Providing and laying of Plain/Reinforced cement concrete in sub-structure complete as per drawing and Technical Specifications, PCC Grade M 25, Height above 5 m to 10 m</v>
      </c>
      <c r="E162" s="5" t="s">
        <v>84</v>
      </c>
      <c r="F162" s="272">
        <v>17709.009999999998</v>
      </c>
      <c r="G162" s="272">
        <f t="shared" si="4"/>
        <v>15399.14</v>
      </c>
      <c r="H162" s="272">
        <v>17287.68</v>
      </c>
      <c r="I162" s="272">
        <v>15032.77</v>
      </c>
      <c r="J162" s="272">
        <v>15950.1</v>
      </c>
      <c r="K162" s="272">
        <v>13869.65</v>
      </c>
      <c r="L162" s="395">
        <f>Rate_Analysis!U2172</f>
        <v>16544.86</v>
      </c>
      <c r="M162" s="404">
        <f t="shared" si="5"/>
        <v>14386.83</v>
      </c>
      <c r="O162" s="259"/>
    </row>
    <row r="163" spans="1:15" ht="47.25" hidden="1" x14ac:dyDescent="0.25">
      <c r="A163" s="5">
        <v>157</v>
      </c>
      <c r="B163" s="5" t="s">
        <v>773</v>
      </c>
      <c r="C163" s="5">
        <v>2000</v>
      </c>
      <c r="D163" s="7" t="str">
        <f>description_17</f>
        <v>Providing and laying of Plain/Reinforced cement concrete in sub-structure complete as per drawing and Technical Specifications, PCC Grade M 25, Height above 10 m</v>
      </c>
      <c r="E163" s="5" t="s">
        <v>84</v>
      </c>
      <c r="F163" s="272">
        <v>18485.72</v>
      </c>
      <c r="G163" s="272">
        <f t="shared" si="4"/>
        <v>16074.54</v>
      </c>
      <c r="H163" s="272">
        <v>18045.91</v>
      </c>
      <c r="I163" s="272">
        <v>15692.1</v>
      </c>
      <c r="J163" s="272">
        <v>16649.66</v>
      </c>
      <c r="K163" s="272">
        <v>14477.97</v>
      </c>
      <c r="L163" s="395">
        <f>Rate_Analysis!U2188</f>
        <v>17270.509999999998</v>
      </c>
      <c r="M163" s="404">
        <f t="shared" si="5"/>
        <v>15017.83</v>
      </c>
      <c r="O163" s="259"/>
    </row>
    <row r="164" spans="1:15" ht="47.25" hidden="1" x14ac:dyDescent="0.25">
      <c r="A164" s="5">
        <v>158</v>
      </c>
      <c r="B164" s="5" t="s">
        <v>777</v>
      </c>
      <c r="C164" s="5">
        <v>2000</v>
      </c>
      <c r="D164" s="7" t="str">
        <f>description_18</f>
        <v>Providing and laying of Plain/Reinforced cement concrete in sub-structure complete as per drawing and Technical Specifications, PCC Grade M 30, Height upto 5 m</v>
      </c>
      <c r="E164" s="5" t="s">
        <v>84</v>
      </c>
      <c r="F164" s="272">
        <v>19986.27</v>
      </c>
      <c r="G164" s="272">
        <f t="shared" si="4"/>
        <v>17379.37</v>
      </c>
      <c r="H164" s="272">
        <v>21707.25</v>
      </c>
      <c r="I164" s="272">
        <v>18875.87</v>
      </c>
      <c r="J164" s="272">
        <v>20399.14</v>
      </c>
      <c r="K164" s="272">
        <v>17738.38</v>
      </c>
      <c r="L164" s="395">
        <f>Rate_Analysis!U2204</f>
        <v>20981.38</v>
      </c>
      <c r="M164" s="404">
        <f t="shared" si="5"/>
        <v>18244.68</v>
      </c>
      <c r="O164" s="259"/>
    </row>
    <row r="165" spans="1:15" ht="47.25" hidden="1" x14ac:dyDescent="0.25">
      <c r="A165" s="5">
        <v>159</v>
      </c>
      <c r="B165" s="5" t="s">
        <v>780</v>
      </c>
      <c r="C165" s="5">
        <v>2000</v>
      </c>
      <c r="D165" s="7" t="str">
        <f>description_19</f>
        <v>Providing and laying of Plain/Reinforced cement concrete in sub-structure complete as per drawing and Technical Specifications, PCC Grade M 30, Height above 5 m to 10 m</v>
      </c>
      <c r="E165" s="5" t="s">
        <v>84</v>
      </c>
      <c r="F165" s="272">
        <v>20713.04</v>
      </c>
      <c r="G165" s="272">
        <f t="shared" si="4"/>
        <v>18011.34</v>
      </c>
      <c r="H165" s="272">
        <v>22496.6</v>
      </c>
      <c r="I165" s="272">
        <v>19562.259999999998</v>
      </c>
      <c r="J165" s="272">
        <v>21140.93</v>
      </c>
      <c r="K165" s="272">
        <v>18383.419999999998</v>
      </c>
      <c r="L165" s="395">
        <f>Rate_Analysis!U2220</f>
        <v>21744.34</v>
      </c>
      <c r="M165" s="404">
        <f t="shared" si="5"/>
        <v>18908.12</v>
      </c>
      <c r="O165" s="259"/>
    </row>
    <row r="166" spans="1:15" ht="47.25" hidden="1" x14ac:dyDescent="0.25">
      <c r="A166" s="5">
        <v>160</v>
      </c>
      <c r="B166" s="5" t="s">
        <v>782</v>
      </c>
      <c r="C166" s="5">
        <v>2000</v>
      </c>
      <c r="D166" s="7" t="str">
        <f>description_20</f>
        <v>Providing and laying of Plain/Reinforced cement concrete in sub-structure complete as per drawing and Technical Specifications, PCC Grade M 30, Height above 10 m</v>
      </c>
      <c r="E166" s="5" t="s">
        <v>84</v>
      </c>
      <c r="F166" s="272">
        <v>21621.51</v>
      </c>
      <c r="G166" s="272">
        <f t="shared" si="4"/>
        <v>18801.310000000001</v>
      </c>
      <c r="H166" s="272">
        <v>23483.3</v>
      </c>
      <c r="I166" s="272">
        <v>20420.259999999998</v>
      </c>
      <c r="J166" s="272">
        <v>22068.16</v>
      </c>
      <c r="K166" s="272">
        <v>19189.7</v>
      </c>
      <c r="L166" s="395">
        <f>Rate_Analysis!U2236</f>
        <v>22698.04</v>
      </c>
      <c r="M166" s="404">
        <f t="shared" si="5"/>
        <v>19737.43</v>
      </c>
      <c r="O166" s="259"/>
    </row>
    <row r="167" spans="1:15" s="210" customFormat="1" ht="47.25" hidden="1" x14ac:dyDescent="0.25">
      <c r="A167" s="202">
        <v>161</v>
      </c>
      <c r="B167" s="202" t="s">
        <v>784</v>
      </c>
      <c r="C167" s="202">
        <v>2000</v>
      </c>
      <c r="D167" s="203" t="str">
        <f>description_21</f>
        <v>Providing and laying of Plain/Reinforced cement concrete in sub-structure complete as per drawing and Technical Specifications, RCC Grade M 20, Height upto 5 m</v>
      </c>
      <c r="E167" s="202" t="s">
        <v>84</v>
      </c>
      <c r="F167" s="273">
        <v>15597.74</v>
      </c>
      <c r="G167" s="273">
        <f t="shared" si="4"/>
        <v>13563.25</v>
      </c>
      <c r="H167" s="273">
        <v>15146.22</v>
      </c>
      <c r="I167" s="273">
        <v>13170.63</v>
      </c>
      <c r="J167" s="273">
        <v>14095.23</v>
      </c>
      <c r="K167" s="273">
        <v>12256.72</v>
      </c>
      <c r="L167" s="397">
        <f>Rate_Analysis!U2250</f>
        <v>14596.76</v>
      </c>
      <c r="M167" s="406">
        <f t="shared" si="5"/>
        <v>12692.83</v>
      </c>
      <c r="O167" s="259"/>
    </row>
    <row r="168" spans="1:15" s="210" customFormat="1" ht="47.25" hidden="1" x14ac:dyDescent="0.25">
      <c r="A168" s="202">
        <v>162</v>
      </c>
      <c r="B168" s="202" t="s">
        <v>787</v>
      </c>
      <c r="C168" s="202">
        <v>2000</v>
      </c>
      <c r="D168" s="203" t="str">
        <f>description_22</f>
        <v>Providing and laying of Plain/Reinforced cement concrete in sub-structure complete as per drawing and Technical Specifications, RCC Grade M 20, Height above 5 m to 10 m</v>
      </c>
      <c r="E168" s="202" t="s">
        <v>84</v>
      </c>
      <c r="F168" s="273">
        <v>16164.93</v>
      </c>
      <c r="G168" s="273">
        <f t="shared" si="4"/>
        <v>14056.46</v>
      </c>
      <c r="H168" s="273">
        <v>15697</v>
      </c>
      <c r="I168" s="273">
        <v>13649.57</v>
      </c>
      <c r="J168" s="273">
        <v>14607.79</v>
      </c>
      <c r="K168" s="273">
        <v>12702.43</v>
      </c>
      <c r="L168" s="397">
        <f>Rate_Analysis!U2264</f>
        <v>15127.55</v>
      </c>
      <c r="M168" s="406">
        <f t="shared" si="5"/>
        <v>13154.39</v>
      </c>
      <c r="O168" s="259"/>
    </row>
    <row r="169" spans="1:15" ht="47.25" hidden="1" x14ac:dyDescent="0.25">
      <c r="A169" s="5">
        <v>163</v>
      </c>
      <c r="B169" s="5" t="s">
        <v>789</v>
      </c>
      <c r="C169" s="5">
        <v>2000</v>
      </c>
      <c r="D169" s="7" t="str">
        <f>description_23</f>
        <v>Providing and laying of Plain/Reinforced cement concrete in sub-structure complete as per drawing and Technical Specifications, RCC Grade M 20, Height above 10 m</v>
      </c>
      <c r="E169" s="5" t="s">
        <v>84</v>
      </c>
      <c r="F169" s="272">
        <v>16873.919999999998</v>
      </c>
      <c r="G169" s="272">
        <f t="shared" si="4"/>
        <v>14672.97</v>
      </c>
      <c r="H169" s="272">
        <v>16385.46</v>
      </c>
      <c r="I169" s="272">
        <v>14248.23</v>
      </c>
      <c r="J169" s="272">
        <v>15248.48</v>
      </c>
      <c r="K169" s="272">
        <v>13259.55</v>
      </c>
      <c r="L169" s="395">
        <f>Rate_Analysis!U2278</f>
        <v>15791.04</v>
      </c>
      <c r="M169" s="404">
        <f t="shared" si="5"/>
        <v>13731.34</v>
      </c>
      <c r="O169" s="259"/>
    </row>
    <row r="170" spans="1:15" s="210" customFormat="1" ht="47.25" hidden="1" x14ac:dyDescent="0.25">
      <c r="A170" s="202">
        <v>164</v>
      </c>
      <c r="B170" s="202" t="s">
        <v>791</v>
      </c>
      <c r="C170" s="202">
        <v>2000</v>
      </c>
      <c r="D170" s="203" t="str">
        <f>description_24</f>
        <v>Providing and laying of Plain/Reinforced cement concrete in sub-structure complete as per drawing and Technical Specifications, RCC Grade M 25, Height upto 5 m</v>
      </c>
      <c r="E170" s="202" t="s">
        <v>84</v>
      </c>
      <c r="F170" s="273">
        <v>17085.8</v>
      </c>
      <c r="G170" s="273">
        <f t="shared" si="4"/>
        <v>14857.22</v>
      </c>
      <c r="H170" s="273">
        <v>16710.29</v>
      </c>
      <c r="I170" s="273">
        <v>14530.69</v>
      </c>
      <c r="J170" s="273">
        <v>15496.37</v>
      </c>
      <c r="K170" s="273">
        <v>13475.1</v>
      </c>
      <c r="L170" s="397">
        <f>Rate_Analysis!U2293</f>
        <v>16075.82</v>
      </c>
      <c r="M170" s="406">
        <f t="shared" si="5"/>
        <v>13978.97</v>
      </c>
      <c r="O170" s="259"/>
    </row>
    <row r="171" spans="1:15" ht="47.25" hidden="1" x14ac:dyDescent="0.25">
      <c r="A171" s="5">
        <v>165</v>
      </c>
      <c r="B171" s="5" t="s">
        <v>794</v>
      </c>
      <c r="C171" s="5">
        <v>2000</v>
      </c>
      <c r="D171" s="7" t="str">
        <f>description_25</f>
        <v>Providing and laying of Plain/Reinforced cement concrete in sub-structure complete as per drawing and Technical Specifications, RCC Grade M 25, Height above 5 m to 10 m</v>
      </c>
      <c r="E171" s="5" t="s">
        <v>84</v>
      </c>
      <c r="F171" s="272">
        <v>17707.11</v>
      </c>
      <c r="G171" s="272">
        <f t="shared" si="4"/>
        <v>15397.49</v>
      </c>
      <c r="H171" s="272">
        <v>17317.939999999999</v>
      </c>
      <c r="I171" s="272">
        <v>15059.08</v>
      </c>
      <c r="J171" s="272">
        <v>16059.87</v>
      </c>
      <c r="K171" s="272">
        <v>13965.1</v>
      </c>
      <c r="L171" s="395">
        <f>Rate_Analysis!U2308</f>
        <v>16660.400000000001</v>
      </c>
      <c r="M171" s="404">
        <f t="shared" si="5"/>
        <v>14487.3</v>
      </c>
      <c r="O171" s="259"/>
    </row>
    <row r="172" spans="1:15" ht="47.25" hidden="1" x14ac:dyDescent="0.25">
      <c r="A172" s="5">
        <v>166</v>
      </c>
      <c r="B172" s="5" t="s">
        <v>796</v>
      </c>
      <c r="C172" s="5">
        <v>2000</v>
      </c>
      <c r="D172" s="7" t="str">
        <f>description_26</f>
        <v>Providing and laying of Plain/Reinforced cement concrete in sub-structure complete as per drawing and Technical Specifications, RCC Grade M 25, Height above 10 m</v>
      </c>
      <c r="E172" s="5" t="s">
        <v>84</v>
      </c>
      <c r="F172" s="272">
        <v>18483.73</v>
      </c>
      <c r="G172" s="272">
        <f t="shared" si="4"/>
        <v>16072.81</v>
      </c>
      <c r="H172" s="272">
        <v>18077.5</v>
      </c>
      <c r="I172" s="272">
        <v>15719.57</v>
      </c>
      <c r="J172" s="272">
        <v>16764.25</v>
      </c>
      <c r="K172" s="272">
        <v>14577.61</v>
      </c>
      <c r="L172" s="395">
        <f>Rate_Analysis!U2323</f>
        <v>17391.12</v>
      </c>
      <c r="M172" s="404">
        <f t="shared" si="5"/>
        <v>15122.71</v>
      </c>
      <c r="O172" s="259"/>
    </row>
    <row r="173" spans="1:15" ht="47.25" hidden="1" x14ac:dyDescent="0.25">
      <c r="A173" s="5">
        <v>167</v>
      </c>
      <c r="B173" s="5" t="s">
        <v>798</v>
      </c>
      <c r="C173" s="5">
        <v>2000</v>
      </c>
      <c r="D173" s="7" t="str">
        <f>description_27</f>
        <v>Providing and laying of Plain/Reinforced cement concrete in sub-structure complete as per drawing and Technical Specifications, RCC Grade M 30, Height upto 5 m</v>
      </c>
      <c r="E173" s="5" t="s">
        <v>84</v>
      </c>
      <c r="F173" s="272">
        <v>17157.91</v>
      </c>
      <c r="G173" s="272">
        <f t="shared" si="4"/>
        <v>14919.92</v>
      </c>
      <c r="H173" s="272">
        <v>16774.78</v>
      </c>
      <c r="I173" s="272">
        <v>14586.77</v>
      </c>
      <c r="J173" s="272">
        <v>15551.16</v>
      </c>
      <c r="K173" s="272">
        <v>13522.75</v>
      </c>
      <c r="L173" s="395">
        <f>Rate_Analysis!U2338</f>
        <v>16135.26</v>
      </c>
      <c r="M173" s="404">
        <f t="shared" si="5"/>
        <v>14030.66</v>
      </c>
      <c r="O173" s="259"/>
    </row>
    <row r="174" spans="1:15" ht="47.25" hidden="1" x14ac:dyDescent="0.25">
      <c r="A174" s="5">
        <v>168</v>
      </c>
      <c r="B174" s="5" t="s">
        <v>801</v>
      </c>
      <c r="C174" s="5">
        <v>2000</v>
      </c>
      <c r="D174" s="7" t="str">
        <f>description_28</f>
        <v>Providing and laying of Plain/Reinforced cement concrete in sub-structure complete as per drawing and Technical Specifications, RCC Grade M 30, Height above 5 m to 10 m</v>
      </c>
      <c r="E174" s="5" t="s">
        <v>84</v>
      </c>
      <c r="F174" s="272">
        <v>17781.830000000002</v>
      </c>
      <c r="G174" s="272">
        <f t="shared" si="4"/>
        <v>15462.46</v>
      </c>
      <c r="H174" s="272">
        <v>17384.78</v>
      </c>
      <c r="I174" s="272">
        <v>15117.2</v>
      </c>
      <c r="J174" s="272">
        <v>16116.66</v>
      </c>
      <c r="K174" s="272">
        <v>14014.49</v>
      </c>
      <c r="L174" s="395">
        <f>Rate_Analysis!U2353</f>
        <v>16721.990000000002</v>
      </c>
      <c r="M174" s="404">
        <f t="shared" si="5"/>
        <v>14540.86</v>
      </c>
      <c r="O174" s="259"/>
    </row>
    <row r="175" spans="1:15" ht="47.25" hidden="1" x14ac:dyDescent="0.25">
      <c r="A175" s="5">
        <v>169</v>
      </c>
      <c r="B175" s="5" t="s">
        <v>803</v>
      </c>
      <c r="C175" s="5">
        <v>2000</v>
      </c>
      <c r="D175" s="7" t="str">
        <f>description_29</f>
        <v>Providing and laying of Plain/Reinforced cement concrete in sub-structure complete as per drawing and Technical Specifications, RCC Grade M 30, Height above 10 m</v>
      </c>
      <c r="E175" s="5" t="s">
        <v>84</v>
      </c>
      <c r="F175" s="272">
        <v>18561.740000000002</v>
      </c>
      <c r="G175" s="272">
        <f t="shared" si="4"/>
        <v>16140.64</v>
      </c>
      <c r="H175" s="272">
        <v>18147.27</v>
      </c>
      <c r="I175" s="272">
        <v>15780.23</v>
      </c>
      <c r="J175" s="272">
        <v>16823.53</v>
      </c>
      <c r="K175" s="272">
        <v>14629.16</v>
      </c>
      <c r="L175" s="395">
        <f>Rate_Analysis!U2368</f>
        <v>17455.41</v>
      </c>
      <c r="M175" s="404">
        <f t="shared" si="5"/>
        <v>15178.62</v>
      </c>
      <c r="O175" s="259"/>
    </row>
    <row r="176" spans="1:15" ht="47.25" hidden="1" x14ac:dyDescent="0.25">
      <c r="A176" s="5">
        <v>170</v>
      </c>
      <c r="B176" s="5" t="s">
        <v>805</v>
      </c>
      <c r="C176" s="5">
        <v>2000</v>
      </c>
      <c r="D176" s="7" t="str">
        <f>description_30</f>
        <v>Providing and laying of Plain/Reinforced cement concrete in sub-structure complete as per drawing and Technical Specifications, RCC Grade M 35, Height upto 5 m</v>
      </c>
      <c r="E176" s="5" t="s">
        <v>84</v>
      </c>
      <c r="F176" s="272">
        <v>17489.59</v>
      </c>
      <c r="G176" s="272">
        <f t="shared" si="4"/>
        <v>15208.34</v>
      </c>
      <c r="H176" s="272">
        <v>17071.46</v>
      </c>
      <c r="I176" s="272">
        <v>14844.75</v>
      </c>
      <c r="J176" s="272">
        <v>15803.22</v>
      </c>
      <c r="K176" s="272">
        <v>13741.93</v>
      </c>
      <c r="L176" s="395">
        <f>Rate_Analysis!U2383</f>
        <v>16408.650000000001</v>
      </c>
      <c r="M176" s="404">
        <f t="shared" si="5"/>
        <v>14268.39</v>
      </c>
      <c r="O176" s="259"/>
    </row>
    <row r="177" spans="1:15" ht="47.25" hidden="1" x14ac:dyDescent="0.25">
      <c r="A177" s="5">
        <v>171</v>
      </c>
      <c r="B177" s="5" t="s">
        <v>808</v>
      </c>
      <c r="C177" s="5">
        <v>2000</v>
      </c>
      <c r="D177" s="7" t="str">
        <f>description_31</f>
        <v>Providing and laying of Plain/Reinforced cement concrete in sub-structure complete as per drawing and Technical Specifications, RCC Grade M 35, Height above 5 m to 10 m</v>
      </c>
      <c r="E177" s="5" t="s">
        <v>84</v>
      </c>
      <c r="F177" s="272">
        <v>18125.580000000002</v>
      </c>
      <c r="G177" s="272">
        <f t="shared" si="4"/>
        <v>15761.37</v>
      </c>
      <c r="H177" s="272">
        <v>17692.240000000002</v>
      </c>
      <c r="I177" s="272">
        <v>15384.56</v>
      </c>
      <c r="J177" s="272">
        <v>16377.89</v>
      </c>
      <c r="K177" s="272">
        <v>14241.64</v>
      </c>
      <c r="L177" s="395">
        <f>Rate_Analysis!U2398</f>
        <v>17005.330000000002</v>
      </c>
      <c r="M177" s="404">
        <f t="shared" si="5"/>
        <v>14787.24</v>
      </c>
      <c r="O177" s="259"/>
    </row>
    <row r="178" spans="1:15" s="210" customFormat="1" ht="31.5" x14ac:dyDescent="0.25">
      <c r="A178" s="202">
        <v>172</v>
      </c>
      <c r="B178" s="202">
        <v>20.5</v>
      </c>
      <c r="C178" s="202">
        <v>2000</v>
      </c>
      <c r="D178" s="203" t="str">
        <f>Rate_Analysis!C2400</f>
        <v>Providing and laying , fitting and placing HYSD bar reinforcement in sub-structure complete as per Drawing and Technical Specifications</v>
      </c>
      <c r="E178" s="202" t="s">
        <v>35</v>
      </c>
      <c r="F178" s="273">
        <v>113281.9</v>
      </c>
      <c r="G178" s="273">
        <f t="shared" si="4"/>
        <v>98506</v>
      </c>
      <c r="H178" s="273">
        <v>139400.70000000001</v>
      </c>
      <c r="I178" s="273">
        <v>121218</v>
      </c>
      <c r="J178" s="273">
        <v>142761</v>
      </c>
      <c r="K178" s="273">
        <v>124140</v>
      </c>
      <c r="L178" s="395">
        <f>Rate_Analysis!U2409</f>
        <v>143008.25</v>
      </c>
      <c r="M178" s="404">
        <f t="shared" si="5"/>
        <v>124355</v>
      </c>
      <c r="O178" s="259"/>
    </row>
    <row r="179" spans="1:15" ht="31.5" hidden="1" x14ac:dyDescent="0.25">
      <c r="A179" s="5">
        <v>173</v>
      </c>
      <c r="B179" s="5" t="s">
        <v>812</v>
      </c>
      <c r="C179" s="5">
        <v>2000</v>
      </c>
      <c r="D179" s="7" t="str">
        <f>description_37</f>
        <v>Providing and laying of Reinforced/ Pre-stressed cement concrete in super-structure as per drawing and Technical Specification, RCC Grade M 20</v>
      </c>
      <c r="E179" s="5" t="s">
        <v>75</v>
      </c>
      <c r="F179" s="272">
        <v>7038.9</v>
      </c>
      <c r="G179" s="272">
        <f t="shared" si="4"/>
        <v>6120.78</v>
      </c>
      <c r="H179" s="272">
        <v>6841.49</v>
      </c>
      <c r="I179" s="272">
        <v>5949.12</v>
      </c>
      <c r="J179" s="272">
        <v>6371.7</v>
      </c>
      <c r="K179" s="272">
        <v>5540.61</v>
      </c>
      <c r="L179" s="395">
        <f>Rate_Analysis!U2422</f>
        <v>6595.88</v>
      </c>
      <c r="M179" s="404">
        <f t="shared" si="5"/>
        <v>5735.55</v>
      </c>
      <c r="O179" s="259"/>
    </row>
    <row r="180" spans="1:15" ht="47.25" hidden="1" x14ac:dyDescent="0.25">
      <c r="A180" s="5">
        <v>174</v>
      </c>
      <c r="B180" s="5" t="s">
        <v>814</v>
      </c>
      <c r="C180" s="5">
        <v>2000</v>
      </c>
      <c r="D180" s="7" t="str">
        <f>description_38</f>
        <v>Providing and laying of Reinforced/ Pre-stressed cement concrete in solid slab super-structure as per drawing and Technical Specification, RCC Grade M 20, Height upto 5 m</v>
      </c>
      <c r="E180" s="5" t="s">
        <v>75</v>
      </c>
      <c r="F180" s="272">
        <v>8446.68</v>
      </c>
      <c r="G180" s="272">
        <f t="shared" si="4"/>
        <v>7344.94</v>
      </c>
      <c r="H180" s="272">
        <v>8209.7900000000009</v>
      </c>
      <c r="I180" s="272">
        <v>7138.95</v>
      </c>
      <c r="J180" s="272">
        <v>7646.04</v>
      </c>
      <c r="K180" s="272">
        <v>6648.73</v>
      </c>
      <c r="L180" s="395">
        <f>Rate_Analysis!U2436</f>
        <v>7915.05</v>
      </c>
      <c r="M180" s="404">
        <f t="shared" si="5"/>
        <v>6882.65</v>
      </c>
      <c r="O180" s="259"/>
    </row>
    <row r="181" spans="1:15" ht="47.25" hidden="1" x14ac:dyDescent="0.25">
      <c r="A181" s="5">
        <v>175</v>
      </c>
      <c r="B181" s="5" t="s">
        <v>823</v>
      </c>
      <c r="C181" s="5">
        <v>2000</v>
      </c>
      <c r="D181" s="7" t="str">
        <f>description_39</f>
        <v>Providing and laying of Reinforced/ Pre-stressed cement concrete in solid slab super-structure as per drawing and Technical Specification, RCC Grade M 20, Height above 5 m to 10 m</v>
      </c>
      <c r="E181" s="5" t="s">
        <v>75</v>
      </c>
      <c r="F181" s="272">
        <v>8798.6200000000008</v>
      </c>
      <c r="G181" s="272">
        <f t="shared" si="4"/>
        <v>7650.97</v>
      </c>
      <c r="H181" s="272">
        <v>8551.8700000000008</v>
      </c>
      <c r="I181" s="272">
        <v>7436.41</v>
      </c>
      <c r="J181" s="272">
        <v>7964.63</v>
      </c>
      <c r="K181" s="272">
        <v>6925.77</v>
      </c>
      <c r="L181" s="395">
        <f>Rate_Analysis!U2464</f>
        <v>8244.85</v>
      </c>
      <c r="M181" s="404">
        <f t="shared" si="5"/>
        <v>7169.43</v>
      </c>
      <c r="O181" s="259"/>
    </row>
    <row r="182" spans="1:15" ht="47.25" hidden="1" x14ac:dyDescent="0.25">
      <c r="A182" s="5">
        <v>176</v>
      </c>
      <c r="B182" s="5" t="s">
        <v>826</v>
      </c>
      <c r="C182" s="5">
        <v>2000</v>
      </c>
      <c r="D182" s="7" t="str">
        <f>description_40</f>
        <v>Providing and laying of Reinforced/ Pre-stressed cement concrete in solid slab super-structure as per drawing and Technical Specification, RCC Grade M 20, Height above 10 m</v>
      </c>
      <c r="E182" s="5" t="s">
        <v>75</v>
      </c>
      <c r="F182" s="272">
        <v>9150.57</v>
      </c>
      <c r="G182" s="272">
        <f t="shared" si="4"/>
        <v>7957.02</v>
      </c>
      <c r="H182" s="272">
        <v>8893.94</v>
      </c>
      <c r="I182" s="272">
        <v>7733.86</v>
      </c>
      <c r="J182" s="272">
        <v>8283.2099999999991</v>
      </c>
      <c r="K182" s="272">
        <v>7202.79</v>
      </c>
      <c r="L182" s="395">
        <f>Rate_Analysis!U2478</f>
        <v>8574.64</v>
      </c>
      <c r="M182" s="404">
        <f t="shared" si="5"/>
        <v>7456.21</v>
      </c>
      <c r="O182" s="259"/>
    </row>
    <row r="183" spans="1:15" ht="47.25" hidden="1" x14ac:dyDescent="0.25">
      <c r="A183" s="5">
        <v>177</v>
      </c>
      <c r="B183" s="5" t="s">
        <v>829</v>
      </c>
      <c r="C183" s="5">
        <v>2000</v>
      </c>
      <c r="D183" s="7" t="str">
        <f>description_41</f>
        <v>Providing and laying of Reinforced/ Pre-stressed cement concrete in T-beam and slab super-structure as per drawing and Technical Specification, RCC Grade M 20, Height upto 5 m</v>
      </c>
      <c r="E183" s="5" t="s">
        <v>75</v>
      </c>
      <c r="F183" s="272">
        <v>8798.6200000000008</v>
      </c>
      <c r="G183" s="272">
        <f t="shared" si="4"/>
        <v>7650.97</v>
      </c>
      <c r="H183" s="272">
        <v>8551.8700000000008</v>
      </c>
      <c r="I183" s="272">
        <v>7436.41</v>
      </c>
      <c r="J183" s="272">
        <v>7964.63</v>
      </c>
      <c r="K183" s="272">
        <v>6925.77</v>
      </c>
      <c r="L183" s="395">
        <f>Rate_Analysis!U2492</f>
        <v>8244.85</v>
      </c>
      <c r="M183" s="404">
        <f t="shared" si="5"/>
        <v>7169.43</v>
      </c>
      <c r="O183" s="259"/>
    </row>
    <row r="184" spans="1:15" ht="47.25" hidden="1" x14ac:dyDescent="0.25">
      <c r="A184" s="5">
        <v>178</v>
      </c>
      <c r="B184" s="5" t="s">
        <v>831</v>
      </c>
      <c r="C184" s="5">
        <v>2000</v>
      </c>
      <c r="D184" s="7" t="str">
        <f>description_42</f>
        <v>Providing and laying of Reinforced/ Pre-stressed cement concrete in T-beam and slab super-structure as per drawing and Technical Specification, RCC Grade M 20, Height above 5 m to 10 m</v>
      </c>
      <c r="E184" s="5" t="s">
        <v>75</v>
      </c>
      <c r="F184" s="272">
        <v>9150.57</v>
      </c>
      <c r="G184" s="272">
        <f t="shared" si="4"/>
        <v>7957.02</v>
      </c>
      <c r="H184" s="272">
        <v>8893.94</v>
      </c>
      <c r="I184" s="272">
        <v>7733.86</v>
      </c>
      <c r="J184" s="272">
        <v>8283.2099999999991</v>
      </c>
      <c r="K184" s="272">
        <v>7202.79</v>
      </c>
      <c r="L184" s="395">
        <f>Rate_Analysis!U2506</f>
        <v>8574.64</v>
      </c>
      <c r="M184" s="404">
        <f t="shared" si="5"/>
        <v>7456.21</v>
      </c>
      <c r="O184" s="259"/>
    </row>
    <row r="185" spans="1:15" ht="47.25" hidden="1" x14ac:dyDescent="0.25">
      <c r="A185" s="5">
        <v>179</v>
      </c>
      <c r="B185" s="5" t="s">
        <v>833</v>
      </c>
      <c r="C185" s="5">
        <v>2000</v>
      </c>
      <c r="D185" s="7" t="str">
        <f>description_43</f>
        <v>Providing and laying of Reinforced/ Pre-stressed cement concrete in T-beam and slab super-structure as per drawing and Technical Specification, RCC Grade M 20, Height above 10 m</v>
      </c>
      <c r="E185" s="5" t="s">
        <v>75</v>
      </c>
      <c r="F185" s="272">
        <v>9502.51</v>
      </c>
      <c r="G185" s="272">
        <f t="shared" si="4"/>
        <v>8263.0499999999993</v>
      </c>
      <c r="H185" s="272">
        <v>9236.01</v>
      </c>
      <c r="I185" s="272">
        <v>8031.31</v>
      </c>
      <c r="J185" s="272">
        <v>8601.7999999999993</v>
      </c>
      <c r="K185" s="272">
        <v>7479.83</v>
      </c>
      <c r="L185" s="395">
        <f>Rate_Analysis!U2520</f>
        <v>8904.43</v>
      </c>
      <c r="M185" s="404">
        <f t="shared" si="5"/>
        <v>7742.98</v>
      </c>
      <c r="O185" s="259"/>
    </row>
    <row r="186" spans="1:15" ht="31.5" hidden="1" x14ac:dyDescent="0.25">
      <c r="A186" s="5">
        <v>180</v>
      </c>
      <c r="B186" s="5" t="s">
        <v>836</v>
      </c>
      <c r="C186" s="5">
        <v>2000</v>
      </c>
      <c r="D186" s="7" t="str">
        <f>description_44</f>
        <v>Providing and laying of Reinforced/ Pre-stressed cement concrete in super-structure as per drawing and Technical Specification, RCC Grade M 25</v>
      </c>
      <c r="E186" s="5" t="s">
        <v>84</v>
      </c>
      <c r="F186" s="272">
        <v>15453.89</v>
      </c>
      <c r="G186" s="272">
        <f t="shared" si="4"/>
        <v>13438.17</v>
      </c>
      <c r="H186" s="272">
        <v>15120.82</v>
      </c>
      <c r="I186" s="272">
        <v>13148.54</v>
      </c>
      <c r="J186" s="272">
        <v>14027.83</v>
      </c>
      <c r="K186" s="272">
        <v>12198.11</v>
      </c>
      <c r="L186" s="395">
        <f>Rate_Analysis!U2535</f>
        <v>14549.55</v>
      </c>
      <c r="M186" s="404">
        <f t="shared" si="5"/>
        <v>12651.78</v>
      </c>
      <c r="O186" s="259"/>
    </row>
    <row r="187" spans="1:15" ht="47.25" hidden="1" x14ac:dyDescent="0.25">
      <c r="A187" s="5">
        <v>181</v>
      </c>
      <c r="B187" s="5" t="s">
        <v>838</v>
      </c>
      <c r="C187" s="5">
        <v>2000</v>
      </c>
      <c r="D187" s="7" t="str">
        <f>description_45</f>
        <v>Providing and laying of Reinforced/ Pre-stressed cement concrete in solid slab super-structure as per drawing and Technical Specification, RCC Grade M 25, Height upto 5 m</v>
      </c>
      <c r="E187" s="5" t="s">
        <v>84</v>
      </c>
      <c r="F187" s="272">
        <v>18544.669999999998</v>
      </c>
      <c r="G187" s="272">
        <f t="shared" si="4"/>
        <v>16125.8</v>
      </c>
      <c r="H187" s="272">
        <v>18144.98</v>
      </c>
      <c r="I187" s="272">
        <v>15778.24</v>
      </c>
      <c r="J187" s="272">
        <v>16833.400000000001</v>
      </c>
      <c r="K187" s="272">
        <v>14637.74</v>
      </c>
      <c r="L187" s="395">
        <f>Rate_Analysis!U2550</f>
        <v>17459.46</v>
      </c>
      <c r="M187" s="404">
        <f t="shared" si="5"/>
        <v>15182.14</v>
      </c>
      <c r="O187" s="259"/>
    </row>
    <row r="188" spans="1:15" ht="47.25" hidden="1" x14ac:dyDescent="0.25">
      <c r="A188" s="5">
        <v>182</v>
      </c>
      <c r="B188" s="5" t="s">
        <v>840</v>
      </c>
      <c r="C188" s="5">
        <v>2000</v>
      </c>
      <c r="D188" s="7" t="str">
        <f>description_46</f>
        <v>Providing and laying of Reinforced/ Pre-stressed cement concrete in solid slab super-structure as per drawing and Technical Specification, RCC Grade M 25, Height above 5 m to 10 m</v>
      </c>
      <c r="E188" s="5" t="s">
        <v>84</v>
      </c>
      <c r="F188" s="272">
        <v>19317.36</v>
      </c>
      <c r="G188" s="272">
        <f t="shared" si="4"/>
        <v>16797.7</v>
      </c>
      <c r="H188" s="272">
        <v>18901.02</v>
      </c>
      <c r="I188" s="272">
        <v>16435.669999999998</v>
      </c>
      <c r="J188" s="272">
        <v>17534.79</v>
      </c>
      <c r="K188" s="272">
        <v>15247.64</v>
      </c>
      <c r="L188" s="395">
        <f>Rate_Analysis!U2565</f>
        <v>18186.93</v>
      </c>
      <c r="M188" s="404">
        <f t="shared" si="5"/>
        <v>15814.72</v>
      </c>
      <c r="O188" s="259"/>
    </row>
    <row r="189" spans="1:15" ht="47.25" hidden="1" x14ac:dyDescent="0.25">
      <c r="A189" s="5">
        <v>183</v>
      </c>
      <c r="B189" s="5" t="s">
        <v>842</v>
      </c>
      <c r="C189" s="5">
        <v>2000</v>
      </c>
      <c r="D189" s="7" t="str">
        <f>description_47</f>
        <v>Providing and laying of Reinforced/ Pre-stressed cement concrete in solid slab super-structure as per drawing and Technical Specification, RCC Grade M 25, Height above 10 m</v>
      </c>
      <c r="E189" s="5" t="s">
        <v>84</v>
      </c>
      <c r="F189" s="272">
        <v>20090.060000000001</v>
      </c>
      <c r="G189" s="272">
        <f t="shared" si="4"/>
        <v>17469.62</v>
      </c>
      <c r="H189" s="272">
        <v>19657.060000000001</v>
      </c>
      <c r="I189" s="272">
        <v>17093.099999999999</v>
      </c>
      <c r="J189" s="272">
        <v>18236.18</v>
      </c>
      <c r="K189" s="272">
        <v>15857.55</v>
      </c>
      <c r="L189" s="395">
        <f>Rate_Analysis!U2580</f>
        <v>18914.41</v>
      </c>
      <c r="M189" s="404">
        <f t="shared" si="5"/>
        <v>16447.310000000001</v>
      </c>
      <c r="O189" s="259"/>
    </row>
    <row r="190" spans="1:15" ht="47.25" hidden="1" x14ac:dyDescent="0.25">
      <c r="A190" s="5">
        <v>184</v>
      </c>
      <c r="B190" s="5" t="s">
        <v>844</v>
      </c>
      <c r="C190" s="5">
        <v>2000</v>
      </c>
      <c r="D190" s="7" t="str">
        <f>description_48</f>
        <v>Providing and laying of Reinforced/ Pre-stressed cement concrete in T-beam and slab super-structure as per drawing and Technical Specification, RCC Grade M 25, Height upto 5 m</v>
      </c>
      <c r="E190" s="5" t="s">
        <v>84</v>
      </c>
      <c r="F190" s="272">
        <v>19317.36</v>
      </c>
      <c r="G190" s="272">
        <f t="shared" si="4"/>
        <v>16797.7</v>
      </c>
      <c r="H190" s="272">
        <v>18901.02</v>
      </c>
      <c r="I190" s="272">
        <v>16435.669999999998</v>
      </c>
      <c r="J190" s="272">
        <v>17534.79</v>
      </c>
      <c r="K190" s="272">
        <v>15247.64</v>
      </c>
      <c r="L190" s="395">
        <f>Rate_Analysis!U2595</f>
        <v>18186.93</v>
      </c>
      <c r="M190" s="404">
        <f t="shared" si="5"/>
        <v>15814.72</v>
      </c>
      <c r="O190" s="259"/>
    </row>
    <row r="191" spans="1:15" ht="47.25" hidden="1" x14ac:dyDescent="0.25">
      <c r="A191" s="5">
        <v>185</v>
      </c>
      <c r="B191" s="5" t="s">
        <v>846</v>
      </c>
      <c r="C191" s="5">
        <v>2000</v>
      </c>
      <c r="D191" s="7" t="str">
        <f>description_49</f>
        <v>Providing and laying of Reinforced/ Pre-stressed cement concrete in T-beam and slab super-structure as per drawing and Technical Specification, RCC Grade M 25, Height above 5 m to 10 m</v>
      </c>
      <c r="E191" s="5" t="s">
        <v>84</v>
      </c>
      <c r="F191" s="272">
        <v>20090.060000000001</v>
      </c>
      <c r="G191" s="272">
        <f t="shared" si="4"/>
        <v>17469.62</v>
      </c>
      <c r="H191" s="272">
        <v>19657.060000000001</v>
      </c>
      <c r="I191" s="272">
        <v>17093.099999999999</v>
      </c>
      <c r="J191" s="272">
        <v>18236.18</v>
      </c>
      <c r="K191" s="272">
        <v>15857.55</v>
      </c>
      <c r="L191" s="395">
        <f>Rate_Analysis!U2610</f>
        <v>18914.41</v>
      </c>
      <c r="M191" s="404">
        <f t="shared" si="5"/>
        <v>16447.310000000001</v>
      </c>
      <c r="O191" s="259"/>
    </row>
    <row r="192" spans="1:15" ht="47.25" hidden="1" x14ac:dyDescent="0.25">
      <c r="A192" s="5">
        <v>186</v>
      </c>
      <c r="B192" s="5" t="s">
        <v>848</v>
      </c>
      <c r="C192" s="5">
        <v>2000</v>
      </c>
      <c r="D192" s="7" t="str">
        <f>description_50</f>
        <v>Providing and laying of Reinforced/ Pre-stressed cement concrete in T-beam and slab super-structure as per drawing and Technical Specification, RCC Grade M 25, Height above 10 m</v>
      </c>
      <c r="E192" s="5" t="s">
        <v>84</v>
      </c>
      <c r="F192" s="272">
        <v>20862.75</v>
      </c>
      <c r="G192" s="272">
        <f t="shared" si="4"/>
        <v>18141.52</v>
      </c>
      <c r="H192" s="272">
        <v>20413.099999999999</v>
      </c>
      <c r="I192" s="272">
        <v>17750.52</v>
      </c>
      <c r="J192" s="272">
        <v>18937.57</v>
      </c>
      <c r="K192" s="272">
        <v>16467.45</v>
      </c>
      <c r="L192" s="395">
        <f>Rate_Analysis!U2625</f>
        <v>19641.89</v>
      </c>
      <c r="M192" s="404">
        <f t="shared" si="5"/>
        <v>17079.900000000001</v>
      </c>
      <c r="O192" s="259"/>
    </row>
    <row r="193" spans="1:15" ht="31.5" hidden="1" x14ac:dyDescent="0.25">
      <c r="A193" s="5">
        <v>187</v>
      </c>
      <c r="B193" s="5" t="s">
        <v>850</v>
      </c>
      <c r="C193" s="5">
        <v>2000</v>
      </c>
      <c r="D193" s="7" t="str">
        <f>description_51</f>
        <v>Providing and laying of Reinforced/ Pre-stressed cement concrete in super-structure as per drawing and Technical Specification, RCC Grade M 30</v>
      </c>
      <c r="E193" s="5" t="s">
        <v>84</v>
      </c>
      <c r="F193" s="272">
        <v>15713.1</v>
      </c>
      <c r="G193" s="272">
        <f t="shared" si="4"/>
        <v>13663.57</v>
      </c>
      <c r="H193" s="272">
        <v>15383.2</v>
      </c>
      <c r="I193" s="272">
        <v>13376.7</v>
      </c>
      <c r="J193" s="272">
        <v>14278.49</v>
      </c>
      <c r="K193" s="272">
        <v>12416.08</v>
      </c>
      <c r="L193" s="395">
        <f>Rate_Analysis!U2640</f>
        <v>14811.78</v>
      </c>
      <c r="M193" s="404">
        <f t="shared" si="5"/>
        <v>12879.81</v>
      </c>
      <c r="O193" s="259"/>
    </row>
    <row r="194" spans="1:15" ht="47.25" hidden="1" x14ac:dyDescent="0.25">
      <c r="A194" s="5">
        <v>188</v>
      </c>
      <c r="B194" s="5" t="s">
        <v>852</v>
      </c>
      <c r="C194" s="5">
        <v>2000</v>
      </c>
      <c r="D194" s="7" t="str">
        <f>description_52</f>
        <v>Providing and laying of Reinforced/ Pre-stressed cement concrete in solid slab super-structure as per drawing and Technical Specification, RCC Grade M 30, Height upto 5 m</v>
      </c>
      <c r="E194" s="5" t="s">
        <v>84</v>
      </c>
      <c r="F194" s="272">
        <v>18855.72</v>
      </c>
      <c r="G194" s="272">
        <f t="shared" si="4"/>
        <v>16396.28</v>
      </c>
      <c r="H194" s="272">
        <v>18459.849999999999</v>
      </c>
      <c r="I194" s="272">
        <v>16052.04</v>
      </c>
      <c r="J194" s="272">
        <v>17134.18</v>
      </c>
      <c r="K194" s="272">
        <v>14899.29</v>
      </c>
      <c r="L194" s="395">
        <f>Rate_Analysis!U2655</f>
        <v>17774.14</v>
      </c>
      <c r="M194" s="404">
        <f t="shared" si="5"/>
        <v>15455.77</v>
      </c>
      <c r="O194" s="259"/>
    </row>
    <row r="195" spans="1:15" ht="47.25" hidden="1" x14ac:dyDescent="0.25">
      <c r="A195" s="5">
        <v>189</v>
      </c>
      <c r="B195" s="5" t="s">
        <v>854</v>
      </c>
      <c r="C195" s="5">
        <v>2000</v>
      </c>
      <c r="D195" s="7" t="str">
        <f>description_53</f>
        <v>Providing and laying of Reinforced/ Pre-stressed cement concrete in solid slab super-structure as per drawing and Technical Specification, RCC Grade M 30, Height above 5 m to 10 m</v>
      </c>
      <c r="E195" s="5" t="s">
        <v>84</v>
      </c>
      <c r="F195" s="272">
        <v>19641.37</v>
      </c>
      <c r="G195" s="272">
        <f t="shared" si="4"/>
        <v>17079.45</v>
      </c>
      <c r="H195" s="272">
        <v>19229.009999999998</v>
      </c>
      <c r="I195" s="272">
        <v>16720.88</v>
      </c>
      <c r="J195" s="272">
        <v>17848.11</v>
      </c>
      <c r="K195" s="272">
        <v>15520.1</v>
      </c>
      <c r="L195" s="395">
        <f>Rate_Analysis!U2670</f>
        <v>18514.73</v>
      </c>
      <c r="M195" s="404">
        <f t="shared" si="5"/>
        <v>16099.77</v>
      </c>
      <c r="O195" s="259"/>
    </row>
    <row r="196" spans="1:15" ht="47.25" hidden="1" x14ac:dyDescent="0.25">
      <c r="A196" s="5">
        <v>190</v>
      </c>
      <c r="B196" s="5" t="s">
        <v>857</v>
      </c>
      <c r="C196" s="5">
        <v>2000</v>
      </c>
      <c r="D196" s="7" t="str">
        <f>description_54</f>
        <v>Providing and laying of Reinforced/ Pre-stressed cement concrete in solid slab super-structure as per drawing and Technical Specification, RCC Grade M 30, Height above 10 m</v>
      </c>
      <c r="E196" s="5" t="s">
        <v>84</v>
      </c>
      <c r="F196" s="272">
        <v>20427.03</v>
      </c>
      <c r="G196" s="272">
        <f t="shared" si="4"/>
        <v>17762.63</v>
      </c>
      <c r="H196" s="272">
        <v>19998.169999999998</v>
      </c>
      <c r="I196" s="272">
        <v>17389.71</v>
      </c>
      <c r="J196" s="272">
        <v>18562.03</v>
      </c>
      <c r="K196" s="272">
        <v>16140.9</v>
      </c>
      <c r="L196" s="395">
        <f>Rate_Analysis!U2685</f>
        <v>19255.310000000001</v>
      </c>
      <c r="M196" s="404">
        <f t="shared" si="5"/>
        <v>16743.75</v>
      </c>
      <c r="O196" s="259"/>
    </row>
    <row r="197" spans="1:15" ht="47.25" hidden="1" x14ac:dyDescent="0.25">
      <c r="A197" s="5">
        <v>191</v>
      </c>
      <c r="B197" s="5" t="s">
        <v>859</v>
      </c>
      <c r="C197" s="5">
        <v>2000</v>
      </c>
      <c r="D197" s="7" t="str">
        <f>description_55</f>
        <v>Providing and laying of Reinforced/ Pre-stressed cement concrete in T-beam and slab super-structure as per drawing and Technical Specification, RCC Grade M 30, Height upto 5 m</v>
      </c>
      <c r="E197" s="5" t="s">
        <v>84</v>
      </c>
      <c r="F197" s="272">
        <v>19641.37</v>
      </c>
      <c r="G197" s="272">
        <f t="shared" si="4"/>
        <v>17079.45</v>
      </c>
      <c r="H197" s="272">
        <v>19229.009999999998</v>
      </c>
      <c r="I197" s="272">
        <v>16720.88</v>
      </c>
      <c r="J197" s="272">
        <v>17848.11</v>
      </c>
      <c r="K197" s="272">
        <v>15520.1</v>
      </c>
      <c r="L197" s="395">
        <f>Rate_Analysis!U2700</f>
        <v>18514.73</v>
      </c>
      <c r="M197" s="404">
        <f t="shared" si="5"/>
        <v>16099.77</v>
      </c>
      <c r="O197" s="259"/>
    </row>
    <row r="198" spans="1:15" ht="47.25" hidden="1" x14ac:dyDescent="0.25">
      <c r="A198" s="5">
        <v>192</v>
      </c>
      <c r="B198" s="5" t="s">
        <v>861</v>
      </c>
      <c r="C198" s="5">
        <v>2000</v>
      </c>
      <c r="D198" s="7" t="str">
        <f>description_56</f>
        <v>Providing and laying of Reinforced/ Pre-stressed cement concrete in T-beam and slab super-structure as per drawing and Technical Specification, RCC Grade M 30, Height above 5 m to 10 m</v>
      </c>
      <c r="E198" s="5" t="s">
        <v>84</v>
      </c>
      <c r="F198" s="272">
        <v>20427.03</v>
      </c>
      <c r="G198" s="272">
        <f t="shared" si="4"/>
        <v>17762.63</v>
      </c>
      <c r="H198" s="272">
        <v>19998.169999999998</v>
      </c>
      <c r="I198" s="272">
        <v>17389.71</v>
      </c>
      <c r="J198" s="272">
        <v>18562.03</v>
      </c>
      <c r="K198" s="272">
        <v>16140.9</v>
      </c>
      <c r="L198" s="395">
        <f>Rate_Analysis!U2715</f>
        <v>19255.310000000001</v>
      </c>
      <c r="M198" s="404">
        <f t="shared" si="5"/>
        <v>16743.75</v>
      </c>
      <c r="O198" s="259"/>
    </row>
    <row r="199" spans="1:15" ht="47.25" hidden="1" x14ac:dyDescent="0.25">
      <c r="A199" s="5">
        <v>193</v>
      </c>
      <c r="B199" s="5" t="s">
        <v>863</v>
      </c>
      <c r="C199" s="5">
        <v>2000</v>
      </c>
      <c r="D199" s="7" t="str">
        <f>description_57</f>
        <v>Providing and laying of Reinforced/ Pre-stressed cement concrete in T-beam and slab super-structure as per drawing and Technical Specification, RCC Grade M 30, Height above 10 m</v>
      </c>
      <c r="E199" s="5" t="s">
        <v>84</v>
      </c>
      <c r="F199" s="272">
        <v>21212.68</v>
      </c>
      <c r="G199" s="272">
        <f t="shared" si="4"/>
        <v>18445.810000000001</v>
      </c>
      <c r="H199" s="272">
        <v>20767.330000000002</v>
      </c>
      <c r="I199" s="272">
        <v>18058.55</v>
      </c>
      <c r="J199" s="272">
        <v>19275.96</v>
      </c>
      <c r="K199" s="272">
        <v>16761.7</v>
      </c>
      <c r="L199" s="395">
        <f>Rate_Analysis!U2730</f>
        <v>19995.900000000001</v>
      </c>
      <c r="M199" s="404">
        <f t="shared" si="5"/>
        <v>17387.740000000002</v>
      </c>
      <c r="O199" s="259"/>
    </row>
    <row r="200" spans="1:15" ht="31.5" hidden="1" x14ac:dyDescent="0.25">
      <c r="A200" s="5">
        <v>194</v>
      </c>
      <c r="B200" s="5" t="s">
        <v>865</v>
      </c>
      <c r="C200" s="5">
        <v>2000</v>
      </c>
      <c r="D200" s="7" t="str">
        <f>description_58</f>
        <v>Providing and laying of Reinforced/ Pre-stressed cement concrete in super-structure as per drawing and Technical Specification, RCC/PSC Grade M 35</v>
      </c>
      <c r="E200" s="5" t="s">
        <v>84</v>
      </c>
      <c r="F200" s="272">
        <v>16014.63</v>
      </c>
      <c r="G200" s="272">
        <f t="shared" si="4"/>
        <v>13925.77</v>
      </c>
      <c r="H200" s="272">
        <v>15652.91</v>
      </c>
      <c r="I200" s="272">
        <v>13611.23</v>
      </c>
      <c r="J200" s="272">
        <v>14507.63</v>
      </c>
      <c r="K200" s="272">
        <v>12615.33</v>
      </c>
      <c r="L200" s="395">
        <f>Rate_Analysis!U2745</f>
        <v>15060.32</v>
      </c>
      <c r="M200" s="404">
        <f t="shared" si="5"/>
        <v>13095.93</v>
      </c>
      <c r="O200" s="259"/>
    </row>
    <row r="201" spans="1:15" ht="47.25" hidden="1" x14ac:dyDescent="0.25">
      <c r="A201" s="5">
        <v>195</v>
      </c>
      <c r="B201" s="5" t="s">
        <v>867</v>
      </c>
      <c r="C201" s="5">
        <v>2000</v>
      </c>
      <c r="D201" s="7" t="str">
        <f>description_59</f>
        <v>Providing and laying of Reinforced/ Pre-stressed cement concrete in solid slab super-structure as per drawing and Technical Specification, RCC/PSC Grade M 35, Height upto 5 m</v>
      </c>
      <c r="E201" s="5" t="s">
        <v>84</v>
      </c>
      <c r="F201" s="272">
        <v>18897.259999999998</v>
      </c>
      <c r="G201" s="272">
        <f t="shared" si="4"/>
        <v>16432.400000000001</v>
      </c>
      <c r="H201" s="272">
        <v>18470.43</v>
      </c>
      <c r="I201" s="272">
        <v>16061.24</v>
      </c>
      <c r="J201" s="272">
        <v>17119.009999999998</v>
      </c>
      <c r="K201" s="272">
        <v>14886.1</v>
      </c>
      <c r="L201" s="395">
        <f>Rate_Analysis!U2760</f>
        <v>17771.18</v>
      </c>
      <c r="M201" s="404">
        <f t="shared" si="5"/>
        <v>15453.2</v>
      </c>
      <c r="O201" s="259"/>
    </row>
    <row r="202" spans="1:15" ht="47.25" hidden="1" x14ac:dyDescent="0.25">
      <c r="A202" s="5">
        <v>196</v>
      </c>
      <c r="B202" s="5" t="s">
        <v>870</v>
      </c>
      <c r="C202" s="5">
        <v>2000</v>
      </c>
      <c r="D202" s="7" t="str">
        <f>description_60</f>
        <v>Providing and laying of Reinforced/ Pre-stressed cement concrete in solid slab super-structure as per drawing and Technical Specification, RCC/PSC Grade M 35, Height above 5 m to 10 m</v>
      </c>
      <c r="E202" s="5" t="s">
        <v>84</v>
      </c>
      <c r="F202" s="272">
        <v>19697.990000000002</v>
      </c>
      <c r="G202" s="272">
        <f t="shared" si="4"/>
        <v>17128.689999999999</v>
      </c>
      <c r="H202" s="272">
        <v>19253.07</v>
      </c>
      <c r="I202" s="272">
        <v>16741.8</v>
      </c>
      <c r="J202" s="272">
        <v>17844.39</v>
      </c>
      <c r="K202" s="272">
        <v>15516.86</v>
      </c>
      <c r="L202" s="395">
        <f>Rate_Analysis!U2775</f>
        <v>18524.2</v>
      </c>
      <c r="M202" s="404">
        <f t="shared" si="5"/>
        <v>16108</v>
      </c>
      <c r="O202" s="259"/>
    </row>
    <row r="203" spans="1:15" ht="47.25" hidden="1" x14ac:dyDescent="0.25">
      <c r="A203" s="5">
        <v>197</v>
      </c>
      <c r="B203" s="5" t="s">
        <v>873</v>
      </c>
      <c r="C203" s="5">
        <v>2000</v>
      </c>
      <c r="D203" s="7" t="str">
        <f>description_61</f>
        <v>Providing and laying of Reinforced/ Pre-stressed cement concrete in solid slab super-structure as per drawing and Technical Specification, RCC/PSC Grade M 35, Height above 10 m</v>
      </c>
      <c r="E203" s="5" t="s">
        <v>84</v>
      </c>
      <c r="F203" s="272">
        <v>20498.73</v>
      </c>
      <c r="G203" s="272">
        <f t="shared" si="4"/>
        <v>17824.98</v>
      </c>
      <c r="H203" s="272">
        <v>20035.72</v>
      </c>
      <c r="I203" s="272">
        <v>17422.37</v>
      </c>
      <c r="J203" s="272">
        <v>18569.77</v>
      </c>
      <c r="K203" s="272">
        <v>16147.63</v>
      </c>
      <c r="L203" s="395">
        <f>Rate_Analysis!U2790</f>
        <v>19277.21</v>
      </c>
      <c r="M203" s="404">
        <f t="shared" si="5"/>
        <v>16762.79</v>
      </c>
      <c r="O203" s="259"/>
    </row>
    <row r="204" spans="1:15" ht="47.25" hidden="1" x14ac:dyDescent="0.25">
      <c r="A204" s="5">
        <v>198</v>
      </c>
      <c r="B204" s="5" t="s">
        <v>876</v>
      </c>
      <c r="C204" s="5">
        <v>2000</v>
      </c>
      <c r="D204" s="7" t="str">
        <f>description_62</f>
        <v>Providing and laying of Reinforced/ Pre-stressed cement concrete in T-beam and slab super-structure as per drawing and Technical Specification, RCC/PSC Grade M 35, Height upto 5 m</v>
      </c>
      <c r="E204" s="5" t="s">
        <v>84</v>
      </c>
      <c r="F204" s="272">
        <v>19697.990000000002</v>
      </c>
      <c r="G204" s="272">
        <f t="shared" si="4"/>
        <v>17128.689999999999</v>
      </c>
      <c r="H204" s="272">
        <v>19253.07</v>
      </c>
      <c r="I204" s="272">
        <v>16741.8</v>
      </c>
      <c r="J204" s="272">
        <v>17844.39</v>
      </c>
      <c r="K204" s="272">
        <v>15516.86</v>
      </c>
      <c r="L204" s="395">
        <f>Rate_Analysis!U2805</f>
        <v>18524.2</v>
      </c>
      <c r="M204" s="404">
        <f t="shared" si="5"/>
        <v>16108</v>
      </c>
      <c r="O204" s="259"/>
    </row>
    <row r="205" spans="1:15" ht="47.25" hidden="1" x14ac:dyDescent="0.25">
      <c r="A205" s="5">
        <v>199</v>
      </c>
      <c r="B205" s="5" t="s">
        <v>878</v>
      </c>
      <c r="C205" s="5">
        <v>2000</v>
      </c>
      <c r="D205" s="7" t="str">
        <f>description_69</f>
        <v>Providing and laying of Reinforced/ Pre-stressed cement concrete in sollid slab super-structure as per drawing and Technical Specification, PSC Grade M-40, Height upto 5 m</v>
      </c>
      <c r="E205" s="5" t="s">
        <v>84</v>
      </c>
      <c r="F205" s="272">
        <v>19570.099999999999</v>
      </c>
      <c r="G205" s="272">
        <f t="shared" si="4"/>
        <v>17017.48</v>
      </c>
      <c r="H205" s="272">
        <v>19141.400000000001</v>
      </c>
      <c r="I205" s="272">
        <v>16644.7</v>
      </c>
      <c r="J205" s="272">
        <v>17749.96</v>
      </c>
      <c r="K205" s="272">
        <v>15434.75</v>
      </c>
      <c r="L205" s="395">
        <f>Rate_Analysis!U2820</f>
        <v>18428.560000000001</v>
      </c>
      <c r="M205" s="404">
        <f t="shared" si="5"/>
        <v>16024.83</v>
      </c>
      <c r="O205" s="259"/>
    </row>
    <row r="206" spans="1:15" ht="31.5" hidden="1" x14ac:dyDescent="0.25">
      <c r="A206" s="5">
        <v>200</v>
      </c>
      <c r="B206" s="5" t="s">
        <v>881</v>
      </c>
      <c r="C206" s="5">
        <v>2000</v>
      </c>
      <c r="D206" s="7" t="str">
        <f>description_68</f>
        <v>Providing and laying of Reinforced/ Pre-stressed cement concrete in super-structure as per drawing and Technical Specification, PSC Grade M-40</v>
      </c>
      <c r="E206" s="5" t="s">
        <v>84</v>
      </c>
      <c r="F206" s="272">
        <v>16308.42</v>
      </c>
      <c r="G206" s="272">
        <f t="shared" si="4"/>
        <v>14181.23</v>
      </c>
      <c r="H206" s="272">
        <v>15951.17</v>
      </c>
      <c r="I206" s="272">
        <v>13870.58</v>
      </c>
      <c r="J206" s="272">
        <v>14791.64</v>
      </c>
      <c r="K206" s="272">
        <v>12862.3</v>
      </c>
      <c r="L206" s="395">
        <f>Rate_Analysis!U2835</f>
        <v>15357.13</v>
      </c>
      <c r="M206" s="404">
        <f t="shared" si="5"/>
        <v>13354.03</v>
      </c>
      <c r="O206" s="259"/>
    </row>
    <row r="207" spans="1:15" ht="31.5" hidden="1" x14ac:dyDescent="0.25">
      <c r="A207" s="5">
        <v>201</v>
      </c>
      <c r="B207" s="5" t="s">
        <v>884</v>
      </c>
      <c r="C207" s="5" t="s">
        <v>2101</v>
      </c>
      <c r="D207" s="7" t="str">
        <f>description_90</f>
        <v>Providing and laying of PCC M 15 Grade leveling course below approach slab complete as per drawing and Technical specification</v>
      </c>
      <c r="E207" s="5" t="s">
        <v>84</v>
      </c>
      <c r="F207" s="272">
        <v>12922.18</v>
      </c>
      <c r="G207" s="272">
        <f t="shared" ref="G207:G275" si="6">ROUND(F207/1.15,2)</f>
        <v>11236.68</v>
      </c>
      <c r="H207" s="272">
        <v>12644.81</v>
      </c>
      <c r="I207" s="272">
        <v>10995.49</v>
      </c>
      <c r="J207" s="272">
        <v>11759.31</v>
      </c>
      <c r="K207" s="272">
        <v>10225.49</v>
      </c>
      <c r="L207" s="395">
        <f>Rate_Analysis!U2850</f>
        <v>12124.16</v>
      </c>
      <c r="M207" s="404">
        <f t="shared" ref="M207:M275" si="7">ROUND(L207/1.15,2)</f>
        <v>10542.75</v>
      </c>
      <c r="O207" s="259"/>
    </row>
    <row r="208" spans="1:15" ht="47.25" hidden="1" x14ac:dyDescent="0.25">
      <c r="A208" s="5">
        <v>202</v>
      </c>
      <c r="B208" s="5" t="s">
        <v>886</v>
      </c>
      <c r="C208" s="5">
        <v>2014</v>
      </c>
      <c r="D208" s="7" t="str">
        <f>description_2212</f>
        <v>Providing and laying of Reinforced cement concrete approach slab including reinforcement and formwork complete as per drawing and Technical specification</v>
      </c>
      <c r="E208" s="5" t="s">
        <v>84</v>
      </c>
      <c r="F208" s="272">
        <v>20540.43</v>
      </c>
      <c r="G208" s="272">
        <f t="shared" si="6"/>
        <v>17861.240000000002</v>
      </c>
      <c r="H208" s="272">
        <v>21440.18</v>
      </c>
      <c r="I208" s="272">
        <v>18643.63</v>
      </c>
      <c r="J208" s="272">
        <v>20623.150000000001</v>
      </c>
      <c r="K208" s="272">
        <v>17933.169999999998</v>
      </c>
      <c r="L208" s="395">
        <f>Rate_Analysis!U2862</f>
        <v>21112.28</v>
      </c>
      <c r="M208" s="404">
        <f t="shared" si="7"/>
        <v>18358.5</v>
      </c>
      <c r="O208" s="259"/>
    </row>
    <row r="209" spans="1:15" ht="63" hidden="1" x14ac:dyDescent="0.25">
      <c r="A209" s="5">
        <v>203</v>
      </c>
      <c r="B209" s="5" t="s">
        <v>892</v>
      </c>
      <c r="C209" s="5">
        <v>2200</v>
      </c>
      <c r="D209" s="7" t="str">
        <f>description_649</f>
        <v>Providing , Fabricating , assembling and erecting structural steel components / elements including nut, bolt, gusset plate, including shop drawings, facilities for inspection &amp; testing and trial assembling all complete as per specification., RS Joist, Heavy Zinc Coating</v>
      </c>
      <c r="E209" s="5" t="s">
        <v>35</v>
      </c>
      <c r="F209" s="272">
        <v>149562.68</v>
      </c>
      <c r="G209" s="272">
        <f t="shared" si="6"/>
        <v>130054.5</v>
      </c>
      <c r="H209" s="272">
        <v>170668.05</v>
      </c>
      <c r="I209" s="272">
        <v>148407</v>
      </c>
      <c r="J209" s="272">
        <v>176108.7</v>
      </c>
      <c r="K209" s="272">
        <v>153138</v>
      </c>
      <c r="L209" s="395">
        <f>Rate_Analysis!U2881</f>
        <v>176355.95</v>
      </c>
      <c r="M209" s="404">
        <f t="shared" si="7"/>
        <v>153353</v>
      </c>
      <c r="O209" s="259"/>
    </row>
    <row r="210" spans="1:15" ht="78.75" hidden="1" x14ac:dyDescent="0.25">
      <c r="A210" s="5">
        <v>204</v>
      </c>
      <c r="B210" s="5" t="s">
        <v>902</v>
      </c>
      <c r="C210" s="5">
        <v>2200</v>
      </c>
      <c r="D210" s="7" t="str">
        <f>description_650</f>
        <v>Providing , Fabricating , assembling and erecting structural steel components / elements including nut, bolt, gusset plate, including shop drawings, facilities for inspection &amp; testing and trial assembling all complete as per specification., RS Joist, painting one shop coat with red oxide primer and two coats of synthetic enamel</v>
      </c>
      <c r="E210" s="5" t="s">
        <v>35</v>
      </c>
      <c r="F210" s="272">
        <v>142352.93</v>
      </c>
      <c r="G210" s="272">
        <f t="shared" si="6"/>
        <v>123785.16</v>
      </c>
      <c r="H210" s="272">
        <v>162432.9</v>
      </c>
      <c r="I210" s="272">
        <v>141246</v>
      </c>
      <c r="J210" s="272">
        <v>167607.9</v>
      </c>
      <c r="K210" s="272">
        <v>145746</v>
      </c>
      <c r="L210" s="395">
        <f>Rate_Analysis!U2900</f>
        <v>167855.15</v>
      </c>
      <c r="M210" s="404">
        <f t="shared" si="7"/>
        <v>145961</v>
      </c>
      <c r="O210" s="259"/>
    </row>
    <row r="211" spans="1:15" s="210" customFormat="1" ht="63" hidden="1" x14ac:dyDescent="0.25">
      <c r="A211" s="202">
        <v>205</v>
      </c>
      <c r="B211" s="202" t="s">
        <v>905</v>
      </c>
      <c r="C211" s="202">
        <v>2200</v>
      </c>
      <c r="D211" s="203" t="str">
        <f>description_651</f>
        <v>Providing , Fabricating , assembling and erecting structural steel components / elements including nut, bolt, gusset plate, including shop drawings, facilities for inspection &amp; testing and trial assembling all complete as per specification., RS Joist, Height upto 5 m</v>
      </c>
      <c r="E211" s="202" t="s">
        <v>35</v>
      </c>
      <c r="F211" s="273">
        <v>149562.68</v>
      </c>
      <c r="G211" s="273">
        <f t="shared" si="6"/>
        <v>130054.5</v>
      </c>
      <c r="H211" s="273">
        <v>170668.05</v>
      </c>
      <c r="I211" s="273">
        <v>148407</v>
      </c>
      <c r="J211" s="273">
        <v>176108.7</v>
      </c>
      <c r="K211" s="273">
        <v>153138</v>
      </c>
      <c r="L211" s="397">
        <f>Rate_Analysis!U2919</f>
        <v>176355.95</v>
      </c>
      <c r="M211" s="406">
        <f t="shared" si="7"/>
        <v>153353</v>
      </c>
      <c r="O211" s="259"/>
    </row>
    <row r="212" spans="1:15" ht="63" hidden="1" x14ac:dyDescent="0.25">
      <c r="A212" s="5">
        <v>206</v>
      </c>
      <c r="B212" s="5" t="s">
        <v>908</v>
      </c>
      <c r="C212" s="5"/>
      <c r="D212" s="7" t="str">
        <f>description_652</f>
        <v>Providing , Fabricating , assembling and erecting structural steel components / elements including nut, bolt, gusset plate, including shop drawings, facilities for inspection &amp; testing and trial assembling all complete as per specification., RS Joist, Height above 10 m</v>
      </c>
      <c r="E212" s="5" t="s">
        <v>35</v>
      </c>
      <c r="F212" s="272">
        <v>149562.68</v>
      </c>
      <c r="G212" s="272">
        <f t="shared" si="6"/>
        <v>130054.5</v>
      </c>
      <c r="H212" s="272">
        <v>170668.05</v>
      </c>
      <c r="I212" s="272">
        <v>148407</v>
      </c>
      <c r="J212" s="272">
        <v>176108.7</v>
      </c>
      <c r="K212" s="272">
        <v>153138</v>
      </c>
      <c r="L212" s="395">
        <f>Rate_Analysis!U2938</f>
        <v>176355.95</v>
      </c>
      <c r="M212" s="404">
        <f t="shared" si="7"/>
        <v>153353</v>
      </c>
      <c r="O212" s="259"/>
    </row>
    <row r="213" spans="1:15" ht="63" hidden="1" x14ac:dyDescent="0.25">
      <c r="A213" s="5">
        <v>207</v>
      </c>
      <c r="B213" s="5" t="s">
        <v>910</v>
      </c>
      <c r="C213" s="5">
        <v>2200</v>
      </c>
      <c r="D213" s="7" t="str">
        <f>description_653</f>
        <v>Providing , Fabricating , assembling and erecting structural steel components / elements including nut, bolt, gusset plate, including shop drawings, facilities for inspection &amp; testing and trial assembling all complete as per specification., Built up beam, Plate Girder etc.</v>
      </c>
      <c r="E213" s="5" t="s">
        <v>35</v>
      </c>
      <c r="F213" s="272">
        <v>178536.93</v>
      </c>
      <c r="G213" s="272">
        <f t="shared" si="6"/>
        <v>155249.5</v>
      </c>
      <c r="H213" s="272">
        <v>201867.55</v>
      </c>
      <c r="I213" s="272">
        <v>175537</v>
      </c>
      <c r="J213" s="272">
        <v>207204.7</v>
      </c>
      <c r="K213" s="272">
        <v>180178</v>
      </c>
      <c r="L213" s="395">
        <f>Rate_Analysis!U2957</f>
        <v>207239.2</v>
      </c>
      <c r="M213" s="404">
        <f t="shared" si="7"/>
        <v>180208</v>
      </c>
      <c r="O213" s="259"/>
    </row>
    <row r="214" spans="1:15" ht="63" hidden="1" x14ac:dyDescent="0.25">
      <c r="A214" s="5">
        <v>208</v>
      </c>
      <c r="B214" s="5" t="s">
        <v>913</v>
      </c>
      <c r="C214" s="5">
        <v>2200</v>
      </c>
      <c r="D214" s="7" t="str">
        <f>description_654</f>
        <v>Providing , Fabricating , assembling and erecting structural steel components / elements including nut, bolt, gusset plate, including shop drawings, facilities for inspection &amp; testing and trial assembling all complete as per specification., Built up beam, Plate Girder etc.</v>
      </c>
      <c r="E214" s="5" t="s">
        <v>35</v>
      </c>
      <c r="F214" s="272">
        <v>171327.18</v>
      </c>
      <c r="G214" s="272">
        <f t="shared" si="6"/>
        <v>148980.16</v>
      </c>
      <c r="H214" s="272">
        <v>193632.4</v>
      </c>
      <c r="I214" s="272">
        <v>168376</v>
      </c>
      <c r="J214" s="272">
        <v>198703.9</v>
      </c>
      <c r="K214" s="272">
        <v>172786</v>
      </c>
      <c r="L214" s="395">
        <f>Rate_Analysis!U2976</f>
        <v>198738.4</v>
      </c>
      <c r="M214" s="404">
        <f t="shared" si="7"/>
        <v>172816</v>
      </c>
      <c r="O214" s="259"/>
    </row>
    <row r="215" spans="1:15" ht="63" hidden="1" x14ac:dyDescent="0.25">
      <c r="A215" s="5">
        <v>209</v>
      </c>
      <c r="B215" s="5" t="s">
        <v>915</v>
      </c>
      <c r="C215" s="5">
        <v>2200</v>
      </c>
      <c r="D215" s="7" t="str">
        <f>description_655</f>
        <v>Providing , Fabricating , assembling and erecting structural steel components / elements including nut, bolt, gusset plate, including shop drawings, facilities for inspection &amp; testing and trial assembling all complete as per specification., Built up beam, Plate Girder etc., Height upto 5 m</v>
      </c>
      <c r="E215" s="5" t="s">
        <v>35</v>
      </c>
      <c r="F215" s="272">
        <v>223171.16</v>
      </c>
      <c r="G215" s="272">
        <f t="shared" si="6"/>
        <v>194061.88</v>
      </c>
      <c r="H215" s="272">
        <v>252334.44</v>
      </c>
      <c r="I215" s="272">
        <v>219421.25</v>
      </c>
      <c r="J215" s="272">
        <v>259005.88</v>
      </c>
      <c r="K215" s="272">
        <v>225222.5</v>
      </c>
      <c r="L215" s="395">
        <f>Rate_Analysis!U2995</f>
        <v>259049</v>
      </c>
      <c r="M215" s="404">
        <f t="shared" si="7"/>
        <v>225260</v>
      </c>
      <c r="O215" s="259"/>
    </row>
    <row r="216" spans="1:15" ht="63" hidden="1" x14ac:dyDescent="0.25">
      <c r="A216" s="5">
        <v>210</v>
      </c>
      <c r="B216" s="5" t="s">
        <v>917</v>
      </c>
      <c r="C216" s="5">
        <v>2200</v>
      </c>
      <c r="D216" s="7" t="str">
        <f>description_656</f>
        <v>Providing , Fabricating , assembling and erecting structural steel components / elements including nut, bolt, gusset plate, including shop drawings, facilities for inspection &amp; testing and trial assembling all complete as per specification., Built up beam, Plate Girder etc., Height 5 m to 10 m</v>
      </c>
      <c r="E216" s="5" t="s">
        <v>35</v>
      </c>
      <c r="F216" s="272">
        <v>232098</v>
      </c>
      <c r="G216" s="272">
        <f t="shared" si="6"/>
        <v>201824.35</v>
      </c>
      <c r="H216" s="272">
        <v>262427.82</v>
      </c>
      <c r="I216" s="272">
        <v>228198.1</v>
      </c>
      <c r="J216" s="272">
        <v>269366.11</v>
      </c>
      <c r="K216" s="272">
        <v>234231.4</v>
      </c>
      <c r="L216" s="395">
        <f>Rate_Analysis!U3014</f>
        <v>269410.96000000002</v>
      </c>
      <c r="M216" s="404">
        <f t="shared" si="7"/>
        <v>234270.4</v>
      </c>
      <c r="O216" s="259"/>
    </row>
    <row r="217" spans="1:15" ht="63" hidden="1" x14ac:dyDescent="0.25">
      <c r="A217" s="5">
        <v>211</v>
      </c>
      <c r="B217" s="5" t="s">
        <v>919</v>
      </c>
      <c r="C217" s="5">
        <v>2200</v>
      </c>
      <c r="D217" s="7" t="str">
        <f>description_657</f>
        <v>Providing , Fabricating , assembling and erecting structural steel components / elements including nut, bolt, gusset plate, including shop drawings, facilities for inspection &amp; testing and trial assembling all complete as per specification., Built up beam, Plate Girder etc., Height above 10 m</v>
      </c>
      <c r="E217" s="5" t="s">
        <v>35</v>
      </c>
      <c r="F217" s="272">
        <v>241024.85</v>
      </c>
      <c r="G217" s="272">
        <f t="shared" si="6"/>
        <v>209586.83</v>
      </c>
      <c r="H217" s="272">
        <v>272521.19</v>
      </c>
      <c r="I217" s="272">
        <v>236974.95</v>
      </c>
      <c r="J217" s="272">
        <v>279726.34999999998</v>
      </c>
      <c r="K217" s="272">
        <v>243240.3</v>
      </c>
      <c r="L217" s="395">
        <f>Rate_Analysis!U3033</f>
        <v>279772.92</v>
      </c>
      <c r="M217" s="404">
        <f t="shared" si="7"/>
        <v>243280.8</v>
      </c>
      <c r="O217" s="259"/>
    </row>
    <row r="218" spans="1:15" s="210" customFormat="1" ht="63" x14ac:dyDescent="0.25">
      <c r="A218" s="202">
        <v>212</v>
      </c>
      <c r="B218" s="202" t="s">
        <v>921</v>
      </c>
      <c r="C218" s="202">
        <v>2200</v>
      </c>
      <c r="D218" s="203" t="str">
        <f>description_658</f>
        <v>Providing , Fabricating , assembling and erecting structural steel components / elements including nut, bolt, gusset plate, including shop drawings, facilities for inspection &amp; testing and trial assembling all complete as per specification., Truss</v>
      </c>
      <c r="E218" s="202" t="s">
        <v>35</v>
      </c>
      <c r="F218" s="273">
        <v>187995.68</v>
      </c>
      <c r="G218" s="273">
        <f t="shared" si="6"/>
        <v>163474.5</v>
      </c>
      <c r="H218" s="273">
        <v>212804.05</v>
      </c>
      <c r="I218" s="273">
        <v>185047</v>
      </c>
      <c r="J218" s="273">
        <v>218578.2</v>
      </c>
      <c r="K218" s="273">
        <v>190068</v>
      </c>
      <c r="L218" s="397">
        <f>Rate_Analysis!U3052</f>
        <v>218796.7</v>
      </c>
      <c r="M218" s="406">
        <f t="shared" si="7"/>
        <v>190258</v>
      </c>
      <c r="O218" s="259"/>
    </row>
    <row r="219" spans="1:15" s="210" customFormat="1" ht="116.25" customHeight="1" x14ac:dyDescent="0.25">
      <c r="A219" s="202">
        <v>213</v>
      </c>
      <c r="B219" s="202" t="s">
        <v>928</v>
      </c>
      <c r="C219" s="202">
        <v>2401</v>
      </c>
      <c r="D219" s="203" t="str">
        <f>Rate_Analysis!C3054</f>
        <v>Gabion Structure for Retaining Earth,Providing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3 X 1 X 1 m ( 6 sqm)</v>
      </c>
      <c r="E219" s="202" t="s">
        <v>84</v>
      </c>
      <c r="F219" s="273">
        <v>6044.12</v>
      </c>
      <c r="G219" s="273">
        <f t="shared" si="6"/>
        <v>5255.76</v>
      </c>
      <c r="H219" s="273">
        <v>7287.66</v>
      </c>
      <c r="I219" s="273">
        <v>6337.1</v>
      </c>
      <c r="J219" s="273">
        <v>7208.94</v>
      </c>
      <c r="K219" s="273">
        <v>6268.64</v>
      </c>
      <c r="L219" s="395">
        <f>Rate_Analysis!U3065</f>
        <v>7240.57</v>
      </c>
      <c r="M219" s="404">
        <f t="shared" si="7"/>
        <v>6296.15</v>
      </c>
      <c r="O219" s="259"/>
    </row>
    <row r="220" spans="1:15" s="210" customFormat="1" ht="110.25" customHeight="1" x14ac:dyDescent="0.25">
      <c r="A220" s="202">
        <v>214</v>
      </c>
      <c r="B220" s="202" t="s">
        <v>933</v>
      </c>
      <c r="C220" s="202">
        <v>2401</v>
      </c>
      <c r="D220" s="203" t="str">
        <f>Rate_Analysis!C3067</f>
        <v>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 X 1 X 1 m ( 11 sqm)</v>
      </c>
      <c r="E220" s="202" t="s">
        <v>84</v>
      </c>
      <c r="F220" s="273">
        <v>6115.68</v>
      </c>
      <c r="G220" s="273">
        <f t="shared" si="6"/>
        <v>5317.98</v>
      </c>
      <c r="H220" s="273">
        <v>7375.19</v>
      </c>
      <c r="I220" s="273">
        <v>6413.21</v>
      </c>
      <c r="J220" s="273">
        <v>7297.22</v>
      </c>
      <c r="K220" s="273">
        <v>6345.41</v>
      </c>
      <c r="L220" s="395">
        <f>Rate_Analysis!U3078</f>
        <v>7328.85</v>
      </c>
      <c r="M220" s="404">
        <f t="shared" si="7"/>
        <v>6372.91</v>
      </c>
      <c r="O220" s="259"/>
    </row>
    <row r="221" spans="1:15" s="210" customFormat="1" ht="110.25" customHeight="1" x14ac:dyDescent="0.25">
      <c r="A221" s="202">
        <v>215</v>
      </c>
      <c r="B221" s="202" t="s">
        <v>935</v>
      </c>
      <c r="C221" s="202">
        <v>2401</v>
      </c>
      <c r="D221" s="203" t="str">
        <f>Rate_Analysis!C3080</f>
        <v>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1.5 X 1 X 1 m ( 9 sqm )</v>
      </c>
      <c r="E221" s="202" t="s">
        <v>84</v>
      </c>
      <c r="F221" s="273">
        <v>6449.28</v>
      </c>
      <c r="G221" s="273">
        <f t="shared" si="6"/>
        <v>5608.07</v>
      </c>
      <c r="H221" s="273">
        <v>7773.71</v>
      </c>
      <c r="I221" s="273">
        <v>6759.75</v>
      </c>
      <c r="J221" s="273">
        <v>7708.28</v>
      </c>
      <c r="K221" s="273">
        <v>6702.85</v>
      </c>
      <c r="L221" s="395">
        <f>Rate_Analysis!U3091</f>
        <v>7742.78</v>
      </c>
      <c r="M221" s="404">
        <f t="shared" si="7"/>
        <v>6732.85</v>
      </c>
      <c r="O221" s="259"/>
    </row>
    <row r="222" spans="1:15" s="210" customFormat="1" ht="109.5" customHeight="1" x14ac:dyDescent="0.25">
      <c r="A222" s="202">
        <v>216</v>
      </c>
      <c r="B222" s="202" t="s">
        <v>937</v>
      </c>
      <c r="C222" s="202">
        <v>2401</v>
      </c>
      <c r="D222" s="203" t="str">
        <f>Rate_Analysis!C3093</f>
        <v>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1.0 X 1 X 1 m ( 6 sqm)</v>
      </c>
      <c r="E222" s="202" t="s">
        <v>84</v>
      </c>
      <c r="F222" s="273">
        <v>6466.08</v>
      </c>
      <c r="G222" s="273">
        <f t="shared" si="6"/>
        <v>5622.68</v>
      </c>
      <c r="H222" s="273">
        <v>7794.94</v>
      </c>
      <c r="I222" s="273">
        <v>6778.21</v>
      </c>
      <c r="J222" s="273">
        <v>7728.32</v>
      </c>
      <c r="K222" s="273">
        <v>6720.28</v>
      </c>
      <c r="L222" s="395">
        <f>Rate_Analysis!U3104</f>
        <v>7762.82</v>
      </c>
      <c r="M222" s="404">
        <f t="shared" si="7"/>
        <v>6750.28</v>
      </c>
      <c r="O222" s="259"/>
    </row>
    <row r="223" spans="1:15" s="210" customFormat="1" ht="15.75" x14ac:dyDescent="0.25">
      <c r="A223" s="256"/>
      <c r="B223" s="256"/>
      <c r="C223" s="256"/>
      <c r="D223" s="342" t="s">
        <v>2287</v>
      </c>
      <c r="E223" s="343" t="s">
        <v>84</v>
      </c>
      <c r="F223" s="344">
        <v>6268.7899999999991</v>
      </c>
      <c r="G223" s="273">
        <f t="shared" si="6"/>
        <v>5451.12</v>
      </c>
      <c r="H223" s="273">
        <v>7557.8749999999991</v>
      </c>
      <c r="I223" s="273">
        <v>6572.07</v>
      </c>
      <c r="J223" s="273">
        <v>7485.69</v>
      </c>
      <c r="K223" s="273">
        <v>6509.3</v>
      </c>
      <c r="L223" s="383">
        <f>(rate_671+rate_672+rate_673+rate_674)/4</f>
        <v>7518.7550000000001</v>
      </c>
      <c r="M223" s="404">
        <f t="shared" si="7"/>
        <v>6538.05</v>
      </c>
      <c r="O223" s="259"/>
    </row>
    <row r="224" spans="1:15" s="210" customFormat="1" ht="114.75" customHeight="1" x14ac:dyDescent="0.25">
      <c r="A224" s="273"/>
      <c r="B224" s="273"/>
      <c r="C224" s="427" t="s">
        <v>2367</v>
      </c>
      <c r="D224" s="345" t="s">
        <v>2278</v>
      </c>
      <c r="E224" s="344" t="s">
        <v>84</v>
      </c>
      <c r="F224" s="344"/>
      <c r="G224" s="273"/>
      <c r="H224" s="273">
        <v>6975.26</v>
      </c>
      <c r="I224" s="273"/>
      <c r="J224" s="273">
        <v>7075.06</v>
      </c>
      <c r="K224" s="273">
        <v>6152.2260869565225</v>
      </c>
      <c r="L224" s="384">
        <f>Rate_Analysis!U3117</f>
        <v>7106.68</v>
      </c>
      <c r="M224" s="404">
        <f>L224/1.15</f>
        <v>6179.7217391304357</v>
      </c>
      <c r="O224" s="259"/>
    </row>
    <row r="225" spans="1:15" s="210" customFormat="1" ht="94.5" x14ac:dyDescent="0.25">
      <c r="A225" s="273"/>
      <c r="B225" s="273"/>
      <c r="C225" s="428"/>
      <c r="D225" s="345" t="s">
        <v>2109</v>
      </c>
      <c r="E225" s="344" t="s">
        <v>84</v>
      </c>
      <c r="F225" s="344"/>
      <c r="G225" s="273"/>
      <c r="H225" s="273">
        <v>7062.79</v>
      </c>
      <c r="I225" s="273"/>
      <c r="J225" s="273">
        <v>7163.34</v>
      </c>
      <c r="K225" s="273">
        <v>6228.9913043478264</v>
      </c>
      <c r="L225" s="384">
        <f>Rate_Analysis!U3130</f>
        <v>7194.96</v>
      </c>
      <c r="M225" s="404">
        <f t="shared" ref="M225:M227" si="8">L225/1.15</f>
        <v>6256.4869565217396</v>
      </c>
      <c r="O225" s="259"/>
    </row>
    <row r="226" spans="1:15" s="210" customFormat="1" ht="94.5" x14ac:dyDescent="0.25">
      <c r="A226" s="273"/>
      <c r="B226" s="273"/>
      <c r="C226" s="428"/>
      <c r="D226" s="345" t="s">
        <v>2110</v>
      </c>
      <c r="E226" s="344" t="s">
        <v>84</v>
      </c>
      <c r="F226" s="344"/>
      <c r="G226" s="273"/>
      <c r="H226" s="273">
        <v>7461.31</v>
      </c>
      <c r="I226" s="273"/>
      <c r="J226" s="273">
        <v>7574.39</v>
      </c>
      <c r="K226" s="273">
        <v>6586.4260869565223</v>
      </c>
      <c r="L226" s="384">
        <f>Rate_Analysis!U3143</f>
        <v>7608.89</v>
      </c>
      <c r="M226" s="404">
        <f t="shared" si="8"/>
        <v>6616.4260869565223</v>
      </c>
      <c r="O226" s="259"/>
    </row>
    <row r="227" spans="1:15" s="210" customFormat="1" ht="105" customHeight="1" x14ac:dyDescent="0.25">
      <c r="A227" s="273"/>
      <c r="B227" s="273"/>
      <c r="C227" s="429"/>
      <c r="D227" s="345" t="s">
        <v>2111</v>
      </c>
      <c r="E227" s="344" t="s">
        <v>84</v>
      </c>
      <c r="F227" s="344"/>
      <c r="G227" s="273"/>
      <c r="H227" s="273">
        <v>7482.53</v>
      </c>
      <c r="I227" s="273"/>
      <c r="J227" s="273">
        <v>7594.44</v>
      </c>
      <c r="K227" s="273">
        <v>6603.8608695652174</v>
      </c>
      <c r="L227" s="384">
        <f>Rate_Analysis!U3156</f>
        <v>7628.94</v>
      </c>
      <c r="M227" s="404">
        <f t="shared" si="8"/>
        <v>6633.8608695652174</v>
      </c>
      <c r="O227" s="259"/>
    </row>
    <row r="228" spans="1:15" s="210" customFormat="1" ht="15.75" x14ac:dyDescent="0.25">
      <c r="A228" s="273"/>
      <c r="B228" s="273"/>
      <c r="C228" s="385"/>
      <c r="D228" s="342" t="s">
        <v>2287</v>
      </c>
      <c r="E228" s="344" t="str">
        <f>E227</f>
        <v>cum</v>
      </c>
      <c r="F228" s="344"/>
      <c r="G228" s="273"/>
      <c r="H228" s="273"/>
      <c r="I228" s="273"/>
      <c r="J228" s="273">
        <v>7351.8074999999999</v>
      </c>
      <c r="K228" s="273">
        <v>6392.8760869565222</v>
      </c>
      <c r="L228" s="384">
        <f>(L227+L226+L225+L224)/4</f>
        <v>7384.8675000000003</v>
      </c>
      <c r="M228" s="404">
        <f>L228/1.15</f>
        <v>6421.6239130434788</v>
      </c>
      <c r="O228" s="259"/>
    </row>
    <row r="229" spans="1:15" ht="110.25" x14ac:dyDescent="0.25">
      <c r="A229" s="5">
        <v>217</v>
      </c>
      <c r="B229" s="5" t="s">
        <v>940</v>
      </c>
      <c r="C229" s="5">
        <v>2401</v>
      </c>
      <c r="D229" s="7" t="str">
        <f>Rate_Analysis!C3159</f>
        <v>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3.0 X 1 X 0 .75 m ( 13.5 sqm)</v>
      </c>
      <c r="E229" s="5" t="s">
        <v>84</v>
      </c>
      <c r="F229" s="272">
        <v>6348.88</v>
      </c>
      <c r="G229" s="272">
        <f t="shared" si="6"/>
        <v>5520.77</v>
      </c>
      <c r="H229" s="272">
        <v>7656.24</v>
      </c>
      <c r="I229" s="272">
        <v>6657.6</v>
      </c>
      <c r="J229" s="272">
        <v>7586.78</v>
      </c>
      <c r="K229" s="272">
        <v>6597.2</v>
      </c>
      <c r="L229" s="395">
        <f>Rate_Analysis!U3170</f>
        <v>7620</v>
      </c>
      <c r="M229" s="404">
        <f t="shared" si="7"/>
        <v>6626.09</v>
      </c>
      <c r="O229" s="259"/>
    </row>
    <row r="230" spans="1:15" ht="110.25" x14ac:dyDescent="0.25">
      <c r="A230" s="5">
        <v>218</v>
      </c>
      <c r="B230" s="5" t="s">
        <v>942</v>
      </c>
      <c r="C230" s="5">
        <v>2401</v>
      </c>
      <c r="D230" s="7" t="str">
        <f>Rate_Analysis!C3172</f>
        <v>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2.0 X 1 X 0 .75 m ( 9. 25 sqm)</v>
      </c>
      <c r="E230" s="5" t="s">
        <v>84</v>
      </c>
      <c r="F230" s="272">
        <v>6487.81</v>
      </c>
      <c r="G230" s="272">
        <f t="shared" si="6"/>
        <v>5641.57</v>
      </c>
      <c r="H230" s="272">
        <v>7821.43</v>
      </c>
      <c r="I230" s="272">
        <v>6801.24</v>
      </c>
      <c r="J230" s="272">
        <v>7755.24</v>
      </c>
      <c r="K230" s="272">
        <v>6743.69</v>
      </c>
      <c r="L230" s="395">
        <f>Rate_Analysis!U3183</f>
        <v>7789.74</v>
      </c>
      <c r="M230" s="404">
        <f t="shared" si="7"/>
        <v>6773.69</v>
      </c>
      <c r="O230" s="259"/>
    </row>
    <row r="231" spans="1:15" ht="110.25" x14ac:dyDescent="0.25">
      <c r="A231" s="5">
        <v>219</v>
      </c>
      <c r="B231" s="5" t="s">
        <v>944</v>
      </c>
      <c r="C231" s="5">
        <v>2401</v>
      </c>
      <c r="D231" s="7" t="str">
        <f>Rate_Analysis!C3185</f>
        <v>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3.0 X 1 X 0 .5 m ( 11 sqm)</v>
      </c>
      <c r="E231" s="5" t="s">
        <v>84</v>
      </c>
      <c r="F231" s="272">
        <v>6845.94</v>
      </c>
      <c r="G231" s="272">
        <f t="shared" si="6"/>
        <v>5952.99</v>
      </c>
      <c r="H231" s="272">
        <v>8261.36</v>
      </c>
      <c r="I231" s="272">
        <v>7183.79</v>
      </c>
      <c r="J231" s="272">
        <v>8195.2800000000007</v>
      </c>
      <c r="K231" s="272">
        <v>7126.33</v>
      </c>
      <c r="L231" s="395">
        <f>Rate_Analysis!U3196</f>
        <v>8229.7800000000007</v>
      </c>
      <c r="M231" s="404">
        <f t="shared" si="7"/>
        <v>7156.33</v>
      </c>
      <c r="O231" s="259"/>
    </row>
    <row r="232" spans="1:15" ht="110.25" x14ac:dyDescent="0.25">
      <c r="A232" s="5">
        <v>220</v>
      </c>
      <c r="B232" s="5" t="s">
        <v>946</v>
      </c>
      <c r="C232" s="5">
        <v>2401</v>
      </c>
      <c r="D232" s="7" t="str">
        <f>Rate_Analysis!C3198</f>
        <v>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1.0 X 1 X 0 .75 m ( 5 sqm m)</v>
      </c>
      <c r="E232" s="5" t="s">
        <v>84</v>
      </c>
      <c r="F232" s="272">
        <v>6714.25</v>
      </c>
      <c r="G232" s="272">
        <f t="shared" si="6"/>
        <v>5838.48</v>
      </c>
      <c r="H232" s="272">
        <v>8098</v>
      </c>
      <c r="I232" s="272">
        <v>7041.74</v>
      </c>
      <c r="J232" s="272">
        <v>8035.04</v>
      </c>
      <c r="K232" s="272">
        <v>6986.99</v>
      </c>
      <c r="L232" s="395">
        <f>Rate_Analysis!U3209</f>
        <v>8069.54</v>
      </c>
      <c r="M232" s="404">
        <f t="shared" si="7"/>
        <v>7016.99</v>
      </c>
      <c r="O232" s="259"/>
    </row>
    <row r="233" spans="1:15" ht="114" customHeight="1" x14ac:dyDescent="0.25">
      <c r="A233" s="5">
        <v>221</v>
      </c>
      <c r="B233" s="5" t="s">
        <v>948</v>
      </c>
      <c r="C233" s="5">
        <v>2401</v>
      </c>
      <c r="D233" s="7" t="str">
        <f>Rate_Analysis!C3211</f>
        <v>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1 X 1 X 0 .5 m (4 sqm)</v>
      </c>
      <c r="E233" s="5" t="s">
        <v>84</v>
      </c>
      <c r="F233" s="272">
        <v>7509.44</v>
      </c>
      <c r="G233" s="272">
        <f t="shared" si="6"/>
        <v>6529.95</v>
      </c>
      <c r="H233" s="272">
        <v>9049.25</v>
      </c>
      <c r="I233" s="272">
        <v>7868.91</v>
      </c>
      <c r="J233" s="272">
        <v>9004.4</v>
      </c>
      <c r="K233" s="272">
        <v>7829.91</v>
      </c>
      <c r="L233" s="395">
        <f>Rate_Analysis!U3222</f>
        <v>9045.61</v>
      </c>
      <c r="M233" s="404">
        <f t="shared" si="7"/>
        <v>7865.75</v>
      </c>
      <c r="O233" s="259"/>
    </row>
    <row r="234" spans="1:15" ht="110.25" x14ac:dyDescent="0.25">
      <c r="A234" s="5">
        <v>222</v>
      </c>
      <c r="B234" s="5" t="s">
        <v>950</v>
      </c>
      <c r="C234" s="5">
        <v>2401</v>
      </c>
      <c r="D234" s="7" t="str">
        <f>Rate_Analysis!C3224</f>
        <v>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2.0 X 1 X 0 .5 m ( 7.5 sqm m)</v>
      </c>
      <c r="E234" s="5" t="s">
        <v>84</v>
      </c>
      <c r="F234" s="272">
        <v>7067.13</v>
      </c>
      <c r="G234" s="272">
        <f t="shared" si="6"/>
        <v>6145.33</v>
      </c>
      <c r="H234" s="272">
        <v>8522.7900000000009</v>
      </c>
      <c r="I234" s="272">
        <v>7411.12</v>
      </c>
      <c r="J234" s="272">
        <v>8467.2099999999991</v>
      </c>
      <c r="K234" s="272">
        <v>7362.79</v>
      </c>
      <c r="L234" s="395">
        <f>Rate_Analysis!U3235</f>
        <v>8504.58</v>
      </c>
      <c r="M234" s="404">
        <f t="shared" si="7"/>
        <v>7395.29</v>
      </c>
      <c r="O234" s="259"/>
    </row>
    <row r="235" spans="1:15" ht="110.25" x14ac:dyDescent="0.25">
      <c r="A235" s="5">
        <v>223</v>
      </c>
      <c r="B235" s="5" t="s">
        <v>952</v>
      </c>
      <c r="C235" s="5">
        <v>2401</v>
      </c>
      <c r="D235" s="7" t="str">
        <f>Rate_Analysis!C3237</f>
        <v>Gabion Structure for Retaining Earth,Providing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 X 1 X 0 .3 m ( 6.1 sqm)</v>
      </c>
      <c r="E235" s="5" t="s">
        <v>84</v>
      </c>
      <c r="F235" s="272">
        <v>7943.44</v>
      </c>
      <c r="G235" s="272">
        <f t="shared" si="6"/>
        <v>6907.34</v>
      </c>
      <c r="H235" s="272">
        <v>9598.4599999999991</v>
      </c>
      <c r="I235" s="272">
        <v>8346.49</v>
      </c>
      <c r="J235" s="272">
        <v>9544.75</v>
      </c>
      <c r="K235" s="272">
        <v>8299.7800000000007</v>
      </c>
      <c r="L235" s="395">
        <f>Rate_Analysis!U3248</f>
        <v>9582.1299999999992</v>
      </c>
      <c r="M235" s="404">
        <f t="shared" si="7"/>
        <v>8332.2900000000009</v>
      </c>
      <c r="O235" s="259"/>
    </row>
    <row r="236" spans="1:15" ht="94.5" x14ac:dyDescent="0.25">
      <c r="A236" s="5">
        <v>224</v>
      </c>
      <c r="B236" s="5" t="s">
        <v>954</v>
      </c>
      <c r="C236" s="5">
        <v>2401</v>
      </c>
      <c r="D236" s="7" t="str">
        <f>Rate_Analysis!C3250</f>
        <v>Gabion Structure for Retaining Earth,Providing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/m), binding wire 12 Swg (0.0409 kg/m) Hexagonal mesh Type 80 mm X 100 mm,, Box  size 3 X 1 X 1 m ( 16 sqm)</v>
      </c>
      <c r="E236" s="5" t="s">
        <v>84</v>
      </c>
      <c r="F236" s="272">
        <v>6446.24</v>
      </c>
      <c r="G236" s="272">
        <f t="shared" si="6"/>
        <v>5605.43</v>
      </c>
      <c r="H236" s="272">
        <v>7771.16</v>
      </c>
      <c r="I236" s="272">
        <v>6757.53</v>
      </c>
      <c r="J236" s="272">
        <v>7703.37</v>
      </c>
      <c r="K236" s="272">
        <v>6698.58</v>
      </c>
      <c r="L236" s="395">
        <f>Rate_Analysis!U3261</f>
        <v>7737.87</v>
      </c>
      <c r="M236" s="404">
        <f t="shared" si="7"/>
        <v>6728.58</v>
      </c>
      <c r="O236" s="259"/>
    </row>
    <row r="237" spans="1:15" ht="94.5" x14ac:dyDescent="0.25">
      <c r="A237" s="5">
        <v>225</v>
      </c>
      <c r="B237" s="5" t="s">
        <v>956</v>
      </c>
      <c r="C237" s="5">
        <v>2401</v>
      </c>
      <c r="D237" s="7" t="str">
        <f>Rate_Analysis!C3263</f>
        <v>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/m), binding wire 12 Swg (0.0409 kg/m) Hexagonal mesh Type 80 mm X 100 mm,, Box size 2 X 1 X 1 m ( 11 sqm)</v>
      </c>
      <c r="E237" s="5" t="s">
        <v>84</v>
      </c>
      <c r="F237" s="272">
        <v>6524.28</v>
      </c>
      <c r="G237" s="272">
        <f t="shared" si="6"/>
        <v>5673.29</v>
      </c>
      <c r="H237" s="272">
        <v>7866.69</v>
      </c>
      <c r="I237" s="272">
        <v>6840.6</v>
      </c>
      <c r="J237" s="272">
        <v>7799.59</v>
      </c>
      <c r="K237" s="272">
        <v>6782.25</v>
      </c>
      <c r="L237" s="395">
        <f>Rate_Analysis!U3274</f>
        <v>7834.09</v>
      </c>
      <c r="M237" s="404">
        <f t="shared" si="7"/>
        <v>6812.25</v>
      </c>
      <c r="O237" s="259"/>
    </row>
    <row r="238" spans="1:15" ht="94.5" x14ac:dyDescent="0.25">
      <c r="A238" s="5">
        <v>226</v>
      </c>
      <c r="B238" s="5" t="s">
        <v>958</v>
      </c>
      <c r="C238" s="5">
        <v>2401</v>
      </c>
      <c r="D238" s="7" t="str">
        <f>Rate_Analysis!C3276</f>
        <v>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/m), binding wire 12 Swg (0.0409 kg/m) Hexagonal mesh Type 80 mm X 100 mm,, Box size 1.5 X 1 X 1 m ( 9 sqm)</v>
      </c>
      <c r="E238" s="5" t="s">
        <v>84</v>
      </c>
      <c r="F238" s="272">
        <v>6742.02</v>
      </c>
      <c r="G238" s="272">
        <f t="shared" si="6"/>
        <v>5862.63</v>
      </c>
      <c r="H238" s="272">
        <v>8132.44</v>
      </c>
      <c r="I238" s="272">
        <v>7071.69</v>
      </c>
      <c r="J238" s="272">
        <v>8068.83</v>
      </c>
      <c r="K238" s="272">
        <v>7016.37</v>
      </c>
      <c r="L238" s="395">
        <f>Rate_Analysis!U3287</f>
        <v>8103.33</v>
      </c>
      <c r="M238" s="404">
        <f t="shared" si="7"/>
        <v>7046.37</v>
      </c>
      <c r="O238" s="259"/>
    </row>
    <row r="239" spans="1:15" ht="94.5" x14ac:dyDescent="0.25">
      <c r="A239" s="5">
        <v>227</v>
      </c>
      <c r="B239" s="5" t="s">
        <v>960</v>
      </c>
      <c r="C239" s="5">
        <v>2401</v>
      </c>
      <c r="D239" s="7" t="str">
        <f>Rate_Analysis!C3289</f>
        <v>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/m), binding wire 12 Swg (0.0409 kg/m) Hexagonal mesh Type 80 mm X 100 mm,, Box size 1 X 1 X 1 m (6 sqm)</v>
      </c>
      <c r="E239" s="5" t="s">
        <v>84</v>
      </c>
      <c r="F239" s="272">
        <v>6759.26</v>
      </c>
      <c r="G239" s="272">
        <f t="shared" si="6"/>
        <v>5877.62</v>
      </c>
      <c r="H239" s="272">
        <v>8154.25</v>
      </c>
      <c r="I239" s="272">
        <v>7090.65</v>
      </c>
      <c r="J239" s="272">
        <v>8089.41</v>
      </c>
      <c r="K239" s="272">
        <v>7034.27</v>
      </c>
      <c r="L239" s="395">
        <f>Rate_Analysis!U3300</f>
        <v>8123.91</v>
      </c>
      <c r="M239" s="404">
        <f t="shared" si="7"/>
        <v>7064.27</v>
      </c>
      <c r="O239" s="259"/>
    </row>
    <row r="240" spans="1:15" ht="94.5" x14ac:dyDescent="0.25">
      <c r="A240" s="5">
        <v>228</v>
      </c>
      <c r="B240" s="5" t="s">
        <v>962</v>
      </c>
      <c r="C240" s="5">
        <v>2401</v>
      </c>
      <c r="D240" s="7" t="str">
        <f>Rate_Analysis!C3303</f>
        <v>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/m), binding wire 12 Swg (0.0409 kg/m) Hexagonal mesh Type 80 mm X 100 mm,, Box size 3.0 X 1 X 0 .75 m (13.5 sqm)</v>
      </c>
      <c r="E240" s="5" t="s">
        <v>84</v>
      </c>
      <c r="F240" s="272">
        <v>7286.93</v>
      </c>
      <c r="G240" s="272">
        <f t="shared" si="6"/>
        <v>6336.46</v>
      </c>
      <c r="H240" s="272">
        <v>8761.0300000000007</v>
      </c>
      <c r="I240" s="272">
        <v>7618.29</v>
      </c>
      <c r="J240" s="272">
        <v>8729</v>
      </c>
      <c r="K240" s="272">
        <v>7590.43</v>
      </c>
      <c r="L240" s="395">
        <f>Rate_Analysis!U3314</f>
        <v>8775</v>
      </c>
      <c r="M240" s="404">
        <f t="shared" si="7"/>
        <v>7630.43</v>
      </c>
      <c r="O240" s="259"/>
    </row>
    <row r="241" spans="1:15" ht="94.5" x14ac:dyDescent="0.25">
      <c r="A241" s="5">
        <v>229</v>
      </c>
      <c r="B241" s="5" t="s">
        <v>964</v>
      </c>
      <c r="C241" s="5">
        <v>2401</v>
      </c>
      <c r="D241" s="7" t="str">
        <f>Rate_Analysis!C3316</f>
        <v>Gabion Structure for Retaining Earth,Providing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/m), binding wire 12 Swg (0.0409 kg/m) Hexagonal mesh Type 80 mm X 100 mm,, Box  size 2.0 X 1 X 0 .75 m ( 9.25 sqm)</v>
      </c>
      <c r="E241" s="5" t="s">
        <v>84</v>
      </c>
      <c r="F241" s="272">
        <v>6788.6</v>
      </c>
      <c r="G241" s="272">
        <f t="shared" si="6"/>
        <v>5903.13</v>
      </c>
      <c r="H241" s="272">
        <v>8190.05</v>
      </c>
      <c r="I241" s="272">
        <v>7121.78</v>
      </c>
      <c r="J241" s="272">
        <v>8125.69</v>
      </c>
      <c r="K241" s="272">
        <v>7065.82</v>
      </c>
      <c r="L241" s="395">
        <f>Rate_Analysis!U3327</f>
        <v>8160.19</v>
      </c>
      <c r="M241" s="404">
        <f t="shared" si="7"/>
        <v>7095.82</v>
      </c>
      <c r="O241" s="259"/>
    </row>
    <row r="242" spans="1:15" ht="94.5" x14ac:dyDescent="0.25">
      <c r="A242" s="5">
        <v>230</v>
      </c>
      <c r="B242" s="5" t="s">
        <v>966</v>
      </c>
      <c r="C242" s="5">
        <v>2401</v>
      </c>
      <c r="D242" s="7" t="str">
        <f>Rate_Analysis!C3329</f>
        <v>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/m), binding wire 12 Swg (0.0409 kg/m) Hexagonal mesh Type 80 mm X 100 mm,, Box size 1.0 X 1 X 0 .75 m ( 5 sqm)</v>
      </c>
      <c r="E242" s="5" t="s">
        <v>84</v>
      </c>
      <c r="F242" s="272">
        <v>7178</v>
      </c>
      <c r="G242" s="272">
        <f t="shared" si="6"/>
        <v>6241.74</v>
      </c>
      <c r="H242" s="272">
        <v>8657.25</v>
      </c>
      <c r="I242" s="272">
        <v>7528.04</v>
      </c>
      <c r="J242" s="272">
        <v>8605.16</v>
      </c>
      <c r="K242" s="272">
        <v>7482.75</v>
      </c>
      <c r="L242" s="395">
        <f>Rate_Analysis!U3340</f>
        <v>8642.5300000000007</v>
      </c>
      <c r="M242" s="404">
        <f t="shared" si="7"/>
        <v>7515.24</v>
      </c>
      <c r="O242" s="259"/>
    </row>
    <row r="243" spans="1:15" ht="94.5" x14ac:dyDescent="0.25">
      <c r="A243" s="5">
        <v>231</v>
      </c>
      <c r="B243" s="5" t="s">
        <v>968</v>
      </c>
      <c r="C243" s="5">
        <v>2401</v>
      </c>
      <c r="D243" s="7" t="str">
        <f>Rate_Analysis!C3342</f>
        <v>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/m), binding wire 12 Swg (0.0409 kg/m) Hexagonal mesh Type 80 mm X 100 mm,, Box size 3.0 X 1 X 0 .5 m ( 11 sqm)</v>
      </c>
      <c r="E243" s="5" t="s">
        <v>84</v>
      </c>
      <c r="F243" s="272">
        <v>7343.6</v>
      </c>
      <c r="G243" s="272">
        <f t="shared" si="6"/>
        <v>6385.74</v>
      </c>
      <c r="H243" s="272">
        <v>8862</v>
      </c>
      <c r="I243" s="272">
        <v>7706.09</v>
      </c>
      <c r="J243" s="272">
        <v>8807.33</v>
      </c>
      <c r="K243" s="272">
        <v>7658.55</v>
      </c>
      <c r="L243" s="395">
        <f>Rate_Analysis!U3353</f>
        <v>8844.7099999999991</v>
      </c>
      <c r="M243" s="404">
        <f t="shared" si="7"/>
        <v>7691.05</v>
      </c>
      <c r="O243" s="259"/>
    </row>
    <row r="244" spans="1:15" ht="94.5" x14ac:dyDescent="0.25">
      <c r="A244" s="5">
        <v>232</v>
      </c>
      <c r="B244" s="5" t="s">
        <v>970</v>
      </c>
      <c r="C244" s="5">
        <v>2401</v>
      </c>
      <c r="D244" s="7" t="str">
        <f>Rate_Analysis!C3355</f>
        <v>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/m), binding wire 12 Swg (0.0409 kg/m) Hexagonal mesh Type 80 mm X 100 mm,, Box  size 2.0 X 1 X 0 .5 m ( 7.5 sqm)</v>
      </c>
      <c r="E244" s="5" t="s">
        <v>84</v>
      </c>
      <c r="F244" s="272">
        <v>7442.38</v>
      </c>
      <c r="G244" s="272">
        <f t="shared" si="6"/>
        <v>6471.63</v>
      </c>
      <c r="H244" s="272">
        <v>8982.36</v>
      </c>
      <c r="I244" s="272">
        <v>7810.75</v>
      </c>
      <c r="J244" s="272">
        <v>8929.68</v>
      </c>
      <c r="K244" s="272">
        <v>7764.94</v>
      </c>
      <c r="L244" s="395">
        <f>Rate_Analysis!U3366</f>
        <v>8967.0499999999993</v>
      </c>
      <c r="M244" s="404">
        <f t="shared" si="7"/>
        <v>7797.43</v>
      </c>
      <c r="O244" s="259"/>
    </row>
    <row r="245" spans="1:15" ht="94.5" x14ac:dyDescent="0.25">
      <c r="A245" s="5">
        <v>233</v>
      </c>
      <c r="B245" s="5" t="s">
        <v>972</v>
      </c>
      <c r="C245" s="5">
        <v>2401</v>
      </c>
      <c r="D245" s="7" t="str">
        <f>Rate_Analysis!C3368</f>
        <v>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/m), binding wire 12 Swg (0.0409 kg/m) Hexagonal mesh Type 80 mm X 100 mm,, Box  size 1 X 1 X 0 .5 m ( 4 sqm)</v>
      </c>
      <c r="E245" s="5" t="s">
        <v>84</v>
      </c>
      <c r="F245" s="272">
        <v>7852.57</v>
      </c>
      <c r="G245" s="272">
        <f t="shared" si="6"/>
        <v>6828.32</v>
      </c>
      <c r="H245" s="272">
        <v>9474.59</v>
      </c>
      <c r="I245" s="272">
        <v>8238.77</v>
      </c>
      <c r="J245" s="272">
        <v>9435.19</v>
      </c>
      <c r="K245" s="272">
        <v>8204.51</v>
      </c>
      <c r="L245" s="395">
        <f>Rate_Analysis!U3379</f>
        <v>9475.44</v>
      </c>
      <c r="M245" s="404">
        <f t="shared" si="7"/>
        <v>8239.51</v>
      </c>
      <c r="O245" s="259"/>
    </row>
    <row r="246" spans="1:15" ht="78.75" x14ac:dyDescent="0.25">
      <c r="A246" s="5">
        <v>234</v>
      </c>
      <c r="B246" s="5" t="s">
        <v>976</v>
      </c>
      <c r="C246" s="5">
        <v>2402</v>
      </c>
      <c r="D246" s="7" t="str">
        <f>description_697</f>
        <v>Providing mechanically  woven double twisted  crates / mattress  including rolling, cutting and  with lacing  wire and binding wire as per specification.           
                                                                                                                                       , Hexagonal mesh type 100 mm x 120 mm, mesh wire 3 mm, selvage wire 3.9 mm, lacing wire 2.4 mm</v>
      </c>
      <c r="E246" s="5" t="s">
        <v>438</v>
      </c>
      <c r="F246" s="272">
        <v>265.64999999999998</v>
      </c>
      <c r="G246" s="272">
        <f t="shared" si="6"/>
        <v>231</v>
      </c>
      <c r="H246" s="272">
        <v>313.95</v>
      </c>
      <c r="I246" s="272">
        <v>273</v>
      </c>
      <c r="J246" s="272">
        <v>381.8</v>
      </c>
      <c r="K246" s="272">
        <v>332</v>
      </c>
      <c r="L246" s="395">
        <f>Rate_Analysis!U3389</f>
        <v>377.2</v>
      </c>
      <c r="M246" s="404">
        <f t="shared" si="7"/>
        <v>328</v>
      </c>
      <c r="O246" s="259"/>
    </row>
    <row r="247" spans="1:15" ht="78.75" x14ac:dyDescent="0.25">
      <c r="A247" s="5">
        <v>235</v>
      </c>
      <c r="B247" s="5" t="s">
        <v>979</v>
      </c>
      <c r="C247" s="5">
        <v>2402</v>
      </c>
      <c r="D247" s="7" t="str">
        <f>description_698</f>
        <v>Providing mechanically  woven double twisted  crates / mattress  including rolling, cutting and  with lacing  wire and binding wire as per specification.           
                                                                                                                                       , Hexagonal mesh type 100 mm x 120 mm, mesh wire 2.7 mm, selvage wire 3.4 mm, lacing wire 2.2 mm</v>
      </c>
      <c r="E247" s="5" t="s">
        <v>438</v>
      </c>
      <c r="F247" s="272">
        <v>265.64999999999998</v>
      </c>
      <c r="G247" s="272">
        <f t="shared" si="6"/>
        <v>231</v>
      </c>
      <c r="H247" s="272">
        <v>313.95</v>
      </c>
      <c r="I247" s="272">
        <v>273</v>
      </c>
      <c r="J247" s="272">
        <v>313.95</v>
      </c>
      <c r="K247" s="272">
        <v>273</v>
      </c>
      <c r="L247" s="395">
        <f>Rate_Analysis!U3399</f>
        <v>310.5</v>
      </c>
      <c r="M247" s="404">
        <f t="shared" si="7"/>
        <v>270</v>
      </c>
      <c r="O247" s="259"/>
    </row>
    <row r="248" spans="1:15" ht="78.75" x14ac:dyDescent="0.25">
      <c r="A248" s="5">
        <v>236</v>
      </c>
      <c r="B248" s="5" t="s">
        <v>982</v>
      </c>
      <c r="C248" s="5">
        <v>2402</v>
      </c>
      <c r="D248" s="7" t="str">
        <f>description_700</f>
        <v>Providing mechanically  woven double twisted  crates / mattress  including rolling, cutting and  with lacing  wire and binding wire as per specification.           
                                                                                                                                       , Hexagonal mesh type 80 mm x 100 mm, mesh wire 2.7 mm, selvage wire 3.4 mm, lacing wire 2.2 mm</v>
      </c>
      <c r="E248" s="5" t="s">
        <v>438</v>
      </c>
      <c r="F248" s="272">
        <v>265.64999999999998</v>
      </c>
      <c r="G248" s="272">
        <f t="shared" si="6"/>
        <v>231</v>
      </c>
      <c r="H248" s="272">
        <v>313.95</v>
      </c>
      <c r="I248" s="272">
        <v>273</v>
      </c>
      <c r="J248" s="272">
        <v>313.95</v>
      </c>
      <c r="K248" s="272">
        <v>273</v>
      </c>
      <c r="L248" s="395">
        <f>Rate_Analysis!U3409</f>
        <v>310.5</v>
      </c>
      <c r="M248" s="404">
        <f t="shared" si="7"/>
        <v>270</v>
      </c>
      <c r="O248" s="259"/>
    </row>
    <row r="249" spans="1:15" ht="78.75" x14ac:dyDescent="0.25">
      <c r="A249" s="5">
        <v>237</v>
      </c>
      <c r="B249" s="5" t="s">
        <v>985</v>
      </c>
      <c r="C249" s="5">
        <v>2402</v>
      </c>
      <c r="D249" s="7" t="str">
        <f>description_701</f>
        <v>Providing mechanically  woven double twisted  crates / mattress  including rolling, cutting and  with lacing  wire and binding wire as per specification.           
                                                                                                                                       , Hexagonal mesh type 60 mm x 80 mm, mesh wire 2.7 mm, selvage wire 3.4 mm, lacing wire 2.2 mm</v>
      </c>
      <c r="E249" s="5" t="s">
        <v>438</v>
      </c>
      <c r="F249" s="272">
        <v>322</v>
      </c>
      <c r="G249" s="272">
        <f t="shared" si="6"/>
        <v>280</v>
      </c>
      <c r="H249" s="272">
        <v>322</v>
      </c>
      <c r="I249" s="272">
        <v>280</v>
      </c>
      <c r="J249" s="272">
        <v>322</v>
      </c>
      <c r="K249" s="272">
        <v>280</v>
      </c>
      <c r="L249" s="395">
        <f>Rate_Analysis!U3419</f>
        <v>322</v>
      </c>
      <c r="M249" s="404">
        <f t="shared" si="7"/>
        <v>280</v>
      </c>
      <c r="O249" s="259"/>
    </row>
    <row r="250" spans="1:15" ht="94.5" x14ac:dyDescent="0.25">
      <c r="A250" s="5">
        <v>238</v>
      </c>
      <c r="B250" s="5" t="s">
        <v>988</v>
      </c>
      <c r="C250" s="5">
        <v>2402</v>
      </c>
      <c r="D250" s="7" t="str">
        <f>description_702</f>
        <v>Providing mechanically  woven double twisted  crates / mattress  including rolling, cutting and  with lacing  wire and binding wire as per specification.           
                                                                                                                                       , Zinc + PVC coated Hexagonal mesh type 100 mm x 120 mm, mesh wire 2.7 mm/3.7 mm, selvage wire 3.4 mm/4.4 mm, lacing wire 2.2 mm/3.2 mm with Pac coating thickness nominal 0.5 mm ( minimum 0.38 mm)</v>
      </c>
      <c r="E250" s="5" t="s">
        <v>438</v>
      </c>
      <c r="F250" s="272">
        <v>312.8</v>
      </c>
      <c r="G250" s="272">
        <f t="shared" si="6"/>
        <v>272</v>
      </c>
      <c r="H250" s="272">
        <v>370.3</v>
      </c>
      <c r="I250" s="272">
        <v>322</v>
      </c>
      <c r="J250" s="272">
        <v>370.3</v>
      </c>
      <c r="K250" s="272">
        <v>322</v>
      </c>
      <c r="L250" s="395">
        <f>Rate_Analysis!U3429</f>
        <v>365.7</v>
      </c>
      <c r="M250" s="404">
        <f t="shared" si="7"/>
        <v>318</v>
      </c>
      <c r="O250" s="259"/>
    </row>
    <row r="251" spans="1:15" ht="94.5" x14ac:dyDescent="0.25">
      <c r="A251" s="5">
        <v>239</v>
      </c>
      <c r="B251" s="5" t="s">
        <v>991</v>
      </c>
      <c r="C251" s="5">
        <v>2402</v>
      </c>
      <c r="D251" s="7" t="str">
        <f>description_703</f>
        <v>Providing mechanically  woven double twisted  crates / mattress  including rolling, cutting and  with lacing  wire and binding wire as per specification.           
                                                                                                                                       , Zinc + PVC coated Hexagonal mesh type 80 mm x 100 mm, mesh wire 2.2 mm/3.2 mm, selvage wire 2.7 mm/3.7 mm, lacing wire 2.2 mm/3.2 mm with Pac coating thickness nominal 0.5 mm ( minimum 0.38 mm)</v>
      </c>
      <c r="E251" s="5" t="s">
        <v>438</v>
      </c>
      <c r="F251" s="272">
        <v>312.8</v>
      </c>
      <c r="G251" s="272">
        <f t="shared" si="6"/>
        <v>272</v>
      </c>
      <c r="H251" s="272">
        <v>370.3</v>
      </c>
      <c r="I251" s="272">
        <v>322</v>
      </c>
      <c r="J251" s="272">
        <v>370.3</v>
      </c>
      <c r="K251" s="272">
        <v>322</v>
      </c>
      <c r="L251" s="395">
        <f>Rate_Analysis!U3439</f>
        <v>365.7</v>
      </c>
      <c r="M251" s="404">
        <f t="shared" si="7"/>
        <v>318</v>
      </c>
      <c r="O251" s="259"/>
    </row>
    <row r="252" spans="1:15" s="281" customFormat="1" ht="94.5" x14ac:dyDescent="0.25">
      <c r="A252" s="391"/>
      <c r="B252" s="391" t="s">
        <v>2288</v>
      </c>
      <c r="C252" s="391">
        <v>2402</v>
      </c>
      <c r="D252" s="392" t="s">
        <v>2289</v>
      </c>
      <c r="E252" s="391" t="s">
        <v>84</v>
      </c>
      <c r="F252" s="387">
        <v>5937.9</v>
      </c>
      <c r="G252" s="387">
        <f t="shared" si="6"/>
        <v>5163.3900000000003</v>
      </c>
      <c r="H252" s="387">
        <v>7087.87</v>
      </c>
      <c r="I252" s="387">
        <v>6163.37</v>
      </c>
      <c r="J252" s="387">
        <v>6982.61</v>
      </c>
      <c r="K252" s="387">
        <v>6071.83</v>
      </c>
      <c r="L252" s="398">
        <f>Rate_Analysis!U4492</f>
        <v>6991.9800000000005</v>
      </c>
      <c r="M252" s="405">
        <f t="shared" si="7"/>
        <v>6079.98</v>
      </c>
      <c r="O252" s="259"/>
    </row>
    <row r="253" spans="1:15" ht="47.25" x14ac:dyDescent="0.25">
      <c r="A253" s="202">
        <v>240</v>
      </c>
      <c r="B253" s="202" t="s">
        <v>994</v>
      </c>
      <c r="C253" s="202">
        <v>2404</v>
      </c>
      <c r="D253" s="203" t="str">
        <f>description_706</f>
        <v>Laying and fixing of Geo-Textile all complete as per specification., Providing  and laying of a geotextile filter between pitching and embankment slopes as per Drawing and Technical Specifications.</v>
      </c>
      <c r="E253" s="5" t="s">
        <v>438</v>
      </c>
      <c r="F253" s="272">
        <v>171.16</v>
      </c>
      <c r="G253" s="272">
        <f t="shared" si="6"/>
        <v>148.83000000000001</v>
      </c>
      <c r="H253" s="272">
        <v>185.09</v>
      </c>
      <c r="I253" s="272">
        <v>160.94999999999999</v>
      </c>
      <c r="J253" s="272">
        <v>185.63</v>
      </c>
      <c r="K253" s="272">
        <v>161.41999999999999</v>
      </c>
      <c r="L253" s="395">
        <f>Rate_Analysis!U3450</f>
        <v>185.82</v>
      </c>
      <c r="M253" s="404">
        <f t="shared" si="7"/>
        <v>161.58000000000001</v>
      </c>
      <c r="O253" s="259"/>
    </row>
    <row r="254" spans="1:15" ht="31.5" x14ac:dyDescent="0.25">
      <c r="A254" s="5">
        <v>241</v>
      </c>
      <c r="B254" s="5" t="s">
        <v>997</v>
      </c>
      <c r="C254" s="5">
        <v>2404</v>
      </c>
      <c r="D254" s="7" t="str">
        <f>description_707</f>
        <v>Laying and fixing of Geo-Textile all complete as per specification., Providing and  laying and fixing of Geo-membrane all complete as per specification.</v>
      </c>
      <c r="E254" s="5" t="s">
        <v>438</v>
      </c>
      <c r="F254" s="272">
        <v>171.16</v>
      </c>
      <c r="G254" s="272">
        <f t="shared" si="6"/>
        <v>148.83000000000001</v>
      </c>
      <c r="H254" s="272">
        <v>185.09</v>
      </c>
      <c r="I254" s="272">
        <v>160.94999999999999</v>
      </c>
      <c r="J254" s="272">
        <v>185.63</v>
      </c>
      <c r="K254" s="272">
        <v>161.41999999999999</v>
      </c>
      <c r="L254" s="395">
        <f>Rate_Analysis!U3461</f>
        <v>185.82</v>
      </c>
      <c r="M254" s="404">
        <f t="shared" si="7"/>
        <v>161.58000000000001</v>
      </c>
      <c r="O254" s="259"/>
    </row>
    <row r="255" spans="1:15" s="210" customFormat="1" ht="63" x14ac:dyDescent="0.25">
      <c r="A255" s="202">
        <v>242</v>
      </c>
      <c r="B255" s="202" t="s">
        <v>1000</v>
      </c>
      <c r="C255" s="202">
        <v>2421</v>
      </c>
      <c r="D255" s="203" t="s">
        <v>2348</v>
      </c>
      <c r="E255" s="202" t="s">
        <v>84</v>
      </c>
      <c r="F255" s="273">
        <v>10744.08</v>
      </c>
      <c r="G255" s="273">
        <f t="shared" si="6"/>
        <v>9342.68</v>
      </c>
      <c r="H255" s="273">
        <v>11588.28</v>
      </c>
      <c r="I255" s="273">
        <v>10076.77</v>
      </c>
      <c r="J255" s="273">
        <v>11066.99</v>
      </c>
      <c r="K255" s="273">
        <v>9623.4699999999993</v>
      </c>
      <c r="L255" s="395">
        <f>Rate_Analysis!U3477</f>
        <v>11339.5</v>
      </c>
      <c r="M255" s="404">
        <f t="shared" si="7"/>
        <v>9860.43</v>
      </c>
      <c r="O255" s="259"/>
    </row>
    <row r="256" spans="1:15" s="210" customFormat="1" ht="47.25" x14ac:dyDescent="0.25">
      <c r="A256" s="202">
        <v>243</v>
      </c>
      <c r="B256" s="202" t="s">
        <v>1006</v>
      </c>
      <c r="C256" s="202">
        <v>2421</v>
      </c>
      <c r="D256" s="203" t="s">
        <v>2349</v>
      </c>
      <c r="E256" s="202" t="s">
        <v>84</v>
      </c>
      <c r="F256" s="273">
        <v>12268.73</v>
      </c>
      <c r="G256" s="273">
        <f t="shared" si="6"/>
        <v>10668.46</v>
      </c>
      <c r="H256" s="273">
        <v>13326.19</v>
      </c>
      <c r="I256" s="273">
        <v>11587.99</v>
      </c>
      <c r="J256" s="273">
        <v>12982.21</v>
      </c>
      <c r="K256" s="273">
        <v>11288.88</v>
      </c>
      <c r="L256" s="395">
        <f>Rate_Analysis!U3493</f>
        <v>13320.46</v>
      </c>
      <c r="M256" s="404">
        <f t="shared" si="7"/>
        <v>11583.01</v>
      </c>
      <c r="O256" s="259"/>
    </row>
    <row r="257" spans="1:15" ht="63" hidden="1" x14ac:dyDescent="0.25">
      <c r="A257" s="5">
        <v>244</v>
      </c>
      <c r="B257" s="5" t="s">
        <v>1008</v>
      </c>
      <c r="C257" s="5">
        <v>2421</v>
      </c>
      <c r="D257" s="7" t="s">
        <v>2350</v>
      </c>
      <c r="E257" s="5" t="s">
        <v>84</v>
      </c>
      <c r="F257" s="272">
        <v>11540.74</v>
      </c>
      <c r="G257" s="272">
        <f t="shared" si="6"/>
        <v>10035.43</v>
      </c>
      <c r="H257" s="272">
        <v>12327.66</v>
      </c>
      <c r="I257" s="272">
        <v>10719.7</v>
      </c>
      <c r="J257" s="272">
        <v>11736.14</v>
      </c>
      <c r="K257" s="272">
        <v>10205.34</v>
      </c>
      <c r="L257" s="395">
        <f>Rate_Analysis!U3509</f>
        <v>12043.84</v>
      </c>
      <c r="M257" s="404">
        <f t="shared" si="7"/>
        <v>10472.9</v>
      </c>
      <c r="O257" s="259"/>
    </row>
    <row r="258" spans="1:15" ht="47.25" hidden="1" x14ac:dyDescent="0.25">
      <c r="A258" s="5">
        <v>245</v>
      </c>
      <c r="B258" s="5" t="s">
        <v>1010</v>
      </c>
      <c r="C258" s="5">
        <v>2421</v>
      </c>
      <c r="D258" s="7" t="s">
        <v>2351</v>
      </c>
      <c r="E258" s="5" t="s">
        <v>84</v>
      </c>
      <c r="F258" s="272">
        <v>13227.04</v>
      </c>
      <c r="G258" s="272">
        <f t="shared" si="6"/>
        <v>11501.77</v>
      </c>
      <c r="H258" s="272">
        <v>14294.51</v>
      </c>
      <c r="I258" s="272">
        <v>12430.01</v>
      </c>
      <c r="J258" s="272">
        <v>13757.87</v>
      </c>
      <c r="K258" s="272">
        <v>11963.37</v>
      </c>
      <c r="L258" s="395">
        <f>Rate_Analysis!U3525</f>
        <v>14134.19</v>
      </c>
      <c r="M258" s="404">
        <f t="shared" si="7"/>
        <v>12290.6</v>
      </c>
      <c r="O258" s="259"/>
    </row>
    <row r="259" spans="1:15" ht="47.25" x14ac:dyDescent="0.25">
      <c r="A259" s="5">
        <v>246</v>
      </c>
      <c r="B259" s="5" t="s">
        <v>1019</v>
      </c>
      <c r="C259" s="5">
        <v>2500</v>
      </c>
      <c r="D259" s="7" t="str">
        <f>description_753</f>
        <v>Providing and laying Brick Masonry Work in Cement mortar  in Foundation / structure complete excluding Pointing and Plastering, as per Drawing and Technical Specifications., Cement sand mortar (1:2)</v>
      </c>
      <c r="E259" s="5" t="s">
        <v>84</v>
      </c>
      <c r="F259" s="272">
        <v>17767.09</v>
      </c>
      <c r="G259" s="272">
        <f t="shared" si="6"/>
        <v>15449.64</v>
      </c>
      <c r="H259" s="272">
        <v>17558.669999999998</v>
      </c>
      <c r="I259" s="272">
        <v>15268.41</v>
      </c>
      <c r="J259" s="272">
        <v>17000.23</v>
      </c>
      <c r="K259" s="272">
        <v>14782.81</v>
      </c>
      <c r="L259" s="395">
        <f>Rate_Analysis!U3549</f>
        <v>17271.63</v>
      </c>
      <c r="M259" s="404">
        <f t="shared" si="7"/>
        <v>15018.81</v>
      </c>
      <c r="O259" s="259"/>
    </row>
    <row r="260" spans="1:15" ht="47.25" x14ac:dyDescent="0.25">
      <c r="A260" s="5">
        <v>247</v>
      </c>
      <c r="B260" s="5" t="s">
        <v>1023</v>
      </c>
      <c r="C260" s="5">
        <v>2500</v>
      </c>
      <c r="D260" s="7" t="str">
        <f>description_754</f>
        <v>Providing and laying Brick Masonry Work in Cement mortar  in Foundation / structure complete excluding Pointing and Plastering, as per Drawing and Technical Specifications., Cement sand mortar (1:2), Using Concrete Mixer</v>
      </c>
      <c r="E260" s="5" t="s">
        <v>84</v>
      </c>
      <c r="F260" s="272">
        <v>17249.59</v>
      </c>
      <c r="G260" s="272">
        <f t="shared" si="6"/>
        <v>14999.64</v>
      </c>
      <c r="H260" s="272">
        <v>16958.37</v>
      </c>
      <c r="I260" s="272">
        <v>14746.41</v>
      </c>
      <c r="J260" s="272">
        <v>16365.43</v>
      </c>
      <c r="K260" s="272">
        <v>14230.81</v>
      </c>
      <c r="L260" s="395">
        <f>Rate_Analysis!U3562</f>
        <v>16626.48</v>
      </c>
      <c r="M260" s="404">
        <f t="shared" si="7"/>
        <v>14457.81</v>
      </c>
      <c r="O260" s="259"/>
    </row>
    <row r="261" spans="1:15" ht="47.25" x14ac:dyDescent="0.25">
      <c r="A261" s="5">
        <v>248</v>
      </c>
      <c r="B261" s="5" t="s">
        <v>1025</v>
      </c>
      <c r="C261" s="5">
        <v>2500</v>
      </c>
      <c r="D261" s="7" t="str">
        <f>description_755</f>
        <v>Providing and laying Brick Masonry Work in Cement mortar  in Foundation / structure complete excluding Pointing and Plastering, as per Drawing and Technical Specifications., Cement sand mortar (1:3)</v>
      </c>
      <c r="E261" s="5" t="s">
        <v>84</v>
      </c>
      <c r="F261" s="272">
        <v>17146</v>
      </c>
      <c r="G261" s="272">
        <f t="shared" si="6"/>
        <v>14909.57</v>
      </c>
      <c r="H261" s="272">
        <v>17039.009999999998</v>
      </c>
      <c r="I261" s="272">
        <v>14816.53</v>
      </c>
      <c r="J261" s="272">
        <v>16581.080000000002</v>
      </c>
      <c r="K261" s="272">
        <v>14418.33</v>
      </c>
      <c r="L261" s="395">
        <f>Rate_Analysis!U3575</f>
        <v>16804.41</v>
      </c>
      <c r="M261" s="404">
        <f t="shared" si="7"/>
        <v>14612.53</v>
      </c>
      <c r="O261" s="259"/>
    </row>
    <row r="262" spans="1:15" ht="47.25" x14ac:dyDescent="0.25">
      <c r="A262" s="5">
        <v>249</v>
      </c>
      <c r="B262" s="5" t="s">
        <v>1027</v>
      </c>
      <c r="C262" s="5">
        <v>2500</v>
      </c>
      <c r="D262" s="7" t="str">
        <f>description_756</f>
        <v>Providing and laying Brick Masonry Work in Cement mortar  in Foundation / structure complete excluding Pointing and Plastering, as per Drawing and Technical Specifications., Cement sand mortar (1:3), Using Concrete Mixer</v>
      </c>
      <c r="E262" s="5" t="s">
        <v>84</v>
      </c>
      <c r="F262" s="272">
        <v>16690.259999999998</v>
      </c>
      <c r="G262" s="272">
        <f t="shared" si="6"/>
        <v>14513.27</v>
      </c>
      <c r="H262" s="272">
        <v>16496.84</v>
      </c>
      <c r="I262" s="272">
        <v>14345.08</v>
      </c>
      <c r="J262" s="272">
        <v>16000.1</v>
      </c>
      <c r="K262" s="272">
        <v>13913.13</v>
      </c>
      <c r="L262" s="395">
        <f>Rate_Analysis!U3588</f>
        <v>16210.32</v>
      </c>
      <c r="M262" s="404">
        <f t="shared" si="7"/>
        <v>14095.93</v>
      </c>
      <c r="O262" s="259"/>
    </row>
    <row r="263" spans="1:15" ht="47.25" x14ac:dyDescent="0.25">
      <c r="A263" s="5">
        <v>250</v>
      </c>
      <c r="B263" s="5" t="s">
        <v>1031</v>
      </c>
      <c r="C263" s="5">
        <v>2500</v>
      </c>
      <c r="D263" s="7" t="str">
        <f>description_757</f>
        <v>Providing and laying Brick Masonry Work in Cement mortar  in Foundation / structure complete excluding Pointing and Plastering, as per Drawing and Technical Specifications., Cement sand mortar (1:4)</v>
      </c>
      <c r="E263" s="5" t="s">
        <v>84</v>
      </c>
      <c r="F263" s="272">
        <v>16716.919999999998</v>
      </c>
      <c r="G263" s="272">
        <f t="shared" si="6"/>
        <v>14536.45</v>
      </c>
      <c r="H263" s="272">
        <v>16679.23</v>
      </c>
      <c r="I263" s="272">
        <v>14503.68</v>
      </c>
      <c r="J263" s="272">
        <v>16290.07</v>
      </c>
      <c r="K263" s="272">
        <v>14165.28</v>
      </c>
      <c r="L263" s="395">
        <f>Rate_Analysis!U3601</f>
        <v>16480.509999999998</v>
      </c>
      <c r="M263" s="404">
        <f t="shared" si="7"/>
        <v>14330.88</v>
      </c>
      <c r="O263" s="259"/>
    </row>
    <row r="264" spans="1:15" ht="47.25" x14ac:dyDescent="0.25">
      <c r="A264" s="5">
        <v>251</v>
      </c>
      <c r="B264" s="5" t="s">
        <v>1033</v>
      </c>
      <c r="C264" s="5">
        <v>2500</v>
      </c>
      <c r="D264" s="7" t="str">
        <f>description_758</f>
        <v>Providing and laying Brick Masonry Work in Cement mortar  in Foundation / structure complete excluding Pointing and Plastering, as per Drawing and Technical Specifications., Cement sand mortar (1:4), Using Concrete Mixer</v>
      </c>
      <c r="E264" s="5" t="s">
        <v>84</v>
      </c>
      <c r="F264" s="272">
        <v>16261.18</v>
      </c>
      <c r="G264" s="272">
        <f t="shared" si="6"/>
        <v>14140.16</v>
      </c>
      <c r="H264" s="272">
        <v>16137.06</v>
      </c>
      <c r="I264" s="272">
        <v>14032.23</v>
      </c>
      <c r="J264" s="272">
        <v>15709.09</v>
      </c>
      <c r="K264" s="272">
        <v>13660.08</v>
      </c>
      <c r="L264" s="395">
        <f>Rate_Analysis!U3614</f>
        <v>15886.42</v>
      </c>
      <c r="M264" s="404">
        <f t="shared" si="7"/>
        <v>13814.28</v>
      </c>
      <c r="O264" s="259"/>
    </row>
    <row r="265" spans="1:15" ht="47.25" x14ac:dyDescent="0.25">
      <c r="A265" s="5">
        <v>252</v>
      </c>
      <c r="B265" s="5" t="s">
        <v>1035</v>
      </c>
      <c r="C265" s="5">
        <v>2500</v>
      </c>
      <c r="D265" s="7" t="str">
        <f>description_759</f>
        <v>Providing and laying Brick Masonry Work in Cement mortar  in Foundation / structure complete excluding Pointing and Plastering, as per Drawing and Technical Specifications., Cement sand mortar (1:6)</v>
      </c>
      <c r="E265" s="5" t="s">
        <v>84</v>
      </c>
      <c r="F265" s="272">
        <v>16294.98</v>
      </c>
      <c r="G265" s="272">
        <f t="shared" si="6"/>
        <v>14169.55</v>
      </c>
      <c r="H265" s="272">
        <v>16326.75</v>
      </c>
      <c r="I265" s="272">
        <v>14197.17</v>
      </c>
      <c r="J265" s="272">
        <v>16006.36</v>
      </c>
      <c r="K265" s="272">
        <v>13918.57</v>
      </c>
      <c r="L265" s="395">
        <f>Rate_Analysis!U3627</f>
        <v>16163.91</v>
      </c>
      <c r="M265" s="404">
        <f t="shared" si="7"/>
        <v>14055.57</v>
      </c>
      <c r="O265" s="259"/>
    </row>
    <row r="266" spans="1:15" ht="47.25" x14ac:dyDescent="0.25">
      <c r="A266" s="5">
        <v>253</v>
      </c>
      <c r="B266" s="5" t="s">
        <v>1037</v>
      </c>
      <c r="C266" s="5">
        <v>2500</v>
      </c>
      <c r="D266" s="7" t="str">
        <f>description_760</f>
        <v>Providing and laying Brick Masonry Work in Cement mortar  in Foundation / structure complete excluding Pointing and Plastering, as per Drawing and Technical Specifications., Cement sand mortar (1:6), Using Concrete Mixer</v>
      </c>
      <c r="E266" s="5" t="s">
        <v>84</v>
      </c>
      <c r="F266" s="272">
        <v>15839.23</v>
      </c>
      <c r="G266" s="272">
        <f t="shared" si="6"/>
        <v>13773.24</v>
      </c>
      <c r="H266" s="272">
        <v>15784.59</v>
      </c>
      <c r="I266" s="272">
        <v>13725.73</v>
      </c>
      <c r="J266" s="272">
        <v>15425.38</v>
      </c>
      <c r="K266" s="272">
        <v>13413.37</v>
      </c>
      <c r="L266" s="395">
        <f>Rate_Analysis!U3640</f>
        <v>15569.82</v>
      </c>
      <c r="M266" s="404">
        <f t="shared" si="7"/>
        <v>13538.97</v>
      </c>
      <c r="O266" s="259"/>
    </row>
    <row r="267" spans="1:15" ht="47.25" x14ac:dyDescent="0.25">
      <c r="A267" s="5">
        <v>254</v>
      </c>
      <c r="B267" s="5" t="s">
        <v>1039</v>
      </c>
      <c r="C267" s="5">
        <v>2500</v>
      </c>
      <c r="D267" s="7" t="str">
        <f>description_761</f>
        <v>Providing and laying Brick masonry work in superstructure/ sub-structure complete excluding pointing and plastering, as per drawing and Technical Specifications, Cement Mortar 1:2 (1 cement : 2 sand)</v>
      </c>
      <c r="E267" s="5" t="s">
        <v>84</v>
      </c>
      <c r="F267" s="272">
        <v>18003.3</v>
      </c>
      <c r="G267" s="272">
        <f t="shared" si="6"/>
        <v>15655.04</v>
      </c>
      <c r="H267" s="272">
        <v>17890.96</v>
      </c>
      <c r="I267" s="272">
        <v>15557.36</v>
      </c>
      <c r="J267" s="272">
        <v>17410.14</v>
      </c>
      <c r="K267" s="272">
        <v>15139.25</v>
      </c>
      <c r="L267" s="395">
        <f>Rate_Analysis!U3654</f>
        <v>17644.63</v>
      </c>
      <c r="M267" s="404">
        <f t="shared" si="7"/>
        <v>15343.16</v>
      </c>
      <c r="O267" s="259"/>
    </row>
    <row r="268" spans="1:15" ht="47.25" x14ac:dyDescent="0.25">
      <c r="A268" s="5">
        <v>255</v>
      </c>
      <c r="B268" s="5" t="s">
        <v>1042</v>
      </c>
      <c r="C268" s="5">
        <v>2500</v>
      </c>
      <c r="D268" s="7" t="str">
        <f>description_762</f>
        <v>Providing and laying Brick masonry work in superstructure/ sub-structure complete excluding pointing and plastering, as per drawing and Technical Specifications, Cement Mortar 1:2 (1 cement : 2 sand), Using Concrete Mixer</v>
      </c>
      <c r="E268" s="5" t="s">
        <v>84</v>
      </c>
      <c r="F268" s="272">
        <v>17521.68</v>
      </c>
      <c r="G268" s="272">
        <f t="shared" si="6"/>
        <v>15236.24</v>
      </c>
      <c r="H268" s="272">
        <v>17318.78</v>
      </c>
      <c r="I268" s="272">
        <v>15059.81</v>
      </c>
      <c r="J268" s="272">
        <v>16797.419999999998</v>
      </c>
      <c r="K268" s="272">
        <v>14606.45</v>
      </c>
      <c r="L268" s="395">
        <f>Rate_Analysis!U3668</f>
        <v>17018.29</v>
      </c>
      <c r="M268" s="404">
        <f t="shared" si="7"/>
        <v>14798.51</v>
      </c>
      <c r="O268" s="259"/>
    </row>
    <row r="269" spans="1:15" ht="47.25" x14ac:dyDescent="0.25">
      <c r="A269" s="5">
        <v>256</v>
      </c>
      <c r="B269" s="5" t="s">
        <v>1044</v>
      </c>
      <c r="C269" s="5">
        <v>2500</v>
      </c>
      <c r="D269" s="7" t="str">
        <f>description_763</f>
        <v>Providing and laying Brick masonry work in superstructure/ sub-structure complete excluding pointing and plastering, as per drawing and Technical Specifications, Cement Mortar 1:3 (1 cement : 3 sand)</v>
      </c>
      <c r="E269" s="5" t="s">
        <v>84</v>
      </c>
      <c r="F269" s="272">
        <v>18614.3</v>
      </c>
      <c r="G269" s="272">
        <f t="shared" si="6"/>
        <v>16186.35</v>
      </c>
      <c r="H269" s="272">
        <v>18597.349999999999</v>
      </c>
      <c r="I269" s="272">
        <v>16171.61</v>
      </c>
      <c r="J269" s="272">
        <v>18150.330000000002</v>
      </c>
      <c r="K269" s="272">
        <v>15782.9</v>
      </c>
      <c r="L269" s="395">
        <f>Rate_Analysis!U3682</f>
        <v>18396.91</v>
      </c>
      <c r="M269" s="404">
        <f t="shared" si="7"/>
        <v>15997.31</v>
      </c>
      <c r="O269" s="259"/>
    </row>
    <row r="270" spans="1:15" ht="47.25" x14ac:dyDescent="0.25">
      <c r="A270" s="5">
        <v>257</v>
      </c>
      <c r="B270" s="5" t="s">
        <v>1046</v>
      </c>
      <c r="C270" s="5">
        <v>2500</v>
      </c>
      <c r="D270" s="7" t="str">
        <f>description_764</f>
        <v>Providing and laying Brick masonry work in superstructure/ sub-structure complete excluding pointing and plastering, as per drawing and Technical Specifications, Cement Mortar 1:3 (1 cement : 3 sand), Using Concrete Mixer</v>
      </c>
      <c r="E270" s="5" t="s">
        <v>84</v>
      </c>
      <c r="F270" s="272">
        <v>18132.68</v>
      </c>
      <c r="G270" s="272">
        <f t="shared" si="6"/>
        <v>15767.55</v>
      </c>
      <c r="H270" s="272">
        <v>18025.169999999998</v>
      </c>
      <c r="I270" s="272">
        <v>15674.06</v>
      </c>
      <c r="J270" s="272">
        <v>17537.61</v>
      </c>
      <c r="K270" s="272">
        <v>15250.1</v>
      </c>
      <c r="L270" s="395">
        <f>Rate_Analysis!U3696</f>
        <v>17770.560000000001</v>
      </c>
      <c r="M270" s="404">
        <f t="shared" si="7"/>
        <v>15452.66</v>
      </c>
      <c r="O270" s="259"/>
    </row>
    <row r="271" spans="1:15" ht="47.25" x14ac:dyDescent="0.25">
      <c r="A271" s="5">
        <v>258</v>
      </c>
      <c r="B271" s="5" t="s">
        <v>1048</v>
      </c>
      <c r="C271" s="5">
        <v>2500</v>
      </c>
      <c r="D271" s="7" t="str">
        <f>description_765</f>
        <v>Providing and laying Brick masonry work in superstructure/ sub-structure complete excluding pointing and plastering, as per drawing and Technical Specifications, Cement Mortar 1:4 (1 cement : 4 sand)</v>
      </c>
      <c r="E271" s="5" t="s">
        <v>84</v>
      </c>
      <c r="F271" s="272">
        <v>18163.759999999998</v>
      </c>
      <c r="G271" s="272">
        <f t="shared" si="6"/>
        <v>15794.57</v>
      </c>
      <c r="H271" s="272">
        <v>18219.580000000002</v>
      </c>
      <c r="I271" s="272">
        <v>15843.11</v>
      </c>
      <c r="J271" s="272">
        <v>17844.77</v>
      </c>
      <c r="K271" s="272">
        <v>15517.19</v>
      </c>
      <c r="L271" s="395">
        <f>Rate_Analysis!U3710</f>
        <v>18056.810000000001</v>
      </c>
      <c r="M271" s="404">
        <f t="shared" si="7"/>
        <v>15701.57</v>
      </c>
      <c r="O271" s="259"/>
    </row>
    <row r="272" spans="1:15" ht="47.25" x14ac:dyDescent="0.25">
      <c r="A272" s="5">
        <v>259</v>
      </c>
      <c r="B272" s="5" t="s">
        <v>1050</v>
      </c>
      <c r="C272" s="5">
        <v>2500</v>
      </c>
      <c r="D272" s="7" t="str">
        <f>description_766</f>
        <v>Providing and laying Brick masonry work in superstructure/ sub-structure complete excluding pointing and plastering, as per drawing and Technical Specifications, Cement Mortar 1:4 (1 cement : 4 sand), Using Concrete Mixer</v>
      </c>
      <c r="E272" s="5" t="s">
        <v>84</v>
      </c>
      <c r="F272" s="272">
        <v>17682.14</v>
      </c>
      <c r="G272" s="272">
        <f t="shared" si="6"/>
        <v>15375.77</v>
      </c>
      <c r="H272" s="272">
        <v>17647.400000000001</v>
      </c>
      <c r="I272" s="272">
        <v>15345.57</v>
      </c>
      <c r="J272" s="272">
        <v>17232.05</v>
      </c>
      <c r="K272" s="272">
        <v>14984.39</v>
      </c>
      <c r="L272" s="395">
        <f>Rate_Analysis!U3724</f>
        <v>17430.46</v>
      </c>
      <c r="M272" s="404">
        <f t="shared" si="7"/>
        <v>15156.92</v>
      </c>
      <c r="O272" s="259"/>
    </row>
    <row r="273" spans="1:15" ht="47.25" x14ac:dyDescent="0.25">
      <c r="A273" s="5">
        <v>260</v>
      </c>
      <c r="B273" s="5" t="s">
        <v>1052</v>
      </c>
      <c r="C273" s="5">
        <v>2500</v>
      </c>
      <c r="D273" s="7" t="str">
        <f>description_767</f>
        <v>Providing and laying Brick masonry work in superstructure/ sub-structure complete excluding pointing and plastering, as per drawing and Technical Specifications, Cement Mortar 1:6 (1 cement : 6 sand)</v>
      </c>
      <c r="E273" s="5" t="s">
        <v>84</v>
      </c>
      <c r="F273" s="272">
        <v>17720.72</v>
      </c>
      <c r="G273" s="272">
        <f t="shared" si="6"/>
        <v>15409.32</v>
      </c>
      <c r="H273" s="272">
        <v>17849.48</v>
      </c>
      <c r="I273" s="272">
        <v>15521.29</v>
      </c>
      <c r="J273" s="272">
        <v>17546.88</v>
      </c>
      <c r="K273" s="272">
        <v>15258.16</v>
      </c>
      <c r="L273" s="395">
        <f>Rate_Analysis!U3738</f>
        <v>17724.38</v>
      </c>
      <c r="M273" s="404">
        <f t="shared" si="7"/>
        <v>15412.5</v>
      </c>
      <c r="O273" s="259"/>
    </row>
    <row r="274" spans="1:15" ht="47.25" x14ac:dyDescent="0.25">
      <c r="A274" s="5">
        <v>261</v>
      </c>
      <c r="B274" s="5" t="s">
        <v>1054</v>
      </c>
      <c r="C274" s="5">
        <v>2500</v>
      </c>
      <c r="D274" s="7" t="str">
        <f>description_768</f>
        <v>Providing and laying Brick masonry work in superstructure/ sub-structure complete excluding pointing and plastering, as per drawing and Technical Specifications, Cement Mortar 1:6 (1 cement : 6 sand), Using Concrete Mixer</v>
      </c>
      <c r="E274" s="5" t="s">
        <v>84</v>
      </c>
      <c r="F274" s="272">
        <v>17239.099999999999</v>
      </c>
      <c r="G274" s="272">
        <f t="shared" si="6"/>
        <v>14990.52</v>
      </c>
      <c r="H274" s="272">
        <v>17277.3</v>
      </c>
      <c r="I274" s="272">
        <v>15023.74</v>
      </c>
      <c r="J274" s="272">
        <v>16934.16</v>
      </c>
      <c r="K274" s="272">
        <v>14725.36</v>
      </c>
      <c r="L274" s="395">
        <f>Rate_Analysis!U3752</f>
        <v>17098.04</v>
      </c>
      <c r="M274" s="404">
        <f t="shared" si="7"/>
        <v>14867.86</v>
      </c>
      <c r="O274" s="259"/>
    </row>
    <row r="275" spans="1:15" ht="31.5" x14ac:dyDescent="0.25">
      <c r="A275" s="5">
        <v>262</v>
      </c>
      <c r="B275" s="5" t="s">
        <v>1056</v>
      </c>
      <c r="C275" s="5">
        <v>2500</v>
      </c>
      <c r="D275" s="7" t="str">
        <f>description_769</f>
        <v>Providing, and applying Pointing with cement mortar (1:3 ) on brick work in structure as per Technical Specifications .</v>
      </c>
      <c r="E275" s="5" t="s">
        <v>438</v>
      </c>
      <c r="F275" s="272">
        <v>265.39999999999998</v>
      </c>
      <c r="G275" s="272">
        <f t="shared" si="6"/>
        <v>230.78</v>
      </c>
      <c r="H275" s="272">
        <v>296.13</v>
      </c>
      <c r="I275" s="272">
        <v>257.5</v>
      </c>
      <c r="J275" s="272">
        <v>303.67</v>
      </c>
      <c r="K275" s="272">
        <v>264.06</v>
      </c>
      <c r="L275" s="395">
        <f>Rate_Analysis!U3764</f>
        <v>309.93</v>
      </c>
      <c r="M275" s="404">
        <f t="shared" si="7"/>
        <v>269.5</v>
      </c>
      <c r="O275" s="259"/>
    </row>
    <row r="276" spans="1:15" ht="47.25" x14ac:dyDescent="0.25">
      <c r="A276" s="5">
        <v>263</v>
      </c>
      <c r="B276" s="5" t="s">
        <v>1058</v>
      </c>
      <c r="C276" s="5">
        <v>2500</v>
      </c>
      <c r="D276" s="7" t="str">
        <f>description_770</f>
        <v>Providing and applying 12.5 mm thick  Plaster with cement mortar  on brick work structure as per Technical Specifications , Cement Mortar 1:2 (1 cement : 2 sand)</v>
      </c>
      <c r="E276" s="5" t="s">
        <v>438</v>
      </c>
      <c r="F276" s="272">
        <v>4544.5</v>
      </c>
      <c r="G276" s="272">
        <f t="shared" ref="G276:G315" si="9">ROUND(F276/1.15,2)</f>
        <v>3951.74</v>
      </c>
      <c r="H276" s="272">
        <v>4649.05</v>
      </c>
      <c r="I276" s="272">
        <v>4042.65</v>
      </c>
      <c r="J276" s="272">
        <v>4510.13</v>
      </c>
      <c r="K276" s="272">
        <v>3921.85</v>
      </c>
      <c r="L276" s="395">
        <f>Rate_Analysis!U3776</f>
        <v>4675.2700000000004</v>
      </c>
      <c r="M276" s="404">
        <f t="shared" ref="M276:M324" si="10">ROUND(L276/1.15,2)</f>
        <v>4065.45</v>
      </c>
      <c r="O276" s="259"/>
    </row>
    <row r="277" spans="1:15" ht="47.25" x14ac:dyDescent="0.25">
      <c r="A277" s="5">
        <v>264</v>
      </c>
      <c r="B277" s="5" t="s">
        <v>1060</v>
      </c>
      <c r="C277" s="5">
        <v>2500</v>
      </c>
      <c r="D277" s="7" t="str">
        <f>description_771</f>
        <v>Providing and applying 12.5 mm thick  Plaster with cement mortar  on brick work structure as per Technical Specifications , Cement Mortar 1:2 (1 cement : 2 sand), Using Concrete Mixer</v>
      </c>
      <c r="E277" s="5" t="s">
        <v>438</v>
      </c>
      <c r="F277" s="272">
        <v>4402.88</v>
      </c>
      <c r="G277" s="272">
        <f t="shared" si="9"/>
        <v>3828.59</v>
      </c>
      <c r="H277" s="272">
        <v>4478.0200000000004</v>
      </c>
      <c r="I277" s="272">
        <v>3893.93</v>
      </c>
      <c r="J277" s="272">
        <v>4325.4399999999996</v>
      </c>
      <c r="K277" s="272">
        <v>3761.25</v>
      </c>
      <c r="L277" s="395">
        <f>Rate_Analysis!U3788</f>
        <v>4485.75</v>
      </c>
      <c r="M277" s="404">
        <f t="shared" si="10"/>
        <v>3900.65</v>
      </c>
      <c r="O277" s="259"/>
    </row>
    <row r="278" spans="1:15" ht="47.25" x14ac:dyDescent="0.25">
      <c r="A278" s="5">
        <v>265</v>
      </c>
      <c r="B278" s="5" t="s">
        <v>1064</v>
      </c>
      <c r="C278" s="5">
        <v>2500</v>
      </c>
      <c r="D278" s="7" t="str">
        <f>description_775</f>
        <v>Providing and applying 12.5 mm thick  Plaster with cement mortar  on brick work structure as per Technical Specifications , Cement Mortar 1:4 (1 cement : 4 sand), Using Concrete Mixer</v>
      </c>
      <c r="E278" s="5" t="s">
        <v>438</v>
      </c>
      <c r="F278" s="272">
        <v>3755.74</v>
      </c>
      <c r="G278" s="272">
        <f t="shared" si="9"/>
        <v>3265.86</v>
      </c>
      <c r="H278" s="272">
        <v>3931.82</v>
      </c>
      <c r="I278" s="272">
        <v>3418.97</v>
      </c>
      <c r="J278" s="272">
        <v>3879.76</v>
      </c>
      <c r="K278" s="272">
        <v>3373.7</v>
      </c>
      <c r="L278" s="395">
        <f>Rate_Analysis!U3800</f>
        <v>3992</v>
      </c>
      <c r="M278" s="404">
        <f t="shared" si="10"/>
        <v>3471.3</v>
      </c>
      <c r="O278" s="259"/>
    </row>
    <row r="279" spans="1:15" ht="47.25" x14ac:dyDescent="0.25">
      <c r="A279" s="5">
        <v>266</v>
      </c>
      <c r="B279" s="5" t="s">
        <v>1066</v>
      </c>
      <c r="C279" s="5">
        <v>2500</v>
      </c>
      <c r="D279" s="7" t="str">
        <f>description_774</f>
        <v>Providing and applying 12.5 mm thick  Plaster with cement mortar  on brick work structure as per Technical Specifications , Cement Mortar 1:4 (1 cement : 4 sand)</v>
      </c>
      <c r="E279" s="5" t="s">
        <v>438</v>
      </c>
      <c r="F279" s="272">
        <v>3897.36</v>
      </c>
      <c r="G279" s="272">
        <f t="shared" si="9"/>
        <v>3389.01</v>
      </c>
      <c r="H279" s="272">
        <v>4102.8599999999997</v>
      </c>
      <c r="I279" s="272">
        <v>3567.7</v>
      </c>
      <c r="J279" s="272">
        <v>4064.45</v>
      </c>
      <c r="K279" s="272">
        <v>3534.3</v>
      </c>
      <c r="L279" s="395">
        <f>Rate_Analysis!U3812</f>
        <v>4181.5200000000004</v>
      </c>
      <c r="M279" s="404">
        <f t="shared" si="10"/>
        <v>3636.1</v>
      </c>
      <c r="O279" s="259"/>
    </row>
    <row r="280" spans="1:15" ht="47.25" x14ac:dyDescent="0.25">
      <c r="A280" s="5">
        <v>267</v>
      </c>
      <c r="B280" s="5" t="s">
        <v>1068</v>
      </c>
      <c r="C280" s="5">
        <v>2500</v>
      </c>
      <c r="D280" s="7" t="str">
        <f>description_773</f>
        <v>Providing and applying 12.5 mm thick  Plaster with cement mortar  on brick work structure as per Technical Specifications , Cement Mortar 1:3 (1 cement : 3 sand), Using Concrete Mixer</v>
      </c>
      <c r="E280" s="5" t="s">
        <v>438</v>
      </c>
      <c r="F280" s="272">
        <v>3986.76</v>
      </c>
      <c r="G280" s="272">
        <f t="shared" si="9"/>
        <v>3466.75</v>
      </c>
      <c r="H280" s="272">
        <v>4125.5</v>
      </c>
      <c r="I280" s="272">
        <v>3587.39</v>
      </c>
      <c r="J280" s="272">
        <v>4036.4</v>
      </c>
      <c r="K280" s="272">
        <v>3509.91</v>
      </c>
      <c r="L280" s="395">
        <f>Rate_Analysis!U3824</f>
        <v>4166.3500000000004</v>
      </c>
      <c r="M280" s="404">
        <f t="shared" si="10"/>
        <v>3622.91</v>
      </c>
      <c r="O280" s="259"/>
    </row>
    <row r="281" spans="1:15" ht="47.25" x14ac:dyDescent="0.25">
      <c r="A281" s="5">
        <v>268</v>
      </c>
      <c r="B281" s="5" t="s">
        <v>1070</v>
      </c>
      <c r="C281" s="5">
        <v>2500</v>
      </c>
      <c r="D281" s="7" t="str">
        <f>description_772</f>
        <v>Providing and applying 12.5 mm thick  Plaster with cement mortar  on brick work structure as per Technical Specifications , Cement Mortar 1:3 (1 cement : 3 sand)</v>
      </c>
      <c r="E281" s="5" t="s">
        <v>438</v>
      </c>
      <c r="F281" s="272">
        <v>4128.38</v>
      </c>
      <c r="G281" s="272">
        <f t="shared" si="9"/>
        <v>3589.9</v>
      </c>
      <c r="H281" s="272">
        <v>4296.53</v>
      </c>
      <c r="I281" s="272">
        <v>3736.11</v>
      </c>
      <c r="J281" s="272">
        <v>4221.09</v>
      </c>
      <c r="K281" s="272">
        <v>3670.51</v>
      </c>
      <c r="L281" s="395">
        <f>Rate_Analysis!U3836</f>
        <v>4355.87</v>
      </c>
      <c r="M281" s="404">
        <f t="shared" si="10"/>
        <v>3787.71</v>
      </c>
      <c r="O281" s="259"/>
    </row>
    <row r="282" spans="1:15" ht="47.25" x14ac:dyDescent="0.25">
      <c r="A282" s="5">
        <v>269</v>
      </c>
      <c r="B282" s="5" t="s">
        <v>1073</v>
      </c>
      <c r="C282" s="5" t="s">
        <v>2102</v>
      </c>
      <c r="D282" s="7" t="str">
        <f>description_779</f>
        <v>Random Rubble Masonry, Providing and laying of Stone Masonry Work in Cement Mortar 1:3 in Foundation complete as per Drawing and Technical Specifications.</v>
      </c>
      <c r="E282" s="5" t="s">
        <v>84</v>
      </c>
      <c r="F282" s="272">
        <v>11449.69</v>
      </c>
      <c r="G282" s="272">
        <f t="shared" si="9"/>
        <v>9956.25</v>
      </c>
      <c r="H282" s="272">
        <v>12384.82</v>
      </c>
      <c r="I282" s="272">
        <v>10769.41</v>
      </c>
      <c r="J282" s="272">
        <v>12016.95</v>
      </c>
      <c r="K282" s="272">
        <v>10449.52</v>
      </c>
      <c r="L282" s="395">
        <f>Rate_Analysis!U3849</f>
        <v>12301.34</v>
      </c>
      <c r="M282" s="404">
        <f t="shared" si="10"/>
        <v>10696.82</v>
      </c>
      <c r="O282" s="259"/>
    </row>
    <row r="283" spans="1:15" ht="47.25" x14ac:dyDescent="0.25">
      <c r="A283" s="5">
        <v>270</v>
      </c>
      <c r="B283" s="5" t="s">
        <v>1076</v>
      </c>
      <c r="C283" s="5" t="s">
        <v>2102</v>
      </c>
      <c r="D283" s="7" t="str">
        <f>description_780</f>
        <v>Random Rubble Masonry, Providing and laying of Stone Masonry Work in Cement Mortar 1:3 in Foundation complete as per Drawing and Technical Specifications., Using Concrete Mixer</v>
      </c>
      <c r="E283" s="5" t="s">
        <v>84</v>
      </c>
      <c r="F283" s="272">
        <v>10445.280000000001</v>
      </c>
      <c r="G283" s="272">
        <f t="shared" si="9"/>
        <v>9082.85</v>
      </c>
      <c r="H283" s="272">
        <v>11206.99</v>
      </c>
      <c r="I283" s="272">
        <v>9745.2099999999991</v>
      </c>
      <c r="J283" s="272">
        <v>10766.03</v>
      </c>
      <c r="K283" s="272">
        <v>9361.77</v>
      </c>
      <c r="L283" s="395">
        <f>Rate_Analysis!U3862</f>
        <v>11026.39</v>
      </c>
      <c r="M283" s="404">
        <f t="shared" si="10"/>
        <v>9588.17</v>
      </c>
      <c r="O283" s="259"/>
    </row>
    <row r="284" spans="1:15" ht="47.25" x14ac:dyDescent="0.25">
      <c r="A284" s="5">
        <v>271</v>
      </c>
      <c r="B284" s="5" t="s">
        <v>1078</v>
      </c>
      <c r="C284" s="5" t="s">
        <v>2102</v>
      </c>
      <c r="D284" s="7" t="str">
        <f>description_782</f>
        <v>Random Rubble Masonry, Providing and laying of Stone Masonry Work in Cement Mortar 1:4 in Foundation complete as per Drawing and Technical Specifications., Using Concrete Mixer</v>
      </c>
      <c r="E284" s="5" t="s">
        <v>84</v>
      </c>
      <c r="F284" s="272">
        <v>9878.67</v>
      </c>
      <c r="G284" s="272">
        <f t="shared" si="9"/>
        <v>8590.15</v>
      </c>
      <c r="H284" s="272">
        <v>10730.89</v>
      </c>
      <c r="I284" s="272">
        <v>9331.2099999999991</v>
      </c>
      <c r="J284" s="272">
        <v>10379.870000000001</v>
      </c>
      <c r="K284" s="272">
        <v>9025.9699999999993</v>
      </c>
      <c r="L284" s="395">
        <f>Rate_Analysis!U3875</f>
        <v>10597.22</v>
      </c>
      <c r="M284" s="404">
        <f t="shared" si="10"/>
        <v>9214.9699999999993</v>
      </c>
      <c r="O284" s="259"/>
    </row>
    <row r="285" spans="1:15" s="210" customFormat="1" ht="47.25" x14ac:dyDescent="0.25">
      <c r="A285" s="202">
        <v>272</v>
      </c>
      <c r="B285" s="202" t="s">
        <v>1080</v>
      </c>
      <c r="C285" s="202" t="s">
        <v>2102</v>
      </c>
      <c r="D285" s="203" t="str">
        <f>description_781</f>
        <v>Random Rubble Masonry, Providing and laying of Stone Masonry Work in Cement Mortar 1:4 in Foundation complete as per Drawing and Technical Specifications.</v>
      </c>
      <c r="E285" s="202" t="s">
        <v>84</v>
      </c>
      <c r="F285" s="273">
        <v>10883.08</v>
      </c>
      <c r="G285" s="273">
        <f t="shared" si="9"/>
        <v>9463.5499999999993</v>
      </c>
      <c r="H285" s="273">
        <v>11908.72</v>
      </c>
      <c r="I285" s="273">
        <v>10355.41</v>
      </c>
      <c r="J285" s="273">
        <v>11630.78</v>
      </c>
      <c r="K285" s="273">
        <v>10113.719999999999</v>
      </c>
      <c r="L285" s="395">
        <f>Rate_Analysis!U3888</f>
        <v>11872.16</v>
      </c>
      <c r="M285" s="404">
        <f t="shared" si="10"/>
        <v>10323.620000000001</v>
      </c>
      <c r="O285" s="259"/>
    </row>
    <row r="286" spans="1:15" s="210" customFormat="1" ht="47.25" x14ac:dyDescent="0.25">
      <c r="A286" s="273"/>
      <c r="B286" s="273"/>
      <c r="C286" s="273" t="s">
        <v>2353</v>
      </c>
      <c r="D286" s="326" t="s">
        <v>2368</v>
      </c>
      <c r="E286" s="273" t="s">
        <v>84</v>
      </c>
      <c r="F286" s="273"/>
      <c r="G286" s="273"/>
      <c r="H286" s="273">
        <v>11582.11</v>
      </c>
      <c r="I286" s="273">
        <v>10071.400000000001</v>
      </c>
      <c r="J286" s="273">
        <v>11490.8</v>
      </c>
      <c r="K286" s="273">
        <v>9992</v>
      </c>
      <c r="L286" s="393">
        <f>Rate_Analysis!U3901</f>
        <v>11732.19</v>
      </c>
      <c r="M286" s="404">
        <f>L286/1.15</f>
        <v>10201.904347826088</v>
      </c>
      <c r="O286" s="259"/>
    </row>
    <row r="287" spans="1:15" ht="47.25" x14ac:dyDescent="0.25">
      <c r="A287" s="5">
        <v>273</v>
      </c>
      <c r="B287" s="5" t="s">
        <v>1082</v>
      </c>
      <c r="C287" s="5" t="s">
        <v>2102</v>
      </c>
      <c r="D287" s="7" t="str">
        <f>description_784</f>
        <v>Random Rubble Masonry, Providing and laying of Stone Masonry Work in Cement Mortar 1:6 in Foundation complete as per Drawing and Technical Specifications., Using Concrete Mixer</v>
      </c>
      <c r="E287" s="5" t="s">
        <v>84</v>
      </c>
      <c r="F287" s="272">
        <v>9476.31</v>
      </c>
      <c r="G287" s="272">
        <f t="shared" si="9"/>
        <v>8240.27</v>
      </c>
      <c r="H287" s="272">
        <v>10422.76</v>
      </c>
      <c r="I287" s="272">
        <v>9063.27</v>
      </c>
      <c r="J287" s="272">
        <v>10161.66</v>
      </c>
      <c r="K287" s="272">
        <v>8836.23</v>
      </c>
      <c r="L287" s="395">
        <f>Rate_Analysis!U3914</f>
        <v>10336</v>
      </c>
      <c r="M287" s="404">
        <f t="shared" si="10"/>
        <v>8987.83</v>
      </c>
      <c r="O287" s="259"/>
    </row>
    <row r="288" spans="1:15" s="210" customFormat="1" ht="47.25" x14ac:dyDescent="0.25">
      <c r="A288" s="202">
        <v>274</v>
      </c>
      <c r="B288" s="202" t="s">
        <v>1084</v>
      </c>
      <c r="C288" s="202" t="s">
        <v>2102</v>
      </c>
      <c r="D288" s="203" t="str">
        <f>description_783</f>
        <v>Random Rubble Masonry, Providing and laying of Stone Masonry Work in Cement Mortar 1:6 in Foundation complete as per Drawing and Technical Specifications.</v>
      </c>
      <c r="E288" s="202" t="s">
        <v>84</v>
      </c>
      <c r="F288" s="273">
        <v>10277.049999999999</v>
      </c>
      <c r="G288" s="273">
        <f t="shared" si="9"/>
        <v>8936.57</v>
      </c>
      <c r="H288" s="273">
        <v>11365.12</v>
      </c>
      <c r="I288" s="273">
        <v>9882.7099999999991</v>
      </c>
      <c r="J288" s="273">
        <v>11165.84</v>
      </c>
      <c r="K288" s="273">
        <v>9709.43</v>
      </c>
      <c r="L288" s="395">
        <f>Rate_Analysis!U3927</f>
        <v>11360.19</v>
      </c>
      <c r="M288" s="404">
        <f t="shared" si="10"/>
        <v>9878.43</v>
      </c>
      <c r="O288" s="259"/>
    </row>
    <row r="289" spans="1:15" s="210" customFormat="1" ht="31.5" x14ac:dyDescent="0.25">
      <c r="A289" s="202">
        <v>275</v>
      </c>
      <c r="B289" s="256">
        <v>26.7</v>
      </c>
      <c r="C289" s="256">
        <v>2600</v>
      </c>
      <c r="D289" s="388" t="str">
        <f>Rate_Analysis!C3930</f>
        <v>Providing and pointing with cement mortar on masonry work in structure as per technical specifications,cement mortar 1:3</v>
      </c>
      <c r="E289" s="256" t="s">
        <v>438</v>
      </c>
      <c r="F289" s="273">
        <v>265.7238668</v>
      </c>
      <c r="G289" s="273">
        <f t="shared" si="9"/>
        <v>231.06</v>
      </c>
      <c r="H289" s="273">
        <v>286.60858899999999</v>
      </c>
      <c r="I289" s="273">
        <v>249.22</v>
      </c>
      <c r="J289" s="273">
        <v>287.72408900000005</v>
      </c>
      <c r="K289" s="273">
        <v>250.19</v>
      </c>
      <c r="L289" s="399">
        <f>Rate_Analysis!U3941</f>
        <v>295.26808899999997</v>
      </c>
      <c r="M289" s="406">
        <f t="shared" si="10"/>
        <v>256.75</v>
      </c>
      <c r="O289" s="259"/>
    </row>
    <row r="290" spans="1:15" s="281" customFormat="1" ht="31.5" x14ac:dyDescent="0.25">
      <c r="A290" s="386">
        <v>276</v>
      </c>
      <c r="B290" s="386" t="s">
        <v>1088</v>
      </c>
      <c r="C290" s="386">
        <v>2709</v>
      </c>
      <c r="D290" s="277" t="str">
        <f>description_810</f>
        <v>Providing and Sealing of cracks/porous concrete by injection process through nipples/Grouting complete as per Technical Specification., Cement Grout</v>
      </c>
      <c r="E290" s="386" t="s">
        <v>144</v>
      </c>
      <c r="F290" s="387">
        <v>400.32</v>
      </c>
      <c r="G290" s="387">
        <f t="shared" si="9"/>
        <v>348.1</v>
      </c>
      <c r="H290" s="387">
        <v>440.36</v>
      </c>
      <c r="I290" s="387">
        <v>382.92</v>
      </c>
      <c r="J290" s="387">
        <v>440.32</v>
      </c>
      <c r="K290" s="387">
        <v>382.89</v>
      </c>
      <c r="L290" s="396">
        <f>Rate_Analysis!U3952</f>
        <v>441.88</v>
      </c>
      <c r="M290" s="405">
        <f t="shared" si="10"/>
        <v>384.24</v>
      </c>
      <c r="O290" s="259"/>
    </row>
    <row r="291" spans="1:15" s="210" customFormat="1" ht="47.25" x14ac:dyDescent="0.25">
      <c r="A291" s="202">
        <v>277</v>
      </c>
      <c r="B291" s="202" t="s">
        <v>1092</v>
      </c>
      <c r="C291" s="202">
        <v>2709</v>
      </c>
      <c r="D291" s="203" t="str">
        <f>description_811</f>
        <v>Providing and Sealing of cracks/porous concrete by injection process through nipples/Grouting complete as per Technical Specification., Cement Mortar (1:1) Grouting</v>
      </c>
      <c r="E291" s="202" t="s">
        <v>144</v>
      </c>
      <c r="F291" s="273">
        <v>475.27</v>
      </c>
      <c r="G291" s="273">
        <f t="shared" si="9"/>
        <v>413.28</v>
      </c>
      <c r="H291" s="273">
        <v>530.87</v>
      </c>
      <c r="I291" s="273">
        <v>461.63</v>
      </c>
      <c r="J291" s="273">
        <v>538.32000000000005</v>
      </c>
      <c r="K291" s="273">
        <v>468.1</v>
      </c>
      <c r="L291" s="397">
        <f>Rate_Analysis!U3964</f>
        <v>540.77</v>
      </c>
      <c r="M291" s="406">
        <f t="shared" si="10"/>
        <v>470.23</v>
      </c>
      <c r="O291" s="259"/>
    </row>
    <row r="292" spans="1:15" ht="31.5" x14ac:dyDescent="0.25">
      <c r="A292" s="5">
        <v>278</v>
      </c>
      <c r="B292" s="5" t="s">
        <v>1107</v>
      </c>
      <c r="C292" s="5">
        <v>2700</v>
      </c>
      <c r="D292" s="7" t="str">
        <f>description_824</f>
        <v>Providing and replacement of Damaged Concrete Railing as per Drawing, Technical Specifications and direction of the Engineer,.</v>
      </c>
      <c r="E292" s="5" t="s">
        <v>75</v>
      </c>
      <c r="F292" s="272">
        <v>632.19000000000005</v>
      </c>
      <c r="G292" s="272">
        <f t="shared" si="9"/>
        <v>549.73</v>
      </c>
      <c r="H292" s="272">
        <v>665.51</v>
      </c>
      <c r="I292" s="272">
        <v>578.70000000000005</v>
      </c>
      <c r="J292" s="272">
        <v>677.39</v>
      </c>
      <c r="K292" s="272">
        <v>589.03</v>
      </c>
      <c r="L292" s="395">
        <f>Rate_Analysis!U3987</f>
        <v>677.47</v>
      </c>
      <c r="M292" s="404">
        <f t="shared" si="10"/>
        <v>589.1</v>
      </c>
      <c r="O292" s="259"/>
    </row>
    <row r="293" spans="1:15" ht="31.5" x14ac:dyDescent="0.25">
      <c r="A293" s="5">
        <v>279</v>
      </c>
      <c r="B293" s="5" t="s">
        <v>1110</v>
      </c>
      <c r="C293" s="5">
        <v>2700</v>
      </c>
      <c r="D293" s="7" t="str">
        <f>description_825</f>
        <v>Providing and replacement of Crash Barrier as per Drawing, Technical Specifications and instruction of the Engineer.</v>
      </c>
      <c r="E293" s="5" t="s">
        <v>75</v>
      </c>
      <c r="F293" s="272">
        <v>862.19</v>
      </c>
      <c r="G293" s="272">
        <f t="shared" si="9"/>
        <v>749.73</v>
      </c>
      <c r="H293" s="272">
        <v>932.31</v>
      </c>
      <c r="I293" s="272">
        <v>810.7</v>
      </c>
      <c r="J293" s="272">
        <v>959.52</v>
      </c>
      <c r="K293" s="272">
        <v>834.37</v>
      </c>
      <c r="L293" s="395">
        <f>Rate_Analysis!U3999</f>
        <v>964.2</v>
      </c>
      <c r="M293" s="404">
        <f t="shared" si="10"/>
        <v>838.43</v>
      </c>
      <c r="O293" s="259"/>
    </row>
    <row r="294" spans="1:15" ht="31.5" x14ac:dyDescent="0.25">
      <c r="A294" s="5">
        <v>280</v>
      </c>
      <c r="B294" s="5" t="s">
        <v>1112</v>
      </c>
      <c r="C294" s="5">
        <v>2700</v>
      </c>
      <c r="D294" s="7" t="str">
        <f>description_826</f>
        <v>Providing and replacement of Damaged  mild steel railing as per Drawing, Technical Specifications and direction of the Engineer.</v>
      </c>
      <c r="E294" s="5" t="s">
        <v>75</v>
      </c>
      <c r="F294" s="272">
        <v>590.91</v>
      </c>
      <c r="G294" s="272">
        <f t="shared" si="9"/>
        <v>513.83000000000004</v>
      </c>
      <c r="H294" s="272">
        <v>628.86</v>
      </c>
      <c r="I294" s="272">
        <v>546.83000000000004</v>
      </c>
      <c r="J294" s="272">
        <v>642.85</v>
      </c>
      <c r="K294" s="272">
        <v>559</v>
      </c>
      <c r="L294" s="395">
        <f>Rate_Analysis!U4011</f>
        <v>644.19000000000005</v>
      </c>
      <c r="M294" s="404">
        <f t="shared" si="10"/>
        <v>560.16999999999996</v>
      </c>
      <c r="O294" s="259"/>
    </row>
    <row r="295" spans="1:15" ht="63" x14ac:dyDescent="0.25">
      <c r="A295" s="5">
        <v>281</v>
      </c>
      <c r="B295" s="5" t="s">
        <v>1114</v>
      </c>
      <c r="C295" s="5">
        <v>2700</v>
      </c>
      <c r="D295" s="7" t="str">
        <f>description_827</f>
        <v>Repair of Crash Barrier, Providing and repair of concrete crash barrier with cement concrete M-30 grade by cutting and trimming the damaged portion to a regular shape, cleaning the area to be repaired thoroughly, applying cement concert after erection of proper form work.</v>
      </c>
      <c r="E295" s="5" t="s">
        <v>75</v>
      </c>
      <c r="F295" s="272">
        <v>663.87</v>
      </c>
      <c r="G295" s="272">
        <f t="shared" si="9"/>
        <v>577.28</v>
      </c>
      <c r="H295" s="272">
        <v>671.59</v>
      </c>
      <c r="I295" s="272">
        <v>583.99</v>
      </c>
      <c r="J295" s="272">
        <v>640.5</v>
      </c>
      <c r="K295" s="272">
        <v>556.96</v>
      </c>
      <c r="L295" s="395">
        <f>Rate_Analysis!U4022</f>
        <v>661.31</v>
      </c>
      <c r="M295" s="404">
        <f t="shared" si="10"/>
        <v>575.04999999999995</v>
      </c>
      <c r="O295" s="259"/>
    </row>
    <row r="296" spans="1:15" ht="47.25" x14ac:dyDescent="0.25">
      <c r="A296" s="5">
        <v>282</v>
      </c>
      <c r="B296" s="5" t="s">
        <v>1117</v>
      </c>
      <c r="C296" s="5">
        <v>2700</v>
      </c>
      <c r="D296" s="7" t="str">
        <f>description_828</f>
        <v>Providing and  repair of  RCC  railing to bring it to the original shape as per Drawing, Technical Specifications and instruction of the Engineer., Repair of RCC Railing</v>
      </c>
      <c r="E296" s="5" t="s">
        <v>75</v>
      </c>
      <c r="F296" s="272">
        <v>374.29</v>
      </c>
      <c r="G296" s="272">
        <f t="shared" si="9"/>
        <v>325.47000000000003</v>
      </c>
      <c r="H296" s="272">
        <v>412.36</v>
      </c>
      <c r="I296" s="272">
        <v>358.57</v>
      </c>
      <c r="J296" s="272">
        <v>409.75</v>
      </c>
      <c r="K296" s="272">
        <v>356.3</v>
      </c>
      <c r="L296" s="395">
        <f>Rate_Analysis!U4033</f>
        <v>417.46</v>
      </c>
      <c r="M296" s="404">
        <f t="shared" si="10"/>
        <v>363.01</v>
      </c>
      <c r="O296" s="259"/>
    </row>
    <row r="297" spans="1:15" ht="47.25" x14ac:dyDescent="0.25">
      <c r="A297" s="5">
        <v>283</v>
      </c>
      <c r="B297" s="5" t="s">
        <v>1120</v>
      </c>
      <c r="C297" s="5">
        <v>2700</v>
      </c>
      <c r="D297" s="7" t="str">
        <f>description_829</f>
        <v>Repair of Steel Railing, Providing and repair of steel railing to bring it to the original shape as per Drawing, Technical Specifications and direction of the Engineer.</v>
      </c>
      <c r="E297" s="5" t="s">
        <v>75</v>
      </c>
      <c r="F297" s="272">
        <v>296.22000000000003</v>
      </c>
      <c r="G297" s="272">
        <f t="shared" si="9"/>
        <v>257.58</v>
      </c>
      <c r="H297" s="272">
        <v>347.59</v>
      </c>
      <c r="I297" s="272">
        <v>302.25</v>
      </c>
      <c r="J297" s="272">
        <v>352.95</v>
      </c>
      <c r="K297" s="272">
        <v>306.91000000000003</v>
      </c>
      <c r="L297" s="395">
        <f>Rate_Analysis!U4046</f>
        <v>354.87</v>
      </c>
      <c r="M297" s="404">
        <f t="shared" si="10"/>
        <v>308.58</v>
      </c>
      <c r="O297" s="259"/>
    </row>
    <row r="298" spans="1:15" ht="47.25" x14ac:dyDescent="0.25">
      <c r="A298" s="5">
        <v>284</v>
      </c>
      <c r="B298" s="5" t="s">
        <v>1127</v>
      </c>
      <c r="C298" s="5">
        <v>2713</v>
      </c>
      <c r="D298" s="7" t="str">
        <f>description_830</f>
        <v>Painting of Steel Bridge, Providing and painting steel bridge including removal of old paints by sand blasting cleaning and repairing of metal surfaces for the application of new paints as per specification and direction of the Engineer.</v>
      </c>
      <c r="E298" s="5" t="s">
        <v>438</v>
      </c>
      <c r="F298" s="272">
        <v>1525.11</v>
      </c>
      <c r="G298" s="272">
        <f t="shared" si="9"/>
        <v>1326.18</v>
      </c>
      <c r="H298" s="272">
        <v>1443.43</v>
      </c>
      <c r="I298" s="272">
        <v>1255.1600000000001</v>
      </c>
      <c r="J298" s="272">
        <v>1441.36</v>
      </c>
      <c r="K298" s="272">
        <v>1253.3599999999999</v>
      </c>
      <c r="L298" s="395">
        <f>Rate_Analysis!U4057</f>
        <v>1433.71</v>
      </c>
      <c r="M298" s="404">
        <f t="shared" si="10"/>
        <v>1246.7</v>
      </c>
      <c r="O298" s="259"/>
    </row>
    <row r="299" spans="1:15" ht="47.25" x14ac:dyDescent="0.25">
      <c r="A299" s="5">
        <v>285</v>
      </c>
      <c r="B299" s="5" t="s">
        <v>1142</v>
      </c>
      <c r="C299" s="5">
        <v>2902</v>
      </c>
      <c r="D299" s="7" t="str">
        <f>description_934</f>
        <v>Maintenance,Carryout Routine ( regular maintenance) of Black top/ Gravel  road in plain area (  Terai) as per Technical Specifications and direction of the Engineer,</v>
      </c>
      <c r="E299" s="5" t="s">
        <v>2028</v>
      </c>
      <c r="F299" s="272">
        <v>278.07</v>
      </c>
      <c r="G299" s="272">
        <f t="shared" si="9"/>
        <v>241.8</v>
      </c>
      <c r="H299" s="272">
        <v>321.89</v>
      </c>
      <c r="I299" s="272">
        <v>279.89999999999998</v>
      </c>
      <c r="J299" s="272">
        <v>338.45</v>
      </c>
      <c r="K299" s="272">
        <v>294.3</v>
      </c>
      <c r="L299" s="395">
        <f>Rate_Analysis!U4094</f>
        <v>343.97</v>
      </c>
      <c r="M299" s="404">
        <f t="shared" si="10"/>
        <v>299.10000000000002</v>
      </c>
      <c r="O299" s="259"/>
    </row>
    <row r="300" spans="1:15" ht="31.5" x14ac:dyDescent="0.25">
      <c r="A300" s="5">
        <v>286</v>
      </c>
      <c r="B300" s="5" t="s">
        <v>1150</v>
      </c>
      <c r="C300" s="5">
        <v>2902</v>
      </c>
      <c r="D300" s="7" t="str">
        <f>description_935</f>
        <v>Maintenance, Carryout Routine ( regular maintenance) of Black top/ Gravel  road in Hilly area as per Technical Specifications and direction of the Engineer,</v>
      </c>
      <c r="E300" s="5" t="s">
        <v>2028</v>
      </c>
      <c r="F300" s="272">
        <v>412.62</v>
      </c>
      <c r="G300" s="272">
        <f t="shared" si="9"/>
        <v>358.8</v>
      </c>
      <c r="H300" s="272">
        <v>477.96</v>
      </c>
      <c r="I300" s="272">
        <v>415.62</v>
      </c>
      <c r="J300" s="272">
        <v>503.49</v>
      </c>
      <c r="K300" s="272">
        <v>437.82</v>
      </c>
      <c r="L300" s="395">
        <f>Rate_Analysis!U4107</f>
        <v>511.7</v>
      </c>
      <c r="M300" s="404">
        <f t="shared" si="10"/>
        <v>444.96</v>
      </c>
      <c r="O300" s="259"/>
    </row>
    <row r="301" spans="1:15" ht="31.5" x14ac:dyDescent="0.25">
      <c r="A301" s="5">
        <v>287</v>
      </c>
      <c r="B301" s="5" t="s">
        <v>1162</v>
      </c>
      <c r="C301" s="5">
        <v>2909</v>
      </c>
      <c r="D301" s="7" t="str">
        <f>description_937</f>
        <v>Restoration of Rain Cuts. Providing and restoration of rain cuts in embankment slopes as per specification and direction of the Engineer.</v>
      </c>
      <c r="E301" s="5" t="s">
        <v>84</v>
      </c>
      <c r="F301" s="272">
        <v>765.33</v>
      </c>
      <c r="G301" s="272">
        <f t="shared" si="9"/>
        <v>665.5</v>
      </c>
      <c r="H301" s="272">
        <v>886.65</v>
      </c>
      <c r="I301" s="272">
        <v>771</v>
      </c>
      <c r="J301" s="272">
        <v>934.38</v>
      </c>
      <c r="K301" s="272">
        <v>812.5</v>
      </c>
      <c r="L301" s="395">
        <f>Rate_Analysis!U4132</f>
        <v>949.61</v>
      </c>
      <c r="M301" s="404">
        <f t="shared" si="10"/>
        <v>825.75</v>
      </c>
      <c r="O301" s="259"/>
    </row>
    <row r="302" spans="1:15" ht="78.75" x14ac:dyDescent="0.25">
      <c r="A302" s="5">
        <v>288</v>
      </c>
      <c r="B302" s="5" t="s">
        <v>1169</v>
      </c>
      <c r="C302" s="5">
        <v>2903</v>
      </c>
      <c r="D302" s="7" t="str">
        <f>description_943</f>
        <v>Maintenance of bituminous surface road with Emulsion, Providing required material and repair to pot holes including removal of failed material, trimming the sides to vertical , leveling the bottom, cleaning, filled with 75 mm Bituminous macadam  applying bitumen /emulsion prime coat  and  tack coat  as per Technical Specifications and direction of the Engineer.</v>
      </c>
      <c r="E302" s="5" t="s">
        <v>84</v>
      </c>
      <c r="F302" s="272">
        <v>18072.939999999999</v>
      </c>
      <c r="G302" s="272">
        <f t="shared" si="9"/>
        <v>15715.6</v>
      </c>
      <c r="H302" s="272">
        <v>21733.98</v>
      </c>
      <c r="I302" s="272">
        <v>18899.11</v>
      </c>
      <c r="J302" s="272">
        <v>20572.73</v>
      </c>
      <c r="K302" s="272">
        <v>17889.330000000002</v>
      </c>
      <c r="L302" s="395">
        <f>Rate_Analysis!U4165</f>
        <v>20869.310000000001</v>
      </c>
      <c r="M302" s="404">
        <f t="shared" si="10"/>
        <v>18147.23</v>
      </c>
      <c r="O302" s="259"/>
    </row>
    <row r="303" spans="1:15" ht="78.75" x14ac:dyDescent="0.25">
      <c r="A303" s="5">
        <v>289</v>
      </c>
      <c r="B303" s="177" t="str">
        <f>Rate_Analysis!A4173</f>
        <v>29.11.A</v>
      </c>
      <c r="C303" s="177">
        <v>2903</v>
      </c>
      <c r="D303" s="178" t="str">
        <f>Rate_Analysis!C4168</f>
        <v>Filling pot holes and patch repair works with premix surfacing 20mm ,providing required material and repair the pot holes including removal of failed materials, trimmimg and finishing the surface applying tack coat on the sides and base of excavation, backfilling with hot bituminous materials and compaction as per technical specification and instruction of engineer.</v>
      </c>
      <c r="E303" s="177" t="s">
        <v>438</v>
      </c>
      <c r="F303" s="272">
        <v>417.51525253333335</v>
      </c>
      <c r="G303" s="272">
        <f t="shared" si="9"/>
        <v>363.06</v>
      </c>
      <c r="H303" s="272">
        <v>517.01930306666679</v>
      </c>
      <c r="I303" s="272">
        <v>449.58</v>
      </c>
      <c r="J303" s="272">
        <v>491.25103533333345</v>
      </c>
      <c r="K303" s="272">
        <v>427.17</v>
      </c>
      <c r="L303" s="400">
        <f>Rate_Analysis!U4179</f>
        <v>498.86786866666671</v>
      </c>
      <c r="M303" s="404">
        <f t="shared" si="10"/>
        <v>433.8</v>
      </c>
      <c r="O303" s="259"/>
    </row>
    <row r="304" spans="1:15" ht="47.25" x14ac:dyDescent="0.25">
      <c r="A304" s="5">
        <v>290</v>
      </c>
      <c r="B304" s="177">
        <v>29.12</v>
      </c>
      <c r="C304" s="177">
        <v>2903</v>
      </c>
      <c r="D304" s="178" t="str">
        <f>Rate_Analysis!C4181</f>
        <v>Providing and filling crack using slow-curing bitumen emulsion and applying crusher run dust in case crack are wider than 3mm as per technical specification and instruction of the engineer.</v>
      </c>
      <c r="E304" s="177" t="s">
        <v>75</v>
      </c>
      <c r="F304" s="272">
        <v>11.465953675000002</v>
      </c>
      <c r="G304" s="272">
        <f t="shared" si="9"/>
        <v>9.9700000000000006</v>
      </c>
      <c r="H304" s="272">
        <v>13.6420084</v>
      </c>
      <c r="I304" s="272">
        <v>11.86</v>
      </c>
      <c r="J304" s="272">
        <v>14.138950999999999</v>
      </c>
      <c r="K304" s="272">
        <v>12.29</v>
      </c>
      <c r="L304" s="400">
        <f>Rate_Analysis!U4192</f>
        <v>14.451751</v>
      </c>
      <c r="M304" s="404">
        <f t="shared" si="10"/>
        <v>12.57</v>
      </c>
      <c r="O304" s="259"/>
    </row>
    <row r="305" spans="1:15" ht="63" x14ac:dyDescent="0.25">
      <c r="A305" s="5">
        <v>291</v>
      </c>
      <c r="B305" s="5" t="s">
        <v>1183</v>
      </c>
      <c r="C305" s="5">
        <v>2903</v>
      </c>
      <c r="D305" s="7" t="str">
        <f>description_950</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5 mm thickness</v>
      </c>
      <c r="E305" s="5" t="s">
        <v>438</v>
      </c>
      <c r="F305" s="272">
        <v>311.69</v>
      </c>
      <c r="G305" s="272">
        <f t="shared" si="9"/>
        <v>271.02999999999997</v>
      </c>
      <c r="H305" s="272">
        <v>357.19</v>
      </c>
      <c r="I305" s="272">
        <v>310.60000000000002</v>
      </c>
      <c r="J305" s="272">
        <v>364.39</v>
      </c>
      <c r="K305" s="272">
        <v>316.86</v>
      </c>
      <c r="L305" s="395">
        <f>Rate_Analysis!U4208</f>
        <v>371.31</v>
      </c>
      <c r="M305" s="404">
        <f t="shared" si="10"/>
        <v>322.88</v>
      </c>
      <c r="O305" s="259"/>
    </row>
    <row r="306" spans="1:15" ht="63" x14ac:dyDescent="0.25">
      <c r="A306" s="5">
        <v>292</v>
      </c>
      <c r="B306" s="5" t="s">
        <v>1186</v>
      </c>
      <c r="C306" s="5">
        <v>2903</v>
      </c>
      <c r="D306" s="7" t="str">
        <f>description_951</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3 mm thickness</v>
      </c>
      <c r="E306" s="5" t="s">
        <v>438</v>
      </c>
      <c r="F306" s="272">
        <v>9093.58</v>
      </c>
      <c r="G306" s="272">
        <f t="shared" si="9"/>
        <v>7907.46</v>
      </c>
      <c r="H306" s="272">
        <v>10507.16</v>
      </c>
      <c r="I306" s="272">
        <v>9136.66</v>
      </c>
      <c r="J306" s="272">
        <v>10728.08</v>
      </c>
      <c r="K306" s="272">
        <v>9328.77</v>
      </c>
      <c r="L306" s="395">
        <f>Rate_Analysis!U4222</f>
        <v>10938.21</v>
      </c>
      <c r="M306" s="404">
        <f t="shared" si="10"/>
        <v>9511.49</v>
      </c>
      <c r="O306" s="259"/>
    </row>
    <row r="307" spans="1:15" ht="63" x14ac:dyDescent="0.25">
      <c r="A307" s="5">
        <v>293</v>
      </c>
      <c r="B307" s="5" t="s">
        <v>1189</v>
      </c>
      <c r="C307" s="5"/>
      <c r="D307" s="7" t="str">
        <f>description_952</f>
        <v>Slurry Seal, Providing and laying slurry seal consisting of a mixture of fine aggregates,  Portland cement filler,  bituminous emulsion and water on a road surface including cleaning of surface,  mixing of slurry seal in a suitable mobile plant,  laying and compacting to provide even riding surface, 1.5 mm thickness</v>
      </c>
      <c r="E307" s="5" t="s">
        <v>438</v>
      </c>
      <c r="F307" s="272">
        <v>581.92999999999995</v>
      </c>
      <c r="G307" s="272">
        <f t="shared" si="9"/>
        <v>506.03</v>
      </c>
      <c r="H307" s="272">
        <v>671.41</v>
      </c>
      <c r="I307" s="272">
        <v>583.83000000000004</v>
      </c>
      <c r="J307" s="272">
        <v>685.24</v>
      </c>
      <c r="K307" s="272">
        <v>595.86</v>
      </c>
      <c r="L307" s="395">
        <f>Rate_Analysis!U4236</f>
        <v>698.58</v>
      </c>
      <c r="M307" s="404">
        <f t="shared" si="10"/>
        <v>607.46</v>
      </c>
      <c r="O307" s="259"/>
    </row>
    <row r="308" spans="1:15" ht="47.25" x14ac:dyDescent="0.25">
      <c r="A308" s="5">
        <v>294</v>
      </c>
      <c r="B308" s="5" t="s">
        <v>1193</v>
      </c>
      <c r="C308" s="5">
        <v>2903</v>
      </c>
      <c r="D308" s="7" t="str">
        <f>description_953</f>
        <v>Fog Spray, Providing and applying low viscosity bitumen emulsion for sealing cracks less than 3 mm wide or incipient fretting or disintegration in an existing bituminous surfacing.</v>
      </c>
      <c r="E308" s="5" t="s">
        <v>438</v>
      </c>
      <c r="F308" s="272">
        <v>75.55</v>
      </c>
      <c r="G308" s="272">
        <f t="shared" si="9"/>
        <v>65.7</v>
      </c>
      <c r="H308" s="272">
        <v>88.2</v>
      </c>
      <c r="I308" s="272">
        <v>76.7</v>
      </c>
      <c r="J308" s="272">
        <v>90.38</v>
      </c>
      <c r="K308" s="272">
        <v>78.59</v>
      </c>
      <c r="L308" s="395">
        <f>Rate_Analysis!U4248</f>
        <v>92.44</v>
      </c>
      <c r="M308" s="404">
        <f t="shared" si="10"/>
        <v>80.38</v>
      </c>
      <c r="O308" s="259"/>
    </row>
    <row r="309" spans="1:15" ht="63" x14ac:dyDescent="0.25">
      <c r="A309" s="5">
        <v>295</v>
      </c>
      <c r="B309" s="5" t="s">
        <v>1195</v>
      </c>
      <c r="C309" s="5">
        <v>2903</v>
      </c>
      <c r="D309" s="257" t="str">
        <f>description_954</f>
        <v>Fog Spray, Providing and applying low viscosity bitumen emulsion for sealing cracks less than 3 mm wide or incipient fretting or disintegration in an existing bituminous surfacing., In case it is decided by the engineer to blind the fog spray.</v>
      </c>
      <c r="E309" s="5" t="s">
        <v>438</v>
      </c>
      <c r="F309" s="272">
        <v>92.51</v>
      </c>
      <c r="G309" s="272">
        <f t="shared" si="9"/>
        <v>80.44</v>
      </c>
      <c r="H309" s="272">
        <v>106.95</v>
      </c>
      <c r="I309" s="272">
        <v>93</v>
      </c>
      <c r="J309" s="272">
        <v>109.43</v>
      </c>
      <c r="K309" s="272">
        <v>95.16</v>
      </c>
      <c r="L309" s="395">
        <f>Rate_Analysis!U4260</f>
        <v>111.73</v>
      </c>
      <c r="M309" s="404">
        <f t="shared" si="10"/>
        <v>97.16</v>
      </c>
      <c r="O309" s="259"/>
    </row>
    <row r="310" spans="1:15" ht="31.5" hidden="1" x14ac:dyDescent="0.25">
      <c r="A310" s="5">
        <v>296</v>
      </c>
      <c r="B310" s="17"/>
      <c r="C310" s="17"/>
      <c r="D310" s="257" t="str">
        <f>bistar!G151</f>
        <v>Supplying and applying Thermoplastic road marking paint including cleaning, watering, brooming etc all complete. (BS 3262 )</v>
      </c>
      <c r="E310" s="5" t="str">
        <f>bistar!B152</f>
        <v>m2</v>
      </c>
      <c r="F310" s="272">
        <v>1968.0628499999998</v>
      </c>
      <c r="G310" s="272">
        <f t="shared" si="9"/>
        <v>1711.36</v>
      </c>
      <c r="H310" s="272">
        <v>1968.0628499999998</v>
      </c>
      <c r="I310" s="272">
        <v>1711.36</v>
      </c>
      <c r="J310" s="272">
        <v>1968.0628499999998</v>
      </c>
      <c r="K310" s="272">
        <v>1711.36</v>
      </c>
      <c r="L310" s="395">
        <f>bistar!O161</f>
        <v>1968.0628499999998</v>
      </c>
      <c r="M310" s="404">
        <f t="shared" si="10"/>
        <v>1711.36</v>
      </c>
      <c r="O310" s="259"/>
    </row>
    <row r="311" spans="1:15" ht="47.25" x14ac:dyDescent="0.25">
      <c r="A311" s="5">
        <v>297</v>
      </c>
      <c r="B311" s="17"/>
      <c r="C311" s="17"/>
      <c r="D311" s="257" t="str">
        <f>bistar!G163</f>
        <v>providing and fixing cover of 500mm dia. (Heavy duty) with frame at requird level including dismentalling, concreting nut bolting etc. all complete as per drawing and specification.(2710 )</v>
      </c>
      <c r="E311" s="5" t="str">
        <f>bistar!B164</f>
        <v>no</v>
      </c>
      <c r="F311" s="272">
        <v>37199.222500000003</v>
      </c>
      <c r="G311" s="272">
        <f t="shared" si="9"/>
        <v>32347.15</v>
      </c>
      <c r="H311" s="272">
        <v>37199.222500000003</v>
      </c>
      <c r="I311" s="272">
        <v>32347.15</v>
      </c>
      <c r="J311" s="272">
        <v>37199.222500000003</v>
      </c>
      <c r="K311" s="272">
        <v>32347.15</v>
      </c>
      <c r="L311" s="401">
        <f>bistar!O171</f>
        <v>37199.222500000003</v>
      </c>
      <c r="M311" s="404">
        <f t="shared" si="10"/>
        <v>32347.15</v>
      </c>
      <c r="O311" s="259"/>
    </row>
    <row r="312" spans="1:15" ht="47.25" x14ac:dyDescent="0.25">
      <c r="A312" s="5">
        <v>298</v>
      </c>
      <c r="B312" s="17"/>
      <c r="C312" s="17"/>
      <c r="D312" s="257" t="str">
        <f>bistar!G173</f>
        <v xml:space="preserve"> providing and fixing cover of C.I. Grating size 450mm*375mm  (Heavy duty) with frame at requird level including dismentalling, concreting nut bolting etc. all complete as per drawing and specification.(2710 )</v>
      </c>
      <c r="E312" s="5" t="str">
        <f>bistar!B174</f>
        <v>no</v>
      </c>
      <c r="F312" s="272">
        <v>2001.8050000000001</v>
      </c>
      <c r="G312" s="272">
        <f t="shared" si="9"/>
        <v>1740.7</v>
      </c>
      <c r="H312" s="272">
        <v>2001.8050000000001</v>
      </c>
      <c r="I312" s="272">
        <v>1740.7</v>
      </c>
      <c r="J312" s="272">
        <v>2001.8050000000001</v>
      </c>
      <c r="K312" s="272">
        <v>1740.7</v>
      </c>
      <c r="L312" s="401">
        <f>bistar!O181</f>
        <v>2001.8050000000001</v>
      </c>
      <c r="M312" s="404">
        <f t="shared" si="10"/>
        <v>1740.7</v>
      </c>
      <c r="O312" s="259"/>
    </row>
    <row r="313" spans="1:15" ht="47.25" x14ac:dyDescent="0.25">
      <c r="A313" s="5">
        <v>299</v>
      </c>
      <c r="B313" s="17"/>
      <c r="C313" s="17"/>
      <c r="D313" s="257" t="str">
        <f>manhole!C11</f>
        <v xml:space="preserve"> Raising of existing Manhole cover at requird level including dismentalling, concreting (M25/20) nut bolting etc. all complete as per drawing and specification. (Depth upto 300 mm),(202,2502,2000 )</v>
      </c>
      <c r="E313" s="5" t="s">
        <v>1812</v>
      </c>
      <c r="F313" s="272">
        <v>4458.5447172959275</v>
      </c>
      <c r="G313" s="274">
        <f t="shared" si="9"/>
        <v>3877</v>
      </c>
      <c r="H313" s="274">
        <v>4458.5447172959275</v>
      </c>
      <c r="I313" s="274">
        <v>3877</v>
      </c>
      <c r="J313" s="274">
        <v>4458.5447172959275</v>
      </c>
      <c r="K313" s="274">
        <v>3877</v>
      </c>
      <c r="L313" s="401">
        <f>manhole!T25</f>
        <v>4458.5447172959275</v>
      </c>
      <c r="M313" s="404">
        <f t="shared" si="10"/>
        <v>3877</v>
      </c>
      <c r="O313" s="259"/>
    </row>
    <row r="314" spans="1:15" ht="47.25" x14ac:dyDescent="0.25">
      <c r="A314" s="5">
        <v>300</v>
      </c>
      <c r="B314" s="17"/>
      <c r="C314" s="17"/>
      <c r="D314" s="257" t="str">
        <f>manhole!C27</f>
        <v xml:space="preserve"> Raising of existing Manhole cover at requird level including dismentalling, concreting (M25/20) nut bolting etc. all complete as per drawing and specification. (Depth upto 150 mm),(202,2502,2000 )</v>
      </c>
      <c r="E314" s="5" t="s">
        <v>1812</v>
      </c>
      <c r="F314" s="272">
        <v>2746.1001197400001</v>
      </c>
      <c r="G314" s="272">
        <f t="shared" si="9"/>
        <v>2387.91</v>
      </c>
      <c r="H314" s="272">
        <v>2746.1001197400001</v>
      </c>
      <c r="I314" s="272">
        <v>2387.91</v>
      </c>
      <c r="J314" s="272">
        <v>2746.1001197400001</v>
      </c>
      <c r="K314" s="272">
        <v>2387.91</v>
      </c>
      <c r="L314" s="401">
        <f>manhole!T41</f>
        <v>2746.1001197400001</v>
      </c>
      <c r="M314" s="404">
        <f t="shared" si="10"/>
        <v>2387.91</v>
      </c>
      <c r="O314" s="259"/>
    </row>
    <row r="315" spans="1:15" ht="47.25" x14ac:dyDescent="0.25">
      <c r="A315" s="5">
        <v>301</v>
      </c>
      <c r="B315" s="270"/>
      <c r="C315" s="270"/>
      <c r="D315" s="257" t="s">
        <v>2290</v>
      </c>
      <c r="E315" s="268" t="s">
        <v>438</v>
      </c>
      <c r="F315" s="274">
        <v>2161.81</v>
      </c>
      <c r="G315" s="272">
        <f t="shared" si="9"/>
        <v>1879.83</v>
      </c>
      <c r="H315" s="272">
        <v>2161.81</v>
      </c>
      <c r="I315" s="272">
        <v>1879.83</v>
      </c>
      <c r="J315" s="272">
        <v>2161.81</v>
      </c>
      <c r="K315" s="272">
        <v>1879.83</v>
      </c>
      <c r="L315" s="401">
        <f>Rate_Analysis!U4503</f>
        <v>2161.81</v>
      </c>
      <c r="M315" s="404">
        <f t="shared" si="10"/>
        <v>1879.83</v>
      </c>
      <c r="O315" s="259"/>
    </row>
    <row r="316" spans="1:15" s="210" customFormat="1" ht="15.75" x14ac:dyDescent="0.25">
      <c r="A316" s="202">
        <v>302</v>
      </c>
      <c r="B316" s="389"/>
      <c r="C316" s="389"/>
      <c r="D316" s="203" t="s">
        <v>2298</v>
      </c>
      <c r="E316" s="390" t="s">
        <v>2337</v>
      </c>
      <c r="F316" s="389"/>
      <c r="G316" s="389"/>
      <c r="H316" s="389">
        <v>1231.1400000000001</v>
      </c>
      <c r="I316" s="389">
        <v>1070.56</v>
      </c>
      <c r="J316" s="389">
        <v>1363.49</v>
      </c>
      <c r="K316" s="389">
        <v>1185.6400000000001</v>
      </c>
      <c r="L316" s="402">
        <f>'DWC pipe Rate-analysis'!J13</f>
        <v>1364.87</v>
      </c>
      <c r="M316" s="406">
        <f t="shared" si="10"/>
        <v>1186.8399999999999</v>
      </c>
      <c r="O316" s="259"/>
    </row>
    <row r="317" spans="1:15" s="210" customFormat="1" ht="15.75" x14ac:dyDescent="0.25">
      <c r="A317" s="202">
        <v>303</v>
      </c>
      <c r="B317" s="389"/>
      <c r="C317" s="389"/>
      <c r="D317" s="203" t="s">
        <v>2320</v>
      </c>
      <c r="E317" s="390" t="s">
        <v>2337</v>
      </c>
      <c r="F317" s="389"/>
      <c r="G317" s="389"/>
      <c r="H317" s="389">
        <v>1840.49</v>
      </c>
      <c r="I317" s="389">
        <v>1600.43</v>
      </c>
      <c r="J317" s="389">
        <v>2039.22</v>
      </c>
      <c r="K317" s="389">
        <v>1773.23</v>
      </c>
      <c r="L317" s="402">
        <f>'DWC pipe Rate-analysis'!J26</f>
        <v>2041.19</v>
      </c>
      <c r="M317" s="406">
        <f t="shared" si="10"/>
        <v>1774.95</v>
      </c>
      <c r="O317" s="259"/>
    </row>
    <row r="318" spans="1:15" s="210" customFormat="1" ht="15.75" x14ac:dyDescent="0.25">
      <c r="A318" s="202">
        <v>304</v>
      </c>
      <c r="B318" s="389"/>
      <c r="C318" s="389"/>
      <c r="D318" s="203" t="s">
        <v>2322</v>
      </c>
      <c r="E318" s="390" t="s">
        <v>2337</v>
      </c>
      <c r="F318" s="389"/>
      <c r="G318" s="389"/>
      <c r="H318" s="389">
        <v>2334.84</v>
      </c>
      <c r="I318" s="389">
        <v>2030.3</v>
      </c>
      <c r="J318" s="389">
        <v>2587.29</v>
      </c>
      <c r="K318" s="389">
        <v>2249.8200000000002</v>
      </c>
      <c r="L318" s="402">
        <f>'DWC pipe Rate-analysis'!J39</f>
        <v>2589.86</v>
      </c>
      <c r="M318" s="406">
        <f t="shared" si="10"/>
        <v>2252.0500000000002</v>
      </c>
      <c r="O318" s="259"/>
    </row>
    <row r="319" spans="1:15" s="210" customFormat="1" ht="15.75" x14ac:dyDescent="0.25">
      <c r="A319" s="202">
        <v>305</v>
      </c>
      <c r="B319" s="389"/>
      <c r="C319" s="389"/>
      <c r="D319" s="203" t="s">
        <v>2324</v>
      </c>
      <c r="E319" s="390" t="s">
        <v>2337</v>
      </c>
      <c r="F319" s="389"/>
      <c r="G319" s="389"/>
      <c r="H319" s="389">
        <v>3818.19</v>
      </c>
      <c r="I319" s="389">
        <v>3320.17</v>
      </c>
      <c r="J319" s="389">
        <v>4235.92</v>
      </c>
      <c r="K319" s="389">
        <v>3683.41</v>
      </c>
      <c r="L319" s="402">
        <f>'DWC pipe Rate-analysis'!J52</f>
        <v>4239.07</v>
      </c>
      <c r="M319" s="406">
        <f t="shared" si="10"/>
        <v>3686.15</v>
      </c>
      <c r="O319" s="259"/>
    </row>
    <row r="320" spans="1:15" s="210" customFormat="1" ht="15.75" x14ac:dyDescent="0.25">
      <c r="A320" s="202">
        <v>306</v>
      </c>
      <c r="B320" s="389"/>
      <c r="C320" s="389"/>
      <c r="D320" s="203" t="s">
        <v>2326</v>
      </c>
      <c r="E320" s="390" t="s">
        <v>2337</v>
      </c>
      <c r="F320" s="389"/>
      <c r="G320" s="389"/>
      <c r="H320" s="389">
        <v>4933.3900000000003</v>
      </c>
      <c r="I320" s="389">
        <v>4289.8999999999996</v>
      </c>
      <c r="J320" s="389">
        <v>5472.37</v>
      </c>
      <c r="K320" s="389">
        <v>4758.58</v>
      </c>
      <c r="L320" s="402">
        <f>'DWC pipe Rate-analysis'!J65</f>
        <v>5476.71</v>
      </c>
      <c r="M320" s="406">
        <f t="shared" si="10"/>
        <v>4762.3599999999997</v>
      </c>
      <c r="O320" s="259"/>
    </row>
    <row r="321" spans="1:15" s="210" customFormat="1" ht="15.75" x14ac:dyDescent="0.25">
      <c r="A321" s="202">
        <v>307</v>
      </c>
      <c r="B321" s="389"/>
      <c r="C321" s="389"/>
      <c r="D321" s="203" t="s">
        <v>2328</v>
      </c>
      <c r="E321" s="390" t="s">
        <v>2337</v>
      </c>
      <c r="F321" s="389"/>
      <c r="G321" s="389"/>
      <c r="H321" s="389">
        <v>5923.03</v>
      </c>
      <c r="I321" s="389">
        <v>5150.46</v>
      </c>
      <c r="J321" s="389">
        <v>6567.91</v>
      </c>
      <c r="K321" s="389">
        <v>5711.23</v>
      </c>
      <c r="L321" s="402">
        <f>'DWC pipe Rate-analysis'!J78</f>
        <v>6573.63</v>
      </c>
      <c r="M321" s="406">
        <f t="shared" si="10"/>
        <v>5716.2</v>
      </c>
      <c r="O321" s="259"/>
    </row>
    <row r="322" spans="1:15" s="210" customFormat="1" ht="15.75" x14ac:dyDescent="0.25">
      <c r="A322" s="202">
        <v>308</v>
      </c>
      <c r="B322" s="389"/>
      <c r="C322" s="389"/>
      <c r="D322" s="203" t="s">
        <v>2330</v>
      </c>
      <c r="E322" s="390" t="s">
        <v>2337</v>
      </c>
      <c r="F322" s="389"/>
      <c r="G322" s="389"/>
      <c r="H322" s="389">
        <v>10001.030000000001</v>
      </c>
      <c r="I322" s="389">
        <v>8696.5499999999993</v>
      </c>
      <c r="J322" s="389">
        <v>11101.35</v>
      </c>
      <c r="K322" s="389">
        <v>9653.35</v>
      </c>
      <c r="L322" s="402">
        <f>'DWC pipe Rate-analysis'!J91</f>
        <v>11107.79</v>
      </c>
      <c r="M322" s="406">
        <f t="shared" si="10"/>
        <v>9658.9500000000007</v>
      </c>
      <c r="O322" s="259"/>
    </row>
    <row r="323" spans="1:15" s="210" customFormat="1" ht="15.75" x14ac:dyDescent="0.25">
      <c r="A323" s="202">
        <v>309</v>
      </c>
      <c r="B323" s="389"/>
      <c r="C323" s="389"/>
      <c r="D323" s="203" t="s">
        <v>2333</v>
      </c>
      <c r="E323" s="390" t="s">
        <v>2337</v>
      </c>
      <c r="F323" s="389"/>
      <c r="G323" s="389"/>
      <c r="H323" s="389">
        <v>14759.53</v>
      </c>
      <c r="I323" s="389">
        <v>12834.37</v>
      </c>
      <c r="J323" s="389">
        <v>17788</v>
      </c>
      <c r="K323" s="389">
        <v>15467.83</v>
      </c>
      <c r="L323" s="402">
        <f>'DWC pipe Rate-analysis'!J104</f>
        <v>17797.060000000001</v>
      </c>
      <c r="M323" s="406">
        <f t="shared" si="10"/>
        <v>15475.7</v>
      </c>
      <c r="O323" s="259"/>
    </row>
    <row r="324" spans="1:15" s="210" customFormat="1" ht="15.75" x14ac:dyDescent="0.25">
      <c r="A324" s="202">
        <v>310</v>
      </c>
      <c r="B324" s="389"/>
      <c r="C324" s="389"/>
      <c r="D324" s="203" t="s">
        <v>2335</v>
      </c>
      <c r="E324" s="390" t="s">
        <v>2337</v>
      </c>
      <c r="F324" s="389"/>
      <c r="G324" s="389"/>
      <c r="H324" s="389">
        <v>20343.3</v>
      </c>
      <c r="I324" s="389">
        <v>17689.830000000002</v>
      </c>
      <c r="J324" s="389">
        <v>26550.080000000002</v>
      </c>
      <c r="K324" s="389">
        <v>23087.03</v>
      </c>
      <c r="L324" s="402">
        <f>'DWC pipe Rate-analysis'!J117</f>
        <v>26559.74</v>
      </c>
      <c r="M324" s="406">
        <f t="shared" si="10"/>
        <v>23095.43</v>
      </c>
      <c r="O324" s="259"/>
    </row>
  </sheetData>
  <sheetProtection algorithmName="SHA-512" hashValue="r/jvJTDaJ5hK4Z/IBCyR/eUbOLqIQnHIR1qPiOtxSW83NVmKri8IHlrm8EmVwV0fJyYcqNjzg9JDx2pzX4Bbeg==" saltValue="jfYO/bNo3uAZerh+E4lArA==" spinCount="100000" sheet="1" objects="1" scenarios="1"/>
  <mergeCells count="11">
    <mergeCell ref="C224:C227"/>
    <mergeCell ref="F6:G6"/>
    <mergeCell ref="L6:M6"/>
    <mergeCell ref="A1:M1"/>
    <mergeCell ref="A2:M2"/>
    <mergeCell ref="A4:M4"/>
    <mergeCell ref="H6:I6"/>
    <mergeCell ref="C54:C55"/>
    <mergeCell ref="C56:C57"/>
    <mergeCell ref="A3:M3"/>
    <mergeCell ref="J6:K6"/>
  </mergeCells>
  <pageMargins left="0.5" right="0.5" top="0.5" bottom="0.5" header="0.3" footer="0.3"/>
  <pageSetup paperSize="9" scale="56" fitToHeight="0" orientation="portrait" useFirstPageNumber="1" r:id="rId1"/>
  <headerFooter>
    <oddHeader>&amp;L Summary of Rates &amp;R Page &amp;P of &amp;N</oddHeader>
    <oddFooter>&amp;L Prepared By:________________ &amp;C Checked By:________________ &amp;R Approved By:________________</oddFooter>
  </headerFooter>
  <rowBreaks count="1" manualBreakCount="1">
    <brk id="287"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34"/>
  <sheetViews>
    <sheetView view="pageBreakPreview" topLeftCell="A17" zoomScale="90" zoomScaleSheetLayoutView="90" workbookViewId="0">
      <selection activeCell="E32" sqref="E32"/>
    </sheetView>
  </sheetViews>
  <sheetFormatPr defaultColWidth="8.42578125" defaultRowHeight="12.75" x14ac:dyDescent="0.2"/>
  <cols>
    <col min="1" max="1" width="6.140625" style="24" customWidth="1"/>
    <col min="2" max="2" width="27.28515625" style="24" customWidth="1"/>
    <col min="3" max="3" width="9.140625" style="24" customWidth="1"/>
    <col min="4" max="4" width="8.42578125" style="24" bestFit="1" customWidth="1"/>
    <col min="5" max="5" width="9.140625" style="24" customWidth="1"/>
    <col min="6" max="6" width="16.85546875" style="24" customWidth="1"/>
    <col min="7" max="7" width="12.85546875" style="24" customWidth="1"/>
    <col min="8" max="8" width="9.140625" style="24" customWidth="1"/>
    <col min="9" max="9" width="10.28515625" style="24" bestFit="1" customWidth="1"/>
    <col min="10" max="252" width="9.140625" style="24" customWidth="1"/>
    <col min="253" max="253" width="6.140625" style="24" customWidth="1"/>
    <col min="254" max="254" width="27.28515625" style="24" customWidth="1"/>
    <col min="255" max="255" width="9.140625" style="24" customWidth="1"/>
    <col min="256" max="256" width="8.42578125" style="24"/>
    <col min="257" max="257" width="6.140625" style="24" customWidth="1"/>
    <col min="258" max="258" width="27.28515625" style="24" customWidth="1"/>
    <col min="259" max="259" width="9.140625" style="24" customWidth="1"/>
    <col min="260" max="260" width="8.42578125" style="24" bestFit="1" customWidth="1"/>
    <col min="261" max="261" width="9.140625" style="24" customWidth="1"/>
    <col min="262" max="262" width="16.85546875" style="24" customWidth="1"/>
    <col min="263" max="263" width="12.85546875" style="24" customWidth="1"/>
    <col min="264" max="264" width="9.140625" style="24" customWidth="1"/>
    <col min="265" max="265" width="10.28515625" style="24" bestFit="1" customWidth="1"/>
    <col min="266" max="508" width="9.140625" style="24" customWidth="1"/>
    <col min="509" max="509" width="6.140625" style="24" customWidth="1"/>
    <col min="510" max="510" width="27.28515625" style="24" customWidth="1"/>
    <col min="511" max="511" width="9.140625" style="24" customWidth="1"/>
    <col min="512" max="512" width="8.42578125" style="24"/>
    <col min="513" max="513" width="6.140625" style="24" customWidth="1"/>
    <col min="514" max="514" width="27.28515625" style="24" customWidth="1"/>
    <col min="515" max="515" width="9.140625" style="24" customWidth="1"/>
    <col min="516" max="516" width="8.42578125" style="24" bestFit="1" customWidth="1"/>
    <col min="517" max="517" width="9.140625" style="24" customWidth="1"/>
    <col min="518" max="518" width="16.85546875" style="24" customWidth="1"/>
    <col min="519" max="519" width="12.85546875" style="24" customWidth="1"/>
    <col min="520" max="520" width="9.140625" style="24" customWidth="1"/>
    <col min="521" max="521" width="10.28515625" style="24" bestFit="1" customWidth="1"/>
    <col min="522" max="764" width="9.140625" style="24" customWidth="1"/>
    <col min="765" max="765" width="6.140625" style="24" customWidth="1"/>
    <col min="766" max="766" width="27.28515625" style="24" customWidth="1"/>
    <col min="767" max="767" width="9.140625" style="24" customWidth="1"/>
    <col min="768" max="768" width="8.42578125" style="24"/>
    <col min="769" max="769" width="6.140625" style="24" customWidth="1"/>
    <col min="770" max="770" width="27.28515625" style="24" customWidth="1"/>
    <col min="771" max="771" width="9.140625" style="24" customWidth="1"/>
    <col min="772" max="772" width="8.42578125" style="24" bestFit="1" customWidth="1"/>
    <col min="773" max="773" width="9.140625" style="24" customWidth="1"/>
    <col min="774" max="774" width="16.85546875" style="24" customWidth="1"/>
    <col min="775" max="775" width="12.85546875" style="24" customWidth="1"/>
    <col min="776" max="776" width="9.140625" style="24" customWidth="1"/>
    <col min="777" max="777" width="10.28515625" style="24" bestFit="1" customWidth="1"/>
    <col min="778" max="1020" width="9.140625" style="24" customWidth="1"/>
    <col min="1021" max="1021" width="6.140625" style="24" customWidth="1"/>
    <col min="1022" max="1022" width="27.28515625" style="24" customWidth="1"/>
    <col min="1023" max="1023" width="9.140625" style="24" customWidth="1"/>
    <col min="1024" max="1024" width="8.42578125" style="24"/>
    <col min="1025" max="1025" width="6.140625" style="24" customWidth="1"/>
    <col min="1026" max="1026" width="27.28515625" style="24" customWidth="1"/>
    <col min="1027" max="1027" width="9.140625" style="24" customWidth="1"/>
    <col min="1028" max="1028" width="8.42578125" style="24" bestFit="1" customWidth="1"/>
    <col min="1029" max="1029" width="9.140625" style="24" customWidth="1"/>
    <col min="1030" max="1030" width="16.85546875" style="24" customWidth="1"/>
    <col min="1031" max="1031" width="12.85546875" style="24" customWidth="1"/>
    <col min="1032" max="1032" width="9.140625" style="24" customWidth="1"/>
    <col min="1033" max="1033" width="10.28515625" style="24" bestFit="1" customWidth="1"/>
    <col min="1034" max="1276" width="9.140625" style="24" customWidth="1"/>
    <col min="1277" max="1277" width="6.140625" style="24" customWidth="1"/>
    <col min="1278" max="1278" width="27.28515625" style="24" customWidth="1"/>
    <col min="1279" max="1279" width="9.140625" style="24" customWidth="1"/>
    <col min="1280" max="1280" width="8.42578125" style="24"/>
    <col min="1281" max="1281" width="6.140625" style="24" customWidth="1"/>
    <col min="1282" max="1282" width="27.28515625" style="24" customWidth="1"/>
    <col min="1283" max="1283" width="9.140625" style="24" customWidth="1"/>
    <col min="1284" max="1284" width="8.42578125" style="24" bestFit="1" customWidth="1"/>
    <col min="1285" max="1285" width="9.140625" style="24" customWidth="1"/>
    <col min="1286" max="1286" width="16.85546875" style="24" customWidth="1"/>
    <col min="1287" max="1287" width="12.85546875" style="24" customWidth="1"/>
    <col min="1288" max="1288" width="9.140625" style="24" customWidth="1"/>
    <col min="1289" max="1289" width="10.28515625" style="24" bestFit="1" customWidth="1"/>
    <col min="1290" max="1532" width="9.140625" style="24" customWidth="1"/>
    <col min="1533" max="1533" width="6.140625" style="24" customWidth="1"/>
    <col min="1534" max="1534" width="27.28515625" style="24" customWidth="1"/>
    <col min="1535" max="1535" width="9.140625" style="24" customWidth="1"/>
    <col min="1536" max="1536" width="8.42578125" style="24"/>
    <col min="1537" max="1537" width="6.140625" style="24" customWidth="1"/>
    <col min="1538" max="1538" width="27.28515625" style="24" customWidth="1"/>
    <col min="1539" max="1539" width="9.140625" style="24" customWidth="1"/>
    <col min="1540" max="1540" width="8.42578125" style="24" bestFit="1" customWidth="1"/>
    <col min="1541" max="1541" width="9.140625" style="24" customWidth="1"/>
    <col min="1542" max="1542" width="16.85546875" style="24" customWidth="1"/>
    <col min="1543" max="1543" width="12.85546875" style="24" customWidth="1"/>
    <col min="1544" max="1544" width="9.140625" style="24" customWidth="1"/>
    <col min="1545" max="1545" width="10.28515625" style="24" bestFit="1" customWidth="1"/>
    <col min="1546" max="1788" width="9.140625" style="24" customWidth="1"/>
    <col min="1789" max="1789" width="6.140625" style="24" customWidth="1"/>
    <col min="1790" max="1790" width="27.28515625" style="24" customWidth="1"/>
    <col min="1791" max="1791" width="9.140625" style="24" customWidth="1"/>
    <col min="1792" max="1792" width="8.42578125" style="24"/>
    <col min="1793" max="1793" width="6.140625" style="24" customWidth="1"/>
    <col min="1794" max="1794" width="27.28515625" style="24" customWidth="1"/>
    <col min="1795" max="1795" width="9.140625" style="24" customWidth="1"/>
    <col min="1796" max="1796" width="8.42578125" style="24" bestFit="1" customWidth="1"/>
    <col min="1797" max="1797" width="9.140625" style="24" customWidth="1"/>
    <col min="1798" max="1798" width="16.85546875" style="24" customWidth="1"/>
    <col min="1799" max="1799" width="12.85546875" style="24" customWidth="1"/>
    <col min="1800" max="1800" width="9.140625" style="24" customWidth="1"/>
    <col min="1801" max="1801" width="10.28515625" style="24" bestFit="1" customWidth="1"/>
    <col min="1802" max="2044" width="9.140625" style="24" customWidth="1"/>
    <col min="2045" max="2045" width="6.140625" style="24" customWidth="1"/>
    <col min="2046" max="2046" width="27.28515625" style="24" customWidth="1"/>
    <col min="2047" max="2047" width="9.140625" style="24" customWidth="1"/>
    <col min="2048" max="2048" width="8.42578125" style="24"/>
    <col min="2049" max="2049" width="6.140625" style="24" customWidth="1"/>
    <col min="2050" max="2050" width="27.28515625" style="24" customWidth="1"/>
    <col min="2051" max="2051" width="9.140625" style="24" customWidth="1"/>
    <col min="2052" max="2052" width="8.42578125" style="24" bestFit="1" customWidth="1"/>
    <col min="2053" max="2053" width="9.140625" style="24" customWidth="1"/>
    <col min="2054" max="2054" width="16.85546875" style="24" customWidth="1"/>
    <col min="2055" max="2055" width="12.85546875" style="24" customWidth="1"/>
    <col min="2056" max="2056" width="9.140625" style="24" customWidth="1"/>
    <col min="2057" max="2057" width="10.28515625" style="24" bestFit="1" customWidth="1"/>
    <col min="2058" max="2300" width="9.140625" style="24" customWidth="1"/>
    <col min="2301" max="2301" width="6.140625" style="24" customWidth="1"/>
    <col min="2302" max="2302" width="27.28515625" style="24" customWidth="1"/>
    <col min="2303" max="2303" width="9.140625" style="24" customWidth="1"/>
    <col min="2304" max="2304" width="8.42578125" style="24"/>
    <col min="2305" max="2305" width="6.140625" style="24" customWidth="1"/>
    <col min="2306" max="2306" width="27.28515625" style="24" customWidth="1"/>
    <col min="2307" max="2307" width="9.140625" style="24" customWidth="1"/>
    <col min="2308" max="2308" width="8.42578125" style="24" bestFit="1" customWidth="1"/>
    <col min="2309" max="2309" width="9.140625" style="24" customWidth="1"/>
    <col min="2310" max="2310" width="16.85546875" style="24" customWidth="1"/>
    <col min="2311" max="2311" width="12.85546875" style="24" customWidth="1"/>
    <col min="2312" max="2312" width="9.140625" style="24" customWidth="1"/>
    <col min="2313" max="2313" width="10.28515625" style="24" bestFit="1" customWidth="1"/>
    <col min="2314" max="2556" width="9.140625" style="24" customWidth="1"/>
    <col min="2557" max="2557" width="6.140625" style="24" customWidth="1"/>
    <col min="2558" max="2558" width="27.28515625" style="24" customWidth="1"/>
    <col min="2559" max="2559" width="9.140625" style="24" customWidth="1"/>
    <col min="2560" max="2560" width="8.42578125" style="24"/>
    <col min="2561" max="2561" width="6.140625" style="24" customWidth="1"/>
    <col min="2562" max="2562" width="27.28515625" style="24" customWidth="1"/>
    <col min="2563" max="2563" width="9.140625" style="24" customWidth="1"/>
    <col min="2564" max="2564" width="8.42578125" style="24" bestFit="1" customWidth="1"/>
    <col min="2565" max="2565" width="9.140625" style="24" customWidth="1"/>
    <col min="2566" max="2566" width="16.85546875" style="24" customWidth="1"/>
    <col min="2567" max="2567" width="12.85546875" style="24" customWidth="1"/>
    <col min="2568" max="2568" width="9.140625" style="24" customWidth="1"/>
    <col min="2569" max="2569" width="10.28515625" style="24" bestFit="1" customWidth="1"/>
    <col min="2570" max="2812" width="9.140625" style="24" customWidth="1"/>
    <col min="2813" max="2813" width="6.140625" style="24" customWidth="1"/>
    <col min="2814" max="2814" width="27.28515625" style="24" customWidth="1"/>
    <col min="2815" max="2815" width="9.140625" style="24" customWidth="1"/>
    <col min="2816" max="2816" width="8.42578125" style="24"/>
    <col min="2817" max="2817" width="6.140625" style="24" customWidth="1"/>
    <col min="2818" max="2818" width="27.28515625" style="24" customWidth="1"/>
    <col min="2819" max="2819" width="9.140625" style="24" customWidth="1"/>
    <col min="2820" max="2820" width="8.42578125" style="24" bestFit="1" customWidth="1"/>
    <col min="2821" max="2821" width="9.140625" style="24" customWidth="1"/>
    <col min="2822" max="2822" width="16.85546875" style="24" customWidth="1"/>
    <col min="2823" max="2823" width="12.85546875" style="24" customWidth="1"/>
    <col min="2824" max="2824" width="9.140625" style="24" customWidth="1"/>
    <col min="2825" max="2825" width="10.28515625" style="24" bestFit="1" customWidth="1"/>
    <col min="2826" max="3068" width="9.140625" style="24" customWidth="1"/>
    <col min="3069" max="3069" width="6.140625" style="24" customWidth="1"/>
    <col min="3070" max="3070" width="27.28515625" style="24" customWidth="1"/>
    <col min="3071" max="3071" width="9.140625" style="24" customWidth="1"/>
    <col min="3072" max="3072" width="8.42578125" style="24"/>
    <col min="3073" max="3073" width="6.140625" style="24" customWidth="1"/>
    <col min="3074" max="3074" width="27.28515625" style="24" customWidth="1"/>
    <col min="3075" max="3075" width="9.140625" style="24" customWidth="1"/>
    <col min="3076" max="3076" width="8.42578125" style="24" bestFit="1" customWidth="1"/>
    <col min="3077" max="3077" width="9.140625" style="24" customWidth="1"/>
    <col min="3078" max="3078" width="16.85546875" style="24" customWidth="1"/>
    <col min="3079" max="3079" width="12.85546875" style="24" customWidth="1"/>
    <col min="3080" max="3080" width="9.140625" style="24" customWidth="1"/>
    <col min="3081" max="3081" width="10.28515625" style="24" bestFit="1" customWidth="1"/>
    <col min="3082" max="3324" width="9.140625" style="24" customWidth="1"/>
    <col min="3325" max="3325" width="6.140625" style="24" customWidth="1"/>
    <col min="3326" max="3326" width="27.28515625" style="24" customWidth="1"/>
    <col min="3327" max="3327" width="9.140625" style="24" customWidth="1"/>
    <col min="3328" max="3328" width="8.42578125" style="24"/>
    <col min="3329" max="3329" width="6.140625" style="24" customWidth="1"/>
    <col min="3330" max="3330" width="27.28515625" style="24" customWidth="1"/>
    <col min="3331" max="3331" width="9.140625" style="24" customWidth="1"/>
    <col min="3332" max="3332" width="8.42578125" style="24" bestFit="1" customWidth="1"/>
    <col min="3333" max="3333" width="9.140625" style="24" customWidth="1"/>
    <col min="3334" max="3334" width="16.85546875" style="24" customWidth="1"/>
    <col min="3335" max="3335" width="12.85546875" style="24" customWidth="1"/>
    <col min="3336" max="3336" width="9.140625" style="24" customWidth="1"/>
    <col min="3337" max="3337" width="10.28515625" style="24" bestFit="1" customWidth="1"/>
    <col min="3338" max="3580" width="9.140625" style="24" customWidth="1"/>
    <col min="3581" max="3581" width="6.140625" style="24" customWidth="1"/>
    <col min="3582" max="3582" width="27.28515625" style="24" customWidth="1"/>
    <col min="3583" max="3583" width="9.140625" style="24" customWidth="1"/>
    <col min="3584" max="3584" width="8.42578125" style="24"/>
    <col min="3585" max="3585" width="6.140625" style="24" customWidth="1"/>
    <col min="3586" max="3586" width="27.28515625" style="24" customWidth="1"/>
    <col min="3587" max="3587" width="9.140625" style="24" customWidth="1"/>
    <col min="3588" max="3588" width="8.42578125" style="24" bestFit="1" customWidth="1"/>
    <col min="3589" max="3589" width="9.140625" style="24" customWidth="1"/>
    <col min="3590" max="3590" width="16.85546875" style="24" customWidth="1"/>
    <col min="3591" max="3591" width="12.85546875" style="24" customWidth="1"/>
    <col min="3592" max="3592" width="9.140625" style="24" customWidth="1"/>
    <col min="3593" max="3593" width="10.28515625" style="24" bestFit="1" customWidth="1"/>
    <col min="3594" max="3836" width="9.140625" style="24" customWidth="1"/>
    <col min="3837" max="3837" width="6.140625" style="24" customWidth="1"/>
    <col min="3838" max="3838" width="27.28515625" style="24" customWidth="1"/>
    <col min="3839" max="3839" width="9.140625" style="24" customWidth="1"/>
    <col min="3840" max="3840" width="8.42578125" style="24"/>
    <col min="3841" max="3841" width="6.140625" style="24" customWidth="1"/>
    <col min="3842" max="3842" width="27.28515625" style="24" customWidth="1"/>
    <col min="3843" max="3843" width="9.140625" style="24" customWidth="1"/>
    <col min="3844" max="3844" width="8.42578125" style="24" bestFit="1" customWidth="1"/>
    <col min="3845" max="3845" width="9.140625" style="24" customWidth="1"/>
    <col min="3846" max="3846" width="16.85546875" style="24" customWidth="1"/>
    <col min="3847" max="3847" width="12.85546875" style="24" customWidth="1"/>
    <col min="3848" max="3848" width="9.140625" style="24" customWidth="1"/>
    <col min="3849" max="3849" width="10.28515625" style="24" bestFit="1" customWidth="1"/>
    <col min="3850" max="4092" width="9.140625" style="24" customWidth="1"/>
    <col min="4093" max="4093" width="6.140625" style="24" customWidth="1"/>
    <col min="4094" max="4094" width="27.28515625" style="24" customWidth="1"/>
    <col min="4095" max="4095" width="9.140625" style="24" customWidth="1"/>
    <col min="4096" max="4096" width="8.42578125" style="24"/>
    <col min="4097" max="4097" width="6.140625" style="24" customWidth="1"/>
    <col min="4098" max="4098" width="27.28515625" style="24" customWidth="1"/>
    <col min="4099" max="4099" width="9.140625" style="24" customWidth="1"/>
    <col min="4100" max="4100" width="8.42578125" style="24" bestFit="1" customWidth="1"/>
    <col min="4101" max="4101" width="9.140625" style="24" customWidth="1"/>
    <col min="4102" max="4102" width="16.85546875" style="24" customWidth="1"/>
    <col min="4103" max="4103" width="12.85546875" style="24" customWidth="1"/>
    <col min="4104" max="4104" width="9.140625" style="24" customWidth="1"/>
    <col min="4105" max="4105" width="10.28515625" style="24" bestFit="1" customWidth="1"/>
    <col min="4106" max="4348" width="9.140625" style="24" customWidth="1"/>
    <col min="4349" max="4349" width="6.140625" style="24" customWidth="1"/>
    <col min="4350" max="4350" width="27.28515625" style="24" customWidth="1"/>
    <col min="4351" max="4351" width="9.140625" style="24" customWidth="1"/>
    <col min="4352" max="4352" width="8.42578125" style="24"/>
    <col min="4353" max="4353" width="6.140625" style="24" customWidth="1"/>
    <col min="4354" max="4354" width="27.28515625" style="24" customWidth="1"/>
    <col min="4355" max="4355" width="9.140625" style="24" customWidth="1"/>
    <col min="4356" max="4356" width="8.42578125" style="24" bestFit="1" customWidth="1"/>
    <col min="4357" max="4357" width="9.140625" style="24" customWidth="1"/>
    <col min="4358" max="4358" width="16.85546875" style="24" customWidth="1"/>
    <col min="4359" max="4359" width="12.85546875" style="24" customWidth="1"/>
    <col min="4360" max="4360" width="9.140625" style="24" customWidth="1"/>
    <col min="4361" max="4361" width="10.28515625" style="24" bestFit="1" customWidth="1"/>
    <col min="4362" max="4604" width="9.140625" style="24" customWidth="1"/>
    <col min="4605" max="4605" width="6.140625" style="24" customWidth="1"/>
    <col min="4606" max="4606" width="27.28515625" style="24" customWidth="1"/>
    <col min="4607" max="4607" width="9.140625" style="24" customWidth="1"/>
    <col min="4608" max="4608" width="8.42578125" style="24"/>
    <col min="4609" max="4609" width="6.140625" style="24" customWidth="1"/>
    <col min="4610" max="4610" width="27.28515625" style="24" customWidth="1"/>
    <col min="4611" max="4611" width="9.140625" style="24" customWidth="1"/>
    <col min="4612" max="4612" width="8.42578125" style="24" bestFit="1" customWidth="1"/>
    <col min="4613" max="4613" width="9.140625" style="24" customWidth="1"/>
    <col min="4614" max="4614" width="16.85546875" style="24" customWidth="1"/>
    <col min="4615" max="4615" width="12.85546875" style="24" customWidth="1"/>
    <col min="4616" max="4616" width="9.140625" style="24" customWidth="1"/>
    <col min="4617" max="4617" width="10.28515625" style="24" bestFit="1" customWidth="1"/>
    <col min="4618" max="4860" width="9.140625" style="24" customWidth="1"/>
    <col min="4861" max="4861" width="6.140625" style="24" customWidth="1"/>
    <col min="4862" max="4862" width="27.28515625" style="24" customWidth="1"/>
    <col min="4863" max="4863" width="9.140625" style="24" customWidth="1"/>
    <col min="4864" max="4864" width="8.42578125" style="24"/>
    <col min="4865" max="4865" width="6.140625" style="24" customWidth="1"/>
    <col min="4866" max="4866" width="27.28515625" style="24" customWidth="1"/>
    <col min="4867" max="4867" width="9.140625" style="24" customWidth="1"/>
    <col min="4868" max="4868" width="8.42578125" style="24" bestFit="1" customWidth="1"/>
    <col min="4869" max="4869" width="9.140625" style="24" customWidth="1"/>
    <col min="4870" max="4870" width="16.85546875" style="24" customWidth="1"/>
    <col min="4871" max="4871" width="12.85546875" style="24" customWidth="1"/>
    <col min="4872" max="4872" width="9.140625" style="24" customWidth="1"/>
    <col min="4873" max="4873" width="10.28515625" style="24" bestFit="1" customWidth="1"/>
    <col min="4874" max="5116" width="9.140625" style="24" customWidth="1"/>
    <col min="5117" max="5117" width="6.140625" style="24" customWidth="1"/>
    <col min="5118" max="5118" width="27.28515625" style="24" customWidth="1"/>
    <col min="5119" max="5119" width="9.140625" style="24" customWidth="1"/>
    <col min="5120" max="5120" width="8.42578125" style="24"/>
    <col min="5121" max="5121" width="6.140625" style="24" customWidth="1"/>
    <col min="5122" max="5122" width="27.28515625" style="24" customWidth="1"/>
    <col min="5123" max="5123" width="9.140625" style="24" customWidth="1"/>
    <col min="5124" max="5124" width="8.42578125" style="24" bestFit="1" customWidth="1"/>
    <col min="5125" max="5125" width="9.140625" style="24" customWidth="1"/>
    <col min="5126" max="5126" width="16.85546875" style="24" customWidth="1"/>
    <col min="5127" max="5127" width="12.85546875" style="24" customWidth="1"/>
    <col min="5128" max="5128" width="9.140625" style="24" customWidth="1"/>
    <col min="5129" max="5129" width="10.28515625" style="24" bestFit="1" customWidth="1"/>
    <col min="5130" max="5372" width="9.140625" style="24" customWidth="1"/>
    <col min="5373" max="5373" width="6.140625" style="24" customWidth="1"/>
    <col min="5374" max="5374" width="27.28515625" style="24" customWidth="1"/>
    <col min="5375" max="5375" width="9.140625" style="24" customWidth="1"/>
    <col min="5376" max="5376" width="8.42578125" style="24"/>
    <col min="5377" max="5377" width="6.140625" style="24" customWidth="1"/>
    <col min="5378" max="5378" width="27.28515625" style="24" customWidth="1"/>
    <col min="5379" max="5379" width="9.140625" style="24" customWidth="1"/>
    <col min="5380" max="5380" width="8.42578125" style="24" bestFit="1" customWidth="1"/>
    <col min="5381" max="5381" width="9.140625" style="24" customWidth="1"/>
    <col min="5382" max="5382" width="16.85546875" style="24" customWidth="1"/>
    <col min="5383" max="5383" width="12.85546875" style="24" customWidth="1"/>
    <col min="5384" max="5384" width="9.140625" style="24" customWidth="1"/>
    <col min="5385" max="5385" width="10.28515625" style="24" bestFit="1" customWidth="1"/>
    <col min="5386" max="5628" width="9.140625" style="24" customWidth="1"/>
    <col min="5629" max="5629" width="6.140625" style="24" customWidth="1"/>
    <col min="5630" max="5630" width="27.28515625" style="24" customWidth="1"/>
    <col min="5631" max="5631" width="9.140625" style="24" customWidth="1"/>
    <col min="5632" max="5632" width="8.42578125" style="24"/>
    <col min="5633" max="5633" width="6.140625" style="24" customWidth="1"/>
    <col min="5634" max="5634" width="27.28515625" style="24" customWidth="1"/>
    <col min="5635" max="5635" width="9.140625" style="24" customWidth="1"/>
    <col min="5636" max="5636" width="8.42578125" style="24" bestFit="1" customWidth="1"/>
    <col min="5637" max="5637" width="9.140625" style="24" customWidth="1"/>
    <col min="5638" max="5638" width="16.85546875" style="24" customWidth="1"/>
    <col min="5639" max="5639" width="12.85546875" style="24" customWidth="1"/>
    <col min="5640" max="5640" width="9.140625" style="24" customWidth="1"/>
    <col min="5641" max="5641" width="10.28515625" style="24" bestFit="1" customWidth="1"/>
    <col min="5642" max="5884" width="9.140625" style="24" customWidth="1"/>
    <col min="5885" max="5885" width="6.140625" style="24" customWidth="1"/>
    <col min="5886" max="5886" width="27.28515625" style="24" customWidth="1"/>
    <col min="5887" max="5887" width="9.140625" style="24" customWidth="1"/>
    <col min="5888" max="5888" width="8.42578125" style="24"/>
    <col min="5889" max="5889" width="6.140625" style="24" customWidth="1"/>
    <col min="5890" max="5890" width="27.28515625" style="24" customWidth="1"/>
    <col min="5891" max="5891" width="9.140625" style="24" customWidth="1"/>
    <col min="5892" max="5892" width="8.42578125" style="24" bestFit="1" customWidth="1"/>
    <col min="5893" max="5893" width="9.140625" style="24" customWidth="1"/>
    <col min="5894" max="5894" width="16.85546875" style="24" customWidth="1"/>
    <col min="5895" max="5895" width="12.85546875" style="24" customWidth="1"/>
    <col min="5896" max="5896" width="9.140625" style="24" customWidth="1"/>
    <col min="5897" max="5897" width="10.28515625" style="24" bestFit="1" customWidth="1"/>
    <col min="5898" max="6140" width="9.140625" style="24" customWidth="1"/>
    <col min="6141" max="6141" width="6.140625" style="24" customWidth="1"/>
    <col min="6142" max="6142" width="27.28515625" style="24" customWidth="1"/>
    <col min="6143" max="6143" width="9.140625" style="24" customWidth="1"/>
    <col min="6144" max="6144" width="8.42578125" style="24"/>
    <col min="6145" max="6145" width="6.140625" style="24" customWidth="1"/>
    <col min="6146" max="6146" width="27.28515625" style="24" customWidth="1"/>
    <col min="6147" max="6147" width="9.140625" style="24" customWidth="1"/>
    <col min="6148" max="6148" width="8.42578125" style="24" bestFit="1" customWidth="1"/>
    <col min="6149" max="6149" width="9.140625" style="24" customWidth="1"/>
    <col min="6150" max="6150" width="16.85546875" style="24" customWidth="1"/>
    <col min="6151" max="6151" width="12.85546875" style="24" customWidth="1"/>
    <col min="6152" max="6152" width="9.140625" style="24" customWidth="1"/>
    <col min="6153" max="6153" width="10.28515625" style="24" bestFit="1" customWidth="1"/>
    <col min="6154" max="6396" width="9.140625" style="24" customWidth="1"/>
    <col min="6397" max="6397" width="6.140625" style="24" customWidth="1"/>
    <col min="6398" max="6398" width="27.28515625" style="24" customWidth="1"/>
    <col min="6399" max="6399" width="9.140625" style="24" customWidth="1"/>
    <col min="6400" max="6400" width="8.42578125" style="24"/>
    <col min="6401" max="6401" width="6.140625" style="24" customWidth="1"/>
    <col min="6402" max="6402" width="27.28515625" style="24" customWidth="1"/>
    <col min="6403" max="6403" width="9.140625" style="24" customWidth="1"/>
    <col min="6404" max="6404" width="8.42578125" style="24" bestFit="1" customWidth="1"/>
    <col min="6405" max="6405" width="9.140625" style="24" customWidth="1"/>
    <col min="6406" max="6406" width="16.85546875" style="24" customWidth="1"/>
    <col min="6407" max="6407" width="12.85546875" style="24" customWidth="1"/>
    <col min="6408" max="6408" width="9.140625" style="24" customWidth="1"/>
    <col min="6409" max="6409" width="10.28515625" style="24" bestFit="1" customWidth="1"/>
    <col min="6410" max="6652" width="9.140625" style="24" customWidth="1"/>
    <col min="6653" max="6653" width="6.140625" style="24" customWidth="1"/>
    <col min="6654" max="6654" width="27.28515625" style="24" customWidth="1"/>
    <col min="6655" max="6655" width="9.140625" style="24" customWidth="1"/>
    <col min="6656" max="6656" width="8.42578125" style="24"/>
    <col min="6657" max="6657" width="6.140625" style="24" customWidth="1"/>
    <col min="6658" max="6658" width="27.28515625" style="24" customWidth="1"/>
    <col min="6659" max="6659" width="9.140625" style="24" customWidth="1"/>
    <col min="6660" max="6660" width="8.42578125" style="24" bestFit="1" customWidth="1"/>
    <col min="6661" max="6661" width="9.140625" style="24" customWidth="1"/>
    <col min="6662" max="6662" width="16.85546875" style="24" customWidth="1"/>
    <col min="6663" max="6663" width="12.85546875" style="24" customWidth="1"/>
    <col min="6664" max="6664" width="9.140625" style="24" customWidth="1"/>
    <col min="6665" max="6665" width="10.28515625" style="24" bestFit="1" customWidth="1"/>
    <col min="6666" max="6908" width="9.140625" style="24" customWidth="1"/>
    <col min="6909" max="6909" width="6.140625" style="24" customWidth="1"/>
    <col min="6910" max="6910" width="27.28515625" style="24" customWidth="1"/>
    <col min="6911" max="6911" width="9.140625" style="24" customWidth="1"/>
    <col min="6912" max="6912" width="8.42578125" style="24"/>
    <col min="6913" max="6913" width="6.140625" style="24" customWidth="1"/>
    <col min="6914" max="6914" width="27.28515625" style="24" customWidth="1"/>
    <col min="6915" max="6915" width="9.140625" style="24" customWidth="1"/>
    <col min="6916" max="6916" width="8.42578125" style="24" bestFit="1" customWidth="1"/>
    <col min="6917" max="6917" width="9.140625" style="24" customWidth="1"/>
    <col min="6918" max="6918" width="16.85546875" style="24" customWidth="1"/>
    <col min="6919" max="6919" width="12.85546875" style="24" customWidth="1"/>
    <col min="6920" max="6920" width="9.140625" style="24" customWidth="1"/>
    <col min="6921" max="6921" width="10.28515625" style="24" bestFit="1" customWidth="1"/>
    <col min="6922" max="7164" width="9.140625" style="24" customWidth="1"/>
    <col min="7165" max="7165" width="6.140625" style="24" customWidth="1"/>
    <col min="7166" max="7166" width="27.28515625" style="24" customWidth="1"/>
    <col min="7167" max="7167" width="9.140625" style="24" customWidth="1"/>
    <col min="7168" max="7168" width="8.42578125" style="24"/>
    <col min="7169" max="7169" width="6.140625" style="24" customWidth="1"/>
    <col min="7170" max="7170" width="27.28515625" style="24" customWidth="1"/>
    <col min="7171" max="7171" width="9.140625" style="24" customWidth="1"/>
    <col min="7172" max="7172" width="8.42578125" style="24" bestFit="1" customWidth="1"/>
    <col min="7173" max="7173" width="9.140625" style="24" customWidth="1"/>
    <col min="7174" max="7174" width="16.85546875" style="24" customWidth="1"/>
    <col min="7175" max="7175" width="12.85546875" style="24" customWidth="1"/>
    <col min="7176" max="7176" width="9.140625" style="24" customWidth="1"/>
    <col min="7177" max="7177" width="10.28515625" style="24" bestFit="1" customWidth="1"/>
    <col min="7178" max="7420" width="9.140625" style="24" customWidth="1"/>
    <col min="7421" max="7421" width="6.140625" style="24" customWidth="1"/>
    <col min="7422" max="7422" width="27.28515625" style="24" customWidth="1"/>
    <col min="7423" max="7423" width="9.140625" style="24" customWidth="1"/>
    <col min="7424" max="7424" width="8.42578125" style="24"/>
    <col min="7425" max="7425" width="6.140625" style="24" customWidth="1"/>
    <col min="7426" max="7426" width="27.28515625" style="24" customWidth="1"/>
    <col min="7427" max="7427" width="9.140625" style="24" customWidth="1"/>
    <col min="7428" max="7428" width="8.42578125" style="24" bestFit="1" customWidth="1"/>
    <col min="7429" max="7429" width="9.140625" style="24" customWidth="1"/>
    <col min="7430" max="7430" width="16.85546875" style="24" customWidth="1"/>
    <col min="7431" max="7431" width="12.85546875" style="24" customWidth="1"/>
    <col min="7432" max="7432" width="9.140625" style="24" customWidth="1"/>
    <col min="7433" max="7433" width="10.28515625" style="24" bestFit="1" customWidth="1"/>
    <col min="7434" max="7676" width="9.140625" style="24" customWidth="1"/>
    <col min="7677" max="7677" width="6.140625" style="24" customWidth="1"/>
    <col min="7678" max="7678" width="27.28515625" style="24" customWidth="1"/>
    <col min="7679" max="7679" width="9.140625" style="24" customWidth="1"/>
    <col min="7680" max="7680" width="8.42578125" style="24"/>
    <col min="7681" max="7681" width="6.140625" style="24" customWidth="1"/>
    <col min="7682" max="7682" width="27.28515625" style="24" customWidth="1"/>
    <col min="7683" max="7683" width="9.140625" style="24" customWidth="1"/>
    <col min="7684" max="7684" width="8.42578125" style="24" bestFit="1" customWidth="1"/>
    <col min="7685" max="7685" width="9.140625" style="24" customWidth="1"/>
    <col min="7686" max="7686" width="16.85546875" style="24" customWidth="1"/>
    <col min="7687" max="7687" width="12.85546875" style="24" customWidth="1"/>
    <col min="7688" max="7688" width="9.140625" style="24" customWidth="1"/>
    <col min="7689" max="7689" width="10.28515625" style="24" bestFit="1" customWidth="1"/>
    <col min="7690" max="7932" width="9.140625" style="24" customWidth="1"/>
    <col min="7933" max="7933" width="6.140625" style="24" customWidth="1"/>
    <col min="7934" max="7934" width="27.28515625" style="24" customWidth="1"/>
    <col min="7935" max="7935" width="9.140625" style="24" customWidth="1"/>
    <col min="7936" max="7936" width="8.42578125" style="24"/>
    <col min="7937" max="7937" width="6.140625" style="24" customWidth="1"/>
    <col min="7938" max="7938" width="27.28515625" style="24" customWidth="1"/>
    <col min="7939" max="7939" width="9.140625" style="24" customWidth="1"/>
    <col min="7940" max="7940" width="8.42578125" style="24" bestFit="1" customWidth="1"/>
    <col min="7941" max="7941" width="9.140625" style="24" customWidth="1"/>
    <col min="7942" max="7942" width="16.85546875" style="24" customWidth="1"/>
    <col min="7943" max="7943" width="12.85546875" style="24" customWidth="1"/>
    <col min="7944" max="7944" width="9.140625" style="24" customWidth="1"/>
    <col min="7945" max="7945" width="10.28515625" style="24" bestFit="1" customWidth="1"/>
    <col min="7946" max="8188" width="9.140625" style="24" customWidth="1"/>
    <col min="8189" max="8189" width="6.140625" style="24" customWidth="1"/>
    <col min="8190" max="8190" width="27.28515625" style="24" customWidth="1"/>
    <col min="8191" max="8191" width="9.140625" style="24" customWidth="1"/>
    <col min="8192" max="8192" width="8.42578125" style="24"/>
    <col min="8193" max="8193" width="6.140625" style="24" customWidth="1"/>
    <col min="8194" max="8194" width="27.28515625" style="24" customWidth="1"/>
    <col min="8195" max="8195" width="9.140625" style="24" customWidth="1"/>
    <col min="8196" max="8196" width="8.42578125" style="24" bestFit="1" customWidth="1"/>
    <col min="8197" max="8197" width="9.140625" style="24" customWidth="1"/>
    <col min="8198" max="8198" width="16.85546875" style="24" customWidth="1"/>
    <col min="8199" max="8199" width="12.85546875" style="24" customWidth="1"/>
    <col min="8200" max="8200" width="9.140625" style="24" customWidth="1"/>
    <col min="8201" max="8201" width="10.28515625" style="24" bestFit="1" customWidth="1"/>
    <col min="8202" max="8444" width="9.140625" style="24" customWidth="1"/>
    <col min="8445" max="8445" width="6.140625" style="24" customWidth="1"/>
    <col min="8446" max="8446" width="27.28515625" style="24" customWidth="1"/>
    <col min="8447" max="8447" width="9.140625" style="24" customWidth="1"/>
    <col min="8448" max="8448" width="8.42578125" style="24"/>
    <col min="8449" max="8449" width="6.140625" style="24" customWidth="1"/>
    <col min="8450" max="8450" width="27.28515625" style="24" customWidth="1"/>
    <col min="8451" max="8451" width="9.140625" style="24" customWidth="1"/>
    <col min="8452" max="8452" width="8.42578125" style="24" bestFit="1" customWidth="1"/>
    <col min="8453" max="8453" width="9.140625" style="24" customWidth="1"/>
    <col min="8454" max="8454" width="16.85546875" style="24" customWidth="1"/>
    <col min="8455" max="8455" width="12.85546875" style="24" customWidth="1"/>
    <col min="8456" max="8456" width="9.140625" style="24" customWidth="1"/>
    <col min="8457" max="8457" width="10.28515625" style="24" bestFit="1" customWidth="1"/>
    <col min="8458" max="8700" width="9.140625" style="24" customWidth="1"/>
    <col min="8701" max="8701" width="6.140625" style="24" customWidth="1"/>
    <col min="8702" max="8702" width="27.28515625" style="24" customWidth="1"/>
    <col min="8703" max="8703" width="9.140625" style="24" customWidth="1"/>
    <col min="8704" max="8704" width="8.42578125" style="24"/>
    <col min="8705" max="8705" width="6.140625" style="24" customWidth="1"/>
    <col min="8706" max="8706" width="27.28515625" style="24" customWidth="1"/>
    <col min="8707" max="8707" width="9.140625" style="24" customWidth="1"/>
    <col min="8708" max="8708" width="8.42578125" style="24" bestFit="1" customWidth="1"/>
    <col min="8709" max="8709" width="9.140625" style="24" customWidth="1"/>
    <col min="8710" max="8710" width="16.85546875" style="24" customWidth="1"/>
    <col min="8711" max="8711" width="12.85546875" style="24" customWidth="1"/>
    <col min="8712" max="8712" width="9.140625" style="24" customWidth="1"/>
    <col min="8713" max="8713" width="10.28515625" style="24" bestFit="1" customWidth="1"/>
    <col min="8714" max="8956" width="9.140625" style="24" customWidth="1"/>
    <col min="8957" max="8957" width="6.140625" style="24" customWidth="1"/>
    <col min="8958" max="8958" width="27.28515625" style="24" customWidth="1"/>
    <col min="8959" max="8959" width="9.140625" style="24" customWidth="1"/>
    <col min="8960" max="8960" width="8.42578125" style="24"/>
    <col min="8961" max="8961" width="6.140625" style="24" customWidth="1"/>
    <col min="8962" max="8962" width="27.28515625" style="24" customWidth="1"/>
    <col min="8963" max="8963" width="9.140625" style="24" customWidth="1"/>
    <col min="8964" max="8964" width="8.42578125" style="24" bestFit="1" customWidth="1"/>
    <col min="8965" max="8965" width="9.140625" style="24" customWidth="1"/>
    <col min="8966" max="8966" width="16.85546875" style="24" customWidth="1"/>
    <col min="8967" max="8967" width="12.85546875" style="24" customWidth="1"/>
    <col min="8968" max="8968" width="9.140625" style="24" customWidth="1"/>
    <col min="8969" max="8969" width="10.28515625" style="24" bestFit="1" customWidth="1"/>
    <col min="8970" max="9212" width="9.140625" style="24" customWidth="1"/>
    <col min="9213" max="9213" width="6.140625" style="24" customWidth="1"/>
    <col min="9214" max="9214" width="27.28515625" style="24" customWidth="1"/>
    <col min="9215" max="9215" width="9.140625" style="24" customWidth="1"/>
    <col min="9216" max="9216" width="8.42578125" style="24"/>
    <col min="9217" max="9217" width="6.140625" style="24" customWidth="1"/>
    <col min="9218" max="9218" width="27.28515625" style="24" customWidth="1"/>
    <col min="9219" max="9219" width="9.140625" style="24" customWidth="1"/>
    <col min="9220" max="9220" width="8.42578125" style="24" bestFit="1" customWidth="1"/>
    <col min="9221" max="9221" width="9.140625" style="24" customWidth="1"/>
    <col min="9222" max="9222" width="16.85546875" style="24" customWidth="1"/>
    <col min="9223" max="9223" width="12.85546875" style="24" customWidth="1"/>
    <col min="9224" max="9224" width="9.140625" style="24" customWidth="1"/>
    <col min="9225" max="9225" width="10.28515625" style="24" bestFit="1" customWidth="1"/>
    <col min="9226" max="9468" width="9.140625" style="24" customWidth="1"/>
    <col min="9469" max="9469" width="6.140625" style="24" customWidth="1"/>
    <col min="9470" max="9470" width="27.28515625" style="24" customWidth="1"/>
    <col min="9471" max="9471" width="9.140625" style="24" customWidth="1"/>
    <col min="9472" max="9472" width="8.42578125" style="24"/>
    <col min="9473" max="9473" width="6.140625" style="24" customWidth="1"/>
    <col min="9474" max="9474" width="27.28515625" style="24" customWidth="1"/>
    <col min="9475" max="9475" width="9.140625" style="24" customWidth="1"/>
    <col min="9476" max="9476" width="8.42578125" style="24" bestFit="1" customWidth="1"/>
    <col min="9477" max="9477" width="9.140625" style="24" customWidth="1"/>
    <col min="9478" max="9478" width="16.85546875" style="24" customWidth="1"/>
    <col min="9479" max="9479" width="12.85546875" style="24" customWidth="1"/>
    <col min="9480" max="9480" width="9.140625" style="24" customWidth="1"/>
    <col min="9481" max="9481" width="10.28515625" style="24" bestFit="1" customWidth="1"/>
    <col min="9482" max="9724" width="9.140625" style="24" customWidth="1"/>
    <col min="9725" max="9725" width="6.140625" style="24" customWidth="1"/>
    <col min="9726" max="9726" width="27.28515625" style="24" customWidth="1"/>
    <col min="9727" max="9727" width="9.140625" style="24" customWidth="1"/>
    <col min="9728" max="9728" width="8.42578125" style="24"/>
    <col min="9729" max="9729" width="6.140625" style="24" customWidth="1"/>
    <col min="9730" max="9730" width="27.28515625" style="24" customWidth="1"/>
    <col min="9731" max="9731" width="9.140625" style="24" customWidth="1"/>
    <col min="9732" max="9732" width="8.42578125" style="24" bestFit="1" customWidth="1"/>
    <col min="9733" max="9733" width="9.140625" style="24" customWidth="1"/>
    <col min="9734" max="9734" width="16.85546875" style="24" customWidth="1"/>
    <col min="9735" max="9735" width="12.85546875" style="24" customWidth="1"/>
    <col min="9736" max="9736" width="9.140625" style="24" customWidth="1"/>
    <col min="9737" max="9737" width="10.28515625" style="24" bestFit="1" customWidth="1"/>
    <col min="9738" max="9980" width="9.140625" style="24" customWidth="1"/>
    <col min="9981" max="9981" width="6.140625" style="24" customWidth="1"/>
    <col min="9982" max="9982" width="27.28515625" style="24" customWidth="1"/>
    <col min="9983" max="9983" width="9.140625" style="24" customWidth="1"/>
    <col min="9984" max="9984" width="8.42578125" style="24"/>
    <col min="9985" max="9985" width="6.140625" style="24" customWidth="1"/>
    <col min="9986" max="9986" width="27.28515625" style="24" customWidth="1"/>
    <col min="9987" max="9987" width="9.140625" style="24" customWidth="1"/>
    <col min="9988" max="9988" width="8.42578125" style="24" bestFit="1" customWidth="1"/>
    <col min="9989" max="9989" width="9.140625" style="24" customWidth="1"/>
    <col min="9990" max="9990" width="16.85546875" style="24" customWidth="1"/>
    <col min="9991" max="9991" width="12.85546875" style="24" customWidth="1"/>
    <col min="9992" max="9992" width="9.140625" style="24" customWidth="1"/>
    <col min="9993" max="9993" width="10.28515625" style="24" bestFit="1" customWidth="1"/>
    <col min="9994" max="10236" width="9.140625" style="24" customWidth="1"/>
    <col min="10237" max="10237" width="6.140625" style="24" customWidth="1"/>
    <col min="10238" max="10238" width="27.28515625" style="24" customWidth="1"/>
    <col min="10239" max="10239" width="9.140625" style="24" customWidth="1"/>
    <col min="10240" max="10240" width="8.42578125" style="24"/>
    <col min="10241" max="10241" width="6.140625" style="24" customWidth="1"/>
    <col min="10242" max="10242" width="27.28515625" style="24" customWidth="1"/>
    <col min="10243" max="10243" width="9.140625" style="24" customWidth="1"/>
    <col min="10244" max="10244" width="8.42578125" style="24" bestFit="1" customWidth="1"/>
    <col min="10245" max="10245" width="9.140625" style="24" customWidth="1"/>
    <col min="10246" max="10246" width="16.85546875" style="24" customWidth="1"/>
    <col min="10247" max="10247" width="12.85546875" style="24" customWidth="1"/>
    <col min="10248" max="10248" width="9.140625" style="24" customWidth="1"/>
    <col min="10249" max="10249" width="10.28515625" style="24" bestFit="1" customWidth="1"/>
    <col min="10250" max="10492" width="9.140625" style="24" customWidth="1"/>
    <col min="10493" max="10493" width="6.140625" style="24" customWidth="1"/>
    <col min="10494" max="10494" width="27.28515625" style="24" customWidth="1"/>
    <col min="10495" max="10495" width="9.140625" style="24" customWidth="1"/>
    <col min="10496" max="10496" width="8.42578125" style="24"/>
    <col min="10497" max="10497" width="6.140625" style="24" customWidth="1"/>
    <col min="10498" max="10498" width="27.28515625" style="24" customWidth="1"/>
    <col min="10499" max="10499" width="9.140625" style="24" customWidth="1"/>
    <col min="10500" max="10500" width="8.42578125" style="24" bestFit="1" customWidth="1"/>
    <col min="10501" max="10501" width="9.140625" style="24" customWidth="1"/>
    <col min="10502" max="10502" width="16.85546875" style="24" customWidth="1"/>
    <col min="10503" max="10503" width="12.85546875" style="24" customWidth="1"/>
    <col min="10504" max="10504" width="9.140625" style="24" customWidth="1"/>
    <col min="10505" max="10505" width="10.28515625" style="24" bestFit="1" customWidth="1"/>
    <col min="10506" max="10748" width="9.140625" style="24" customWidth="1"/>
    <col min="10749" max="10749" width="6.140625" style="24" customWidth="1"/>
    <col min="10750" max="10750" width="27.28515625" style="24" customWidth="1"/>
    <col min="10751" max="10751" width="9.140625" style="24" customWidth="1"/>
    <col min="10752" max="10752" width="8.42578125" style="24"/>
    <col min="10753" max="10753" width="6.140625" style="24" customWidth="1"/>
    <col min="10754" max="10754" width="27.28515625" style="24" customWidth="1"/>
    <col min="10755" max="10755" width="9.140625" style="24" customWidth="1"/>
    <col min="10756" max="10756" width="8.42578125" style="24" bestFit="1" customWidth="1"/>
    <col min="10757" max="10757" width="9.140625" style="24" customWidth="1"/>
    <col min="10758" max="10758" width="16.85546875" style="24" customWidth="1"/>
    <col min="10759" max="10759" width="12.85546875" style="24" customWidth="1"/>
    <col min="10760" max="10760" width="9.140625" style="24" customWidth="1"/>
    <col min="10761" max="10761" width="10.28515625" style="24" bestFit="1" customWidth="1"/>
    <col min="10762" max="11004" width="9.140625" style="24" customWidth="1"/>
    <col min="11005" max="11005" width="6.140625" style="24" customWidth="1"/>
    <col min="11006" max="11006" width="27.28515625" style="24" customWidth="1"/>
    <col min="11007" max="11007" width="9.140625" style="24" customWidth="1"/>
    <col min="11008" max="11008" width="8.42578125" style="24"/>
    <col min="11009" max="11009" width="6.140625" style="24" customWidth="1"/>
    <col min="11010" max="11010" width="27.28515625" style="24" customWidth="1"/>
    <col min="11011" max="11011" width="9.140625" style="24" customWidth="1"/>
    <col min="11012" max="11012" width="8.42578125" style="24" bestFit="1" customWidth="1"/>
    <col min="11013" max="11013" width="9.140625" style="24" customWidth="1"/>
    <col min="11014" max="11014" width="16.85546875" style="24" customWidth="1"/>
    <col min="11015" max="11015" width="12.85546875" style="24" customWidth="1"/>
    <col min="11016" max="11016" width="9.140625" style="24" customWidth="1"/>
    <col min="11017" max="11017" width="10.28515625" style="24" bestFit="1" customWidth="1"/>
    <col min="11018" max="11260" width="9.140625" style="24" customWidth="1"/>
    <col min="11261" max="11261" width="6.140625" style="24" customWidth="1"/>
    <col min="11262" max="11262" width="27.28515625" style="24" customWidth="1"/>
    <col min="11263" max="11263" width="9.140625" style="24" customWidth="1"/>
    <col min="11264" max="11264" width="8.42578125" style="24"/>
    <col min="11265" max="11265" width="6.140625" style="24" customWidth="1"/>
    <col min="11266" max="11266" width="27.28515625" style="24" customWidth="1"/>
    <col min="11267" max="11267" width="9.140625" style="24" customWidth="1"/>
    <col min="11268" max="11268" width="8.42578125" style="24" bestFit="1" customWidth="1"/>
    <col min="11269" max="11269" width="9.140625" style="24" customWidth="1"/>
    <col min="11270" max="11270" width="16.85546875" style="24" customWidth="1"/>
    <col min="11271" max="11271" width="12.85546875" style="24" customWidth="1"/>
    <col min="11272" max="11272" width="9.140625" style="24" customWidth="1"/>
    <col min="11273" max="11273" width="10.28515625" style="24" bestFit="1" customWidth="1"/>
    <col min="11274" max="11516" width="9.140625" style="24" customWidth="1"/>
    <col min="11517" max="11517" width="6.140625" style="24" customWidth="1"/>
    <col min="11518" max="11518" width="27.28515625" style="24" customWidth="1"/>
    <col min="11519" max="11519" width="9.140625" style="24" customWidth="1"/>
    <col min="11520" max="11520" width="8.42578125" style="24"/>
    <col min="11521" max="11521" width="6.140625" style="24" customWidth="1"/>
    <col min="11522" max="11522" width="27.28515625" style="24" customWidth="1"/>
    <col min="11523" max="11523" width="9.140625" style="24" customWidth="1"/>
    <col min="11524" max="11524" width="8.42578125" style="24" bestFit="1" customWidth="1"/>
    <col min="11525" max="11525" width="9.140625" style="24" customWidth="1"/>
    <col min="11526" max="11526" width="16.85546875" style="24" customWidth="1"/>
    <col min="11527" max="11527" width="12.85546875" style="24" customWidth="1"/>
    <col min="11528" max="11528" width="9.140625" style="24" customWidth="1"/>
    <col min="11529" max="11529" width="10.28515625" style="24" bestFit="1" customWidth="1"/>
    <col min="11530" max="11772" width="9.140625" style="24" customWidth="1"/>
    <col min="11773" max="11773" width="6.140625" style="24" customWidth="1"/>
    <col min="11774" max="11774" width="27.28515625" style="24" customWidth="1"/>
    <col min="11775" max="11775" width="9.140625" style="24" customWidth="1"/>
    <col min="11776" max="11776" width="8.42578125" style="24"/>
    <col min="11777" max="11777" width="6.140625" style="24" customWidth="1"/>
    <col min="11778" max="11778" width="27.28515625" style="24" customWidth="1"/>
    <col min="11779" max="11779" width="9.140625" style="24" customWidth="1"/>
    <col min="11780" max="11780" width="8.42578125" style="24" bestFit="1" customWidth="1"/>
    <col min="11781" max="11781" width="9.140625" style="24" customWidth="1"/>
    <col min="11782" max="11782" width="16.85546875" style="24" customWidth="1"/>
    <col min="11783" max="11783" width="12.85546875" style="24" customWidth="1"/>
    <col min="11784" max="11784" width="9.140625" style="24" customWidth="1"/>
    <col min="11785" max="11785" width="10.28515625" style="24" bestFit="1" customWidth="1"/>
    <col min="11786" max="12028" width="9.140625" style="24" customWidth="1"/>
    <col min="12029" max="12029" width="6.140625" style="24" customWidth="1"/>
    <col min="12030" max="12030" width="27.28515625" style="24" customWidth="1"/>
    <col min="12031" max="12031" width="9.140625" style="24" customWidth="1"/>
    <col min="12032" max="12032" width="8.42578125" style="24"/>
    <col min="12033" max="12033" width="6.140625" style="24" customWidth="1"/>
    <col min="12034" max="12034" width="27.28515625" style="24" customWidth="1"/>
    <col min="12035" max="12035" width="9.140625" style="24" customWidth="1"/>
    <col min="12036" max="12036" width="8.42578125" style="24" bestFit="1" customWidth="1"/>
    <col min="12037" max="12037" width="9.140625" style="24" customWidth="1"/>
    <col min="12038" max="12038" width="16.85546875" style="24" customWidth="1"/>
    <col min="12039" max="12039" width="12.85546875" style="24" customWidth="1"/>
    <col min="12040" max="12040" width="9.140625" style="24" customWidth="1"/>
    <col min="12041" max="12041" width="10.28515625" style="24" bestFit="1" customWidth="1"/>
    <col min="12042" max="12284" width="9.140625" style="24" customWidth="1"/>
    <col min="12285" max="12285" width="6.140625" style="24" customWidth="1"/>
    <col min="12286" max="12286" width="27.28515625" style="24" customWidth="1"/>
    <col min="12287" max="12287" width="9.140625" style="24" customWidth="1"/>
    <col min="12288" max="12288" width="8.42578125" style="24"/>
    <col min="12289" max="12289" width="6.140625" style="24" customWidth="1"/>
    <col min="12290" max="12290" width="27.28515625" style="24" customWidth="1"/>
    <col min="12291" max="12291" width="9.140625" style="24" customWidth="1"/>
    <col min="12292" max="12292" width="8.42578125" style="24" bestFit="1" customWidth="1"/>
    <col min="12293" max="12293" width="9.140625" style="24" customWidth="1"/>
    <col min="12294" max="12294" width="16.85546875" style="24" customWidth="1"/>
    <col min="12295" max="12295" width="12.85546875" style="24" customWidth="1"/>
    <col min="12296" max="12296" width="9.140625" style="24" customWidth="1"/>
    <col min="12297" max="12297" width="10.28515625" style="24" bestFit="1" customWidth="1"/>
    <col min="12298" max="12540" width="9.140625" style="24" customWidth="1"/>
    <col min="12541" max="12541" width="6.140625" style="24" customWidth="1"/>
    <col min="12542" max="12542" width="27.28515625" style="24" customWidth="1"/>
    <col min="12543" max="12543" width="9.140625" style="24" customWidth="1"/>
    <col min="12544" max="12544" width="8.42578125" style="24"/>
    <col min="12545" max="12545" width="6.140625" style="24" customWidth="1"/>
    <col min="12546" max="12546" width="27.28515625" style="24" customWidth="1"/>
    <col min="12547" max="12547" width="9.140625" style="24" customWidth="1"/>
    <col min="12548" max="12548" width="8.42578125" style="24" bestFit="1" customWidth="1"/>
    <col min="12549" max="12549" width="9.140625" style="24" customWidth="1"/>
    <col min="12550" max="12550" width="16.85546875" style="24" customWidth="1"/>
    <col min="12551" max="12551" width="12.85546875" style="24" customWidth="1"/>
    <col min="12552" max="12552" width="9.140625" style="24" customWidth="1"/>
    <col min="12553" max="12553" width="10.28515625" style="24" bestFit="1" customWidth="1"/>
    <col min="12554" max="12796" width="9.140625" style="24" customWidth="1"/>
    <col min="12797" max="12797" width="6.140625" style="24" customWidth="1"/>
    <col min="12798" max="12798" width="27.28515625" style="24" customWidth="1"/>
    <col min="12799" max="12799" width="9.140625" style="24" customWidth="1"/>
    <col min="12800" max="12800" width="8.42578125" style="24"/>
    <col min="12801" max="12801" width="6.140625" style="24" customWidth="1"/>
    <col min="12802" max="12802" width="27.28515625" style="24" customWidth="1"/>
    <col min="12803" max="12803" width="9.140625" style="24" customWidth="1"/>
    <col min="12804" max="12804" width="8.42578125" style="24" bestFit="1" customWidth="1"/>
    <col min="12805" max="12805" width="9.140625" style="24" customWidth="1"/>
    <col min="12806" max="12806" width="16.85546875" style="24" customWidth="1"/>
    <col min="12807" max="12807" width="12.85546875" style="24" customWidth="1"/>
    <col min="12808" max="12808" width="9.140625" style="24" customWidth="1"/>
    <col min="12809" max="12809" width="10.28515625" style="24" bestFit="1" customWidth="1"/>
    <col min="12810" max="13052" width="9.140625" style="24" customWidth="1"/>
    <col min="13053" max="13053" width="6.140625" style="24" customWidth="1"/>
    <col min="13054" max="13054" width="27.28515625" style="24" customWidth="1"/>
    <col min="13055" max="13055" width="9.140625" style="24" customWidth="1"/>
    <col min="13056" max="13056" width="8.42578125" style="24"/>
    <col min="13057" max="13057" width="6.140625" style="24" customWidth="1"/>
    <col min="13058" max="13058" width="27.28515625" style="24" customWidth="1"/>
    <col min="13059" max="13059" width="9.140625" style="24" customWidth="1"/>
    <col min="13060" max="13060" width="8.42578125" style="24" bestFit="1" customWidth="1"/>
    <col min="13061" max="13061" width="9.140625" style="24" customWidth="1"/>
    <col min="13062" max="13062" width="16.85546875" style="24" customWidth="1"/>
    <col min="13063" max="13063" width="12.85546875" style="24" customWidth="1"/>
    <col min="13064" max="13064" width="9.140625" style="24" customWidth="1"/>
    <col min="13065" max="13065" width="10.28515625" style="24" bestFit="1" customWidth="1"/>
    <col min="13066" max="13308" width="9.140625" style="24" customWidth="1"/>
    <col min="13309" max="13309" width="6.140625" style="24" customWidth="1"/>
    <col min="13310" max="13310" width="27.28515625" style="24" customWidth="1"/>
    <col min="13311" max="13311" width="9.140625" style="24" customWidth="1"/>
    <col min="13312" max="13312" width="8.42578125" style="24"/>
    <col min="13313" max="13313" width="6.140625" style="24" customWidth="1"/>
    <col min="13314" max="13314" width="27.28515625" style="24" customWidth="1"/>
    <col min="13315" max="13315" width="9.140625" style="24" customWidth="1"/>
    <col min="13316" max="13316" width="8.42578125" style="24" bestFit="1" customWidth="1"/>
    <col min="13317" max="13317" width="9.140625" style="24" customWidth="1"/>
    <col min="13318" max="13318" width="16.85546875" style="24" customWidth="1"/>
    <col min="13319" max="13319" width="12.85546875" style="24" customWidth="1"/>
    <col min="13320" max="13320" width="9.140625" style="24" customWidth="1"/>
    <col min="13321" max="13321" width="10.28515625" style="24" bestFit="1" customWidth="1"/>
    <col min="13322" max="13564" width="9.140625" style="24" customWidth="1"/>
    <col min="13565" max="13565" width="6.140625" style="24" customWidth="1"/>
    <col min="13566" max="13566" width="27.28515625" style="24" customWidth="1"/>
    <col min="13567" max="13567" width="9.140625" style="24" customWidth="1"/>
    <col min="13568" max="13568" width="8.42578125" style="24"/>
    <col min="13569" max="13569" width="6.140625" style="24" customWidth="1"/>
    <col min="13570" max="13570" width="27.28515625" style="24" customWidth="1"/>
    <col min="13571" max="13571" width="9.140625" style="24" customWidth="1"/>
    <col min="13572" max="13572" width="8.42578125" style="24" bestFit="1" customWidth="1"/>
    <col min="13573" max="13573" width="9.140625" style="24" customWidth="1"/>
    <col min="13574" max="13574" width="16.85546875" style="24" customWidth="1"/>
    <col min="13575" max="13575" width="12.85546875" style="24" customWidth="1"/>
    <col min="13576" max="13576" width="9.140625" style="24" customWidth="1"/>
    <col min="13577" max="13577" width="10.28515625" style="24" bestFit="1" customWidth="1"/>
    <col min="13578" max="13820" width="9.140625" style="24" customWidth="1"/>
    <col min="13821" max="13821" width="6.140625" style="24" customWidth="1"/>
    <col min="13822" max="13822" width="27.28515625" style="24" customWidth="1"/>
    <col min="13823" max="13823" width="9.140625" style="24" customWidth="1"/>
    <col min="13824" max="13824" width="8.42578125" style="24"/>
    <col min="13825" max="13825" width="6.140625" style="24" customWidth="1"/>
    <col min="13826" max="13826" width="27.28515625" style="24" customWidth="1"/>
    <col min="13827" max="13827" width="9.140625" style="24" customWidth="1"/>
    <col min="13828" max="13828" width="8.42578125" style="24" bestFit="1" customWidth="1"/>
    <col min="13829" max="13829" width="9.140625" style="24" customWidth="1"/>
    <col min="13830" max="13830" width="16.85546875" style="24" customWidth="1"/>
    <col min="13831" max="13831" width="12.85546875" style="24" customWidth="1"/>
    <col min="13832" max="13832" width="9.140625" style="24" customWidth="1"/>
    <col min="13833" max="13833" width="10.28515625" style="24" bestFit="1" customWidth="1"/>
    <col min="13834" max="14076" width="9.140625" style="24" customWidth="1"/>
    <col min="14077" max="14077" width="6.140625" style="24" customWidth="1"/>
    <col min="14078" max="14078" width="27.28515625" style="24" customWidth="1"/>
    <col min="14079" max="14079" width="9.140625" style="24" customWidth="1"/>
    <col min="14080" max="14080" width="8.42578125" style="24"/>
    <col min="14081" max="14081" width="6.140625" style="24" customWidth="1"/>
    <col min="14082" max="14082" width="27.28515625" style="24" customWidth="1"/>
    <col min="14083" max="14083" width="9.140625" style="24" customWidth="1"/>
    <col min="14084" max="14084" width="8.42578125" style="24" bestFit="1" customWidth="1"/>
    <col min="14085" max="14085" width="9.140625" style="24" customWidth="1"/>
    <col min="14086" max="14086" width="16.85546875" style="24" customWidth="1"/>
    <col min="14087" max="14087" width="12.85546875" style="24" customWidth="1"/>
    <col min="14088" max="14088" width="9.140625" style="24" customWidth="1"/>
    <col min="14089" max="14089" width="10.28515625" style="24" bestFit="1" customWidth="1"/>
    <col min="14090" max="14332" width="9.140625" style="24" customWidth="1"/>
    <col min="14333" max="14333" width="6.140625" style="24" customWidth="1"/>
    <col min="14334" max="14334" width="27.28515625" style="24" customWidth="1"/>
    <col min="14335" max="14335" width="9.140625" style="24" customWidth="1"/>
    <col min="14336" max="14336" width="8.42578125" style="24"/>
    <col min="14337" max="14337" width="6.140625" style="24" customWidth="1"/>
    <col min="14338" max="14338" width="27.28515625" style="24" customWidth="1"/>
    <col min="14339" max="14339" width="9.140625" style="24" customWidth="1"/>
    <col min="14340" max="14340" width="8.42578125" style="24" bestFit="1" customWidth="1"/>
    <col min="14341" max="14341" width="9.140625" style="24" customWidth="1"/>
    <col min="14342" max="14342" width="16.85546875" style="24" customWidth="1"/>
    <col min="14343" max="14343" width="12.85546875" style="24" customWidth="1"/>
    <col min="14344" max="14344" width="9.140625" style="24" customWidth="1"/>
    <col min="14345" max="14345" width="10.28515625" style="24" bestFit="1" customWidth="1"/>
    <col min="14346" max="14588" width="9.140625" style="24" customWidth="1"/>
    <col min="14589" max="14589" width="6.140625" style="24" customWidth="1"/>
    <col min="14590" max="14590" width="27.28515625" style="24" customWidth="1"/>
    <col min="14591" max="14591" width="9.140625" style="24" customWidth="1"/>
    <col min="14592" max="14592" width="8.42578125" style="24"/>
    <col min="14593" max="14593" width="6.140625" style="24" customWidth="1"/>
    <col min="14594" max="14594" width="27.28515625" style="24" customWidth="1"/>
    <col min="14595" max="14595" width="9.140625" style="24" customWidth="1"/>
    <col min="14596" max="14596" width="8.42578125" style="24" bestFit="1" customWidth="1"/>
    <col min="14597" max="14597" width="9.140625" style="24" customWidth="1"/>
    <col min="14598" max="14598" width="16.85546875" style="24" customWidth="1"/>
    <col min="14599" max="14599" width="12.85546875" style="24" customWidth="1"/>
    <col min="14600" max="14600" width="9.140625" style="24" customWidth="1"/>
    <col min="14601" max="14601" width="10.28515625" style="24" bestFit="1" customWidth="1"/>
    <col min="14602" max="14844" width="9.140625" style="24" customWidth="1"/>
    <col min="14845" max="14845" width="6.140625" style="24" customWidth="1"/>
    <col min="14846" max="14846" width="27.28515625" style="24" customWidth="1"/>
    <col min="14847" max="14847" width="9.140625" style="24" customWidth="1"/>
    <col min="14848" max="14848" width="8.42578125" style="24"/>
    <col min="14849" max="14849" width="6.140625" style="24" customWidth="1"/>
    <col min="14850" max="14850" width="27.28515625" style="24" customWidth="1"/>
    <col min="14851" max="14851" width="9.140625" style="24" customWidth="1"/>
    <col min="14852" max="14852" width="8.42578125" style="24" bestFit="1" customWidth="1"/>
    <col min="14853" max="14853" width="9.140625" style="24" customWidth="1"/>
    <col min="14854" max="14854" width="16.85546875" style="24" customWidth="1"/>
    <col min="14855" max="14855" width="12.85546875" style="24" customWidth="1"/>
    <col min="14856" max="14856" width="9.140625" style="24" customWidth="1"/>
    <col min="14857" max="14857" width="10.28515625" style="24" bestFit="1" customWidth="1"/>
    <col min="14858" max="15100" width="9.140625" style="24" customWidth="1"/>
    <col min="15101" max="15101" width="6.140625" style="24" customWidth="1"/>
    <col min="15102" max="15102" width="27.28515625" style="24" customWidth="1"/>
    <col min="15103" max="15103" width="9.140625" style="24" customWidth="1"/>
    <col min="15104" max="15104" width="8.42578125" style="24"/>
    <col min="15105" max="15105" width="6.140625" style="24" customWidth="1"/>
    <col min="15106" max="15106" width="27.28515625" style="24" customWidth="1"/>
    <col min="15107" max="15107" width="9.140625" style="24" customWidth="1"/>
    <col min="15108" max="15108" width="8.42578125" style="24" bestFit="1" customWidth="1"/>
    <col min="15109" max="15109" width="9.140625" style="24" customWidth="1"/>
    <col min="15110" max="15110" width="16.85546875" style="24" customWidth="1"/>
    <col min="15111" max="15111" width="12.85546875" style="24" customWidth="1"/>
    <col min="15112" max="15112" width="9.140625" style="24" customWidth="1"/>
    <col min="15113" max="15113" width="10.28515625" style="24" bestFit="1" customWidth="1"/>
    <col min="15114" max="15356" width="9.140625" style="24" customWidth="1"/>
    <col min="15357" max="15357" width="6.140625" style="24" customWidth="1"/>
    <col min="15358" max="15358" width="27.28515625" style="24" customWidth="1"/>
    <col min="15359" max="15359" width="9.140625" style="24" customWidth="1"/>
    <col min="15360" max="15360" width="8.42578125" style="24"/>
    <col min="15361" max="15361" width="6.140625" style="24" customWidth="1"/>
    <col min="15362" max="15362" width="27.28515625" style="24" customWidth="1"/>
    <col min="15363" max="15363" width="9.140625" style="24" customWidth="1"/>
    <col min="15364" max="15364" width="8.42578125" style="24" bestFit="1" customWidth="1"/>
    <col min="15365" max="15365" width="9.140625" style="24" customWidth="1"/>
    <col min="15366" max="15366" width="16.85546875" style="24" customWidth="1"/>
    <col min="15367" max="15367" width="12.85546875" style="24" customWidth="1"/>
    <col min="15368" max="15368" width="9.140625" style="24" customWidth="1"/>
    <col min="15369" max="15369" width="10.28515625" style="24" bestFit="1" customWidth="1"/>
    <col min="15370" max="15612" width="9.140625" style="24" customWidth="1"/>
    <col min="15613" max="15613" width="6.140625" style="24" customWidth="1"/>
    <col min="15614" max="15614" width="27.28515625" style="24" customWidth="1"/>
    <col min="15615" max="15615" width="9.140625" style="24" customWidth="1"/>
    <col min="15616" max="15616" width="8.42578125" style="24"/>
    <col min="15617" max="15617" width="6.140625" style="24" customWidth="1"/>
    <col min="15618" max="15618" width="27.28515625" style="24" customWidth="1"/>
    <col min="15619" max="15619" width="9.140625" style="24" customWidth="1"/>
    <col min="15620" max="15620" width="8.42578125" style="24" bestFit="1" customWidth="1"/>
    <col min="15621" max="15621" width="9.140625" style="24" customWidth="1"/>
    <col min="15622" max="15622" width="16.85546875" style="24" customWidth="1"/>
    <col min="15623" max="15623" width="12.85546875" style="24" customWidth="1"/>
    <col min="15624" max="15624" width="9.140625" style="24" customWidth="1"/>
    <col min="15625" max="15625" width="10.28515625" style="24" bestFit="1" customWidth="1"/>
    <col min="15626" max="15868" width="9.140625" style="24" customWidth="1"/>
    <col min="15869" max="15869" width="6.140625" style="24" customWidth="1"/>
    <col min="15870" max="15870" width="27.28515625" style="24" customWidth="1"/>
    <col min="15871" max="15871" width="9.140625" style="24" customWidth="1"/>
    <col min="15872" max="15872" width="8.42578125" style="24"/>
    <col min="15873" max="15873" width="6.140625" style="24" customWidth="1"/>
    <col min="15874" max="15874" width="27.28515625" style="24" customWidth="1"/>
    <col min="15875" max="15875" width="9.140625" style="24" customWidth="1"/>
    <col min="15876" max="15876" width="8.42578125" style="24" bestFit="1" customWidth="1"/>
    <col min="15877" max="15877" width="9.140625" style="24" customWidth="1"/>
    <col min="15878" max="15878" width="16.85546875" style="24" customWidth="1"/>
    <col min="15879" max="15879" width="12.85546875" style="24" customWidth="1"/>
    <col min="15880" max="15880" width="9.140625" style="24" customWidth="1"/>
    <col min="15881" max="15881" width="10.28515625" style="24" bestFit="1" customWidth="1"/>
    <col min="15882" max="16124" width="9.140625" style="24" customWidth="1"/>
    <col min="16125" max="16125" width="6.140625" style="24" customWidth="1"/>
    <col min="16126" max="16126" width="27.28515625" style="24" customWidth="1"/>
    <col min="16127" max="16127" width="9.140625" style="24" customWidth="1"/>
    <col min="16128" max="16128" width="8.42578125" style="24"/>
    <col min="16129" max="16129" width="6.140625" style="24" customWidth="1"/>
    <col min="16130" max="16130" width="27.28515625" style="24" customWidth="1"/>
    <col min="16131" max="16131" width="9.140625" style="24" customWidth="1"/>
    <col min="16132" max="16132" width="8.42578125" style="24" bestFit="1" customWidth="1"/>
    <col min="16133" max="16133" width="9.140625" style="24" customWidth="1"/>
    <col min="16134" max="16134" width="16.85546875" style="24" customWidth="1"/>
    <col min="16135" max="16135" width="12.85546875" style="24" customWidth="1"/>
    <col min="16136" max="16136" width="9.140625" style="24" customWidth="1"/>
    <col min="16137" max="16137" width="10.28515625" style="24" bestFit="1" customWidth="1"/>
    <col min="16138" max="16380" width="9.140625" style="24" customWidth="1"/>
    <col min="16381" max="16381" width="6.140625" style="24" customWidth="1"/>
    <col min="16382" max="16382" width="27.28515625" style="24" customWidth="1"/>
    <col min="16383" max="16383" width="9.140625" style="24" customWidth="1"/>
    <col min="16384" max="16384" width="8.42578125" style="24"/>
  </cols>
  <sheetData>
    <row r="1" spans="1:11" x14ac:dyDescent="0.2">
      <c r="A1" s="435" t="s">
        <v>0</v>
      </c>
      <c r="B1" s="435"/>
      <c r="C1" s="435"/>
      <c r="D1" s="435"/>
      <c r="E1" s="435"/>
      <c r="F1" s="435"/>
      <c r="G1" s="435"/>
      <c r="H1" s="435"/>
      <c r="I1" s="435"/>
      <c r="J1" s="435"/>
    </row>
    <row r="2" spans="1:11" x14ac:dyDescent="0.2">
      <c r="A2" s="435" t="s">
        <v>2131</v>
      </c>
      <c r="B2" s="435"/>
      <c r="C2" s="435"/>
      <c r="D2" s="435"/>
      <c r="E2" s="435"/>
      <c r="F2" s="435"/>
      <c r="G2" s="435"/>
      <c r="H2" s="435"/>
      <c r="I2" s="435"/>
      <c r="J2" s="435"/>
    </row>
    <row r="3" spans="1:11" ht="15" x14ac:dyDescent="0.2">
      <c r="A3" s="436" t="s">
        <v>2132</v>
      </c>
      <c r="B3" s="436"/>
      <c r="C3" s="436"/>
      <c r="D3" s="436"/>
      <c r="E3" s="436"/>
      <c r="F3" s="436"/>
      <c r="G3" s="436"/>
      <c r="H3" s="436"/>
      <c r="I3" s="436"/>
      <c r="J3" s="436"/>
    </row>
    <row r="4" spans="1:11" x14ac:dyDescent="0.2">
      <c r="A4" s="435" t="s">
        <v>2133</v>
      </c>
      <c r="B4" s="435"/>
      <c r="C4" s="435"/>
      <c r="D4" s="435"/>
      <c r="E4" s="435"/>
      <c r="F4" s="435"/>
      <c r="G4" s="435"/>
      <c r="H4" s="435"/>
      <c r="I4" s="435"/>
      <c r="J4" s="435"/>
    </row>
    <row r="5" spans="1:11" ht="15.75" x14ac:dyDescent="0.25">
      <c r="A5" s="437" t="s">
        <v>2134</v>
      </c>
      <c r="B5" s="437"/>
      <c r="C5" s="437"/>
      <c r="D5" s="437"/>
      <c r="E5" s="437"/>
      <c r="F5" s="437"/>
      <c r="G5" s="437"/>
      <c r="H5" s="437"/>
      <c r="I5" s="437"/>
      <c r="J5" s="437"/>
    </row>
    <row r="6" spans="1:11" ht="18" x14ac:dyDescent="0.25">
      <c r="A6" s="434" t="s">
        <v>11</v>
      </c>
      <c r="B6" s="434"/>
      <c r="C6" s="434"/>
      <c r="D6" s="434"/>
      <c r="E6" s="434"/>
      <c r="F6" s="434"/>
      <c r="G6" s="434"/>
      <c r="H6" s="434"/>
      <c r="I6" s="434"/>
      <c r="J6" s="434"/>
      <c r="K6" s="25"/>
    </row>
    <row r="7" spans="1:11" ht="18" x14ac:dyDescent="0.25">
      <c r="A7" s="26"/>
      <c r="B7" s="25"/>
      <c r="C7" s="25"/>
      <c r="D7" s="25"/>
      <c r="E7" s="25"/>
      <c r="F7" s="25"/>
      <c r="G7" s="438" t="s">
        <v>2135</v>
      </c>
      <c r="H7" s="438"/>
      <c r="I7" s="438"/>
      <c r="J7" s="27"/>
      <c r="K7" s="25"/>
    </row>
    <row r="8" spans="1:11" ht="18.75" thickBot="1" x14ac:dyDescent="0.3">
      <c r="A8" s="26"/>
      <c r="B8" s="25"/>
      <c r="C8" s="25"/>
      <c r="D8" s="25"/>
      <c r="E8" s="25"/>
      <c r="F8" s="25"/>
      <c r="G8" s="25"/>
      <c r="H8" s="25"/>
      <c r="I8" s="25"/>
      <c r="J8" s="25"/>
      <c r="K8" s="25"/>
    </row>
    <row r="9" spans="1:11" ht="25.5" x14ac:dyDescent="0.2">
      <c r="A9" s="28" t="s">
        <v>1272</v>
      </c>
      <c r="B9" s="29" t="s">
        <v>2136</v>
      </c>
      <c r="C9" s="29" t="s">
        <v>20</v>
      </c>
      <c r="D9" s="30" t="s">
        <v>2137</v>
      </c>
      <c r="E9" s="30" t="s">
        <v>2138</v>
      </c>
      <c r="F9" s="30" t="s">
        <v>2139</v>
      </c>
      <c r="G9" s="30" t="s">
        <v>2140</v>
      </c>
      <c r="H9" s="30" t="s">
        <v>22</v>
      </c>
      <c r="I9" s="30" t="s">
        <v>23</v>
      </c>
      <c r="J9" s="31" t="s">
        <v>1309</v>
      </c>
    </row>
    <row r="10" spans="1:11" ht="12.75" hidden="1" customHeight="1" x14ac:dyDescent="0.2">
      <c r="A10" s="32">
        <v>1</v>
      </c>
      <c r="B10" s="33" t="s">
        <v>2141</v>
      </c>
      <c r="C10" s="34"/>
      <c r="D10" s="34"/>
      <c r="E10" s="34"/>
      <c r="F10" s="34"/>
      <c r="G10" s="35"/>
      <c r="H10" s="35"/>
      <c r="I10" s="36"/>
      <c r="J10" s="37"/>
      <c r="K10" s="38"/>
    </row>
    <row r="11" spans="1:11" ht="38.25" x14ac:dyDescent="0.2">
      <c r="A11" s="39" t="s">
        <v>1284</v>
      </c>
      <c r="B11" s="40" t="s">
        <v>2142</v>
      </c>
      <c r="C11" s="34"/>
      <c r="D11" s="34"/>
      <c r="E11" s="34"/>
      <c r="F11" s="34"/>
      <c r="G11" s="35"/>
      <c r="H11" s="35"/>
      <c r="I11" s="36"/>
      <c r="J11" s="37"/>
    </row>
    <row r="12" spans="1:11" x14ac:dyDescent="0.2">
      <c r="A12" s="39"/>
      <c r="B12" s="41"/>
      <c r="C12" s="34"/>
      <c r="D12" s="34"/>
      <c r="E12" s="34"/>
      <c r="F12" s="34"/>
      <c r="G12" s="35"/>
      <c r="H12" s="35"/>
      <c r="I12" s="36"/>
      <c r="J12" s="37"/>
    </row>
    <row r="13" spans="1:11" ht="14.25" x14ac:dyDescent="0.2">
      <c r="A13" s="39"/>
      <c r="B13" s="41" t="s">
        <v>2143</v>
      </c>
      <c r="C13" s="34" t="s">
        <v>2144</v>
      </c>
      <c r="D13" s="42">
        <f>[8]manual!P35</f>
        <v>9949.7999999999993</v>
      </c>
      <c r="E13" s="35">
        <f>[8]machine!P35</f>
        <v>81.099999999999994</v>
      </c>
      <c r="F13" s="34">
        <f>TRUNC((D13*0.1+E13*0.9),2)</f>
        <v>1067.97</v>
      </c>
      <c r="G13" s="35">
        <v>5</v>
      </c>
      <c r="H13" s="35">
        <f>F13*G13</f>
        <v>5339.85</v>
      </c>
      <c r="I13" s="36"/>
      <c r="J13" s="37"/>
    </row>
    <row r="14" spans="1:11" ht="14.25" x14ac:dyDescent="0.2">
      <c r="A14" s="39"/>
      <c r="B14" s="41" t="s">
        <v>2145</v>
      </c>
      <c r="C14" s="34" t="s">
        <v>2144</v>
      </c>
      <c r="D14" s="42">
        <f>[8]manual!P26</f>
        <v>2280.16</v>
      </c>
      <c r="E14" s="35">
        <f>[8]machine!P26</f>
        <v>62.09</v>
      </c>
      <c r="F14" s="34">
        <f>TRUNC((D14*0.1+E14*0.9),2)</f>
        <v>283.89</v>
      </c>
      <c r="G14" s="35">
        <v>5</v>
      </c>
      <c r="H14" s="35">
        <f>F14*G14</f>
        <v>1419.4499999999998</v>
      </c>
      <c r="I14" s="36"/>
      <c r="J14" s="37"/>
    </row>
    <row r="15" spans="1:11" ht="14.25" x14ac:dyDescent="0.2">
      <c r="A15" s="39"/>
      <c r="B15" s="41" t="s">
        <v>2146</v>
      </c>
      <c r="C15" s="34" t="s">
        <v>2144</v>
      </c>
      <c r="D15" s="43">
        <f>[8]manual!P17</f>
        <v>829.15</v>
      </c>
      <c r="E15" s="35">
        <f>[8]machine!P17</f>
        <v>39.51</v>
      </c>
      <c r="F15" s="34">
        <f>TRUNC((D15*0.1+E15*0.9),2)</f>
        <v>118.47</v>
      </c>
      <c r="G15" s="35">
        <v>20</v>
      </c>
      <c r="H15" s="35">
        <f>F15*G15</f>
        <v>2369.4</v>
      </c>
      <c r="I15" s="36"/>
      <c r="J15" s="37"/>
    </row>
    <row r="16" spans="1:11" ht="14.25" x14ac:dyDescent="0.2">
      <c r="A16" s="39"/>
      <c r="B16" s="41" t="s">
        <v>2147</v>
      </c>
      <c r="C16" s="34" t="s">
        <v>2144</v>
      </c>
      <c r="D16" s="42">
        <f>[8]manual!P8</f>
        <v>621.86</v>
      </c>
      <c r="E16" s="35">
        <f>[8]machine!P8</f>
        <v>32.74</v>
      </c>
      <c r="F16" s="34">
        <f>TRUNC((D16*0.1+E16*0.9),2)</f>
        <v>91.65</v>
      </c>
      <c r="G16" s="35">
        <v>70</v>
      </c>
      <c r="H16" s="35">
        <f>F16*G16</f>
        <v>6415.5</v>
      </c>
      <c r="I16" s="36"/>
      <c r="J16" s="37"/>
    </row>
    <row r="17" spans="1:11" x14ac:dyDescent="0.2">
      <c r="A17" s="39"/>
      <c r="B17" s="44" t="s">
        <v>1274</v>
      </c>
      <c r="C17" s="34"/>
      <c r="D17" s="34"/>
      <c r="E17" s="34"/>
      <c r="F17" s="34"/>
      <c r="G17" s="35">
        <f>SUM(G13:G16)</f>
        <v>100</v>
      </c>
      <c r="H17" s="35">
        <f>SUM(H13:H16)</f>
        <v>15544.2</v>
      </c>
      <c r="I17" s="36"/>
      <c r="J17" s="37"/>
    </row>
    <row r="18" spans="1:11" ht="13.5" thickBot="1" x14ac:dyDescent="0.25">
      <c r="A18" s="45"/>
      <c r="B18" s="46" t="s">
        <v>2148</v>
      </c>
      <c r="C18" s="47"/>
      <c r="D18" s="47"/>
      <c r="E18" s="47"/>
      <c r="F18" s="47"/>
      <c r="G18" s="48"/>
      <c r="H18" s="48">
        <f>H17/G17</f>
        <v>155.44200000000001</v>
      </c>
      <c r="I18" s="49"/>
      <c r="J18" s="50"/>
    </row>
    <row r="19" spans="1:11" x14ac:dyDescent="0.2">
      <c r="A19" s="435" t="s">
        <v>0</v>
      </c>
      <c r="B19" s="435"/>
      <c r="C19" s="435"/>
      <c r="D19" s="435"/>
      <c r="E19" s="435"/>
      <c r="F19" s="435"/>
      <c r="G19" s="435"/>
      <c r="H19" s="435"/>
      <c r="I19" s="435"/>
      <c r="J19" s="435"/>
    </row>
    <row r="20" spans="1:11" x14ac:dyDescent="0.2">
      <c r="A20" s="435" t="s">
        <v>2131</v>
      </c>
      <c r="B20" s="435"/>
      <c r="C20" s="435"/>
      <c r="D20" s="435"/>
      <c r="E20" s="435"/>
      <c r="F20" s="435"/>
      <c r="G20" s="435"/>
      <c r="H20" s="435"/>
      <c r="I20" s="435"/>
      <c r="J20" s="435"/>
    </row>
    <row r="21" spans="1:11" x14ac:dyDescent="0.2">
      <c r="A21" s="435" t="s">
        <v>2132</v>
      </c>
      <c r="B21" s="435"/>
      <c r="C21" s="435"/>
      <c r="D21" s="435"/>
      <c r="E21" s="435"/>
      <c r="F21" s="435"/>
      <c r="G21" s="435"/>
      <c r="H21" s="435"/>
      <c r="I21" s="435"/>
      <c r="J21" s="435"/>
    </row>
    <row r="22" spans="1:11" x14ac:dyDescent="0.2">
      <c r="A22" s="435" t="s">
        <v>2133</v>
      </c>
      <c r="B22" s="435"/>
      <c r="C22" s="435"/>
      <c r="D22" s="435"/>
      <c r="E22" s="435"/>
      <c r="F22" s="435"/>
      <c r="G22" s="435"/>
      <c r="H22" s="435"/>
      <c r="I22" s="435"/>
      <c r="J22" s="435"/>
    </row>
    <row r="23" spans="1:11" x14ac:dyDescent="0.2">
      <c r="A23" s="439" t="s">
        <v>2134</v>
      </c>
      <c r="B23" s="439"/>
      <c r="C23" s="439"/>
      <c r="D23" s="439"/>
      <c r="E23" s="439"/>
      <c r="F23" s="439"/>
      <c r="G23" s="439"/>
      <c r="H23" s="439"/>
      <c r="I23" s="439"/>
      <c r="J23" s="439"/>
    </row>
    <row r="24" spans="1:11" ht="18" x14ac:dyDescent="0.25">
      <c r="A24" s="434" t="s">
        <v>11</v>
      </c>
      <c r="B24" s="434"/>
      <c r="C24" s="434"/>
      <c r="D24" s="434"/>
      <c r="E24" s="434"/>
      <c r="F24" s="434"/>
      <c r="G24" s="434"/>
      <c r="H24" s="434"/>
      <c r="I24" s="434"/>
      <c r="J24" s="434"/>
      <c r="K24" s="25"/>
    </row>
    <row r="25" spans="1:11" ht="18" x14ac:dyDescent="0.25">
      <c r="A25" s="26"/>
      <c r="B25" s="25"/>
      <c r="C25" s="25"/>
      <c r="D25" s="25"/>
      <c r="E25" s="25"/>
      <c r="F25" s="25"/>
      <c r="G25" s="438" t="s">
        <v>2135</v>
      </c>
      <c r="H25" s="438"/>
      <c r="I25" s="438"/>
      <c r="J25" s="27"/>
      <c r="K25" s="25"/>
    </row>
    <row r="26" spans="1:11" ht="18.75" thickBot="1" x14ac:dyDescent="0.3">
      <c r="A26" s="26"/>
      <c r="B26" s="25"/>
      <c r="C26" s="25"/>
      <c r="D26" s="25"/>
      <c r="E26" s="25"/>
      <c r="F26" s="25"/>
      <c r="G26" s="25"/>
      <c r="H26" s="25"/>
      <c r="I26" s="25"/>
      <c r="J26" s="25"/>
      <c r="K26" s="25"/>
    </row>
    <row r="27" spans="1:11" ht="25.5" x14ac:dyDescent="0.2">
      <c r="A27" s="28" t="s">
        <v>1272</v>
      </c>
      <c r="B27" s="29" t="s">
        <v>2136</v>
      </c>
      <c r="C27" s="29" t="s">
        <v>20</v>
      </c>
      <c r="D27" s="30" t="s">
        <v>2137</v>
      </c>
      <c r="E27" s="30" t="s">
        <v>2138</v>
      </c>
      <c r="F27" s="30" t="s">
        <v>2149</v>
      </c>
      <c r="G27" s="30" t="s">
        <v>2140</v>
      </c>
      <c r="H27" s="30" t="s">
        <v>22</v>
      </c>
      <c r="I27" s="30" t="s">
        <v>23</v>
      </c>
      <c r="J27" s="31" t="s">
        <v>1309</v>
      </c>
    </row>
    <row r="28" spans="1:11" ht="12.75" hidden="1" customHeight="1" x14ac:dyDescent="0.2">
      <c r="A28" s="32">
        <v>1</v>
      </c>
      <c r="B28" s="33" t="s">
        <v>2141</v>
      </c>
      <c r="C28" s="34"/>
      <c r="D28" s="34"/>
      <c r="E28" s="34"/>
      <c r="F28" s="34"/>
      <c r="G28" s="35"/>
      <c r="H28" s="35"/>
      <c r="I28" s="36"/>
      <c r="J28" s="37"/>
      <c r="K28" s="38"/>
    </row>
    <row r="29" spans="1:11" ht="63.75" x14ac:dyDescent="0.2">
      <c r="A29" s="39" t="s">
        <v>1284</v>
      </c>
      <c r="B29" s="40" t="s">
        <v>2150</v>
      </c>
      <c r="C29" s="34"/>
      <c r="D29" s="34"/>
      <c r="E29" s="34"/>
      <c r="F29" s="34"/>
      <c r="G29" s="35"/>
      <c r="H29" s="35"/>
      <c r="I29" s="36"/>
      <c r="J29" s="37"/>
    </row>
    <row r="30" spans="1:11" x14ac:dyDescent="0.2">
      <c r="A30" s="39"/>
      <c r="B30" s="41"/>
      <c r="C30" s="34"/>
      <c r="D30" s="34"/>
      <c r="E30" s="34"/>
      <c r="F30" s="34"/>
      <c r="G30" s="35"/>
      <c r="H30" s="35"/>
      <c r="I30" s="36"/>
      <c r="J30" s="37"/>
    </row>
    <row r="31" spans="1:11" ht="14.25" x14ac:dyDescent="0.2">
      <c r="A31" s="39"/>
      <c r="B31" s="41" t="s">
        <v>2146</v>
      </c>
      <c r="C31" s="34" t="s">
        <v>2144</v>
      </c>
      <c r="D31" s="42">
        <f>D15</f>
        <v>829.15</v>
      </c>
      <c r="E31" s="35">
        <f>E15</f>
        <v>39.51</v>
      </c>
      <c r="F31" s="34">
        <f>TRUNC((D31*0.1+E31*0.9),2)</f>
        <v>118.47</v>
      </c>
      <c r="G31" s="35">
        <v>10</v>
      </c>
      <c r="H31" s="35">
        <f>F31*G31</f>
        <v>1184.7</v>
      </c>
      <c r="I31" s="36"/>
      <c r="J31" s="37"/>
    </row>
    <row r="32" spans="1:11" ht="14.25" x14ac:dyDescent="0.2">
      <c r="A32" s="39"/>
      <c r="B32" s="41" t="s">
        <v>2147</v>
      </c>
      <c r="C32" s="34" t="s">
        <v>2144</v>
      </c>
      <c r="D32" s="42">
        <f>D16</f>
        <v>621.86</v>
      </c>
      <c r="E32" s="35">
        <f>E16</f>
        <v>32.74</v>
      </c>
      <c r="F32" s="34">
        <f>TRUNC((D32*0.1+E32*0.9),2)</f>
        <v>91.65</v>
      </c>
      <c r="G32" s="35">
        <v>90</v>
      </c>
      <c r="H32" s="35">
        <f>F32*G32</f>
        <v>8248.5</v>
      </c>
      <c r="I32" s="36"/>
      <c r="J32" s="37"/>
    </row>
    <row r="33" spans="1:10" x14ac:dyDescent="0.2">
      <c r="A33" s="39"/>
      <c r="B33" s="44" t="s">
        <v>1274</v>
      </c>
      <c r="C33" s="34"/>
      <c r="D33" s="34"/>
      <c r="E33" s="34"/>
      <c r="F33" s="34"/>
      <c r="G33" s="35">
        <f>SUM(G31:G32)</f>
        <v>100</v>
      </c>
      <c r="H33" s="35">
        <f>SUM(H31:H32)</f>
        <v>9433.2000000000007</v>
      </c>
      <c r="I33" s="36"/>
      <c r="J33" s="37"/>
    </row>
    <row r="34" spans="1:10" ht="13.5" thickBot="1" x14ac:dyDescent="0.25">
      <c r="A34" s="45"/>
      <c r="B34" s="46" t="s">
        <v>2148</v>
      </c>
      <c r="C34" s="47"/>
      <c r="D34" s="47"/>
      <c r="E34" s="47"/>
      <c r="F34" s="47"/>
      <c r="G34" s="48"/>
      <c r="H34" s="48">
        <f>H33/G33</f>
        <v>94.332000000000008</v>
      </c>
      <c r="I34" s="49"/>
      <c r="J34" s="50"/>
    </row>
  </sheetData>
  <mergeCells count="14">
    <mergeCell ref="A24:J24"/>
    <mergeCell ref="G25:I25"/>
    <mergeCell ref="G7:I7"/>
    <mergeCell ref="A19:J19"/>
    <mergeCell ref="A20:J20"/>
    <mergeCell ref="A21:J21"/>
    <mergeCell ref="A22:J22"/>
    <mergeCell ref="A23:J23"/>
    <mergeCell ref="A6:J6"/>
    <mergeCell ref="A1:J1"/>
    <mergeCell ref="A2:J2"/>
    <mergeCell ref="A3:J3"/>
    <mergeCell ref="A4:J4"/>
    <mergeCell ref="A5:J5"/>
  </mergeCells>
  <printOptions horizontalCentered="1"/>
  <pageMargins left="0.22" right="0.2" top="0.75" bottom="0.75" header="0.3" footer="0.3"/>
  <pageSetup paperSize="9" scale="85" fitToHeight="0" orientation="landscape" verticalDpi="300" r:id="rId1"/>
  <headerFooter>
    <oddFooter>&amp;LPrepared by:&amp;CChecked by:&amp;RApproved by:</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U41"/>
  <sheetViews>
    <sheetView topLeftCell="B8" zoomScale="120" zoomScaleNormal="120" workbookViewId="0">
      <selection activeCell="B29" sqref="B29:B31"/>
    </sheetView>
  </sheetViews>
  <sheetFormatPr defaultRowHeight="12.75" x14ac:dyDescent="0.2"/>
  <cols>
    <col min="1" max="1" width="8.7109375" style="128"/>
    <col min="2" max="2" width="20.28515625" style="128" bestFit="1" customWidth="1"/>
    <col min="3" max="3" width="3.5703125" style="128" bestFit="1" customWidth="1"/>
    <col min="4" max="4" width="5.7109375" style="128" bestFit="1" customWidth="1"/>
    <col min="5" max="11" width="8.7109375" style="128"/>
    <col min="12" max="12" width="12.85546875" style="128" bestFit="1" customWidth="1"/>
    <col min="13" max="257" width="8.7109375" style="128"/>
    <col min="258" max="258" width="20.28515625" style="128" bestFit="1" customWidth="1"/>
    <col min="259" max="259" width="3.5703125" style="128" bestFit="1" customWidth="1"/>
    <col min="260" max="260" width="5.7109375" style="128" bestFit="1" customWidth="1"/>
    <col min="261" max="513" width="8.7109375" style="128"/>
    <col min="514" max="514" width="20.28515625" style="128" bestFit="1" customWidth="1"/>
    <col min="515" max="515" width="3.5703125" style="128" bestFit="1" customWidth="1"/>
    <col min="516" max="516" width="5.7109375" style="128" bestFit="1" customWidth="1"/>
    <col min="517" max="769" width="8.7109375" style="128"/>
    <col min="770" max="770" width="20.28515625" style="128" bestFit="1" customWidth="1"/>
    <col min="771" max="771" width="3.5703125" style="128" bestFit="1" customWidth="1"/>
    <col min="772" max="772" width="5.7109375" style="128" bestFit="1" customWidth="1"/>
    <col min="773" max="1025" width="8.7109375" style="128"/>
    <col min="1026" max="1026" width="20.28515625" style="128" bestFit="1" customWidth="1"/>
    <col min="1027" max="1027" width="3.5703125" style="128" bestFit="1" customWidth="1"/>
    <col min="1028" max="1028" width="5.7109375" style="128" bestFit="1" customWidth="1"/>
    <col min="1029" max="1281" width="8.7109375" style="128"/>
    <col min="1282" max="1282" width="20.28515625" style="128" bestFit="1" customWidth="1"/>
    <col min="1283" max="1283" width="3.5703125" style="128" bestFit="1" customWidth="1"/>
    <col min="1284" max="1284" width="5.7109375" style="128" bestFit="1" customWidth="1"/>
    <col min="1285" max="1537" width="8.7109375" style="128"/>
    <col min="1538" max="1538" width="20.28515625" style="128" bestFit="1" customWidth="1"/>
    <col min="1539" max="1539" width="3.5703125" style="128" bestFit="1" customWidth="1"/>
    <col min="1540" max="1540" width="5.7109375" style="128" bestFit="1" customWidth="1"/>
    <col min="1541" max="1793" width="8.7109375" style="128"/>
    <col min="1794" max="1794" width="20.28515625" style="128" bestFit="1" customWidth="1"/>
    <col min="1795" max="1795" width="3.5703125" style="128" bestFit="1" customWidth="1"/>
    <col min="1796" max="1796" width="5.7109375" style="128" bestFit="1" customWidth="1"/>
    <col min="1797" max="2049" width="8.7109375" style="128"/>
    <col min="2050" max="2050" width="20.28515625" style="128" bestFit="1" customWidth="1"/>
    <col min="2051" max="2051" width="3.5703125" style="128" bestFit="1" customWidth="1"/>
    <col min="2052" max="2052" width="5.7109375" style="128" bestFit="1" customWidth="1"/>
    <col min="2053" max="2305" width="8.7109375" style="128"/>
    <col min="2306" max="2306" width="20.28515625" style="128" bestFit="1" customWidth="1"/>
    <col min="2307" max="2307" width="3.5703125" style="128" bestFit="1" customWidth="1"/>
    <col min="2308" max="2308" width="5.7109375" style="128" bestFit="1" customWidth="1"/>
    <col min="2309" max="2561" width="8.7109375" style="128"/>
    <col min="2562" max="2562" width="20.28515625" style="128" bestFit="1" customWidth="1"/>
    <col min="2563" max="2563" width="3.5703125" style="128" bestFit="1" customWidth="1"/>
    <col min="2564" max="2564" width="5.7109375" style="128" bestFit="1" customWidth="1"/>
    <col min="2565" max="2817" width="8.7109375" style="128"/>
    <col min="2818" max="2818" width="20.28515625" style="128" bestFit="1" customWidth="1"/>
    <col min="2819" max="2819" width="3.5703125" style="128" bestFit="1" customWidth="1"/>
    <col min="2820" max="2820" width="5.7109375" style="128" bestFit="1" customWidth="1"/>
    <col min="2821" max="3073" width="8.7109375" style="128"/>
    <col min="3074" max="3074" width="20.28515625" style="128" bestFit="1" customWidth="1"/>
    <col min="3075" max="3075" width="3.5703125" style="128" bestFit="1" customWidth="1"/>
    <col min="3076" max="3076" width="5.7109375" style="128" bestFit="1" customWidth="1"/>
    <col min="3077" max="3329" width="8.7109375" style="128"/>
    <col min="3330" max="3330" width="20.28515625" style="128" bestFit="1" customWidth="1"/>
    <col min="3331" max="3331" width="3.5703125" style="128" bestFit="1" customWidth="1"/>
    <col min="3332" max="3332" width="5.7109375" style="128" bestFit="1" customWidth="1"/>
    <col min="3333" max="3585" width="8.7109375" style="128"/>
    <col min="3586" max="3586" width="20.28515625" style="128" bestFit="1" customWidth="1"/>
    <col min="3587" max="3587" width="3.5703125" style="128" bestFit="1" customWidth="1"/>
    <col min="3588" max="3588" width="5.7109375" style="128" bestFit="1" customWidth="1"/>
    <col min="3589" max="3841" width="8.7109375" style="128"/>
    <col min="3842" max="3842" width="20.28515625" style="128" bestFit="1" customWidth="1"/>
    <col min="3843" max="3843" width="3.5703125" style="128" bestFit="1" customWidth="1"/>
    <col min="3844" max="3844" width="5.7109375" style="128" bestFit="1" customWidth="1"/>
    <col min="3845" max="4097" width="8.7109375" style="128"/>
    <col min="4098" max="4098" width="20.28515625" style="128" bestFit="1" customWidth="1"/>
    <col min="4099" max="4099" width="3.5703125" style="128" bestFit="1" customWidth="1"/>
    <col min="4100" max="4100" width="5.7109375" style="128" bestFit="1" customWidth="1"/>
    <col min="4101" max="4353" width="8.7109375" style="128"/>
    <col min="4354" max="4354" width="20.28515625" style="128" bestFit="1" customWidth="1"/>
    <col min="4355" max="4355" width="3.5703125" style="128" bestFit="1" customWidth="1"/>
    <col min="4356" max="4356" width="5.7109375" style="128" bestFit="1" customWidth="1"/>
    <col min="4357" max="4609" width="8.7109375" style="128"/>
    <col min="4610" max="4610" width="20.28515625" style="128" bestFit="1" customWidth="1"/>
    <col min="4611" max="4611" width="3.5703125" style="128" bestFit="1" customWidth="1"/>
    <col min="4612" max="4612" width="5.7109375" style="128" bestFit="1" customWidth="1"/>
    <col min="4613" max="4865" width="8.7109375" style="128"/>
    <col min="4866" max="4866" width="20.28515625" style="128" bestFit="1" customWidth="1"/>
    <col min="4867" max="4867" width="3.5703125" style="128" bestFit="1" customWidth="1"/>
    <col min="4868" max="4868" width="5.7109375" style="128" bestFit="1" customWidth="1"/>
    <col min="4869" max="5121" width="8.7109375" style="128"/>
    <col min="5122" max="5122" width="20.28515625" style="128" bestFit="1" customWidth="1"/>
    <col min="5123" max="5123" width="3.5703125" style="128" bestFit="1" customWidth="1"/>
    <col min="5124" max="5124" width="5.7109375" style="128" bestFit="1" customWidth="1"/>
    <col min="5125" max="5377" width="8.7109375" style="128"/>
    <col min="5378" max="5378" width="20.28515625" style="128" bestFit="1" customWidth="1"/>
    <col min="5379" max="5379" width="3.5703125" style="128" bestFit="1" customWidth="1"/>
    <col min="5380" max="5380" width="5.7109375" style="128" bestFit="1" customWidth="1"/>
    <col min="5381" max="5633" width="8.7109375" style="128"/>
    <col min="5634" max="5634" width="20.28515625" style="128" bestFit="1" customWidth="1"/>
    <col min="5635" max="5635" width="3.5703125" style="128" bestFit="1" customWidth="1"/>
    <col min="5636" max="5636" width="5.7109375" style="128" bestFit="1" customWidth="1"/>
    <col min="5637" max="5889" width="8.7109375" style="128"/>
    <col min="5890" max="5890" width="20.28515625" style="128" bestFit="1" customWidth="1"/>
    <col min="5891" max="5891" width="3.5703125" style="128" bestFit="1" customWidth="1"/>
    <col min="5892" max="5892" width="5.7109375" style="128" bestFit="1" customWidth="1"/>
    <col min="5893" max="6145" width="8.7109375" style="128"/>
    <col min="6146" max="6146" width="20.28515625" style="128" bestFit="1" customWidth="1"/>
    <col min="6147" max="6147" width="3.5703125" style="128" bestFit="1" customWidth="1"/>
    <col min="6148" max="6148" width="5.7109375" style="128" bestFit="1" customWidth="1"/>
    <col min="6149" max="6401" width="8.7109375" style="128"/>
    <col min="6402" max="6402" width="20.28515625" style="128" bestFit="1" customWidth="1"/>
    <col min="6403" max="6403" width="3.5703125" style="128" bestFit="1" customWidth="1"/>
    <col min="6404" max="6404" width="5.7109375" style="128" bestFit="1" customWidth="1"/>
    <col min="6405" max="6657" width="8.7109375" style="128"/>
    <col min="6658" max="6658" width="20.28515625" style="128" bestFit="1" customWidth="1"/>
    <col min="6659" max="6659" width="3.5703125" style="128" bestFit="1" customWidth="1"/>
    <col min="6660" max="6660" width="5.7109375" style="128" bestFit="1" customWidth="1"/>
    <col min="6661" max="6913" width="8.7109375" style="128"/>
    <col min="6914" max="6914" width="20.28515625" style="128" bestFit="1" customWidth="1"/>
    <col min="6915" max="6915" width="3.5703125" style="128" bestFit="1" customWidth="1"/>
    <col min="6916" max="6916" width="5.7109375" style="128" bestFit="1" customWidth="1"/>
    <col min="6917" max="7169" width="8.7109375" style="128"/>
    <col min="7170" max="7170" width="20.28515625" style="128" bestFit="1" customWidth="1"/>
    <col min="7171" max="7171" width="3.5703125" style="128" bestFit="1" customWidth="1"/>
    <col min="7172" max="7172" width="5.7109375" style="128" bestFit="1" customWidth="1"/>
    <col min="7173" max="7425" width="8.7109375" style="128"/>
    <col min="7426" max="7426" width="20.28515625" style="128" bestFit="1" customWidth="1"/>
    <col min="7427" max="7427" width="3.5703125" style="128" bestFit="1" customWidth="1"/>
    <col min="7428" max="7428" width="5.7109375" style="128" bestFit="1" customWidth="1"/>
    <col min="7429" max="7681" width="8.7109375" style="128"/>
    <col min="7682" max="7682" width="20.28515625" style="128" bestFit="1" customWidth="1"/>
    <col min="7683" max="7683" width="3.5703125" style="128" bestFit="1" customWidth="1"/>
    <col min="7684" max="7684" width="5.7109375" style="128" bestFit="1" customWidth="1"/>
    <col min="7685" max="7937" width="8.7109375" style="128"/>
    <col min="7938" max="7938" width="20.28515625" style="128" bestFit="1" customWidth="1"/>
    <col min="7939" max="7939" width="3.5703125" style="128" bestFit="1" customWidth="1"/>
    <col min="7940" max="7940" width="5.7109375" style="128" bestFit="1" customWidth="1"/>
    <col min="7941" max="8193" width="8.7109375" style="128"/>
    <col min="8194" max="8194" width="20.28515625" style="128" bestFit="1" customWidth="1"/>
    <col min="8195" max="8195" width="3.5703125" style="128" bestFit="1" customWidth="1"/>
    <col min="8196" max="8196" width="5.7109375" style="128" bestFit="1" customWidth="1"/>
    <col min="8197" max="8449" width="8.7109375" style="128"/>
    <col min="8450" max="8450" width="20.28515625" style="128" bestFit="1" customWidth="1"/>
    <col min="8451" max="8451" width="3.5703125" style="128" bestFit="1" customWidth="1"/>
    <col min="8452" max="8452" width="5.7109375" style="128" bestFit="1" customWidth="1"/>
    <col min="8453" max="8705" width="8.7109375" style="128"/>
    <col min="8706" max="8706" width="20.28515625" style="128" bestFit="1" customWidth="1"/>
    <col min="8707" max="8707" width="3.5703125" style="128" bestFit="1" customWidth="1"/>
    <col min="8708" max="8708" width="5.7109375" style="128" bestFit="1" customWidth="1"/>
    <col min="8709" max="8961" width="8.7109375" style="128"/>
    <col min="8962" max="8962" width="20.28515625" style="128" bestFit="1" customWidth="1"/>
    <col min="8963" max="8963" width="3.5703125" style="128" bestFit="1" customWidth="1"/>
    <col min="8964" max="8964" width="5.7109375" style="128" bestFit="1" customWidth="1"/>
    <col min="8965" max="9217" width="8.7109375" style="128"/>
    <col min="9218" max="9218" width="20.28515625" style="128" bestFit="1" customWidth="1"/>
    <col min="9219" max="9219" width="3.5703125" style="128" bestFit="1" customWidth="1"/>
    <col min="9220" max="9220" width="5.7109375" style="128" bestFit="1" customWidth="1"/>
    <col min="9221" max="9473" width="8.7109375" style="128"/>
    <col min="9474" max="9474" width="20.28515625" style="128" bestFit="1" customWidth="1"/>
    <col min="9475" max="9475" width="3.5703125" style="128" bestFit="1" customWidth="1"/>
    <col min="9476" max="9476" width="5.7109375" style="128" bestFit="1" customWidth="1"/>
    <col min="9477" max="9729" width="8.7109375" style="128"/>
    <col min="9730" max="9730" width="20.28515625" style="128" bestFit="1" customWidth="1"/>
    <col min="9731" max="9731" width="3.5703125" style="128" bestFit="1" customWidth="1"/>
    <col min="9732" max="9732" width="5.7109375" style="128" bestFit="1" customWidth="1"/>
    <col min="9733" max="9985" width="8.7109375" style="128"/>
    <col min="9986" max="9986" width="20.28515625" style="128" bestFit="1" customWidth="1"/>
    <col min="9987" max="9987" width="3.5703125" style="128" bestFit="1" customWidth="1"/>
    <col min="9988" max="9988" width="5.7109375" style="128" bestFit="1" customWidth="1"/>
    <col min="9989" max="10241" width="8.7109375" style="128"/>
    <col min="10242" max="10242" width="20.28515625" style="128" bestFit="1" customWidth="1"/>
    <col min="10243" max="10243" width="3.5703125" style="128" bestFit="1" customWidth="1"/>
    <col min="10244" max="10244" width="5.7109375" style="128" bestFit="1" customWidth="1"/>
    <col min="10245" max="10497" width="8.7109375" style="128"/>
    <col min="10498" max="10498" width="20.28515625" style="128" bestFit="1" customWidth="1"/>
    <col min="10499" max="10499" width="3.5703125" style="128" bestFit="1" customWidth="1"/>
    <col min="10500" max="10500" width="5.7109375" style="128" bestFit="1" customWidth="1"/>
    <col min="10501" max="10753" width="8.7109375" style="128"/>
    <col min="10754" max="10754" width="20.28515625" style="128" bestFit="1" customWidth="1"/>
    <col min="10755" max="10755" width="3.5703125" style="128" bestFit="1" customWidth="1"/>
    <col min="10756" max="10756" width="5.7109375" style="128" bestFit="1" customWidth="1"/>
    <col min="10757" max="11009" width="8.7109375" style="128"/>
    <col min="11010" max="11010" width="20.28515625" style="128" bestFit="1" customWidth="1"/>
    <col min="11011" max="11011" width="3.5703125" style="128" bestFit="1" customWidth="1"/>
    <col min="11012" max="11012" width="5.7109375" style="128" bestFit="1" customWidth="1"/>
    <col min="11013" max="11265" width="8.7109375" style="128"/>
    <col min="11266" max="11266" width="20.28515625" style="128" bestFit="1" customWidth="1"/>
    <col min="11267" max="11267" width="3.5703125" style="128" bestFit="1" customWidth="1"/>
    <col min="11268" max="11268" width="5.7109375" style="128" bestFit="1" customWidth="1"/>
    <col min="11269" max="11521" width="8.7109375" style="128"/>
    <col min="11522" max="11522" width="20.28515625" style="128" bestFit="1" customWidth="1"/>
    <col min="11523" max="11523" width="3.5703125" style="128" bestFit="1" customWidth="1"/>
    <col min="11524" max="11524" width="5.7109375" style="128" bestFit="1" customWidth="1"/>
    <col min="11525" max="11777" width="8.7109375" style="128"/>
    <col min="11778" max="11778" width="20.28515625" style="128" bestFit="1" customWidth="1"/>
    <col min="11779" max="11779" width="3.5703125" style="128" bestFit="1" customWidth="1"/>
    <col min="11780" max="11780" width="5.7109375" style="128" bestFit="1" customWidth="1"/>
    <col min="11781" max="12033" width="8.7109375" style="128"/>
    <col min="12034" max="12034" width="20.28515625" style="128" bestFit="1" customWidth="1"/>
    <col min="12035" max="12035" width="3.5703125" style="128" bestFit="1" customWidth="1"/>
    <col min="12036" max="12036" width="5.7109375" style="128" bestFit="1" customWidth="1"/>
    <col min="12037" max="12289" width="8.7109375" style="128"/>
    <col min="12290" max="12290" width="20.28515625" style="128" bestFit="1" customWidth="1"/>
    <col min="12291" max="12291" width="3.5703125" style="128" bestFit="1" customWidth="1"/>
    <col min="12292" max="12292" width="5.7109375" style="128" bestFit="1" customWidth="1"/>
    <col min="12293" max="12545" width="8.7109375" style="128"/>
    <col min="12546" max="12546" width="20.28515625" style="128" bestFit="1" customWidth="1"/>
    <col min="12547" max="12547" width="3.5703125" style="128" bestFit="1" customWidth="1"/>
    <col min="12548" max="12548" width="5.7109375" style="128" bestFit="1" customWidth="1"/>
    <col min="12549" max="12801" width="8.7109375" style="128"/>
    <col min="12802" max="12802" width="20.28515625" style="128" bestFit="1" customWidth="1"/>
    <col min="12803" max="12803" width="3.5703125" style="128" bestFit="1" customWidth="1"/>
    <col min="12804" max="12804" width="5.7109375" style="128" bestFit="1" customWidth="1"/>
    <col min="12805" max="13057" width="8.7109375" style="128"/>
    <col min="13058" max="13058" width="20.28515625" style="128" bestFit="1" customWidth="1"/>
    <col min="13059" max="13059" width="3.5703125" style="128" bestFit="1" customWidth="1"/>
    <col min="13060" max="13060" width="5.7109375" style="128" bestFit="1" customWidth="1"/>
    <col min="13061" max="13313" width="8.7109375" style="128"/>
    <col min="13314" max="13314" width="20.28515625" style="128" bestFit="1" customWidth="1"/>
    <col min="13315" max="13315" width="3.5703125" style="128" bestFit="1" customWidth="1"/>
    <col min="13316" max="13316" width="5.7109375" style="128" bestFit="1" customWidth="1"/>
    <col min="13317" max="13569" width="8.7109375" style="128"/>
    <col min="13570" max="13570" width="20.28515625" style="128" bestFit="1" customWidth="1"/>
    <col min="13571" max="13571" width="3.5703125" style="128" bestFit="1" customWidth="1"/>
    <col min="13572" max="13572" width="5.7109375" style="128" bestFit="1" customWidth="1"/>
    <col min="13573" max="13825" width="8.7109375" style="128"/>
    <col min="13826" max="13826" width="20.28515625" style="128" bestFit="1" customWidth="1"/>
    <col min="13827" max="13827" width="3.5703125" style="128" bestFit="1" customWidth="1"/>
    <col min="13828" max="13828" width="5.7109375" style="128" bestFit="1" customWidth="1"/>
    <col min="13829" max="14081" width="8.7109375" style="128"/>
    <col min="14082" max="14082" width="20.28515625" style="128" bestFit="1" customWidth="1"/>
    <col min="14083" max="14083" width="3.5703125" style="128" bestFit="1" customWidth="1"/>
    <col min="14084" max="14084" width="5.7109375" style="128" bestFit="1" customWidth="1"/>
    <col min="14085" max="14337" width="8.7109375" style="128"/>
    <col min="14338" max="14338" width="20.28515625" style="128" bestFit="1" customWidth="1"/>
    <col min="14339" max="14339" width="3.5703125" style="128" bestFit="1" customWidth="1"/>
    <col min="14340" max="14340" width="5.7109375" style="128" bestFit="1" customWidth="1"/>
    <col min="14341" max="14593" width="8.7109375" style="128"/>
    <col min="14594" max="14594" width="20.28515625" style="128" bestFit="1" customWidth="1"/>
    <col min="14595" max="14595" width="3.5703125" style="128" bestFit="1" customWidth="1"/>
    <col min="14596" max="14596" width="5.7109375" style="128" bestFit="1" customWidth="1"/>
    <col min="14597" max="14849" width="8.7109375" style="128"/>
    <col min="14850" max="14850" width="20.28515625" style="128" bestFit="1" customWidth="1"/>
    <col min="14851" max="14851" width="3.5703125" style="128" bestFit="1" customWidth="1"/>
    <col min="14852" max="14852" width="5.7109375" style="128" bestFit="1" customWidth="1"/>
    <col min="14853" max="15105" width="8.7109375" style="128"/>
    <col min="15106" max="15106" width="20.28515625" style="128" bestFit="1" customWidth="1"/>
    <col min="15107" max="15107" width="3.5703125" style="128" bestFit="1" customWidth="1"/>
    <col min="15108" max="15108" width="5.7109375" style="128" bestFit="1" customWidth="1"/>
    <col min="15109" max="15361" width="8.7109375" style="128"/>
    <col min="15362" max="15362" width="20.28515625" style="128" bestFit="1" customWidth="1"/>
    <col min="15363" max="15363" width="3.5703125" style="128" bestFit="1" customWidth="1"/>
    <col min="15364" max="15364" width="5.7109375" style="128" bestFit="1" customWidth="1"/>
    <col min="15365" max="15617" width="8.7109375" style="128"/>
    <col min="15618" max="15618" width="20.28515625" style="128" bestFit="1" customWidth="1"/>
    <col min="15619" max="15619" width="3.5703125" style="128" bestFit="1" customWidth="1"/>
    <col min="15620" max="15620" width="5.7109375" style="128" bestFit="1" customWidth="1"/>
    <col min="15621" max="15873" width="8.7109375" style="128"/>
    <col min="15874" max="15874" width="20.28515625" style="128" bestFit="1" customWidth="1"/>
    <col min="15875" max="15875" width="3.5703125" style="128" bestFit="1" customWidth="1"/>
    <col min="15876" max="15876" width="5.7109375" style="128" bestFit="1" customWidth="1"/>
    <col min="15877" max="16129" width="8.7109375" style="128"/>
    <col min="16130" max="16130" width="20.28515625" style="128" bestFit="1" customWidth="1"/>
    <col min="16131" max="16131" width="3.5703125" style="128" bestFit="1" customWidth="1"/>
    <col min="16132" max="16132" width="5.7109375" style="128" bestFit="1" customWidth="1"/>
    <col min="16133" max="16384" width="8.7109375" style="128"/>
  </cols>
  <sheetData>
    <row r="1" spans="1:21" hidden="1" x14ac:dyDescent="0.2">
      <c r="A1" s="440" t="s">
        <v>0</v>
      </c>
      <c r="B1" s="440"/>
      <c r="C1" s="440"/>
      <c r="D1" s="440"/>
      <c r="E1" s="440"/>
      <c r="F1" s="440"/>
      <c r="G1" s="440"/>
      <c r="H1" s="440"/>
      <c r="I1" s="440"/>
      <c r="J1" s="440"/>
      <c r="K1" s="440"/>
      <c r="L1" s="440"/>
      <c r="M1" s="440"/>
      <c r="N1" s="440"/>
      <c r="O1" s="440"/>
      <c r="P1" s="440"/>
      <c r="Q1" s="440"/>
      <c r="R1" s="440"/>
      <c r="S1" s="440"/>
      <c r="T1" s="440"/>
    </row>
    <row r="2" spans="1:21" hidden="1" x14ac:dyDescent="0.2">
      <c r="A2" s="441" t="s">
        <v>2131</v>
      </c>
      <c r="B2" s="441"/>
      <c r="C2" s="441"/>
      <c r="D2" s="441"/>
      <c r="E2" s="441"/>
      <c r="F2" s="441"/>
      <c r="G2" s="441"/>
      <c r="H2" s="441"/>
      <c r="I2" s="441"/>
      <c r="J2" s="441"/>
      <c r="K2" s="441"/>
      <c r="L2" s="441"/>
      <c r="M2" s="441"/>
      <c r="N2" s="441"/>
      <c r="O2" s="441"/>
      <c r="P2" s="441"/>
      <c r="Q2" s="441"/>
      <c r="R2" s="441"/>
      <c r="S2" s="441"/>
      <c r="T2" s="441"/>
    </row>
    <row r="3" spans="1:21" hidden="1" x14ac:dyDescent="0.2">
      <c r="A3" s="435" t="s">
        <v>2132</v>
      </c>
      <c r="B3" s="435"/>
      <c r="C3" s="435"/>
      <c r="D3" s="435"/>
      <c r="E3" s="435"/>
      <c r="F3" s="435"/>
      <c r="G3" s="435"/>
      <c r="H3" s="435"/>
      <c r="I3" s="435"/>
      <c r="J3" s="435"/>
      <c r="K3" s="435"/>
      <c r="L3" s="435"/>
      <c r="M3" s="435"/>
      <c r="N3" s="435"/>
      <c r="O3" s="435"/>
      <c r="P3" s="435"/>
      <c r="Q3" s="435"/>
      <c r="R3" s="435"/>
      <c r="S3" s="435"/>
      <c r="T3" s="435"/>
    </row>
    <row r="4" spans="1:21" hidden="1" x14ac:dyDescent="0.2">
      <c r="A4" s="435" t="s">
        <v>2133</v>
      </c>
      <c r="B4" s="435"/>
      <c r="C4" s="435"/>
      <c r="D4" s="435"/>
      <c r="E4" s="435"/>
      <c r="F4" s="435"/>
      <c r="G4" s="435"/>
      <c r="H4" s="435"/>
      <c r="I4" s="435"/>
      <c r="J4" s="435"/>
      <c r="K4" s="435"/>
      <c r="L4" s="435"/>
      <c r="M4" s="435"/>
      <c r="N4" s="435"/>
      <c r="O4" s="435"/>
      <c r="P4" s="435"/>
      <c r="Q4" s="435"/>
      <c r="R4" s="435"/>
      <c r="S4" s="435"/>
      <c r="T4" s="435"/>
    </row>
    <row r="5" spans="1:21" ht="15.75" hidden="1" x14ac:dyDescent="0.25">
      <c r="A5" s="437" t="s">
        <v>2260</v>
      </c>
      <c r="B5" s="437"/>
      <c r="C5" s="437"/>
      <c r="D5" s="437"/>
      <c r="E5" s="437"/>
      <c r="F5" s="437"/>
      <c r="G5" s="437"/>
      <c r="H5" s="437"/>
      <c r="I5" s="437"/>
      <c r="J5" s="437"/>
      <c r="K5" s="437"/>
      <c r="L5" s="437"/>
      <c r="M5" s="437"/>
      <c r="N5" s="437"/>
      <c r="O5" s="437"/>
      <c r="P5" s="437"/>
      <c r="Q5" s="437"/>
      <c r="R5" s="437"/>
      <c r="S5" s="437"/>
      <c r="T5" s="437"/>
    </row>
    <row r="6" spans="1:21" ht="18" hidden="1" x14ac:dyDescent="0.25">
      <c r="A6" s="434" t="s">
        <v>11</v>
      </c>
      <c r="B6" s="434"/>
      <c r="C6" s="434"/>
      <c r="D6" s="434"/>
      <c r="E6" s="434"/>
      <c r="F6" s="434"/>
      <c r="G6" s="434"/>
      <c r="H6" s="434"/>
      <c r="I6" s="434"/>
      <c r="J6" s="434"/>
      <c r="K6" s="434"/>
      <c r="L6" s="434"/>
      <c r="M6" s="434"/>
      <c r="N6" s="434"/>
      <c r="O6" s="434"/>
      <c r="P6" s="434"/>
      <c r="Q6" s="434"/>
      <c r="R6" s="434"/>
      <c r="S6" s="434"/>
      <c r="T6" s="434"/>
    </row>
    <row r="7" spans="1:21" ht="18" hidden="1" x14ac:dyDescent="0.25">
      <c r="A7" s="26"/>
      <c r="B7" s="25"/>
      <c r="C7" s="25"/>
      <c r="D7" s="25"/>
      <c r="E7" s="25"/>
      <c r="F7" s="25"/>
      <c r="G7" s="438" t="s">
        <v>2135</v>
      </c>
      <c r="H7" s="438"/>
      <c r="I7" s="438"/>
      <c r="J7" s="438"/>
      <c r="K7" s="438"/>
      <c r="L7" s="438"/>
      <c r="M7" s="438"/>
      <c r="N7" s="438"/>
      <c r="O7" s="438"/>
      <c r="P7" s="438"/>
      <c r="Q7" s="438"/>
      <c r="R7" s="438"/>
      <c r="S7" s="438"/>
      <c r="T7" s="438"/>
    </row>
    <row r="8" spans="1:21" s="195" customFormat="1" ht="15.75" x14ac:dyDescent="0.25">
      <c r="A8" s="432" t="s">
        <v>2276</v>
      </c>
      <c r="B8" s="432"/>
      <c r="C8" s="432"/>
      <c r="D8" s="432"/>
      <c r="E8" s="432"/>
      <c r="F8" s="432"/>
      <c r="G8" s="432"/>
      <c r="H8" s="432"/>
      <c r="I8" s="432"/>
      <c r="J8" s="432"/>
      <c r="K8" s="432"/>
      <c r="L8" s="432"/>
      <c r="M8" s="432"/>
      <c r="N8" s="432"/>
      <c r="O8" s="432"/>
      <c r="P8" s="432"/>
      <c r="Q8" s="432"/>
      <c r="R8" s="432"/>
      <c r="S8" s="432"/>
      <c r="T8" s="432"/>
      <c r="U8" s="432"/>
    </row>
    <row r="9" spans="1:21" s="195" customFormat="1" ht="15.75" x14ac:dyDescent="0.25">
      <c r="A9" s="471" t="s">
        <v>11</v>
      </c>
      <c r="B9" s="471"/>
      <c r="C9" s="471"/>
      <c r="D9" s="471"/>
      <c r="E9" s="471"/>
      <c r="F9" s="471"/>
      <c r="G9" s="471"/>
      <c r="H9" s="471"/>
      <c r="I9" s="471"/>
      <c r="J9" s="471"/>
      <c r="K9" s="471"/>
      <c r="L9" s="471"/>
      <c r="M9" s="471"/>
      <c r="N9" s="471"/>
      <c r="O9" s="471"/>
      <c r="P9" s="471"/>
      <c r="Q9" s="471"/>
      <c r="R9" s="471"/>
      <c r="S9" s="471"/>
      <c r="T9" s="471"/>
      <c r="U9" s="471"/>
    </row>
    <row r="10" spans="1:21" ht="13.5" thickBot="1" x14ac:dyDescent="0.25"/>
    <row r="11" spans="1:21" ht="12.75" customHeight="1" x14ac:dyDescent="0.2">
      <c r="A11" s="442" t="s">
        <v>2228</v>
      </c>
      <c r="B11" s="443"/>
      <c r="C11" s="444" t="s">
        <v>2229</v>
      </c>
      <c r="D11" s="445"/>
      <c r="E11" s="445"/>
      <c r="F11" s="445"/>
      <c r="G11" s="445"/>
      <c r="H11" s="445"/>
      <c r="I11" s="445"/>
      <c r="J11" s="445"/>
      <c r="K11" s="445"/>
      <c r="L11" s="445"/>
      <c r="M11" s="445"/>
      <c r="N11" s="445"/>
      <c r="O11" s="445"/>
      <c r="P11" s="445"/>
      <c r="Q11" s="445"/>
      <c r="R11" s="445"/>
      <c r="S11" s="446"/>
      <c r="T11" s="129" t="s">
        <v>20</v>
      </c>
    </row>
    <row r="12" spans="1:21" ht="27" customHeight="1" thickBot="1" x14ac:dyDescent="0.25">
      <c r="A12" s="450" t="s">
        <v>2230</v>
      </c>
      <c r="B12" s="451"/>
      <c r="C12" s="447"/>
      <c r="D12" s="448"/>
      <c r="E12" s="448"/>
      <c r="F12" s="448"/>
      <c r="G12" s="448"/>
      <c r="H12" s="448"/>
      <c r="I12" s="448"/>
      <c r="J12" s="448"/>
      <c r="K12" s="448"/>
      <c r="L12" s="448"/>
      <c r="M12" s="448"/>
      <c r="N12" s="448"/>
      <c r="O12" s="448"/>
      <c r="P12" s="448"/>
      <c r="Q12" s="448"/>
      <c r="R12" s="448"/>
      <c r="S12" s="449"/>
      <c r="T12" s="130" t="s">
        <v>593</v>
      </c>
    </row>
    <row r="13" spans="1:21" x14ac:dyDescent="0.2">
      <c r="A13" s="452" t="s">
        <v>2161</v>
      </c>
      <c r="B13" s="454" t="s">
        <v>1273</v>
      </c>
      <c r="C13" s="454" t="s">
        <v>20</v>
      </c>
      <c r="D13" s="454" t="s">
        <v>2231</v>
      </c>
      <c r="E13" s="456" t="s">
        <v>18</v>
      </c>
      <c r="F13" s="457"/>
      <c r="G13" s="457"/>
      <c r="H13" s="457"/>
      <c r="I13" s="456" t="s">
        <v>24</v>
      </c>
      <c r="J13" s="457"/>
      <c r="K13" s="457"/>
      <c r="L13" s="457"/>
      <c r="M13" s="457"/>
      <c r="N13" s="457"/>
      <c r="O13" s="457"/>
      <c r="P13" s="457"/>
      <c r="Q13" s="457"/>
      <c r="R13" s="456" t="s">
        <v>2232</v>
      </c>
      <c r="S13" s="456"/>
      <c r="T13" s="458"/>
    </row>
    <row r="14" spans="1:21" x14ac:dyDescent="0.2">
      <c r="A14" s="453"/>
      <c r="B14" s="455"/>
      <c r="C14" s="455"/>
      <c r="D14" s="455"/>
      <c r="E14" s="459" t="s">
        <v>2233</v>
      </c>
      <c r="F14" s="459"/>
      <c r="G14" s="459" t="s">
        <v>2234</v>
      </c>
      <c r="H14" s="459"/>
      <c r="I14" s="459" t="s">
        <v>2235</v>
      </c>
      <c r="J14" s="459"/>
      <c r="K14" s="459" t="s">
        <v>2236</v>
      </c>
      <c r="L14" s="459"/>
      <c r="M14" s="459" t="s">
        <v>2237</v>
      </c>
      <c r="N14" s="459"/>
      <c r="O14" s="459" t="s">
        <v>2238</v>
      </c>
      <c r="P14" s="459"/>
      <c r="Q14" s="131" t="s">
        <v>2239</v>
      </c>
      <c r="R14" s="132" t="s">
        <v>19</v>
      </c>
      <c r="S14" s="132" t="s">
        <v>2240</v>
      </c>
      <c r="T14" s="133" t="s">
        <v>23</v>
      </c>
    </row>
    <row r="15" spans="1:21" x14ac:dyDescent="0.2">
      <c r="A15" s="453"/>
      <c r="B15" s="455"/>
      <c r="C15" s="455"/>
      <c r="D15" s="455"/>
      <c r="E15" s="131" t="s">
        <v>2241</v>
      </c>
      <c r="F15" s="131" t="s">
        <v>1274</v>
      </c>
      <c r="G15" s="131" t="s">
        <v>2241</v>
      </c>
      <c r="H15" s="131" t="s">
        <v>1274</v>
      </c>
      <c r="I15" s="131" t="s">
        <v>2241</v>
      </c>
      <c r="J15" s="131" t="s">
        <v>1274</v>
      </c>
      <c r="K15" s="131" t="s">
        <v>2241</v>
      </c>
      <c r="L15" s="131" t="s">
        <v>1274</v>
      </c>
      <c r="M15" s="131" t="s">
        <v>2241</v>
      </c>
      <c r="N15" s="131" t="s">
        <v>1274</v>
      </c>
      <c r="O15" s="131" t="s">
        <v>2241</v>
      </c>
      <c r="P15" s="131" t="s">
        <v>1274</v>
      </c>
      <c r="Q15" s="131"/>
      <c r="R15" s="134"/>
      <c r="S15" s="134"/>
      <c r="T15" s="135"/>
    </row>
    <row r="16" spans="1:21" x14ac:dyDescent="0.2">
      <c r="A16" s="136" t="s">
        <v>2242</v>
      </c>
      <c r="B16" s="137" t="s">
        <v>2243</v>
      </c>
      <c r="C16" s="138" t="s">
        <v>2172</v>
      </c>
      <c r="D16" s="139">
        <f>22/7*0.95*0.35*0.05</f>
        <v>5.2249999999999991E-2</v>
      </c>
      <c r="E16" s="140">
        <f>'[8]Rate analysis'!D173</f>
        <v>0.01</v>
      </c>
      <c r="F16" s="141">
        <f>D16*E16</f>
        <v>5.2249999999999996E-4</v>
      </c>
      <c r="G16" s="140">
        <f>'[8]Rate analysis'!D174</f>
        <v>2.42</v>
      </c>
      <c r="H16" s="141">
        <f>D16*G16</f>
        <v>0.12644499999999997</v>
      </c>
      <c r="I16" s="134"/>
      <c r="J16" s="134"/>
      <c r="K16" s="134"/>
      <c r="L16" s="134"/>
      <c r="M16" s="134"/>
      <c r="N16" s="134"/>
      <c r="O16" s="134"/>
      <c r="P16" s="134"/>
      <c r="Q16" s="134"/>
      <c r="R16" s="142" t="s">
        <v>2244</v>
      </c>
      <c r="S16" s="134"/>
      <c r="T16" s="143">
        <f>F24*0.03</f>
        <v>50.186580321428565</v>
      </c>
    </row>
    <row r="17" spans="1:20" x14ac:dyDescent="0.2">
      <c r="A17" s="136" t="s">
        <v>2245</v>
      </c>
      <c r="B17" s="137" t="s">
        <v>2246</v>
      </c>
      <c r="C17" s="138" t="s">
        <v>2172</v>
      </c>
      <c r="D17" s="139">
        <f>22/7*(0.6+0.35)*0.35*0.15</f>
        <v>0.15674999999999994</v>
      </c>
      <c r="E17" s="134">
        <f>'[8]Rate analysis'!D137</f>
        <v>0.05</v>
      </c>
      <c r="F17" s="141">
        <f>D17*E17</f>
        <v>7.8374999999999972E-3</v>
      </c>
      <c r="G17" s="140">
        <f>'[8]Rate analysis'!D138</f>
        <v>3.25</v>
      </c>
      <c r="H17" s="141">
        <f>D17*G17</f>
        <v>0.50943749999999977</v>
      </c>
      <c r="I17" s="134"/>
      <c r="J17" s="134"/>
      <c r="K17" s="134"/>
      <c r="L17" s="134"/>
      <c r="M17" s="134"/>
      <c r="N17" s="134"/>
      <c r="O17" s="134"/>
      <c r="P17" s="134"/>
      <c r="Q17" s="134"/>
      <c r="R17" s="134"/>
      <c r="S17" s="134"/>
      <c r="T17" s="135"/>
    </row>
    <row r="18" spans="1:20" x14ac:dyDescent="0.2">
      <c r="A18" s="136" t="s">
        <v>2247</v>
      </c>
      <c r="B18" s="137" t="s">
        <v>2248</v>
      </c>
      <c r="C18" s="138" t="s">
        <v>2172</v>
      </c>
      <c r="D18" s="139">
        <f>22/7*0.95*0.35*0.1</f>
        <v>0.10449999999999998</v>
      </c>
      <c r="E18" s="140">
        <f>'[8]Rate analysis'!D1612</f>
        <v>1.5</v>
      </c>
      <c r="F18" s="141">
        <f>D18*E18</f>
        <v>0.15674999999999997</v>
      </c>
      <c r="G18" s="140">
        <f>'[8]Rate analysis'!D1613</f>
        <v>3</v>
      </c>
      <c r="H18" s="141">
        <f>D18*G18</f>
        <v>0.31349999999999995</v>
      </c>
      <c r="I18" s="134">
        <f>'[8]Rate analysis'!I1612</f>
        <v>560</v>
      </c>
      <c r="J18" s="134">
        <f>I18*D18</f>
        <v>58.519999999999989</v>
      </c>
      <c r="K18" s="134">
        <f>'[8]Rate analysis'!I1613</f>
        <v>0.09</v>
      </c>
      <c r="L18" s="134">
        <f>K18*D18</f>
        <v>9.4049999999999984E-3</v>
      </c>
      <c r="M18" s="134">
        <f>'[8]Rate analysis'!I1614</f>
        <v>0.25</v>
      </c>
      <c r="N18" s="134">
        <f>D18*M18</f>
        <v>2.6124999999999995E-2</v>
      </c>
      <c r="O18" s="134"/>
      <c r="P18" s="134"/>
      <c r="Q18" s="134"/>
      <c r="R18" s="134"/>
      <c r="S18" s="134"/>
      <c r="T18" s="135"/>
    </row>
    <row r="19" spans="1:20" x14ac:dyDescent="0.2">
      <c r="A19" s="144" t="s">
        <v>2249</v>
      </c>
      <c r="B19" s="145" t="s">
        <v>2250</v>
      </c>
      <c r="C19" s="146" t="s">
        <v>2172</v>
      </c>
      <c r="D19" s="147">
        <f>22/7*0.95*0.23*0.15</f>
        <v>0.10300714285714284</v>
      </c>
      <c r="E19" s="148">
        <f>'[8]Rate analysis'!D1362</f>
        <v>0.9</v>
      </c>
      <c r="F19" s="149">
        <f>D19*E19</f>
        <v>9.2706428571428551E-2</v>
      </c>
      <c r="G19" s="148">
        <f>'[8]Rate analysis'!D1363</f>
        <v>9</v>
      </c>
      <c r="H19" s="149">
        <f>D19*G19</f>
        <v>0.92706428571428556</v>
      </c>
      <c r="I19" s="150"/>
      <c r="J19" s="150">
        <f>I19*D19</f>
        <v>0</v>
      </c>
      <c r="K19" s="150">
        <f>'[8]Rate analysis'!I1362</f>
        <v>0.375</v>
      </c>
      <c r="L19" s="150">
        <f>K19*D19</f>
        <v>3.8627678571428563E-2</v>
      </c>
      <c r="M19" s="150">
        <f>'[8]Rate analysis'!I1364</f>
        <v>0.45</v>
      </c>
      <c r="N19" s="150">
        <f>D19*M19</f>
        <v>4.6353214285714275E-2</v>
      </c>
      <c r="O19" s="150">
        <f>'[8]Rate analysis'!I1363</f>
        <v>0.57999999999999996</v>
      </c>
      <c r="P19" s="150">
        <f>O19*D19</f>
        <v>5.9744142857142843E-2</v>
      </c>
      <c r="Q19" s="150"/>
      <c r="R19" s="150"/>
      <c r="S19" s="150"/>
      <c r="T19" s="151"/>
    </row>
    <row r="20" spans="1:20" ht="13.5" thickBot="1" x14ac:dyDescent="0.25">
      <c r="A20" s="152"/>
      <c r="B20" s="153" t="s">
        <v>2251</v>
      </c>
      <c r="C20" s="154" t="s">
        <v>2252</v>
      </c>
      <c r="D20" s="154">
        <v>4</v>
      </c>
      <c r="E20" s="155"/>
      <c r="F20" s="156">
        <f>D20*E20</f>
        <v>0</v>
      </c>
      <c r="G20" s="155"/>
      <c r="H20" s="156">
        <f>D20*G20</f>
        <v>0</v>
      </c>
      <c r="I20" s="155"/>
      <c r="J20" s="155">
        <f>I20*D20</f>
        <v>0</v>
      </c>
      <c r="K20" s="155"/>
      <c r="L20" s="155">
        <f>K20*D20</f>
        <v>0</v>
      </c>
      <c r="M20" s="155"/>
      <c r="N20" s="155">
        <f>D20*M20</f>
        <v>0</v>
      </c>
      <c r="O20" s="155"/>
      <c r="P20" s="155">
        <f>O20*D20</f>
        <v>0</v>
      </c>
      <c r="Q20" s="155">
        <f>4</f>
        <v>4</v>
      </c>
      <c r="R20" s="155"/>
      <c r="S20" s="155"/>
      <c r="T20" s="157"/>
    </row>
    <row r="21" spans="1:20" x14ac:dyDescent="0.2">
      <c r="A21" s="158"/>
      <c r="B21" s="159" t="s">
        <v>2253</v>
      </c>
      <c r="C21" s="160"/>
      <c r="D21" s="160"/>
      <c r="E21" s="160"/>
      <c r="F21" s="161">
        <f>SUM(F16:F20)</f>
        <v>0.2578164285714285</v>
      </c>
      <c r="G21" s="160"/>
      <c r="H21" s="161">
        <f>SUM(H16:H20)</f>
        <v>1.8764467857142852</v>
      </c>
      <c r="I21" s="160"/>
      <c r="J21" s="160">
        <f>SUM(J18:J20)</f>
        <v>58.519999999999989</v>
      </c>
      <c r="K21" s="160"/>
      <c r="L21" s="160">
        <f>SUM(L18:L20)</f>
        <v>4.803267857142856E-2</v>
      </c>
      <c r="M21" s="160"/>
      <c r="N21" s="160">
        <f>SUM(N18:N20)</f>
        <v>7.2478214285714271E-2</v>
      </c>
      <c r="O21" s="160"/>
      <c r="P21" s="160">
        <f>SUM(P19:P20)</f>
        <v>5.9744142857142843E-2</v>
      </c>
      <c r="Q21" s="160">
        <f>SUM(Q19:Q20)</f>
        <v>4</v>
      </c>
      <c r="R21" s="162"/>
      <c r="S21" s="162"/>
      <c r="T21" s="163"/>
    </row>
    <row r="22" spans="1:20" x14ac:dyDescent="0.2">
      <c r="A22" s="164"/>
      <c r="B22" s="165" t="s">
        <v>22</v>
      </c>
      <c r="C22" s="134"/>
      <c r="D22" s="134"/>
      <c r="E22" s="134"/>
      <c r="F22" s="140">
        <v>1030</v>
      </c>
      <c r="G22" s="134"/>
      <c r="H22" s="140">
        <v>750</v>
      </c>
      <c r="I22" s="134"/>
      <c r="J22" s="140">
        <f>'[8]Rate analysis'!J1612</f>
        <v>14.54</v>
      </c>
      <c r="K22" s="134"/>
      <c r="L22" s="140">
        <v>16500</v>
      </c>
      <c r="M22" s="134"/>
      <c r="N22" s="140">
        <f>'[8]Rate analysis'!J1614</f>
        <v>3104.64</v>
      </c>
      <c r="O22" s="134"/>
      <c r="P22" s="140">
        <f>'[8]Rate analysis'!J1600</f>
        <v>3104.64</v>
      </c>
      <c r="Q22" s="140">
        <v>25</v>
      </c>
      <c r="R22" s="134"/>
      <c r="S22" s="134"/>
      <c r="T22" s="135"/>
    </row>
    <row r="23" spans="1:20" x14ac:dyDescent="0.2">
      <c r="A23" s="164"/>
      <c r="B23" s="165" t="s">
        <v>23</v>
      </c>
      <c r="C23" s="134"/>
      <c r="D23" s="134"/>
      <c r="E23" s="134"/>
      <c r="F23" s="140">
        <f>F21*F22</f>
        <v>265.55092142857137</v>
      </c>
      <c r="G23" s="140"/>
      <c r="H23" s="140">
        <f>H21*H22</f>
        <v>1407.335089285714</v>
      </c>
      <c r="I23" s="140"/>
      <c r="J23" s="140">
        <f>J21*J22</f>
        <v>850.88079999999979</v>
      </c>
      <c r="K23" s="140"/>
      <c r="L23" s="140">
        <f>L21*L22</f>
        <v>792.53919642857124</v>
      </c>
      <c r="M23" s="140"/>
      <c r="N23" s="140">
        <f>N21*N22</f>
        <v>225.01876319999994</v>
      </c>
      <c r="O23" s="140"/>
      <c r="P23" s="140">
        <f>P21*P22</f>
        <v>185.48405567999995</v>
      </c>
      <c r="Q23" s="140">
        <f>Q21*Q22</f>
        <v>100</v>
      </c>
      <c r="R23" s="134"/>
      <c r="S23" s="140"/>
      <c r="T23" s="143">
        <f>T16</f>
        <v>50.186580321428565</v>
      </c>
    </row>
    <row r="24" spans="1:20" x14ac:dyDescent="0.2">
      <c r="A24" s="164"/>
      <c r="B24" s="134"/>
      <c r="C24" s="460" t="s">
        <v>2254</v>
      </c>
      <c r="D24" s="461"/>
      <c r="E24" s="461"/>
      <c r="F24" s="462">
        <f>F23+H23</f>
        <v>1672.8860107142855</v>
      </c>
      <c r="G24" s="462"/>
      <c r="H24" s="462"/>
      <c r="I24" s="463" t="s">
        <v>2255</v>
      </c>
      <c r="J24" s="463"/>
      <c r="K24" s="463"/>
      <c r="L24" s="463"/>
      <c r="M24" s="463"/>
      <c r="N24" s="463"/>
      <c r="O24" s="463"/>
      <c r="P24" s="463"/>
      <c r="Q24" s="140">
        <f>J23+L23+N23+P23+Q23</f>
        <v>2153.922815308571</v>
      </c>
      <c r="R24" s="464" t="s">
        <v>2256</v>
      </c>
      <c r="S24" s="464"/>
      <c r="T24" s="166">
        <f>T23</f>
        <v>50.186580321428565</v>
      </c>
    </row>
    <row r="25" spans="1:20" ht="17.25" thickBot="1" x14ac:dyDescent="0.25">
      <c r="A25" s="167"/>
      <c r="B25" s="155"/>
      <c r="C25" s="168" t="s">
        <v>2257</v>
      </c>
      <c r="D25" s="169"/>
      <c r="E25" s="169"/>
      <c r="F25" s="465">
        <f>F24+Q24+T24</f>
        <v>3876.9954063442851</v>
      </c>
      <c r="G25" s="466"/>
      <c r="H25" s="467" t="s">
        <v>2258</v>
      </c>
      <c r="I25" s="467"/>
      <c r="J25" s="467"/>
      <c r="K25" s="467"/>
      <c r="L25" s="467"/>
      <c r="M25" s="467"/>
      <c r="N25" s="467"/>
      <c r="O25" s="467"/>
      <c r="P25" s="467"/>
      <c r="Q25" s="170">
        <f>F25*15%</f>
        <v>581.54931095164272</v>
      </c>
      <c r="R25" s="468" t="s">
        <v>42</v>
      </c>
      <c r="S25" s="468"/>
      <c r="T25" s="171">
        <f>F25+Q25</f>
        <v>4458.5447172959275</v>
      </c>
    </row>
    <row r="26" spans="1:20" ht="13.5" thickBot="1" x14ac:dyDescent="0.25"/>
    <row r="27" spans="1:20" ht="14.25" customHeight="1" x14ac:dyDescent="0.2">
      <c r="A27" s="442" t="s">
        <v>2228</v>
      </c>
      <c r="B27" s="443"/>
      <c r="C27" s="444" t="s">
        <v>2259</v>
      </c>
      <c r="D27" s="445"/>
      <c r="E27" s="445"/>
      <c r="F27" s="445"/>
      <c r="G27" s="445"/>
      <c r="H27" s="445"/>
      <c r="I27" s="445"/>
      <c r="J27" s="445"/>
      <c r="K27" s="445"/>
      <c r="L27" s="445"/>
      <c r="M27" s="445"/>
      <c r="N27" s="445"/>
      <c r="O27" s="445"/>
      <c r="P27" s="445"/>
      <c r="Q27" s="445"/>
      <c r="R27" s="445"/>
      <c r="S27" s="446"/>
      <c r="T27" s="163" t="s">
        <v>20</v>
      </c>
    </row>
    <row r="28" spans="1:20" ht="22.5" customHeight="1" thickBot="1" x14ac:dyDescent="0.25">
      <c r="A28" s="469" t="s">
        <v>2230</v>
      </c>
      <c r="B28" s="470"/>
      <c r="C28" s="447"/>
      <c r="D28" s="448"/>
      <c r="E28" s="448"/>
      <c r="F28" s="448"/>
      <c r="G28" s="448"/>
      <c r="H28" s="448"/>
      <c r="I28" s="448"/>
      <c r="J28" s="448"/>
      <c r="K28" s="448"/>
      <c r="L28" s="448"/>
      <c r="M28" s="448"/>
      <c r="N28" s="448"/>
      <c r="O28" s="448"/>
      <c r="P28" s="448"/>
      <c r="Q28" s="448"/>
      <c r="R28" s="448"/>
      <c r="S28" s="449"/>
      <c r="T28" s="157" t="s">
        <v>593</v>
      </c>
    </row>
    <row r="29" spans="1:20" x14ac:dyDescent="0.2">
      <c r="A29" s="480" t="s">
        <v>2161</v>
      </c>
      <c r="B29" s="483" t="s">
        <v>1273</v>
      </c>
      <c r="C29" s="486" t="s">
        <v>20</v>
      </c>
      <c r="D29" s="486" t="s">
        <v>2231</v>
      </c>
      <c r="E29" s="472" t="s">
        <v>18</v>
      </c>
      <c r="F29" s="473"/>
      <c r="G29" s="473"/>
      <c r="H29" s="474"/>
      <c r="I29" s="472" t="s">
        <v>24</v>
      </c>
      <c r="J29" s="473"/>
      <c r="K29" s="473"/>
      <c r="L29" s="473"/>
      <c r="M29" s="473"/>
      <c r="N29" s="473"/>
      <c r="O29" s="473"/>
      <c r="P29" s="473"/>
      <c r="Q29" s="474"/>
      <c r="R29" s="472" t="s">
        <v>2232</v>
      </c>
      <c r="S29" s="473"/>
      <c r="T29" s="475"/>
    </row>
    <row r="30" spans="1:20" x14ac:dyDescent="0.2">
      <c r="A30" s="481"/>
      <c r="B30" s="484"/>
      <c r="C30" s="487"/>
      <c r="D30" s="487"/>
      <c r="E30" s="478" t="s">
        <v>2233</v>
      </c>
      <c r="F30" s="479"/>
      <c r="G30" s="478" t="s">
        <v>2234</v>
      </c>
      <c r="H30" s="479"/>
      <c r="I30" s="478" t="s">
        <v>2235</v>
      </c>
      <c r="J30" s="479"/>
      <c r="K30" s="478" t="s">
        <v>2236</v>
      </c>
      <c r="L30" s="479"/>
      <c r="M30" s="478" t="s">
        <v>2237</v>
      </c>
      <c r="N30" s="479"/>
      <c r="O30" s="478" t="s">
        <v>2238</v>
      </c>
      <c r="P30" s="479"/>
      <c r="Q30" s="131" t="s">
        <v>2239</v>
      </c>
      <c r="R30" s="172" t="s">
        <v>19</v>
      </c>
      <c r="S30" s="172" t="s">
        <v>2240</v>
      </c>
      <c r="T30" s="173" t="s">
        <v>23</v>
      </c>
    </row>
    <row r="31" spans="1:20" x14ac:dyDescent="0.2">
      <c r="A31" s="482"/>
      <c r="B31" s="485"/>
      <c r="C31" s="488"/>
      <c r="D31" s="488"/>
      <c r="E31" s="134" t="s">
        <v>2241</v>
      </c>
      <c r="F31" s="134" t="s">
        <v>1274</v>
      </c>
      <c r="G31" s="134" t="s">
        <v>2241</v>
      </c>
      <c r="H31" s="134" t="s">
        <v>1274</v>
      </c>
      <c r="I31" s="134" t="s">
        <v>2241</v>
      </c>
      <c r="J31" s="134" t="s">
        <v>1274</v>
      </c>
      <c r="K31" s="134" t="s">
        <v>2241</v>
      </c>
      <c r="L31" s="134" t="s">
        <v>1274</v>
      </c>
      <c r="M31" s="134" t="s">
        <v>2241</v>
      </c>
      <c r="N31" s="134" t="s">
        <v>1274</v>
      </c>
      <c r="O31" s="134" t="s">
        <v>2241</v>
      </c>
      <c r="P31" s="134" t="s">
        <v>1274</v>
      </c>
      <c r="Q31" s="134"/>
      <c r="R31" s="134"/>
      <c r="S31" s="134"/>
      <c r="T31" s="135"/>
    </row>
    <row r="32" spans="1:20" x14ac:dyDescent="0.2">
      <c r="A32" s="164" t="s">
        <v>2242</v>
      </c>
      <c r="B32" s="134" t="s">
        <v>2243</v>
      </c>
      <c r="C32" s="134" t="s">
        <v>2172</v>
      </c>
      <c r="D32" s="134">
        <v>5.2299999999999999E-2</v>
      </c>
      <c r="E32" s="134">
        <v>0.01</v>
      </c>
      <c r="F32" s="141">
        <f>D32*E32</f>
        <v>5.2300000000000003E-4</v>
      </c>
      <c r="G32" s="134">
        <v>2.42</v>
      </c>
      <c r="H32" s="141">
        <f>D32*G32</f>
        <v>0.12656599999999998</v>
      </c>
      <c r="I32" s="134"/>
      <c r="J32" s="134"/>
      <c r="K32" s="134"/>
      <c r="L32" s="134"/>
      <c r="M32" s="134"/>
      <c r="N32" s="134"/>
      <c r="O32" s="134"/>
      <c r="P32" s="134"/>
      <c r="Q32" s="134"/>
      <c r="R32" s="134" t="s">
        <v>2244</v>
      </c>
      <c r="S32" s="134"/>
      <c r="T32" s="135">
        <f>F40*3%</f>
        <v>38.2940817</v>
      </c>
    </row>
    <row r="33" spans="1:20" x14ac:dyDescent="0.2">
      <c r="A33" s="164" t="s">
        <v>2245</v>
      </c>
      <c r="B33" s="134" t="s">
        <v>2246</v>
      </c>
      <c r="C33" s="134" t="s">
        <v>2172</v>
      </c>
      <c r="D33" s="134">
        <v>0.15679999999999999</v>
      </c>
      <c r="E33" s="134">
        <v>0.05</v>
      </c>
      <c r="F33" s="141">
        <f>D33*E33</f>
        <v>7.8399999999999997E-3</v>
      </c>
      <c r="G33" s="134">
        <v>3.25</v>
      </c>
      <c r="H33" s="141">
        <f>D33*G33</f>
        <v>0.50959999999999994</v>
      </c>
      <c r="I33" s="134"/>
      <c r="J33" s="134"/>
      <c r="K33" s="134"/>
      <c r="L33" s="134"/>
      <c r="M33" s="134"/>
      <c r="N33" s="134"/>
      <c r="O33" s="134"/>
      <c r="P33" s="134"/>
      <c r="Q33" s="134"/>
      <c r="R33" s="134"/>
      <c r="S33" s="134"/>
      <c r="T33" s="135"/>
    </row>
    <row r="34" spans="1:20" x14ac:dyDescent="0.2">
      <c r="A34" s="164" t="s">
        <v>2247</v>
      </c>
      <c r="B34" s="134" t="s">
        <v>2248</v>
      </c>
      <c r="C34" s="134" t="s">
        <v>2172</v>
      </c>
      <c r="D34" s="134"/>
      <c r="E34" s="134">
        <v>1.5</v>
      </c>
      <c r="F34" s="141">
        <f>D34*E34</f>
        <v>0</v>
      </c>
      <c r="G34" s="134">
        <v>3</v>
      </c>
      <c r="H34" s="141">
        <f>D34*G34</f>
        <v>0</v>
      </c>
      <c r="I34" s="134">
        <v>560</v>
      </c>
      <c r="J34" s="134">
        <f>I34*D34</f>
        <v>0</v>
      </c>
      <c r="K34" s="134">
        <v>0.09</v>
      </c>
      <c r="L34" s="134">
        <f>K34*D34</f>
        <v>0</v>
      </c>
      <c r="M34" s="134">
        <v>0.25</v>
      </c>
      <c r="N34" s="134">
        <f>M34*D34</f>
        <v>0</v>
      </c>
      <c r="O34" s="134"/>
      <c r="P34" s="134"/>
      <c r="Q34" s="134"/>
      <c r="R34" s="134"/>
      <c r="S34" s="134"/>
      <c r="T34" s="135"/>
    </row>
    <row r="35" spans="1:20" x14ac:dyDescent="0.2">
      <c r="A35" s="164" t="s">
        <v>2249</v>
      </c>
      <c r="B35" s="134" t="s">
        <v>2250</v>
      </c>
      <c r="C35" s="134" t="s">
        <v>2172</v>
      </c>
      <c r="D35" s="134">
        <v>0.10299999999999999</v>
      </c>
      <c r="E35" s="134">
        <v>0.9</v>
      </c>
      <c r="F35" s="141">
        <f>D35*E35</f>
        <v>9.2699999999999991E-2</v>
      </c>
      <c r="G35" s="134">
        <v>9</v>
      </c>
      <c r="H35" s="141">
        <f>D35*G35</f>
        <v>0.92699999999999994</v>
      </c>
      <c r="I35" s="134"/>
      <c r="J35" s="134">
        <f>I35*D35</f>
        <v>0</v>
      </c>
      <c r="K35" s="134">
        <v>0.375</v>
      </c>
      <c r="L35" s="134">
        <f>K35*D35</f>
        <v>3.8625E-2</v>
      </c>
      <c r="M35" s="134">
        <v>0.45</v>
      </c>
      <c r="N35" s="134">
        <f>M35*D35</f>
        <v>4.6349999999999995E-2</v>
      </c>
      <c r="O35" s="134">
        <v>0.57999999999999996</v>
      </c>
      <c r="P35" s="134">
        <f>O35*D35</f>
        <v>5.9739999999999994E-2</v>
      </c>
      <c r="Q35" s="134"/>
      <c r="R35" s="134"/>
      <c r="S35" s="134"/>
      <c r="T35" s="135"/>
    </row>
    <row r="36" spans="1:20" ht="13.5" thickBot="1" x14ac:dyDescent="0.25">
      <c r="A36" s="167"/>
      <c r="B36" s="155" t="s">
        <v>2251</v>
      </c>
      <c r="C36" s="155" t="s">
        <v>2252</v>
      </c>
      <c r="D36" s="155">
        <v>4</v>
      </c>
      <c r="E36" s="155"/>
      <c r="F36" s="141">
        <f>D36*E36</f>
        <v>0</v>
      </c>
      <c r="G36" s="155"/>
      <c r="H36" s="141">
        <f>D36*G36</f>
        <v>0</v>
      </c>
      <c r="I36" s="155"/>
      <c r="J36" s="134">
        <f>I36*D36</f>
        <v>0</v>
      </c>
      <c r="K36" s="155"/>
      <c r="L36" s="134">
        <f>K36*D36</f>
        <v>0</v>
      </c>
      <c r="M36" s="155"/>
      <c r="N36" s="134">
        <f>M36*D36</f>
        <v>0</v>
      </c>
      <c r="O36" s="155"/>
      <c r="P36" s="134">
        <f>O36*D36</f>
        <v>0</v>
      </c>
      <c r="Q36" s="155">
        <v>4</v>
      </c>
      <c r="R36" s="155"/>
      <c r="S36" s="155"/>
      <c r="T36" s="157"/>
    </row>
    <row r="37" spans="1:20" x14ac:dyDescent="0.2">
      <c r="A37" s="174"/>
      <c r="B37" s="175" t="s">
        <v>2253</v>
      </c>
      <c r="C37" s="162"/>
      <c r="D37" s="162"/>
      <c r="E37" s="162"/>
      <c r="F37" s="161">
        <f>SUM(F32:F36)</f>
        <v>0.10106299999999999</v>
      </c>
      <c r="G37" s="160"/>
      <c r="H37" s="161">
        <f>SUM(H32:H36)</f>
        <v>1.5631659999999998</v>
      </c>
      <c r="I37" s="160"/>
      <c r="J37" s="160">
        <f>SUM(J32:J36)</f>
        <v>0</v>
      </c>
      <c r="K37" s="160"/>
      <c r="L37" s="160">
        <f>SUM(L34:L36)</f>
        <v>3.8625E-2</v>
      </c>
      <c r="M37" s="160"/>
      <c r="N37" s="160">
        <f>SUM(N34:N36)</f>
        <v>4.6349999999999995E-2</v>
      </c>
      <c r="O37" s="160"/>
      <c r="P37" s="160">
        <f>SUM(P35:P36)</f>
        <v>5.9739999999999994E-2</v>
      </c>
      <c r="Q37" s="160">
        <v>4</v>
      </c>
      <c r="R37" s="162"/>
      <c r="S37" s="162"/>
      <c r="T37" s="163"/>
    </row>
    <row r="38" spans="1:20" x14ac:dyDescent="0.2">
      <c r="A38" s="164"/>
      <c r="B38" s="176" t="s">
        <v>22</v>
      </c>
      <c r="C38" s="134"/>
      <c r="D38" s="134"/>
      <c r="E38" s="134"/>
      <c r="F38" s="140">
        <f>F22</f>
        <v>1030</v>
      </c>
      <c r="G38" s="134"/>
      <c r="H38" s="140">
        <f>H22</f>
        <v>750</v>
      </c>
      <c r="I38" s="134"/>
      <c r="J38" s="140">
        <f>J22</f>
        <v>14.54</v>
      </c>
      <c r="K38" s="134"/>
      <c r="L38" s="140">
        <f>L22</f>
        <v>16500</v>
      </c>
      <c r="M38" s="134"/>
      <c r="N38" s="140">
        <f>N22</f>
        <v>3104.64</v>
      </c>
      <c r="O38" s="134"/>
      <c r="P38" s="140">
        <f>P22</f>
        <v>3104.64</v>
      </c>
      <c r="Q38" s="140">
        <f>Q22</f>
        <v>25</v>
      </c>
      <c r="R38" s="134"/>
      <c r="S38" s="134"/>
      <c r="T38" s="135"/>
    </row>
    <row r="39" spans="1:20" x14ac:dyDescent="0.2">
      <c r="A39" s="164"/>
      <c r="B39" s="176" t="s">
        <v>23</v>
      </c>
      <c r="C39" s="134"/>
      <c r="D39" s="134"/>
      <c r="E39" s="134"/>
      <c r="F39" s="140">
        <f>F37*F38</f>
        <v>104.09488999999999</v>
      </c>
      <c r="G39" s="134"/>
      <c r="H39" s="140">
        <f>H37*H38</f>
        <v>1172.3744999999999</v>
      </c>
      <c r="I39" s="134"/>
      <c r="J39" s="140">
        <f>J37*J38</f>
        <v>0</v>
      </c>
      <c r="K39" s="134"/>
      <c r="L39" s="140">
        <f>L37*L38</f>
        <v>637.3125</v>
      </c>
      <c r="M39" s="134"/>
      <c r="N39" s="140">
        <f>N37*N38</f>
        <v>143.90006399999999</v>
      </c>
      <c r="O39" s="134"/>
      <c r="P39" s="140">
        <f>P37*P38</f>
        <v>185.47119359999996</v>
      </c>
      <c r="Q39" s="140">
        <f>Q37*Q38</f>
        <v>100</v>
      </c>
      <c r="R39" s="134"/>
      <c r="S39" s="134"/>
      <c r="T39" s="135">
        <v>44.76</v>
      </c>
    </row>
    <row r="40" spans="1:20" x14ac:dyDescent="0.2">
      <c r="A40" s="164"/>
      <c r="B40" s="134"/>
      <c r="C40" s="134" t="s">
        <v>2254</v>
      </c>
      <c r="D40" s="134"/>
      <c r="E40" s="134"/>
      <c r="F40" s="140">
        <f>F39+H39</f>
        <v>1276.46939</v>
      </c>
      <c r="G40" s="134"/>
      <c r="H40" s="134"/>
      <c r="I40" s="134" t="s">
        <v>2255</v>
      </c>
      <c r="J40" s="134"/>
      <c r="K40" s="134"/>
      <c r="L40" s="134"/>
      <c r="M40" s="134"/>
      <c r="N40" s="134"/>
      <c r="O40" s="134"/>
      <c r="P40" s="134"/>
      <c r="Q40" s="140">
        <f>J39+L39+N39+P39+Q39</f>
        <v>1066.6837575999998</v>
      </c>
      <c r="R40" s="134" t="s">
        <v>2256</v>
      </c>
      <c r="S40" s="134"/>
      <c r="T40" s="135">
        <v>44.76</v>
      </c>
    </row>
    <row r="41" spans="1:20" ht="17.25" thickBot="1" x14ac:dyDescent="0.25">
      <c r="A41" s="167"/>
      <c r="B41" s="155"/>
      <c r="C41" s="155" t="s">
        <v>2257</v>
      </c>
      <c r="D41" s="155"/>
      <c r="E41" s="155"/>
      <c r="F41" s="170">
        <f>F40+Q40+T40</f>
        <v>2387.9131476000002</v>
      </c>
      <c r="G41" s="155"/>
      <c r="H41" s="155" t="s">
        <v>2258</v>
      </c>
      <c r="I41" s="155"/>
      <c r="J41" s="155"/>
      <c r="K41" s="155"/>
      <c r="L41" s="155"/>
      <c r="M41" s="155"/>
      <c r="N41" s="155"/>
      <c r="O41" s="155"/>
      <c r="P41" s="155"/>
      <c r="Q41" s="170">
        <f>F41*15%</f>
        <v>358.18697214000002</v>
      </c>
      <c r="R41" s="476" t="s">
        <v>42</v>
      </c>
      <c r="S41" s="477"/>
      <c r="T41" s="171">
        <f>Q41+F41</f>
        <v>2746.1001197400001</v>
      </c>
    </row>
  </sheetData>
  <mergeCells count="49">
    <mergeCell ref="A8:U8"/>
    <mergeCell ref="A9:U9"/>
    <mergeCell ref="I29:Q29"/>
    <mergeCell ref="R29:T29"/>
    <mergeCell ref="R41:S41"/>
    <mergeCell ref="E30:F30"/>
    <mergeCell ref="G30:H30"/>
    <mergeCell ref="I30:J30"/>
    <mergeCell ref="K30:L30"/>
    <mergeCell ref="M30:N30"/>
    <mergeCell ref="O30:P30"/>
    <mergeCell ref="A29:A31"/>
    <mergeCell ref="B29:B31"/>
    <mergeCell ref="C29:C31"/>
    <mergeCell ref="D29:D31"/>
    <mergeCell ref="E29:H29"/>
    <mergeCell ref="F25:G25"/>
    <mergeCell ref="H25:P25"/>
    <mergeCell ref="R25:S25"/>
    <mergeCell ref="A27:B27"/>
    <mergeCell ref="C27:S28"/>
    <mergeCell ref="A28:B28"/>
    <mergeCell ref="O14:P14"/>
    <mergeCell ref="C24:E24"/>
    <mergeCell ref="F24:H24"/>
    <mergeCell ref="I24:P24"/>
    <mergeCell ref="R24:S24"/>
    <mergeCell ref="G7:T7"/>
    <mergeCell ref="A11:B11"/>
    <mergeCell ref="C11:S12"/>
    <mergeCell ref="A12:B12"/>
    <mergeCell ref="A13:A15"/>
    <mergeCell ref="B13:B15"/>
    <mergeCell ref="C13:C15"/>
    <mergeCell ref="D13:D15"/>
    <mergeCell ref="E13:H13"/>
    <mergeCell ref="I13:Q13"/>
    <mergeCell ref="R13:T13"/>
    <mergeCell ref="E14:F14"/>
    <mergeCell ref="G14:H14"/>
    <mergeCell ref="I14:J14"/>
    <mergeCell ref="K14:L14"/>
    <mergeCell ref="M14:N14"/>
    <mergeCell ref="A6:T6"/>
    <mergeCell ref="A1:T1"/>
    <mergeCell ref="A2:T2"/>
    <mergeCell ref="A3:T3"/>
    <mergeCell ref="A4:T4"/>
    <mergeCell ref="A5:T5"/>
  </mergeCells>
  <pageMargins left="0.3" right="0.3" top="0.5" bottom="1" header="0.3" footer="0.5"/>
  <pageSetup paperSize="9" scale="75" orientation="landscape" useFirstPageNumber="1" verticalDpi="0" r:id="rId1"/>
  <headerFooter>
    <oddHeader>&amp;LDistrict: Kathmandu&amp;C Fiscal Year: 2076/77&amp;R Page &amp;P of &amp;N</oddHeader>
    <oddFooter>&amp;L Prepared By:________________ &amp;C Checked By:________________                                  Recommended By:________________            &amp;R Approved By:________________</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196"/>
  <sheetViews>
    <sheetView view="pageBreakPreview" topLeftCell="A181" zoomScaleSheetLayoutView="100" workbookViewId="0">
      <selection activeCell="G177" sqref="G177"/>
    </sheetView>
  </sheetViews>
  <sheetFormatPr defaultColWidth="8.7109375" defaultRowHeight="12.75" x14ac:dyDescent="0.2"/>
  <cols>
    <col min="1" max="1" width="9.5703125" style="128" customWidth="1"/>
    <col min="2" max="2" width="8.42578125" style="128" customWidth="1"/>
    <col min="3" max="3" width="3.5703125" style="128" bestFit="1" customWidth="1"/>
    <col min="4" max="4" width="8.28515625" style="128" customWidth="1"/>
    <col min="5" max="5" width="7.85546875" style="128" bestFit="1" customWidth="1"/>
    <col min="6" max="6" width="7.28515625" style="128" customWidth="1"/>
    <col min="7" max="7" width="18.28515625" style="128" customWidth="1"/>
    <col min="8" max="8" width="4.7109375" style="128" customWidth="1"/>
    <col min="9" max="9" width="10" style="128" customWidth="1"/>
    <col min="10" max="10" width="10.28515625" style="128" bestFit="1" customWidth="1"/>
    <col min="11" max="11" width="11.28515625" style="128" customWidth="1"/>
    <col min="12" max="12" width="12.5703125" style="128" customWidth="1"/>
    <col min="13" max="13" width="5" style="128" customWidth="1"/>
    <col min="14" max="14" width="10.140625" style="128" customWidth="1"/>
    <col min="15" max="15" width="9.42578125" style="128" customWidth="1"/>
    <col min="16" max="16" width="7.42578125" style="128" customWidth="1"/>
    <col min="17" max="17" width="11.42578125" style="128" customWidth="1"/>
    <col min="18" max="19" width="8.7109375" style="128" customWidth="1"/>
    <col min="20" max="16384" width="8.7109375" style="128"/>
  </cols>
  <sheetData>
    <row r="1" spans="1:17" s="51" customFormat="1" ht="15.75" hidden="1" x14ac:dyDescent="0.25">
      <c r="A1" s="522" t="s">
        <v>2157</v>
      </c>
      <c r="B1" s="522"/>
      <c r="C1" s="522"/>
      <c r="D1" s="522"/>
      <c r="E1" s="522"/>
      <c r="F1" s="522"/>
      <c r="G1" s="522"/>
      <c r="H1" s="522"/>
      <c r="I1" s="522"/>
      <c r="J1" s="522"/>
      <c r="K1" s="522"/>
      <c r="L1" s="522"/>
      <c r="M1" s="522"/>
      <c r="N1" s="522"/>
      <c r="O1" s="522"/>
      <c r="P1" s="522"/>
    </row>
    <row r="2" spans="1:17" s="51" customFormat="1" ht="15.75" hidden="1" x14ac:dyDescent="0.25">
      <c r="A2" s="522" t="s">
        <v>2158</v>
      </c>
      <c r="B2" s="522"/>
      <c r="C2" s="522"/>
      <c r="D2" s="522"/>
      <c r="E2" s="522"/>
      <c r="F2" s="522"/>
      <c r="G2" s="522"/>
      <c r="H2" s="522"/>
      <c r="I2" s="522"/>
      <c r="J2" s="522"/>
      <c r="K2" s="522"/>
      <c r="L2" s="522"/>
      <c r="M2" s="522"/>
      <c r="N2" s="522"/>
      <c r="O2" s="522"/>
      <c r="P2" s="522"/>
    </row>
    <row r="3" spans="1:17" s="51" customFormat="1" ht="15.75" hidden="1" x14ac:dyDescent="0.25">
      <c r="A3" s="52"/>
      <c r="B3" s="52"/>
      <c r="C3" s="52"/>
      <c r="D3" s="52"/>
      <c r="E3" s="52"/>
      <c r="F3" s="52"/>
      <c r="G3" s="52"/>
      <c r="H3" s="52"/>
      <c r="I3" s="52"/>
      <c r="J3" s="52"/>
      <c r="K3" s="52"/>
      <c r="L3" s="52"/>
      <c r="M3" s="52"/>
      <c r="N3" s="52"/>
      <c r="O3" s="52"/>
      <c r="P3" s="52"/>
    </row>
    <row r="4" spans="1:17" s="51" customFormat="1" ht="15.75" hidden="1" x14ac:dyDescent="0.25">
      <c r="A4" s="522" t="s">
        <v>2159</v>
      </c>
      <c r="B4" s="522"/>
      <c r="C4" s="522"/>
      <c r="D4" s="522"/>
      <c r="E4" s="522"/>
      <c r="F4" s="522"/>
      <c r="G4" s="522"/>
      <c r="H4" s="522"/>
      <c r="I4" s="522"/>
      <c r="J4" s="522"/>
      <c r="K4" s="522"/>
      <c r="L4" s="522"/>
      <c r="M4" s="522"/>
      <c r="N4" s="522"/>
      <c r="O4" s="522"/>
      <c r="P4" s="522"/>
    </row>
    <row r="5" spans="1:17" s="51" customFormat="1" ht="15.75" hidden="1" x14ac:dyDescent="0.25">
      <c r="A5" s="52"/>
      <c r="B5" s="52"/>
      <c r="C5" s="52"/>
      <c r="D5" s="52"/>
      <c r="E5" s="52"/>
      <c r="F5" s="52"/>
      <c r="G5" s="52"/>
      <c r="H5" s="52"/>
      <c r="I5" s="52"/>
      <c r="J5" s="52"/>
      <c r="K5" s="52"/>
      <c r="L5" s="52"/>
      <c r="M5" s="523" t="s">
        <v>2160</v>
      </c>
      <c r="N5" s="523"/>
      <c r="O5" s="523"/>
      <c r="P5" s="52"/>
    </row>
    <row r="6" spans="1:17" s="56" customFormat="1" ht="11.25" hidden="1" x14ac:dyDescent="0.25">
      <c r="A6" s="53" t="s">
        <v>2161</v>
      </c>
      <c r="B6" s="54">
        <v>14.02</v>
      </c>
      <c r="C6" s="53"/>
      <c r="D6" s="53"/>
      <c r="E6" s="489" t="s">
        <v>2162</v>
      </c>
      <c r="F6" s="489"/>
      <c r="G6" s="510" t="s">
        <v>2163</v>
      </c>
      <c r="H6" s="511"/>
      <c r="I6" s="511"/>
      <c r="J6" s="511"/>
      <c r="K6" s="511"/>
      <c r="L6" s="511"/>
      <c r="M6" s="511"/>
      <c r="N6" s="511"/>
      <c r="O6" s="512"/>
      <c r="P6" s="55"/>
      <c r="Q6" s="55"/>
    </row>
    <row r="7" spans="1:17" s="56" customFormat="1" ht="20.25" hidden="1" customHeight="1" thickBot="1" x14ac:dyDescent="0.3">
      <c r="A7" s="57" t="s">
        <v>20</v>
      </c>
      <c r="B7" s="57" t="s">
        <v>2164</v>
      </c>
      <c r="C7" s="57"/>
      <c r="D7" s="57"/>
      <c r="E7" s="57"/>
      <c r="F7" s="57"/>
      <c r="G7" s="513"/>
      <c r="H7" s="514"/>
      <c r="I7" s="514"/>
      <c r="J7" s="514"/>
      <c r="K7" s="514"/>
      <c r="L7" s="514"/>
      <c r="M7" s="514"/>
      <c r="N7" s="514"/>
      <c r="O7" s="515"/>
      <c r="P7" s="516"/>
      <c r="Q7" s="517"/>
    </row>
    <row r="8" spans="1:17" s="195" customFormat="1" ht="15.75" x14ac:dyDescent="0.25">
      <c r="A8" s="432" t="s">
        <v>2276</v>
      </c>
      <c r="B8" s="432"/>
      <c r="C8" s="432"/>
      <c r="D8" s="432"/>
      <c r="E8" s="432"/>
      <c r="F8" s="432"/>
      <c r="G8" s="432"/>
      <c r="H8" s="432"/>
      <c r="I8" s="432"/>
      <c r="J8" s="432"/>
      <c r="K8" s="432"/>
      <c r="L8" s="432"/>
      <c r="M8" s="432"/>
      <c r="N8" s="432"/>
      <c r="O8" s="432"/>
      <c r="P8" s="432"/>
      <c r="Q8" s="432"/>
    </row>
    <row r="9" spans="1:17" s="195" customFormat="1" ht="15.75" x14ac:dyDescent="0.25">
      <c r="A9" s="471" t="s">
        <v>11</v>
      </c>
      <c r="B9" s="471"/>
      <c r="C9" s="471"/>
      <c r="D9" s="471"/>
      <c r="E9" s="471"/>
      <c r="F9" s="471"/>
      <c r="G9" s="471"/>
      <c r="H9" s="471"/>
      <c r="I9" s="471"/>
      <c r="J9" s="471"/>
      <c r="K9" s="471"/>
      <c r="L9" s="471"/>
      <c r="M9" s="471"/>
      <c r="N9" s="471"/>
      <c r="O9" s="471"/>
      <c r="P9" s="471"/>
      <c r="Q9" s="471"/>
    </row>
    <row r="10" spans="1:17" s="56" customFormat="1" ht="11.25" hidden="1" x14ac:dyDescent="0.25">
      <c r="A10" s="492" t="s">
        <v>2165</v>
      </c>
      <c r="B10" s="494" t="s">
        <v>2166</v>
      </c>
      <c r="C10" s="495"/>
      <c r="D10" s="495"/>
      <c r="E10" s="495"/>
      <c r="F10" s="496"/>
      <c r="G10" s="494" t="s">
        <v>2167</v>
      </c>
      <c r="H10" s="495"/>
      <c r="I10" s="495"/>
      <c r="J10" s="495"/>
      <c r="K10" s="496"/>
      <c r="L10" s="494" t="s">
        <v>2168</v>
      </c>
      <c r="M10" s="495"/>
      <c r="N10" s="495"/>
      <c r="O10" s="495"/>
      <c r="P10" s="496"/>
      <c r="Q10" s="503" t="s">
        <v>1309</v>
      </c>
    </row>
    <row r="11" spans="1:17" s="56" customFormat="1" ht="11.25" hidden="1" x14ac:dyDescent="0.25">
      <c r="A11" s="493"/>
      <c r="B11" s="58" t="s">
        <v>19</v>
      </c>
      <c r="C11" s="59" t="s">
        <v>20</v>
      </c>
      <c r="D11" s="59" t="s">
        <v>2169</v>
      </c>
      <c r="E11" s="59" t="s">
        <v>22</v>
      </c>
      <c r="F11" s="60" t="s">
        <v>23</v>
      </c>
      <c r="G11" s="58" t="s">
        <v>19</v>
      </c>
      <c r="H11" s="59" t="s">
        <v>20</v>
      </c>
      <c r="I11" s="59" t="s">
        <v>2169</v>
      </c>
      <c r="J11" s="59" t="s">
        <v>22</v>
      </c>
      <c r="K11" s="60" t="s">
        <v>23</v>
      </c>
      <c r="L11" s="58" t="s">
        <v>19</v>
      </c>
      <c r="M11" s="59" t="s">
        <v>20</v>
      </c>
      <c r="N11" s="59" t="s">
        <v>2169</v>
      </c>
      <c r="O11" s="59" t="s">
        <v>22</v>
      </c>
      <c r="P11" s="60" t="s">
        <v>23</v>
      </c>
      <c r="Q11" s="518"/>
    </row>
    <row r="12" spans="1:17" s="56" customFormat="1" ht="33.75" hidden="1" x14ac:dyDescent="0.25">
      <c r="A12" s="61">
        <v>14.02</v>
      </c>
      <c r="B12" s="62" t="s">
        <v>47</v>
      </c>
      <c r="C12" s="63" t="s">
        <v>2170</v>
      </c>
      <c r="D12" s="64">
        <v>0.2</v>
      </c>
      <c r="E12" s="65">
        <f>skilled</f>
        <v>960</v>
      </c>
      <c r="F12" s="66">
        <f>D12*E12</f>
        <v>192</v>
      </c>
      <c r="G12" s="67" t="s">
        <v>2171</v>
      </c>
      <c r="H12" s="64" t="s">
        <v>2172</v>
      </c>
      <c r="I12" s="64">
        <f>1*1*0.1*1.1</f>
        <v>0.11000000000000001</v>
      </c>
      <c r="J12" s="65">
        <f>m20_20</f>
        <v>13568.85</v>
      </c>
      <c r="K12" s="66">
        <f>I12*J12</f>
        <v>1492.5735000000002</v>
      </c>
      <c r="L12" s="62"/>
      <c r="M12" s="63"/>
      <c r="N12" s="64"/>
      <c r="O12" s="68"/>
      <c r="P12" s="66"/>
      <c r="Q12" s="69" t="s">
        <v>2173</v>
      </c>
    </row>
    <row r="13" spans="1:17" s="56" customFormat="1" ht="11.25" hidden="1" x14ac:dyDescent="0.25">
      <c r="A13" s="70"/>
      <c r="B13" s="62" t="s">
        <v>29</v>
      </c>
      <c r="C13" s="63" t="s">
        <v>2170</v>
      </c>
      <c r="D13" s="64">
        <v>0.6</v>
      </c>
      <c r="E13" s="65">
        <f>unskilled</f>
        <v>700</v>
      </c>
      <c r="F13" s="66">
        <f>D13*E13</f>
        <v>420</v>
      </c>
      <c r="G13" s="71" t="s">
        <v>85</v>
      </c>
      <c r="H13" s="63" t="s">
        <v>144</v>
      </c>
      <c r="I13" s="64">
        <v>6.5</v>
      </c>
      <c r="J13" s="65">
        <f>cement/1000</f>
        <v>16.82</v>
      </c>
      <c r="K13" s="66">
        <f>I13*J13</f>
        <v>109.33</v>
      </c>
      <c r="L13" s="62"/>
      <c r="M13" s="63"/>
      <c r="N13" s="64"/>
      <c r="O13" s="68"/>
      <c r="P13" s="66"/>
      <c r="Q13" s="69"/>
    </row>
    <row r="14" spans="1:17" s="56" customFormat="1" ht="11.25" hidden="1" x14ac:dyDescent="0.25">
      <c r="A14" s="70"/>
      <c r="B14" s="62"/>
      <c r="C14" s="63"/>
      <c r="D14" s="64"/>
      <c r="E14" s="65"/>
      <c r="F14" s="72">
        <f>D14*E14</f>
        <v>0</v>
      </c>
      <c r="G14" s="73" t="s">
        <v>83</v>
      </c>
      <c r="H14" s="63" t="s">
        <v>2172</v>
      </c>
      <c r="I14" s="64">
        <f>2*0.013</f>
        <v>2.5999999999999999E-2</v>
      </c>
      <c r="J14" s="65">
        <f>sand</f>
        <v>3104.64</v>
      </c>
      <c r="K14" s="74">
        <f>I14*J14</f>
        <v>80.720639999999989</v>
      </c>
      <c r="L14" s="62"/>
      <c r="M14" s="63"/>
      <c r="N14" s="64"/>
      <c r="O14" s="68"/>
      <c r="P14" s="66"/>
    </row>
    <row r="15" spans="1:17" s="56" customFormat="1" ht="11.25" hidden="1" x14ac:dyDescent="0.25">
      <c r="A15" s="70"/>
      <c r="B15" s="62"/>
      <c r="C15" s="63"/>
      <c r="D15" s="64"/>
      <c r="E15" s="65"/>
      <c r="F15" s="66">
        <f>D15*E15</f>
        <v>0</v>
      </c>
      <c r="G15" s="73" t="s">
        <v>171</v>
      </c>
      <c r="H15" s="63" t="s">
        <v>1133</v>
      </c>
      <c r="I15" s="64">
        <v>2</v>
      </c>
      <c r="J15" s="65">
        <f>water</f>
        <v>0.32</v>
      </c>
      <c r="K15" s="56">
        <f>I15*J15</f>
        <v>0.64</v>
      </c>
      <c r="L15" s="73"/>
      <c r="M15" s="63"/>
      <c r="N15" s="64"/>
      <c r="O15" s="68"/>
      <c r="P15" s="75"/>
      <c r="Q15" s="76"/>
    </row>
    <row r="16" spans="1:17" s="56" customFormat="1" ht="11.25" hidden="1" x14ac:dyDescent="0.25">
      <c r="A16" s="70"/>
      <c r="B16" s="62"/>
      <c r="C16" s="63"/>
      <c r="D16" s="64"/>
      <c r="E16" s="68"/>
      <c r="F16" s="77">
        <f>D16*E16</f>
        <v>0</v>
      </c>
      <c r="G16" s="56" t="s">
        <v>2174</v>
      </c>
      <c r="H16" s="63" t="s">
        <v>2164</v>
      </c>
      <c r="I16" s="64">
        <v>0.64</v>
      </c>
      <c r="J16" s="65">
        <f>formwork</f>
        <v>659.72</v>
      </c>
      <c r="K16" s="78">
        <f>I16*J16</f>
        <v>422.22080000000005</v>
      </c>
      <c r="L16" s="73"/>
      <c r="M16" s="63"/>
      <c r="N16" s="64"/>
      <c r="O16" s="68"/>
      <c r="P16" s="75"/>
      <c r="Q16" s="76"/>
    </row>
    <row r="17" spans="1:17" s="56" customFormat="1" ht="12" hidden="1" thickBot="1" x14ac:dyDescent="0.3">
      <c r="A17" s="70"/>
      <c r="B17" s="62"/>
      <c r="C17" s="63"/>
      <c r="D17" s="68"/>
      <c r="E17" s="68"/>
      <c r="F17" s="66"/>
      <c r="G17" s="62"/>
      <c r="H17" s="63"/>
      <c r="I17" s="68"/>
      <c r="J17" s="65"/>
      <c r="K17" s="66"/>
      <c r="L17" s="62"/>
      <c r="M17" s="63"/>
      <c r="N17" s="68"/>
      <c r="O17" s="68"/>
      <c r="P17" s="75"/>
      <c r="Q17" s="79"/>
    </row>
    <row r="18" spans="1:17" s="56" customFormat="1" ht="12" hidden="1" thickBot="1" x14ac:dyDescent="0.3">
      <c r="A18" s="80" t="s">
        <v>1274</v>
      </c>
      <c r="B18" s="81"/>
      <c r="C18" s="82"/>
      <c r="D18" s="82" t="s">
        <v>2175</v>
      </c>
      <c r="E18" s="82" t="s">
        <v>2176</v>
      </c>
      <c r="F18" s="83">
        <f>SUM(F12:F17)</f>
        <v>612</v>
      </c>
      <c r="G18" s="81"/>
      <c r="H18" s="82"/>
      <c r="I18" s="82" t="s">
        <v>2177</v>
      </c>
      <c r="J18" s="82" t="s">
        <v>2176</v>
      </c>
      <c r="K18" s="83">
        <f>SUM(K12:K17)</f>
        <v>2105.4849400000003</v>
      </c>
      <c r="L18" s="81"/>
      <c r="M18" s="82"/>
      <c r="N18" s="82" t="s">
        <v>2178</v>
      </c>
      <c r="O18" s="82" t="s">
        <v>2176</v>
      </c>
      <c r="P18" s="83"/>
      <c r="Q18" s="80"/>
    </row>
    <row r="19" spans="1:17" s="56" customFormat="1" ht="11.25" hidden="1" x14ac:dyDescent="0.25"/>
    <row r="20" spans="1:17" s="56" customFormat="1" ht="11.25" hidden="1" x14ac:dyDescent="0.25">
      <c r="G20" s="84" t="s">
        <v>2179</v>
      </c>
      <c r="H20" s="84" t="s">
        <v>2176</v>
      </c>
      <c r="I20" s="85">
        <f>F18+K18</f>
        <v>2717.4849400000003</v>
      </c>
      <c r="K20" s="86"/>
    </row>
    <row r="21" spans="1:17" s="56" customFormat="1" ht="11.25" hidden="1" x14ac:dyDescent="0.25">
      <c r="G21" s="84" t="s">
        <v>2180</v>
      </c>
      <c r="H21" s="87" t="s">
        <v>2176</v>
      </c>
      <c r="I21" s="74">
        <f>I20*0.15</f>
        <v>407.62274100000002</v>
      </c>
      <c r="J21" s="84"/>
    </row>
    <row r="22" spans="1:17" s="56" customFormat="1" ht="11.25" hidden="1" x14ac:dyDescent="0.25">
      <c r="G22" s="88" t="s">
        <v>1274</v>
      </c>
      <c r="H22" s="87" t="s">
        <v>2176</v>
      </c>
      <c r="I22" s="89">
        <f>SUM(I20:I21)</f>
        <v>3125.1076810000004</v>
      </c>
      <c r="J22" s="84"/>
      <c r="N22" s="56" t="s">
        <v>2181</v>
      </c>
      <c r="O22" s="90">
        <f>I22</f>
        <v>3125.1076810000004</v>
      </c>
    </row>
    <row r="23" spans="1:17" s="56" customFormat="1" ht="11.25" hidden="1" x14ac:dyDescent="0.25"/>
    <row r="24" spans="1:17" s="56" customFormat="1" ht="11.25" hidden="1" x14ac:dyDescent="0.25">
      <c r="A24" s="53" t="s">
        <v>2161</v>
      </c>
      <c r="B24" s="54">
        <v>14.01</v>
      </c>
      <c r="C24" s="53"/>
      <c r="D24" s="53"/>
      <c r="E24" s="489" t="s">
        <v>2162</v>
      </c>
      <c r="F24" s="489"/>
      <c r="G24" s="510" t="s">
        <v>2182</v>
      </c>
      <c r="H24" s="511"/>
      <c r="I24" s="511"/>
      <c r="J24" s="511"/>
      <c r="K24" s="511"/>
      <c r="L24" s="511"/>
      <c r="M24" s="511"/>
      <c r="N24" s="511"/>
      <c r="O24" s="512"/>
      <c r="P24" s="55"/>
      <c r="Q24" s="55"/>
    </row>
    <row r="25" spans="1:17" s="56" customFormat="1" ht="12" hidden="1" thickBot="1" x14ac:dyDescent="0.3">
      <c r="A25" s="57" t="s">
        <v>20</v>
      </c>
      <c r="B25" s="57" t="s">
        <v>463</v>
      </c>
      <c r="C25" s="57"/>
      <c r="D25" s="57"/>
      <c r="E25" s="57"/>
      <c r="F25" s="57"/>
      <c r="G25" s="513"/>
      <c r="H25" s="514"/>
      <c r="I25" s="514"/>
      <c r="J25" s="514"/>
      <c r="K25" s="514"/>
      <c r="L25" s="514"/>
      <c r="M25" s="514"/>
      <c r="N25" s="514"/>
      <c r="O25" s="515"/>
      <c r="P25" s="516"/>
      <c r="Q25" s="517"/>
    </row>
    <row r="26" spans="1:17" s="56" customFormat="1" ht="11.25" hidden="1" x14ac:dyDescent="0.25">
      <c r="A26" s="492" t="s">
        <v>2165</v>
      </c>
      <c r="B26" s="494" t="s">
        <v>2166</v>
      </c>
      <c r="C26" s="495"/>
      <c r="D26" s="495"/>
      <c r="E26" s="495"/>
      <c r="F26" s="496"/>
      <c r="G26" s="494" t="s">
        <v>2167</v>
      </c>
      <c r="H26" s="495"/>
      <c r="I26" s="495"/>
      <c r="J26" s="495"/>
      <c r="K26" s="496"/>
      <c r="L26" s="494" t="s">
        <v>2168</v>
      </c>
      <c r="M26" s="495"/>
      <c r="N26" s="495"/>
      <c r="O26" s="495"/>
      <c r="P26" s="496"/>
      <c r="Q26" s="503" t="s">
        <v>1309</v>
      </c>
    </row>
    <row r="27" spans="1:17" s="56" customFormat="1" ht="11.25" hidden="1" x14ac:dyDescent="0.25">
      <c r="A27" s="493"/>
      <c r="B27" s="58" t="s">
        <v>19</v>
      </c>
      <c r="C27" s="59" t="s">
        <v>20</v>
      </c>
      <c r="D27" s="59" t="s">
        <v>2169</v>
      </c>
      <c r="E27" s="59" t="s">
        <v>22</v>
      </c>
      <c r="F27" s="60" t="s">
        <v>23</v>
      </c>
      <c r="G27" s="58" t="s">
        <v>19</v>
      </c>
      <c r="H27" s="59" t="s">
        <v>20</v>
      </c>
      <c r="I27" s="59" t="s">
        <v>2169</v>
      </c>
      <c r="J27" s="59" t="s">
        <v>22</v>
      </c>
      <c r="K27" s="60" t="s">
        <v>23</v>
      </c>
      <c r="L27" s="58" t="s">
        <v>19</v>
      </c>
      <c r="M27" s="59" t="s">
        <v>20</v>
      </c>
      <c r="N27" s="59" t="s">
        <v>2169</v>
      </c>
      <c r="O27" s="59" t="s">
        <v>22</v>
      </c>
      <c r="P27" s="60" t="s">
        <v>23</v>
      </c>
      <c r="Q27" s="518"/>
    </row>
    <row r="28" spans="1:17" s="56" customFormat="1" ht="11.25" hidden="1" x14ac:dyDescent="0.25">
      <c r="A28" s="61">
        <v>14.01</v>
      </c>
      <c r="B28" s="62" t="s">
        <v>47</v>
      </c>
      <c r="C28" s="63" t="s">
        <v>2170</v>
      </c>
      <c r="D28" s="64">
        <v>0.1</v>
      </c>
      <c r="E28" s="65">
        <f>E12</f>
        <v>960</v>
      </c>
      <c r="F28" s="66">
        <f>D28*E28</f>
        <v>96</v>
      </c>
      <c r="G28" s="91" t="s">
        <v>2183</v>
      </c>
      <c r="H28" s="92" t="s">
        <v>2172</v>
      </c>
      <c r="I28" s="64">
        <v>7.0000000000000007E-2</v>
      </c>
      <c r="J28" s="65">
        <f>m15_15</f>
        <v>12520</v>
      </c>
      <c r="K28" s="65">
        <f>I28*J28</f>
        <v>876.40000000000009</v>
      </c>
      <c r="L28" s="62"/>
      <c r="M28" s="63"/>
      <c r="N28" s="64"/>
      <c r="O28" s="68"/>
      <c r="P28" s="66"/>
      <c r="Q28" s="93"/>
    </row>
    <row r="29" spans="1:17" s="56" customFormat="1" ht="11.25" hidden="1" x14ac:dyDescent="0.25">
      <c r="A29" s="70"/>
      <c r="B29" s="62" t="s">
        <v>29</v>
      </c>
      <c r="C29" s="63" t="s">
        <v>2170</v>
      </c>
      <c r="D29" s="64">
        <v>0.5</v>
      </c>
      <c r="E29" s="65">
        <f>unskilled</f>
        <v>700</v>
      </c>
      <c r="F29" s="66">
        <f>D29*E29</f>
        <v>350</v>
      </c>
      <c r="G29" s="62" t="s">
        <v>85</v>
      </c>
      <c r="H29" s="63" t="s">
        <v>144</v>
      </c>
      <c r="I29" s="64">
        <v>1.3</v>
      </c>
      <c r="J29" s="65">
        <f>cement/1000</f>
        <v>16.82</v>
      </c>
      <c r="K29" s="65">
        <f>I29*J29</f>
        <v>21.866</v>
      </c>
      <c r="L29" s="62"/>
      <c r="M29" s="63"/>
      <c r="N29" s="64"/>
      <c r="O29" s="68"/>
      <c r="P29" s="66"/>
      <c r="Q29" s="93"/>
    </row>
    <row r="30" spans="1:17" s="56" customFormat="1" ht="11.25" hidden="1" x14ac:dyDescent="0.25">
      <c r="A30" s="70"/>
      <c r="B30" s="62"/>
      <c r="C30" s="63"/>
      <c r="D30" s="64"/>
      <c r="E30" s="65"/>
      <c r="F30" s="66">
        <f>D30*E30</f>
        <v>0</v>
      </c>
      <c r="G30" s="62" t="s">
        <v>83</v>
      </c>
      <c r="H30" s="63" t="s">
        <v>2172</v>
      </c>
      <c r="I30" s="64">
        <v>3.0000000000000001E-3</v>
      </c>
      <c r="J30" s="65">
        <f>sand</f>
        <v>3104.64</v>
      </c>
      <c r="K30" s="65">
        <f>I30*J30</f>
        <v>9.3139199999999995</v>
      </c>
      <c r="L30" s="62"/>
      <c r="M30" s="63"/>
      <c r="N30" s="64"/>
      <c r="O30" s="68"/>
      <c r="P30" s="66"/>
      <c r="Q30" s="93"/>
    </row>
    <row r="31" spans="1:17" s="56" customFormat="1" ht="11.25" hidden="1" x14ac:dyDescent="0.25">
      <c r="A31" s="70"/>
      <c r="B31" s="62"/>
      <c r="C31" s="63"/>
      <c r="D31" s="64"/>
      <c r="E31" s="65"/>
      <c r="F31" s="66">
        <f>D31*E31</f>
        <v>0</v>
      </c>
      <c r="G31" s="62" t="s">
        <v>171</v>
      </c>
      <c r="H31" s="63" t="s">
        <v>1133</v>
      </c>
      <c r="I31" s="64">
        <v>0.5</v>
      </c>
      <c r="J31" s="65">
        <f>water</f>
        <v>0.32</v>
      </c>
      <c r="K31" s="65">
        <f>I31*J31</f>
        <v>0.16</v>
      </c>
      <c r="L31" s="73"/>
      <c r="M31" s="63"/>
      <c r="N31" s="64"/>
      <c r="O31" s="68"/>
      <c r="P31" s="94"/>
      <c r="Q31" s="93"/>
    </row>
    <row r="32" spans="1:17" s="56" customFormat="1" ht="11.25" hidden="1" x14ac:dyDescent="0.25">
      <c r="A32" s="70"/>
      <c r="B32" s="62"/>
      <c r="C32" s="63"/>
      <c r="D32" s="64"/>
      <c r="E32" s="68"/>
      <c r="F32" s="66">
        <f>D32*E32</f>
        <v>0</v>
      </c>
      <c r="G32" s="56" t="s">
        <v>2174</v>
      </c>
      <c r="H32" s="63" t="s">
        <v>2164</v>
      </c>
      <c r="I32" s="64">
        <v>1</v>
      </c>
      <c r="J32" s="65">
        <f>J16</f>
        <v>659.72</v>
      </c>
      <c r="K32" s="65">
        <f>I32*J32</f>
        <v>659.72</v>
      </c>
      <c r="L32" s="73"/>
      <c r="M32" s="63"/>
      <c r="N32" s="64"/>
      <c r="O32" s="68"/>
      <c r="P32" s="77"/>
      <c r="Q32" s="93"/>
    </row>
    <row r="33" spans="1:17" s="56" customFormat="1" ht="12" hidden="1" thickBot="1" x14ac:dyDescent="0.3">
      <c r="A33" s="80" t="s">
        <v>1274</v>
      </c>
      <c r="B33" s="80"/>
      <c r="C33" s="80"/>
      <c r="D33" s="80" t="s">
        <v>2175</v>
      </c>
      <c r="E33" s="80" t="s">
        <v>2176</v>
      </c>
      <c r="F33" s="95">
        <f>SUM(F28:F32)</f>
        <v>446</v>
      </c>
      <c r="G33" s="80"/>
      <c r="H33" s="80"/>
      <c r="I33" s="80" t="s">
        <v>2177</v>
      </c>
      <c r="J33" s="80" t="s">
        <v>2176</v>
      </c>
      <c r="K33" s="95">
        <f>SUM(K28:K32)</f>
        <v>1567.4599200000002</v>
      </c>
      <c r="L33" s="80"/>
      <c r="M33" s="80"/>
      <c r="N33" s="80" t="s">
        <v>2178</v>
      </c>
      <c r="O33" s="80" t="s">
        <v>2176</v>
      </c>
      <c r="P33" s="80"/>
      <c r="Q33" s="80"/>
    </row>
    <row r="34" spans="1:17" s="56" customFormat="1" ht="11.25" hidden="1" x14ac:dyDescent="0.25">
      <c r="G34" s="84" t="s">
        <v>2179</v>
      </c>
      <c r="H34" s="84" t="s">
        <v>2176</v>
      </c>
      <c r="I34" s="85">
        <f>F33+K33+P33</f>
        <v>2013.4599200000002</v>
      </c>
      <c r="K34" s="86"/>
    </row>
    <row r="35" spans="1:17" s="56" customFormat="1" ht="11.25" hidden="1" x14ac:dyDescent="0.25">
      <c r="G35" s="84" t="s">
        <v>2180</v>
      </c>
      <c r="H35" s="87" t="s">
        <v>2176</v>
      </c>
      <c r="I35" s="74">
        <f>I34*0.15</f>
        <v>302.01898800000004</v>
      </c>
      <c r="J35" s="84"/>
    </row>
    <row r="36" spans="1:17" s="56" customFormat="1" ht="11.25" hidden="1" x14ac:dyDescent="0.25">
      <c r="G36" s="88" t="s">
        <v>1274</v>
      </c>
      <c r="H36" s="87" t="s">
        <v>2176</v>
      </c>
      <c r="I36" s="89">
        <f>SUM(I34:I35)</f>
        <v>2315.478908</v>
      </c>
      <c r="J36" s="84"/>
      <c r="N36" s="56" t="s">
        <v>2184</v>
      </c>
      <c r="O36" s="89">
        <f>I36</f>
        <v>2315.478908</v>
      </c>
    </row>
    <row r="37" spans="1:17" s="56" customFormat="1" ht="11.25" hidden="1" x14ac:dyDescent="0.25">
      <c r="G37" s="84"/>
      <c r="H37" s="87"/>
      <c r="I37" s="74"/>
      <c r="J37" s="84"/>
      <c r="L37" s="521"/>
      <c r="M37" s="521"/>
      <c r="N37" s="521"/>
      <c r="O37" s="96"/>
      <c r="P37" s="57"/>
    </row>
    <row r="38" spans="1:17" s="56" customFormat="1" ht="11.25" hidden="1" x14ac:dyDescent="0.25">
      <c r="A38" s="53" t="s">
        <v>2161</v>
      </c>
      <c r="B38" s="54">
        <v>14.01</v>
      </c>
      <c r="C38" s="53"/>
      <c r="D38" s="53"/>
      <c r="E38" s="489" t="s">
        <v>2162</v>
      </c>
      <c r="F38" s="489"/>
      <c r="G38" s="510" t="s">
        <v>2185</v>
      </c>
      <c r="H38" s="511"/>
      <c r="I38" s="511"/>
      <c r="J38" s="511"/>
      <c r="K38" s="511"/>
      <c r="L38" s="511"/>
      <c r="M38" s="511"/>
      <c r="N38" s="511"/>
      <c r="O38" s="512"/>
      <c r="P38" s="55"/>
      <c r="Q38" s="55"/>
    </row>
    <row r="39" spans="1:17" s="56" customFormat="1" ht="17.25" hidden="1" customHeight="1" thickBot="1" x14ac:dyDescent="0.3">
      <c r="A39" s="57" t="s">
        <v>20</v>
      </c>
      <c r="B39" s="57" t="s">
        <v>463</v>
      </c>
      <c r="C39" s="57"/>
      <c r="D39" s="57"/>
      <c r="E39" s="57"/>
      <c r="F39" s="57"/>
      <c r="G39" s="513"/>
      <c r="H39" s="514"/>
      <c r="I39" s="514"/>
      <c r="J39" s="514"/>
      <c r="K39" s="514"/>
      <c r="L39" s="514"/>
      <c r="M39" s="514"/>
      <c r="N39" s="514"/>
      <c r="O39" s="515"/>
      <c r="P39" s="516"/>
      <c r="Q39" s="517"/>
    </row>
    <row r="40" spans="1:17" s="56" customFormat="1" ht="11.25" hidden="1" x14ac:dyDescent="0.25">
      <c r="A40" s="492" t="s">
        <v>2165</v>
      </c>
      <c r="B40" s="494" t="s">
        <v>2166</v>
      </c>
      <c r="C40" s="495"/>
      <c r="D40" s="495"/>
      <c r="E40" s="495"/>
      <c r="F40" s="496"/>
      <c r="G40" s="494" t="s">
        <v>2167</v>
      </c>
      <c r="H40" s="495"/>
      <c r="I40" s="495"/>
      <c r="J40" s="495"/>
      <c r="K40" s="496"/>
      <c r="L40" s="494" t="s">
        <v>2168</v>
      </c>
      <c r="M40" s="495"/>
      <c r="N40" s="495"/>
      <c r="O40" s="495"/>
      <c r="P40" s="496"/>
      <c r="Q40" s="503" t="s">
        <v>1309</v>
      </c>
    </row>
    <row r="41" spans="1:17" s="56" customFormat="1" ht="11.25" hidden="1" x14ac:dyDescent="0.25">
      <c r="A41" s="493"/>
      <c r="B41" s="58" t="s">
        <v>19</v>
      </c>
      <c r="C41" s="59" t="s">
        <v>20</v>
      </c>
      <c r="D41" s="59" t="s">
        <v>2169</v>
      </c>
      <c r="E41" s="59" t="s">
        <v>22</v>
      </c>
      <c r="F41" s="60" t="s">
        <v>23</v>
      </c>
      <c r="G41" s="58" t="s">
        <v>19</v>
      </c>
      <c r="H41" s="59" t="s">
        <v>20</v>
      </c>
      <c r="I41" s="59" t="s">
        <v>2169</v>
      </c>
      <c r="J41" s="59" t="s">
        <v>22</v>
      </c>
      <c r="K41" s="60" t="s">
        <v>23</v>
      </c>
      <c r="L41" s="58" t="s">
        <v>19</v>
      </c>
      <c r="M41" s="59" t="s">
        <v>20</v>
      </c>
      <c r="N41" s="59" t="s">
        <v>2169</v>
      </c>
      <c r="O41" s="59" t="s">
        <v>22</v>
      </c>
      <c r="P41" s="60" t="s">
        <v>23</v>
      </c>
      <c r="Q41" s="518"/>
    </row>
    <row r="42" spans="1:17" s="56" customFormat="1" ht="11.25" hidden="1" x14ac:dyDescent="0.25">
      <c r="A42" s="61">
        <v>14.01</v>
      </c>
      <c r="B42" s="62" t="s">
        <v>47</v>
      </c>
      <c r="C42" s="63" t="s">
        <v>2170</v>
      </c>
      <c r="D42" s="64">
        <f>D28*0.02025/0.07</f>
        <v>2.8928571428571432E-2</v>
      </c>
      <c r="E42" s="65">
        <f>E28</f>
        <v>960</v>
      </c>
      <c r="F42" s="66">
        <f>D42*E42</f>
        <v>27.771428571428576</v>
      </c>
      <c r="G42" s="91" t="s">
        <v>2186</v>
      </c>
      <c r="H42" s="92" t="s">
        <v>2172</v>
      </c>
      <c r="I42" s="97">
        <v>2.0250000000000001E-2</v>
      </c>
      <c r="J42" s="65">
        <f>J28</f>
        <v>12520</v>
      </c>
      <c r="K42" s="65">
        <f>I42*J42</f>
        <v>253.53</v>
      </c>
      <c r="L42" s="62"/>
      <c r="M42" s="63"/>
      <c r="N42" s="64"/>
      <c r="O42" s="68"/>
      <c r="P42" s="66"/>
      <c r="Q42" s="93"/>
    </row>
    <row r="43" spans="1:17" s="56" customFormat="1" ht="11.25" hidden="1" x14ac:dyDescent="0.25">
      <c r="A43" s="70"/>
      <c r="B43" s="62" t="s">
        <v>29</v>
      </c>
      <c r="C43" s="63" t="s">
        <v>2170</v>
      </c>
      <c r="D43" s="64">
        <f>D29*0.02025/0.07</f>
        <v>0.14464285714285713</v>
      </c>
      <c r="E43" s="65">
        <f>E29</f>
        <v>700</v>
      </c>
      <c r="F43" s="66">
        <f>D43*E43</f>
        <v>101.24999999999999</v>
      </c>
      <c r="G43" s="62" t="s">
        <v>85</v>
      </c>
      <c r="H43" s="63" t="s">
        <v>144</v>
      </c>
      <c r="I43" s="64">
        <f>I29*0.02025/0.07</f>
        <v>0.37607142857142856</v>
      </c>
      <c r="J43" s="65">
        <f>J29</f>
        <v>16.82</v>
      </c>
      <c r="K43" s="65">
        <f>I43*J43</f>
        <v>6.3255214285714283</v>
      </c>
      <c r="L43" s="62"/>
      <c r="M43" s="63"/>
      <c r="N43" s="64"/>
      <c r="O43" s="68"/>
      <c r="P43" s="66"/>
      <c r="Q43" s="93"/>
    </row>
    <row r="44" spans="1:17" s="56" customFormat="1" ht="11.25" hidden="1" x14ac:dyDescent="0.25">
      <c r="A44" s="70"/>
      <c r="B44" s="62"/>
      <c r="C44" s="63"/>
      <c r="D44" s="64"/>
      <c r="E44" s="65"/>
      <c r="F44" s="66">
        <f>D44*E44</f>
        <v>0</v>
      </c>
      <c r="G44" s="62" t="s">
        <v>83</v>
      </c>
      <c r="H44" s="63" t="s">
        <v>2172</v>
      </c>
      <c r="I44" s="64">
        <f>I30*0.02025/0.07</f>
        <v>8.6785714285714287E-4</v>
      </c>
      <c r="J44" s="65">
        <f>J30</f>
        <v>3104.64</v>
      </c>
      <c r="K44" s="65">
        <f>I44*J44</f>
        <v>2.6943839999999999</v>
      </c>
      <c r="L44" s="62"/>
      <c r="M44" s="63"/>
      <c r="N44" s="64"/>
      <c r="O44" s="68"/>
      <c r="P44" s="66"/>
      <c r="Q44" s="93"/>
    </row>
    <row r="45" spans="1:17" s="56" customFormat="1" ht="11.25" hidden="1" x14ac:dyDescent="0.25">
      <c r="A45" s="70"/>
      <c r="B45" s="62"/>
      <c r="C45" s="63"/>
      <c r="D45" s="64"/>
      <c r="E45" s="65"/>
      <c r="F45" s="66">
        <f>D45*E45</f>
        <v>0</v>
      </c>
      <c r="G45" s="62" t="s">
        <v>171</v>
      </c>
      <c r="H45" s="63" t="s">
        <v>1133</v>
      </c>
      <c r="I45" s="64">
        <f>I31*0.02025/0.07</f>
        <v>0.14464285714285713</v>
      </c>
      <c r="J45" s="65">
        <f>J31</f>
        <v>0.32</v>
      </c>
      <c r="K45" s="65">
        <f>I45*J45</f>
        <v>4.6285714285714284E-2</v>
      </c>
      <c r="L45" s="73"/>
      <c r="M45" s="63"/>
      <c r="N45" s="64"/>
      <c r="O45" s="68"/>
      <c r="P45" s="94"/>
      <c r="Q45" s="93"/>
    </row>
    <row r="46" spans="1:17" s="56" customFormat="1" ht="11.25" hidden="1" x14ac:dyDescent="0.25">
      <c r="A46" s="70"/>
      <c r="B46" s="62"/>
      <c r="C46" s="63"/>
      <c r="D46" s="64"/>
      <c r="E46" s="68"/>
      <c r="F46" s="66">
        <f>D46*E46</f>
        <v>0</v>
      </c>
      <c r="G46" s="56" t="s">
        <v>2174</v>
      </c>
      <c r="H46" s="63" t="s">
        <v>2164</v>
      </c>
      <c r="I46" s="64">
        <v>0.52</v>
      </c>
      <c r="J46" s="65">
        <f>J32</f>
        <v>659.72</v>
      </c>
      <c r="K46" s="65">
        <f>I46*J46</f>
        <v>343.05440000000004</v>
      </c>
      <c r="L46" s="73"/>
      <c r="M46" s="63"/>
      <c r="N46" s="64"/>
      <c r="O46" s="68"/>
      <c r="P46" s="77"/>
      <c r="Q46" s="93"/>
    </row>
    <row r="47" spans="1:17" s="56" customFormat="1" ht="12" hidden="1" thickBot="1" x14ac:dyDescent="0.3">
      <c r="A47" s="80" t="s">
        <v>1274</v>
      </c>
      <c r="B47" s="80"/>
      <c r="C47" s="80"/>
      <c r="D47" s="80" t="s">
        <v>2175</v>
      </c>
      <c r="E47" s="80" t="s">
        <v>2176</v>
      </c>
      <c r="F47" s="95">
        <f>SUM(F42:F46)</f>
        <v>129.02142857142857</v>
      </c>
      <c r="G47" s="80"/>
      <c r="H47" s="80"/>
      <c r="I47" s="80" t="s">
        <v>2177</v>
      </c>
      <c r="J47" s="80" t="s">
        <v>2176</v>
      </c>
      <c r="K47" s="95">
        <f>SUM(K42:K46)</f>
        <v>605.65059114285714</v>
      </c>
      <c r="L47" s="80"/>
      <c r="M47" s="80"/>
      <c r="N47" s="80" t="s">
        <v>2178</v>
      </c>
      <c r="O47" s="80" t="s">
        <v>2176</v>
      </c>
      <c r="P47" s="80"/>
      <c r="Q47" s="80"/>
    </row>
    <row r="48" spans="1:17" s="56" customFormat="1" ht="11.25" hidden="1" x14ac:dyDescent="0.25">
      <c r="G48" s="84" t="s">
        <v>2179</v>
      </c>
      <c r="H48" s="84" t="s">
        <v>2176</v>
      </c>
      <c r="I48" s="85">
        <f>F47+K47+P47</f>
        <v>734.67201971428574</v>
      </c>
      <c r="K48" s="86"/>
    </row>
    <row r="49" spans="1:17" s="56" customFormat="1" ht="11.25" hidden="1" x14ac:dyDescent="0.25">
      <c r="G49" s="84" t="s">
        <v>2180</v>
      </c>
      <c r="H49" s="87" t="s">
        <v>2176</v>
      </c>
      <c r="I49" s="74">
        <f>I48*0.15</f>
        <v>110.20080295714286</v>
      </c>
      <c r="J49" s="84"/>
    </row>
    <row r="50" spans="1:17" s="56" customFormat="1" ht="11.25" hidden="1" x14ac:dyDescent="0.25">
      <c r="G50" s="88" t="s">
        <v>1274</v>
      </c>
      <c r="H50" s="87" t="s">
        <v>2176</v>
      </c>
      <c r="I50" s="89">
        <f>I48+I49</f>
        <v>844.87282267142859</v>
      </c>
      <c r="J50" s="84"/>
      <c r="N50" s="56" t="s">
        <v>2184</v>
      </c>
      <c r="O50" s="89">
        <f>I50</f>
        <v>844.87282267142859</v>
      </c>
    </row>
    <row r="51" spans="1:17" s="56" customFormat="1" ht="11.25" hidden="1" x14ac:dyDescent="0.25">
      <c r="G51" s="84"/>
      <c r="H51" s="87"/>
      <c r="I51" s="74"/>
      <c r="J51" s="84"/>
      <c r="L51" s="521"/>
      <c r="M51" s="521"/>
      <c r="N51" s="521"/>
      <c r="O51" s="96"/>
      <c r="P51" s="57"/>
    </row>
    <row r="52" spans="1:17" s="56" customFormat="1" ht="11.25" hidden="1" x14ac:dyDescent="0.25">
      <c r="A52" s="53" t="s">
        <v>2161</v>
      </c>
      <c r="B52" s="54">
        <v>14.02</v>
      </c>
      <c r="C52" s="53"/>
      <c r="D52" s="53"/>
      <c r="E52" s="489" t="s">
        <v>2162</v>
      </c>
      <c r="F52" s="489"/>
      <c r="G52" s="510" t="s">
        <v>2187</v>
      </c>
      <c r="H52" s="511"/>
      <c r="I52" s="511"/>
      <c r="J52" s="511"/>
      <c r="K52" s="511"/>
      <c r="L52" s="511"/>
      <c r="M52" s="511"/>
      <c r="N52" s="511"/>
      <c r="O52" s="512"/>
      <c r="P52" s="55"/>
      <c r="Q52" s="55"/>
    </row>
    <row r="53" spans="1:17" s="56" customFormat="1" ht="20.25" hidden="1" customHeight="1" thickBot="1" x14ac:dyDescent="0.3">
      <c r="A53" s="57" t="s">
        <v>20</v>
      </c>
      <c r="B53" s="57" t="s">
        <v>2164</v>
      </c>
      <c r="C53" s="57"/>
      <c r="D53" s="57"/>
      <c r="E53" s="57"/>
      <c r="F53" s="57"/>
      <c r="G53" s="513"/>
      <c r="H53" s="514"/>
      <c r="I53" s="514"/>
      <c r="J53" s="514"/>
      <c r="K53" s="514"/>
      <c r="L53" s="514"/>
      <c r="M53" s="514"/>
      <c r="N53" s="514"/>
      <c r="O53" s="515"/>
      <c r="P53" s="516"/>
      <c r="Q53" s="517"/>
    </row>
    <row r="54" spans="1:17" s="56" customFormat="1" ht="11.25" hidden="1" x14ac:dyDescent="0.25">
      <c r="A54" s="492" t="s">
        <v>2165</v>
      </c>
      <c r="B54" s="494" t="s">
        <v>2166</v>
      </c>
      <c r="C54" s="495"/>
      <c r="D54" s="495"/>
      <c r="E54" s="495"/>
      <c r="F54" s="496"/>
      <c r="G54" s="494" t="s">
        <v>2167</v>
      </c>
      <c r="H54" s="495"/>
      <c r="I54" s="495"/>
      <c r="J54" s="495"/>
      <c r="K54" s="496"/>
      <c r="L54" s="494" t="s">
        <v>2168</v>
      </c>
      <c r="M54" s="495"/>
      <c r="N54" s="495"/>
      <c r="O54" s="495"/>
      <c r="P54" s="496"/>
      <c r="Q54" s="503" t="s">
        <v>1309</v>
      </c>
    </row>
    <row r="55" spans="1:17" s="56" customFormat="1" ht="11.25" hidden="1" x14ac:dyDescent="0.25">
      <c r="A55" s="493"/>
      <c r="B55" s="58" t="s">
        <v>19</v>
      </c>
      <c r="C55" s="59" t="s">
        <v>20</v>
      </c>
      <c r="D55" s="59" t="s">
        <v>2169</v>
      </c>
      <c r="E55" s="59" t="s">
        <v>22</v>
      </c>
      <c r="F55" s="60" t="s">
        <v>23</v>
      </c>
      <c r="G55" s="58" t="s">
        <v>19</v>
      </c>
      <c r="H55" s="59" t="s">
        <v>20</v>
      </c>
      <c r="I55" s="59" t="s">
        <v>2169</v>
      </c>
      <c r="J55" s="59" t="s">
        <v>22</v>
      </c>
      <c r="K55" s="60" t="s">
        <v>23</v>
      </c>
      <c r="L55" s="58" t="s">
        <v>19</v>
      </c>
      <c r="M55" s="59" t="s">
        <v>20</v>
      </c>
      <c r="N55" s="59" t="s">
        <v>2169</v>
      </c>
      <c r="O55" s="59" t="s">
        <v>22</v>
      </c>
      <c r="P55" s="60" t="s">
        <v>23</v>
      </c>
      <c r="Q55" s="518"/>
    </row>
    <row r="56" spans="1:17" s="56" customFormat="1" ht="11.25" hidden="1" x14ac:dyDescent="0.25">
      <c r="A56" s="61">
        <v>14.02</v>
      </c>
      <c r="B56" s="62" t="s">
        <v>47</v>
      </c>
      <c r="C56" s="63" t="s">
        <v>2170</v>
      </c>
      <c r="D56" s="64">
        <v>0.2</v>
      </c>
      <c r="E56" s="65">
        <f>E28</f>
        <v>960</v>
      </c>
      <c r="F56" s="66">
        <f>D56*E56</f>
        <v>192</v>
      </c>
      <c r="G56" s="67" t="s">
        <v>2188</v>
      </c>
      <c r="H56" s="98" t="s">
        <v>2164</v>
      </c>
      <c r="I56" s="64">
        <v>1</v>
      </c>
      <c r="J56" s="65">
        <f>'[8]material rate'!H96</f>
        <v>526.75</v>
      </c>
      <c r="K56" s="66">
        <f>I56*J56</f>
        <v>526.75</v>
      </c>
      <c r="L56" s="62"/>
      <c r="M56" s="63"/>
      <c r="N56" s="64"/>
      <c r="O56" s="68"/>
      <c r="P56" s="66"/>
      <c r="Q56" s="69"/>
    </row>
    <row r="57" spans="1:17" s="56" customFormat="1" ht="11.25" hidden="1" x14ac:dyDescent="0.25">
      <c r="A57" s="70"/>
      <c r="B57" s="62" t="s">
        <v>29</v>
      </c>
      <c r="C57" s="63" t="s">
        <v>2170</v>
      </c>
      <c r="D57" s="64">
        <v>0.6</v>
      </c>
      <c r="E57" s="65">
        <f>E29</f>
        <v>700</v>
      </c>
      <c r="F57" s="66">
        <f>D57*E57</f>
        <v>420</v>
      </c>
      <c r="L57" s="62"/>
      <c r="M57" s="63"/>
      <c r="N57" s="64"/>
      <c r="O57" s="68"/>
      <c r="P57" s="66"/>
      <c r="Q57" s="69"/>
    </row>
    <row r="58" spans="1:17" s="56" customFormat="1" ht="11.25" hidden="1" x14ac:dyDescent="0.25">
      <c r="A58" s="70"/>
      <c r="B58" s="62"/>
      <c r="C58" s="63"/>
      <c r="D58" s="68"/>
      <c r="E58" s="68"/>
      <c r="F58" s="77"/>
      <c r="G58" s="71" t="s">
        <v>2189</v>
      </c>
      <c r="H58" s="63" t="s">
        <v>2172</v>
      </c>
      <c r="I58" s="64">
        <v>5.5E-2</v>
      </c>
      <c r="J58" s="65">
        <f>stonedust</f>
        <v>1447.89</v>
      </c>
      <c r="K58" s="66">
        <f>I58*J58</f>
        <v>79.633950000000013</v>
      </c>
      <c r="L58" s="62"/>
      <c r="M58" s="63"/>
      <c r="N58" s="64"/>
      <c r="O58" s="68"/>
      <c r="P58" s="66"/>
      <c r="Q58" s="93"/>
    </row>
    <row r="59" spans="1:17" s="56" customFormat="1" ht="12" hidden="1" thickBot="1" x14ac:dyDescent="0.3">
      <c r="A59" s="80" t="s">
        <v>1274</v>
      </c>
      <c r="B59" s="81"/>
      <c r="C59" s="82"/>
      <c r="D59" s="82" t="s">
        <v>2175</v>
      </c>
      <c r="E59" s="82" t="s">
        <v>2176</v>
      </c>
      <c r="F59" s="83">
        <f>SUM(F56:F58)</f>
        <v>612</v>
      </c>
      <c r="G59" s="81"/>
      <c r="H59" s="82"/>
      <c r="I59" s="82" t="s">
        <v>2177</v>
      </c>
      <c r="J59" s="82" t="s">
        <v>2176</v>
      </c>
      <c r="K59" s="83">
        <f>SUM(K56:K58)</f>
        <v>606.38395000000003</v>
      </c>
      <c r="L59" s="81"/>
      <c r="M59" s="82"/>
      <c r="N59" s="82" t="s">
        <v>2178</v>
      </c>
      <c r="O59" s="82" t="s">
        <v>2176</v>
      </c>
      <c r="P59" s="83"/>
      <c r="Q59" s="80"/>
    </row>
    <row r="60" spans="1:17" s="56" customFormat="1" ht="11.25" hidden="1" x14ac:dyDescent="0.25">
      <c r="G60" s="84" t="s">
        <v>2179</v>
      </c>
      <c r="H60" s="84" t="s">
        <v>2176</v>
      </c>
      <c r="I60" s="85">
        <f>F59+K59</f>
        <v>1218.3839499999999</v>
      </c>
      <c r="K60" s="86"/>
    </row>
    <row r="61" spans="1:17" s="56" customFormat="1" ht="11.25" hidden="1" x14ac:dyDescent="0.25">
      <c r="G61" s="84" t="s">
        <v>2180</v>
      </c>
      <c r="H61" s="87" t="s">
        <v>2176</v>
      </c>
      <c r="I61" s="74">
        <f>I60*0.15</f>
        <v>182.75759249999999</v>
      </c>
      <c r="J61" s="84"/>
    </row>
    <row r="62" spans="1:17" s="56" customFormat="1" ht="11.25" hidden="1" x14ac:dyDescent="0.25">
      <c r="G62" s="88" t="s">
        <v>1274</v>
      </c>
      <c r="H62" s="87" t="s">
        <v>2176</v>
      </c>
      <c r="I62" s="89">
        <f>SUM(I60:I61)</f>
        <v>1401.1415425</v>
      </c>
      <c r="J62" s="84"/>
      <c r="N62" s="56" t="s">
        <v>2190</v>
      </c>
      <c r="O62" s="99">
        <f>I62</f>
        <v>1401.1415425</v>
      </c>
    </row>
    <row r="63" spans="1:17" s="56" customFormat="1" ht="11.25" hidden="1" x14ac:dyDescent="0.25">
      <c r="G63" s="84"/>
      <c r="H63" s="87"/>
      <c r="I63" s="74"/>
      <c r="J63" s="84"/>
      <c r="L63" s="57"/>
      <c r="M63" s="57"/>
      <c r="N63" s="57"/>
      <c r="O63" s="96"/>
      <c r="P63" s="57"/>
    </row>
    <row r="64" spans="1:17" s="56" customFormat="1" ht="11.25" hidden="1" x14ac:dyDescent="0.25">
      <c r="A64" s="53" t="s">
        <v>2161</v>
      </c>
      <c r="B64" s="54">
        <v>14.02</v>
      </c>
      <c r="C64" s="53"/>
      <c r="D64" s="53"/>
      <c r="E64" s="489" t="s">
        <v>2162</v>
      </c>
      <c r="F64" s="489"/>
      <c r="G64" s="510" t="s">
        <v>2191</v>
      </c>
      <c r="H64" s="511"/>
      <c r="I64" s="511"/>
      <c r="J64" s="511"/>
      <c r="K64" s="511"/>
      <c r="L64" s="511"/>
      <c r="M64" s="511"/>
      <c r="N64" s="511"/>
      <c r="O64" s="512"/>
      <c r="P64" s="55"/>
      <c r="Q64" s="55"/>
    </row>
    <row r="65" spans="1:17" s="56" customFormat="1" ht="15.75" hidden="1" customHeight="1" thickBot="1" x14ac:dyDescent="0.3">
      <c r="A65" s="57" t="s">
        <v>20</v>
      </c>
      <c r="B65" s="57" t="s">
        <v>2164</v>
      </c>
      <c r="C65" s="57"/>
      <c r="D65" s="57"/>
      <c r="E65" s="57"/>
      <c r="F65" s="57"/>
      <c r="G65" s="513"/>
      <c r="H65" s="514"/>
      <c r="I65" s="514"/>
      <c r="J65" s="514"/>
      <c r="K65" s="514"/>
      <c r="L65" s="514"/>
      <c r="M65" s="514"/>
      <c r="N65" s="514"/>
      <c r="O65" s="515"/>
      <c r="P65" s="516"/>
      <c r="Q65" s="517"/>
    </row>
    <row r="66" spans="1:17" s="56" customFormat="1" ht="11.25" hidden="1" x14ac:dyDescent="0.25">
      <c r="A66" s="492" t="s">
        <v>2165</v>
      </c>
      <c r="B66" s="494" t="s">
        <v>2166</v>
      </c>
      <c r="C66" s="495"/>
      <c r="D66" s="495"/>
      <c r="E66" s="495"/>
      <c r="F66" s="496"/>
      <c r="G66" s="494" t="s">
        <v>2167</v>
      </c>
      <c r="H66" s="495"/>
      <c r="I66" s="495"/>
      <c r="J66" s="495"/>
      <c r="K66" s="496"/>
      <c r="L66" s="494" t="s">
        <v>2168</v>
      </c>
      <c r="M66" s="495"/>
      <c r="N66" s="495"/>
      <c r="O66" s="495"/>
      <c r="P66" s="496"/>
      <c r="Q66" s="503" t="s">
        <v>1309</v>
      </c>
    </row>
    <row r="67" spans="1:17" s="56" customFormat="1" ht="11.25" hidden="1" x14ac:dyDescent="0.25">
      <c r="A67" s="493"/>
      <c r="B67" s="58" t="s">
        <v>19</v>
      </c>
      <c r="C67" s="59" t="s">
        <v>20</v>
      </c>
      <c r="D67" s="59" t="s">
        <v>2169</v>
      </c>
      <c r="E67" s="59" t="s">
        <v>22</v>
      </c>
      <c r="F67" s="60" t="s">
        <v>23</v>
      </c>
      <c r="G67" s="58" t="s">
        <v>19</v>
      </c>
      <c r="H67" s="59" t="s">
        <v>20</v>
      </c>
      <c r="I67" s="59" t="s">
        <v>2169</v>
      </c>
      <c r="J67" s="59" t="s">
        <v>22</v>
      </c>
      <c r="K67" s="60" t="s">
        <v>23</v>
      </c>
      <c r="L67" s="58" t="s">
        <v>19</v>
      </c>
      <c r="M67" s="59" t="s">
        <v>20</v>
      </c>
      <c r="N67" s="59" t="s">
        <v>2169</v>
      </c>
      <c r="O67" s="59" t="s">
        <v>22</v>
      </c>
      <c r="P67" s="60" t="s">
        <v>23</v>
      </c>
      <c r="Q67" s="518"/>
    </row>
    <row r="68" spans="1:17" s="56" customFormat="1" ht="11.25" hidden="1" x14ac:dyDescent="0.25">
      <c r="A68" s="61">
        <v>14.02</v>
      </c>
      <c r="B68" s="62" t="s">
        <v>47</v>
      </c>
      <c r="C68" s="63" t="s">
        <v>2170</v>
      </c>
      <c r="D68" s="64">
        <v>0.2</v>
      </c>
      <c r="E68" s="65">
        <f>E56</f>
        <v>960</v>
      </c>
      <c r="F68" s="66">
        <f>D68*E68</f>
        <v>192</v>
      </c>
      <c r="G68" s="56" t="s">
        <v>2188</v>
      </c>
      <c r="H68" s="98" t="s">
        <v>2164</v>
      </c>
      <c r="I68" s="64">
        <v>1</v>
      </c>
      <c r="J68" s="65">
        <f>'[8]material rate'!H97</f>
        <v>537.5</v>
      </c>
      <c r="K68" s="66">
        <f>I68*J68</f>
        <v>537.5</v>
      </c>
      <c r="L68" s="62"/>
      <c r="M68" s="63"/>
      <c r="N68" s="64"/>
      <c r="O68" s="68"/>
      <c r="P68" s="66"/>
      <c r="Q68" s="69"/>
    </row>
    <row r="69" spans="1:17" s="56" customFormat="1" ht="11.25" hidden="1" x14ac:dyDescent="0.25">
      <c r="A69" s="70"/>
      <c r="B69" s="62" t="s">
        <v>29</v>
      </c>
      <c r="C69" s="63" t="s">
        <v>2170</v>
      </c>
      <c r="D69" s="64">
        <v>0.6</v>
      </c>
      <c r="E69" s="65">
        <f>E57</f>
        <v>700</v>
      </c>
      <c r="F69" s="66">
        <f>D69*E69</f>
        <v>420</v>
      </c>
      <c r="G69" s="71" t="s">
        <v>2189</v>
      </c>
      <c r="H69" s="63" t="s">
        <v>2172</v>
      </c>
      <c r="I69" s="64">
        <v>5.5E-2</v>
      </c>
      <c r="J69" s="65">
        <f>J58</f>
        <v>1447.89</v>
      </c>
      <c r="K69" s="66">
        <f>I69*J69</f>
        <v>79.633950000000013</v>
      </c>
      <c r="L69" s="62"/>
      <c r="M69" s="63"/>
      <c r="N69" s="64"/>
      <c r="O69" s="68"/>
      <c r="P69" s="66"/>
      <c r="Q69" s="69"/>
    </row>
    <row r="70" spans="1:17" s="56" customFormat="1" ht="12" hidden="1" thickBot="1" x14ac:dyDescent="0.3">
      <c r="A70" s="80" t="s">
        <v>1274</v>
      </c>
      <c r="B70" s="81"/>
      <c r="C70" s="82"/>
      <c r="D70" s="82" t="s">
        <v>2175</v>
      </c>
      <c r="E70" s="82" t="s">
        <v>2176</v>
      </c>
      <c r="F70" s="83">
        <f>SUM(F68:F69)</f>
        <v>612</v>
      </c>
      <c r="G70" s="81"/>
      <c r="H70" s="82"/>
      <c r="I70" s="82" t="s">
        <v>2177</v>
      </c>
      <c r="J70" s="82" t="s">
        <v>2176</v>
      </c>
      <c r="K70" s="83">
        <f>SUM(K68:K69)</f>
        <v>617.13395000000003</v>
      </c>
      <c r="L70" s="81"/>
      <c r="M70" s="82"/>
      <c r="N70" s="82" t="s">
        <v>2178</v>
      </c>
      <c r="O70" s="82" t="s">
        <v>2176</v>
      </c>
      <c r="P70" s="83"/>
      <c r="Q70" s="80"/>
    </row>
    <row r="71" spans="1:17" s="56" customFormat="1" ht="11.25" hidden="1" x14ac:dyDescent="0.25">
      <c r="G71" s="84" t="s">
        <v>2179</v>
      </c>
      <c r="H71" s="84" t="s">
        <v>2176</v>
      </c>
      <c r="I71" s="85">
        <f>F70+K70</f>
        <v>1229.1339499999999</v>
      </c>
      <c r="K71" s="86"/>
    </row>
    <row r="72" spans="1:17" s="56" customFormat="1" ht="11.25" hidden="1" x14ac:dyDescent="0.25">
      <c r="G72" s="84" t="s">
        <v>2180</v>
      </c>
      <c r="H72" s="87" t="s">
        <v>2176</v>
      </c>
      <c r="I72" s="74">
        <f>I71*0.15</f>
        <v>184.37009249999997</v>
      </c>
      <c r="J72" s="84"/>
    </row>
    <row r="73" spans="1:17" s="56" customFormat="1" ht="11.25" hidden="1" x14ac:dyDescent="0.25">
      <c r="G73" s="88" t="s">
        <v>1274</v>
      </c>
      <c r="H73" s="87" t="s">
        <v>2176</v>
      </c>
      <c r="I73" s="89">
        <f>SUM(I71:I72)</f>
        <v>1413.5040425</v>
      </c>
      <c r="J73" s="84"/>
      <c r="N73" s="56" t="s">
        <v>2190</v>
      </c>
      <c r="O73" s="99">
        <f>I73</f>
        <v>1413.5040425</v>
      </c>
    </row>
    <row r="74" spans="1:17" s="56" customFormat="1" ht="11.25" hidden="1" customHeight="1" x14ac:dyDescent="0.25"/>
    <row r="75" spans="1:17" s="56" customFormat="1" ht="11.25" hidden="1" customHeight="1" x14ac:dyDescent="0.25">
      <c r="A75" s="53" t="s">
        <v>2161</v>
      </c>
      <c r="B75" s="54">
        <v>14.02</v>
      </c>
      <c r="C75" s="53"/>
      <c r="D75" s="53"/>
      <c r="E75" s="489" t="s">
        <v>2162</v>
      </c>
      <c r="F75" s="489"/>
      <c r="G75" s="510" t="s">
        <v>2192</v>
      </c>
      <c r="H75" s="511"/>
      <c r="I75" s="511"/>
      <c r="J75" s="511"/>
      <c r="K75" s="511"/>
      <c r="L75" s="511"/>
      <c r="M75" s="511"/>
      <c r="N75" s="511"/>
      <c r="O75" s="512"/>
      <c r="P75" s="55"/>
      <c r="Q75" s="55"/>
    </row>
    <row r="76" spans="1:17" s="56" customFormat="1" ht="11.25" hidden="1" customHeight="1" thickBot="1" x14ac:dyDescent="0.3">
      <c r="A76" s="57" t="s">
        <v>20</v>
      </c>
      <c r="B76" s="57" t="s">
        <v>2164</v>
      </c>
      <c r="C76" s="57"/>
      <c r="D76" s="57"/>
      <c r="E76" s="57"/>
      <c r="F76" s="57"/>
      <c r="G76" s="513"/>
      <c r="H76" s="514"/>
      <c r="I76" s="514"/>
      <c r="J76" s="514"/>
      <c r="K76" s="514"/>
      <c r="L76" s="514"/>
      <c r="M76" s="514"/>
      <c r="N76" s="514"/>
      <c r="O76" s="515"/>
      <c r="P76" s="516"/>
      <c r="Q76" s="517"/>
    </row>
    <row r="77" spans="1:17" s="56" customFormat="1" ht="11.25" hidden="1" customHeight="1" x14ac:dyDescent="0.25">
      <c r="A77" s="492" t="s">
        <v>2165</v>
      </c>
      <c r="B77" s="494" t="s">
        <v>2166</v>
      </c>
      <c r="C77" s="495"/>
      <c r="D77" s="495"/>
      <c r="E77" s="495"/>
      <c r="F77" s="496"/>
      <c r="G77" s="494" t="s">
        <v>2167</v>
      </c>
      <c r="H77" s="495"/>
      <c r="I77" s="495"/>
      <c r="J77" s="495"/>
      <c r="K77" s="496"/>
      <c r="L77" s="494" t="s">
        <v>2168</v>
      </c>
      <c r="M77" s="495"/>
      <c r="N77" s="495"/>
      <c r="O77" s="495"/>
      <c r="P77" s="496"/>
      <c r="Q77" s="503" t="s">
        <v>1309</v>
      </c>
    </row>
    <row r="78" spans="1:17" s="56" customFormat="1" ht="11.25" hidden="1" customHeight="1" x14ac:dyDescent="0.25">
      <c r="A78" s="493"/>
      <c r="B78" s="58" t="s">
        <v>19</v>
      </c>
      <c r="C78" s="59" t="s">
        <v>20</v>
      </c>
      <c r="D78" s="59" t="s">
        <v>2169</v>
      </c>
      <c r="E78" s="59" t="s">
        <v>22</v>
      </c>
      <c r="F78" s="60" t="s">
        <v>23</v>
      </c>
      <c r="G78" s="58" t="s">
        <v>19</v>
      </c>
      <c r="H78" s="59" t="s">
        <v>20</v>
      </c>
      <c r="I78" s="59" t="s">
        <v>2169</v>
      </c>
      <c r="J78" s="59" t="s">
        <v>22</v>
      </c>
      <c r="K78" s="60" t="s">
        <v>23</v>
      </c>
      <c r="L78" s="58" t="s">
        <v>19</v>
      </c>
      <c r="M78" s="59" t="s">
        <v>20</v>
      </c>
      <c r="N78" s="59" t="s">
        <v>2169</v>
      </c>
      <c r="O78" s="59" t="s">
        <v>22</v>
      </c>
      <c r="P78" s="60" t="s">
        <v>23</v>
      </c>
      <c r="Q78" s="518"/>
    </row>
    <row r="79" spans="1:17" s="56" customFormat="1" ht="23.25" hidden="1" customHeight="1" x14ac:dyDescent="0.25">
      <c r="A79" s="61">
        <v>14.02</v>
      </c>
      <c r="B79" s="62" t="s">
        <v>47</v>
      </c>
      <c r="C79" s="63" t="s">
        <v>2170</v>
      </c>
      <c r="D79" s="64">
        <v>0.2</v>
      </c>
      <c r="E79" s="65">
        <f>E68</f>
        <v>960</v>
      </c>
      <c r="F79" s="66">
        <f>D79*E79</f>
        <v>192</v>
      </c>
      <c r="G79" s="67" t="s">
        <v>2171</v>
      </c>
      <c r="H79" s="63" t="s">
        <v>2172</v>
      </c>
      <c r="I79" s="56">
        <v>5.5E-2</v>
      </c>
      <c r="J79" s="65">
        <f>m20_20</f>
        <v>13568.85</v>
      </c>
      <c r="K79" s="66">
        <f>J79*I79</f>
        <v>746.28674999999998</v>
      </c>
      <c r="L79" s="62"/>
      <c r="M79" s="63"/>
      <c r="N79" s="64"/>
      <c r="O79" s="68"/>
      <c r="P79" s="66"/>
      <c r="Q79" s="519" t="s">
        <v>2193</v>
      </c>
    </row>
    <row r="80" spans="1:17" s="56" customFormat="1" ht="11.25" hidden="1" customHeight="1" x14ac:dyDescent="0.25">
      <c r="A80" s="70"/>
      <c r="B80" s="62" t="s">
        <v>29</v>
      </c>
      <c r="C80" s="63" t="s">
        <v>2170</v>
      </c>
      <c r="D80" s="64">
        <v>0.6</v>
      </c>
      <c r="E80" s="65">
        <f>E69</f>
        <v>700</v>
      </c>
      <c r="F80" s="66">
        <f>D80*E80</f>
        <v>420</v>
      </c>
      <c r="G80" s="62" t="s">
        <v>85</v>
      </c>
      <c r="H80" s="63" t="s">
        <v>144</v>
      </c>
      <c r="I80" s="64">
        <v>6.5</v>
      </c>
      <c r="J80" s="100">
        <f>J29</f>
        <v>16.82</v>
      </c>
      <c r="K80" s="66">
        <f>J80*I80</f>
        <v>109.33</v>
      </c>
      <c r="L80" s="62"/>
      <c r="M80" s="63"/>
      <c r="N80" s="64"/>
      <c r="O80" s="68"/>
      <c r="P80" s="66"/>
      <c r="Q80" s="520"/>
    </row>
    <row r="81" spans="1:17" s="56" customFormat="1" ht="11.25" hidden="1" customHeight="1" x14ac:dyDescent="0.25">
      <c r="A81" s="70"/>
      <c r="B81" s="62"/>
      <c r="C81" s="63"/>
      <c r="D81" s="64"/>
      <c r="E81" s="65"/>
      <c r="F81" s="66"/>
      <c r="G81" s="62" t="s">
        <v>83</v>
      </c>
      <c r="H81" s="63" t="s">
        <v>2172</v>
      </c>
      <c r="I81" s="64">
        <v>1.2999999999999999E-2</v>
      </c>
      <c r="J81" s="65">
        <f>J30</f>
        <v>3104.64</v>
      </c>
      <c r="K81" s="66">
        <f>J81*I81</f>
        <v>40.360319999999994</v>
      </c>
      <c r="L81" s="73"/>
      <c r="M81" s="63"/>
      <c r="N81" s="64"/>
      <c r="O81" s="68">
        <v>0</v>
      </c>
      <c r="P81" s="77"/>
      <c r="Q81" s="520"/>
    </row>
    <row r="82" spans="1:17" s="56" customFormat="1" ht="11.25" hidden="1" customHeight="1" thickBot="1" x14ac:dyDescent="0.3">
      <c r="A82" s="70"/>
      <c r="B82" s="62"/>
      <c r="C82" s="63"/>
      <c r="D82" s="64"/>
      <c r="E82" s="68"/>
      <c r="F82" s="66"/>
      <c r="G82" s="56" t="s">
        <v>171</v>
      </c>
      <c r="H82" s="63" t="s">
        <v>1133</v>
      </c>
      <c r="I82" s="64">
        <v>2</v>
      </c>
      <c r="J82" s="78">
        <f>J31</f>
        <v>0.32</v>
      </c>
      <c r="K82" s="66">
        <f>J82*I82</f>
        <v>0.64</v>
      </c>
      <c r="L82" s="73"/>
      <c r="M82" s="63"/>
      <c r="N82" s="64"/>
      <c r="O82" s="68"/>
      <c r="P82" s="77"/>
      <c r="Q82" s="520"/>
    </row>
    <row r="83" spans="1:17" s="56" customFormat="1" ht="11.25" hidden="1" customHeight="1" thickBot="1" x14ac:dyDescent="0.3">
      <c r="A83" s="80" t="s">
        <v>1274</v>
      </c>
      <c r="B83" s="81"/>
      <c r="C83" s="82"/>
      <c r="D83" s="82" t="s">
        <v>2175</v>
      </c>
      <c r="E83" s="82" t="s">
        <v>2176</v>
      </c>
      <c r="F83" s="83">
        <f>SUM(F79:F82)</f>
        <v>612</v>
      </c>
      <c r="G83" s="81"/>
      <c r="H83" s="82"/>
      <c r="I83" s="82" t="s">
        <v>2177</v>
      </c>
      <c r="J83" s="82" t="s">
        <v>2176</v>
      </c>
      <c r="K83" s="83">
        <f>SUM(K79:K82)</f>
        <v>896.61707000000001</v>
      </c>
      <c r="L83" s="81"/>
      <c r="M83" s="82"/>
      <c r="N83" s="82" t="s">
        <v>2178</v>
      </c>
      <c r="O83" s="82" t="s">
        <v>2176</v>
      </c>
      <c r="P83" s="83">
        <f>SUM(P79:P82)</f>
        <v>0</v>
      </c>
      <c r="Q83" s="80"/>
    </row>
    <row r="84" spans="1:17" s="56" customFormat="1" ht="11.25" hidden="1" customHeight="1" x14ac:dyDescent="0.25">
      <c r="G84" s="84" t="s">
        <v>2179</v>
      </c>
      <c r="H84" s="87" t="s">
        <v>2176</v>
      </c>
      <c r="I84" s="85">
        <f>F83+K83+P83</f>
        <v>1508.61707</v>
      </c>
      <c r="J84" s="84"/>
    </row>
    <row r="85" spans="1:17" s="56" customFormat="1" ht="11.25" hidden="1" customHeight="1" x14ac:dyDescent="0.25">
      <c r="G85" s="84" t="s">
        <v>2180</v>
      </c>
      <c r="H85" s="87" t="s">
        <v>2176</v>
      </c>
      <c r="I85" s="74">
        <f>I84*0.15</f>
        <v>226.29256050000001</v>
      </c>
      <c r="J85" s="84"/>
    </row>
    <row r="86" spans="1:17" s="56" customFormat="1" ht="11.25" hidden="1" customHeight="1" x14ac:dyDescent="0.25">
      <c r="G86" s="84" t="s">
        <v>2194</v>
      </c>
      <c r="H86" s="87" t="s">
        <v>2176</v>
      </c>
      <c r="I86" s="89">
        <f>SUM(I84:I85)</f>
        <v>1734.9096305</v>
      </c>
      <c r="J86" s="84"/>
      <c r="L86" s="57"/>
      <c r="M86" s="57"/>
      <c r="N86" s="57" t="s">
        <v>2181</v>
      </c>
      <c r="O86" s="96">
        <f>I86</f>
        <v>1734.9096305</v>
      </c>
      <c r="P86" s="57"/>
    </row>
    <row r="87" spans="1:17" s="56" customFormat="1" ht="11.25" hidden="1" customHeight="1" x14ac:dyDescent="0.25">
      <c r="A87" s="101"/>
      <c r="B87" s="101"/>
      <c r="C87" s="102"/>
      <c r="D87" s="102"/>
      <c r="E87" s="102"/>
      <c r="F87" s="102"/>
      <c r="G87" s="102"/>
      <c r="H87" s="102"/>
      <c r="I87" s="102"/>
      <c r="J87" s="102"/>
      <c r="K87" s="102"/>
      <c r="L87" s="102"/>
      <c r="M87" s="102"/>
      <c r="N87" s="102"/>
      <c r="O87" s="102"/>
      <c r="P87" s="103"/>
      <c r="Q87" s="104"/>
    </row>
    <row r="88" spans="1:17" s="56" customFormat="1" ht="11.25" hidden="1" customHeight="1" x14ac:dyDescent="0.25">
      <c r="A88" s="53" t="s">
        <v>2161</v>
      </c>
      <c r="B88" s="54">
        <v>14.02</v>
      </c>
      <c r="C88" s="53"/>
      <c r="D88" s="53"/>
      <c r="E88" s="489" t="s">
        <v>2162</v>
      </c>
      <c r="F88" s="489"/>
      <c r="G88" s="510" t="s">
        <v>2195</v>
      </c>
      <c r="H88" s="511"/>
      <c r="I88" s="511"/>
      <c r="J88" s="511"/>
      <c r="K88" s="511"/>
      <c r="L88" s="511"/>
      <c r="M88" s="511"/>
      <c r="N88" s="511"/>
      <c r="O88" s="512"/>
      <c r="P88" s="55"/>
      <c r="Q88" s="55"/>
    </row>
    <row r="89" spans="1:17" s="56" customFormat="1" ht="15" hidden="1" customHeight="1" thickBot="1" x14ac:dyDescent="0.3">
      <c r="A89" s="57" t="s">
        <v>20</v>
      </c>
      <c r="B89" s="57" t="s">
        <v>2164</v>
      </c>
      <c r="C89" s="57"/>
      <c r="D89" s="57"/>
      <c r="E89" s="57"/>
      <c r="F89" s="57"/>
      <c r="G89" s="513"/>
      <c r="H89" s="514"/>
      <c r="I89" s="514"/>
      <c r="J89" s="514"/>
      <c r="K89" s="514"/>
      <c r="L89" s="514"/>
      <c r="M89" s="514"/>
      <c r="N89" s="514"/>
      <c r="O89" s="515"/>
      <c r="P89" s="516"/>
      <c r="Q89" s="517"/>
    </row>
    <row r="90" spans="1:17" s="56" customFormat="1" ht="11.25" hidden="1" customHeight="1" x14ac:dyDescent="0.25">
      <c r="A90" s="492" t="s">
        <v>2165</v>
      </c>
      <c r="B90" s="494" t="s">
        <v>2166</v>
      </c>
      <c r="C90" s="495"/>
      <c r="D90" s="495"/>
      <c r="E90" s="495"/>
      <c r="F90" s="496"/>
      <c r="G90" s="494" t="s">
        <v>2167</v>
      </c>
      <c r="H90" s="495"/>
      <c r="I90" s="495"/>
      <c r="J90" s="495"/>
      <c r="K90" s="496"/>
      <c r="L90" s="494" t="s">
        <v>2168</v>
      </c>
      <c r="M90" s="495"/>
      <c r="N90" s="495"/>
      <c r="O90" s="495"/>
      <c r="P90" s="496"/>
      <c r="Q90" s="503" t="s">
        <v>1309</v>
      </c>
    </row>
    <row r="91" spans="1:17" s="56" customFormat="1" ht="11.25" hidden="1" customHeight="1" x14ac:dyDescent="0.25">
      <c r="A91" s="493"/>
      <c r="B91" s="58" t="s">
        <v>19</v>
      </c>
      <c r="C91" s="59" t="s">
        <v>20</v>
      </c>
      <c r="D91" s="59" t="s">
        <v>2169</v>
      </c>
      <c r="E91" s="59" t="s">
        <v>22</v>
      </c>
      <c r="F91" s="60" t="s">
        <v>23</v>
      </c>
      <c r="G91" s="58" t="s">
        <v>19</v>
      </c>
      <c r="H91" s="59" t="s">
        <v>20</v>
      </c>
      <c r="I91" s="59" t="s">
        <v>2169</v>
      </c>
      <c r="J91" s="59" t="s">
        <v>22</v>
      </c>
      <c r="K91" s="60" t="s">
        <v>23</v>
      </c>
      <c r="L91" s="58" t="s">
        <v>19</v>
      </c>
      <c r="M91" s="59" t="s">
        <v>20</v>
      </c>
      <c r="N91" s="59" t="s">
        <v>2169</v>
      </c>
      <c r="O91" s="59" t="s">
        <v>22</v>
      </c>
      <c r="P91" s="60" t="s">
        <v>23</v>
      </c>
      <c r="Q91" s="518"/>
    </row>
    <row r="92" spans="1:17" s="56" customFormat="1" ht="11.25" hidden="1" customHeight="1" x14ac:dyDescent="0.25">
      <c r="A92" s="61">
        <v>14.02</v>
      </c>
      <c r="B92" s="62" t="s">
        <v>47</v>
      </c>
      <c r="C92" s="63" t="s">
        <v>2170</v>
      </c>
      <c r="D92" s="64">
        <v>0.15</v>
      </c>
      <c r="E92" s="65">
        <f>E79</f>
        <v>960</v>
      </c>
      <c r="F92" s="66">
        <f>D92*E92</f>
        <v>144</v>
      </c>
      <c r="G92" s="56" t="s">
        <v>2196</v>
      </c>
      <c r="H92" s="105" t="s">
        <v>2164</v>
      </c>
      <c r="I92" s="78">
        <v>1.1000000000000001</v>
      </c>
      <c r="J92" s="65">
        <f>'[8]material rate'!H98</f>
        <v>817</v>
      </c>
      <c r="K92" s="66">
        <f>I92*J92</f>
        <v>898.7</v>
      </c>
      <c r="L92" s="62"/>
      <c r="M92" s="63"/>
      <c r="N92" s="64"/>
      <c r="O92" s="68"/>
      <c r="P92" s="66"/>
      <c r="Q92" s="106"/>
    </row>
    <row r="93" spans="1:17" s="56" customFormat="1" ht="11.25" hidden="1" customHeight="1" x14ac:dyDescent="0.25">
      <c r="A93" s="70"/>
      <c r="B93" s="62" t="s">
        <v>29</v>
      </c>
      <c r="C93" s="63" t="s">
        <v>2170</v>
      </c>
      <c r="D93" s="64">
        <v>0.45</v>
      </c>
      <c r="E93" s="65">
        <f>E80</f>
        <v>700</v>
      </c>
      <c r="F93" s="66">
        <f>D93*E93</f>
        <v>315</v>
      </c>
      <c r="G93" s="62" t="s">
        <v>85</v>
      </c>
      <c r="H93" s="63" t="s">
        <v>144</v>
      </c>
      <c r="I93" s="64">
        <v>6.5</v>
      </c>
      <c r="J93" s="65">
        <f>J80</f>
        <v>16.82</v>
      </c>
      <c r="K93" s="66">
        <f>I93*J93</f>
        <v>109.33</v>
      </c>
      <c r="L93" s="62"/>
      <c r="M93" s="63"/>
      <c r="N93" s="64"/>
      <c r="O93" s="68"/>
      <c r="P93" s="66"/>
      <c r="Q93" s="76"/>
    </row>
    <row r="94" spans="1:17" s="56" customFormat="1" ht="11.25" hidden="1" customHeight="1" x14ac:dyDescent="0.25">
      <c r="A94" s="70"/>
      <c r="B94" s="62"/>
      <c r="C94" s="63"/>
      <c r="D94" s="64"/>
      <c r="E94" s="65"/>
      <c r="F94" s="66"/>
      <c r="G94" s="62" t="s">
        <v>83</v>
      </c>
      <c r="H94" s="63" t="s">
        <v>2172</v>
      </c>
      <c r="I94" s="64">
        <v>1.2999999999999999E-2</v>
      </c>
      <c r="J94" s="65">
        <f>J81</f>
        <v>3104.64</v>
      </c>
      <c r="K94" s="66">
        <f>I94*J94</f>
        <v>40.360319999999994</v>
      </c>
      <c r="L94" s="73"/>
      <c r="M94" s="63"/>
      <c r="N94" s="64"/>
      <c r="O94" s="68">
        <v>0</v>
      </c>
      <c r="P94" s="77"/>
      <c r="Q94" s="76"/>
    </row>
    <row r="95" spans="1:17" s="56" customFormat="1" ht="11.25" hidden="1" customHeight="1" thickBot="1" x14ac:dyDescent="0.3">
      <c r="A95" s="70"/>
      <c r="B95" s="62"/>
      <c r="C95" s="63"/>
      <c r="D95" s="64"/>
      <c r="E95" s="65"/>
      <c r="F95" s="66"/>
      <c r="G95" s="56" t="s">
        <v>171</v>
      </c>
      <c r="H95" s="63" t="s">
        <v>1133</v>
      </c>
      <c r="I95" s="107">
        <v>2</v>
      </c>
      <c r="J95" s="65">
        <f>J82</f>
        <v>0.32</v>
      </c>
      <c r="K95" s="66">
        <f>I95*J95</f>
        <v>0.64</v>
      </c>
      <c r="L95" s="73"/>
      <c r="M95" s="63"/>
      <c r="N95" s="64"/>
      <c r="O95" s="68"/>
      <c r="P95" s="77"/>
      <c r="Q95" s="76"/>
    </row>
    <row r="96" spans="1:17" s="56" customFormat="1" ht="11.25" hidden="1" customHeight="1" thickBot="1" x14ac:dyDescent="0.3">
      <c r="A96" s="80" t="s">
        <v>1274</v>
      </c>
      <c r="B96" s="81"/>
      <c r="C96" s="82"/>
      <c r="D96" s="82" t="s">
        <v>2175</v>
      </c>
      <c r="E96" s="82" t="s">
        <v>2176</v>
      </c>
      <c r="F96" s="83">
        <f>SUM(F92:F95)</f>
        <v>459</v>
      </c>
      <c r="G96" s="81"/>
      <c r="H96" s="82"/>
      <c r="I96" s="82" t="s">
        <v>2177</v>
      </c>
      <c r="J96" s="82" t="s">
        <v>2176</v>
      </c>
      <c r="K96" s="83">
        <f>SUM(K92:K95)</f>
        <v>1049.0303200000001</v>
      </c>
      <c r="L96" s="81"/>
      <c r="M96" s="82"/>
      <c r="N96" s="82" t="s">
        <v>2178</v>
      </c>
      <c r="O96" s="82" t="s">
        <v>2176</v>
      </c>
      <c r="P96" s="83">
        <f>SUM(P92:P95)</f>
        <v>0</v>
      </c>
      <c r="Q96" s="80"/>
    </row>
    <row r="97" spans="1:17" s="56" customFormat="1" ht="11.25" hidden="1" customHeight="1" x14ac:dyDescent="0.25">
      <c r="G97" s="84" t="s">
        <v>2179</v>
      </c>
      <c r="H97" s="87" t="s">
        <v>2176</v>
      </c>
      <c r="I97" s="85">
        <f>F96+K96+P96</f>
        <v>1508.0303200000001</v>
      </c>
      <c r="J97" s="84"/>
    </row>
    <row r="98" spans="1:17" s="56" customFormat="1" ht="11.25" hidden="1" customHeight="1" x14ac:dyDescent="0.25">
      <c r="G98" s="84" t="s">
        <v>2180</v>
      </c>
      <c r="H98" s="87" t="s">
        <v>2176</v>
      </c>
      <c r="I98" s="74">
        <f>I97*0.15</f>
        <v>226.20454800000002</v>
      </c>
      <c r="J98" s="84"/>
    </row>
    <row r="99" spans="1:17" s="56" customFormat="1" ht="11.25" hidden="1" customHeight="1" x14ac:dyDescent="0.25">
      <c r="G99" s="88" t="s">
        <v>1274</v>
      </c>
      <c r="H99" s="87" t="s">
        <v>2176</v>
      </c>
      <c r="I99" s="89">
        <f>SUM(I97:I98)</f>
        <v>1734.234868</v>
      </c>
      <c r="J99" s="84"/>
      <c r="L99" s="57"/>
      <c r="M99" s="57"/>
      <c r="N99" s="57" t="s">
        <v>2181</v>
      </c>
      <c r="O99" s="96">
        <f>I99</f>
        <v>1734.234868</v>
      </c>
      <c r="P99" s="57"/>
    </row>
    <row r="100" spans="1:17" s="56" customFormat="1" ht="11.25" hidden="1" x14ac:dyDescent="0.25">
      <c r="A100" s="53" t="s">
        <v>2161</v>
      </c>
      <c r="B100" s="54">
        <v>14.03</v>
      </c>
      <c r="C100" s="53"/>
      <c r="D100" s="53"/>
      <c r="E100" s="489" t="s">
        <v>2162</v>
      </c>
      <c r="F100" s="489"/>
      <c r="G100" s="510" t="s">
        <v>2197</v>
      </c>
      <c r="H100" s="511"/>
      <c r="I100" s="511"/>
      <c r="J100" s="511"/>
      <c r="K100" s="511"/>
      <c r="L100" s="511"/>
      <c r="M100" s="511"/>
      <c r="N100" s="511"/>
      <c r="O100" s="512"/>
      <c r="P100" s="55"/>
      <c r="Q100" s="55"/>
    </row>
    <row r="101" spans="1:17" s="56" customFormat="1" ht="12" hidden="1" thickBot="1" x14ac:dyDescent="0.3">
      <c r="A101" s="57" t="s">
        <v>20</v>
      </c>
      <c r="B101" s="57" t="s">
        <v>2164</v>
      </c>
      <c r="C101" s="57"/>
      <c r="D101" s="57"/>
      <c r="E101" s="57"/>
      <c r="F101" s="57"/>
      <c r="G101" s="513"/>
      <c r="H101" s="514"/>
      <c r="I101" s="514"/>
      <c r="J101" s="514"/>
      <c r="K101" s="514"/>
      <c r="L101" s="514"/>
      <c r="M101" s="514"/>
      <c r="N101" s="514"/>
      <c r="O101" s="515"/>
      <c r="P101" s="516"/>
      <c r="Q101" s="517"/>
    </row>
    <row r="102" spans="1:17" s="56" customFormat="1" ht="11.25" hidden="1" x14ac:dyDescent="0.25">
      <c r="A102" s="492" t="s">
        <v>2165</v>
      </c>
      <c r="B102" s="494" t="s">
        <v>2166</v>
      </c>
      <c r="C102" s="495"/>
      <c r="D102" s="495"/>
      <c r="E102" s="495"/>
      <c r="F102" s="496"/>
      <c r="G102" s="494" t="s">
        <v>2167</v>
      </c>
      <c r="H102" s="495"/>
      <c r="I102" s="495"/>
      <c r="J102" s="495"/>
      <c r="K102" s="496"/>
      <c r="L102" s="494" t="s">
        <v>2168</v>
      </c>
      <c r="M102" s="495"/>
      <c r="N102" s="495"/>
      <c r="O102" s="495"/>
      <c r="P102" s="496"/>
      <c r="Q102" s="503" t="s">
        <v>1309</v>
      </c>
    </row>
    <row r="103" spans="1:17" s="56" customFormat="1" ht="11.25" hidden="1" x14ac:dyDescent="0.25">
      <c r="A103" s="493"/>
      <c r="B103" s="58" t="s">
        <v>19</v>
      </c>
      <c r="C103" s="59" t="s">
        <v>20</v>
      </c>
      <c r="D103" s="59" t="s">
        <v>2169</v>
      </c>
      <c r="E103" s="59" t="s">
        <v>22</v>
      </c>
      <c r="F103" s="60" t="s">
        <v>23</v>
      </c>
      <c r="G103" s="58" t="s">
        <v>19</v>
      </c>
      <c r="H103" s="59" t="s">
        <v>20</v>
      </c>
      <c r="I103" s="59" t="s">
        <v>2169</v>
      </c>
      <c r="J103" s="59" t="s">
        <v>22</v>
      </c>
      <c r="K103" s="60" t="s">
        <v>23</v>
      </c>
      <c r="L103" s="58" t="s">
        <v>19</v>
      </c>
      <c r="M103" s="59" t="s">
        <v>20</v>
      </c>
      <c r="N103" s="59" t="s">
        <v>2169</v>
      </c>
      <c r="O103" s="59" t="s">
        <v>22</v>
      </c>
      <c r="P103" s="60" t="s">
        <v>23</v>
      </c>
      <c r="Q103" s="518"/>
    </row>
    <row r="104" spans="1:17" s="56" customFormat="1" ht="11.25" hidden="1" x14ac:dyDescent="0.25">
      <c r="A104" s="61">
        <v>14.03</v>
      </c>
      <c r="B104" s="62" t="s">
        <v>47</v>
      </c>
      <c r="C104" s="63" t="s">
        <v>2170</v>
      </c>
      <c r="D104" s="64">
        <v>0.1</v>
      </c>
      <c r="E104" s="65">
        <f>E92</f>
        <v>960</v>
      </c>
      <c r="F104" s="66">
        <f>D104*E104</f>
        <v>96</v>
      </c>
      <c r="G104" s="56" t="s">
        <v>451</v>
      </c>
      <c r="H104" s="105" t="s">
        <v>1812</v>
      </c>
      <c r="I104" s="78">
        <v>75</v>
      </c>
      <c r="J104" s="65">
        <f>brick</f>
        <v>14.54</v>
      </c>
      <c r="K104" s="66">
        <f>J104*I104</f>
        <v>1090.5</v>
      </c>
      <c r="L104" s="62"/>
      <c r="M104" s="63"/>
      <c r="N104" s="64"/>
      <c r="O104" s="68"/>
      <c r="P104" s="66"/>
      <c r="Q104" s="106"/>
    </row>
    <row r="105" spans="1:17" s="56" customFormat="1" ht="11.25" hidden="1" x14ac:dyDescent="0.25">
      <c r="A105" s="70"/>
      <c r="B105" s="62" t="s">
        <v>29</v>
      </c>
      <c r="C105" s="63" t="s">
        <v>2170</v>
      </c>
      <c r="D105" s="64">
        <v>0.2</v>
      </c>
      <c r="E105" s="65">
        <f>E93</f>
        <v>700</v>
      </c>
      <c r="F105" s="66">
        <f>D105*E105</f>
        <v>140</v>
      </c>
      <c r="G105" s="62" t="s">
        <v>83</v>
      </c>
      <c r="H105" s="63" t="s">
        <v>2172</v>
      </c>
      <c r="I105" s="65">
        <v>7.0000000000000007E-2</v>
      </c>
      <c r="J105" s="65">
        <f>J94</f>
        <v>3104.64</v>
      </c>
      <c r="K105" s="66">
        <f>J105*I105</f>
        <v>217.32480000000001</v>
      </c>
      <c r="L105" s="62"/>
      <c r="M105" s="63"/>
      <c r="N105" s="64"/>
      <c r="O105" s="68"/>
      <c r="P105" s="66"/>
      <c r="Q105" s="76"/>
    </row>
    <row r="106" spans="1:17" s="108" customFormat="1" ht="11.25" hidden="1" x14ac:dyDescent="0.25">
      <c r="A106" s="70"/>
      <c r="B106" s="62"/>
      <c r="C106" s="63"/>
      <c r="D106" s="64"/>
      <c r="E106" s="65"/>
      <c r="F106" s="66"/>
      <c r="G106" s="56"/>
      <c r="H106" s="63"/>
      <c r="I106" s="64"/>
      <c r="J106" s="65"/>
      <c r="K106" s="66"/>
      <c r="L106" s="73"/>
      <c r="M106" s="63"/>
      <c r="N106" s="64"/>
      <c r="O106" s="68">
        <v>0</v>
      </c>
      <c r="P106" s="77"/>
      <c r="Q106" s="76"/>
    </row>
    <row r="107" spans="1:17" s="56" customFormat="1" ht="12" hidden="1" thickBot="1" x14ac:dyDescent="0.3">
      <c r="A107" s="80" t="s">
        <v>1274</v>
      </c>
      <c r="B107" s="81"/>
      <c r="C107" s="82"/>
      <c r="D107" s="82" t="s">
        <v>2175</v>
      </c>
      <c r="E107" s="82" t="s">
        <v>2176</v>
      </c>
      <c r="F107" s="83">
        <f>SUM(F104:F106)</f>
        <v>236</v>
      </c>
      <c r="G107" s="81"/>
      <c r="H107" s="82"/>
      <c r="I107" s="82" t="s">
        <v>2177</v>
      </c>
      <c r="J107" s="82" t="s">
        <v>2176</v>
      </c>
      <c r="K107" s="83">
        <f>SUM(K104:K106)</f>
        <v>1307.8248000000001</v>
      </c>
      <c r="L107" s="81"/>
      <c r="M107" s="82"/>
      <c r="N107" s="82" t="s">
        <v>2178</v>
      </c>
      <c r="O107" s="82" t="s">
        <v>2176</v>
      </c>
      <c r="P107" s="83">
        <f>SUM(P104:P106)</f>
        <v>0</v>
      </c>
      <c r="Q107" s="80"/>
    </row>
    <row r="108" spans="1:17" s="56" customFormat="1" ht="11.25" hidden="1" x14ac:dyDescent="0.25">
      <c r="G108" s="84" t="s">
        <v>2179</v>
      </c>
      <c r="H108" s="87" t="s">
        <v>2176</v>
      </c>
      <c r="I108" s="85">
        <f>F107+K107+P107</f>
        <v>1543.8248000000001</v>
      </c>
      <c r="J108" s="84"/>
    </row>
    <row r="109" spans="1:17" s="56" customFormat="1" ht="11.25" hidden="1" x14ac:dyDescent="0.25">
      <c r="G109" s="84" t="s">
        <v>2180</v>
      </c>
      <c r="H109" s="87" t="s">
        <v>2176</v>
      </c>
      <c r="I109" s="74">
        <f>I108*0.15</f>
        <v>231.57372000000001</v>
      </c>
      <c r="J109" s="84"/>
    </row>
    <row r="110" spans="1:17" s="56" customFormat="1" ht="11.25" hidden="1" x14ac:dyDescent="0.25">
      <c r="G110" s="84" t="s">
        <v>2194</v>
      </c>
      <c r="H110" s="87" t="s">
        <v>2176</v>
      </c>
      <c r="I110" s="89">
        <f>SUM(I108:I109)</f>
        <v>1775.3985200000002</v>
      </c>
      <c r="J110" s="84"/>
      <c r="L110" s="57"/>
      <c r="M110" s="57"/>
      <c r="N110" s="57" t="s">
        <v>2181</v>
      </c>
      <c r="O110" s="96">
        <f>I110</f>
        <v>1775.3985200000002</v>
      </c>
      <c r="P110" s="57"/>
    </row>
    <row r="111" spans="1:17" s="56" customFormat="1" ht="11.25" hidden="1" x14ac:dyDescent="0.25">
      <c r="A111" s="53" t="s">
        <v>2161</v>
      </c>
      <c r="B111" s="54">
        <v>14.03</v>
      </c>
      <c r="C111" s="53"/>
      <c r="D111" s="53"/>
      <c r="E111" s="489" t="s">
        <v>2162</v>
      </c>
      <c r="F111" s="489"/>
      <c r="G111" s="510" t="s">
        <v>2198</v>
      </c>
      <c r="H111" s="511"/>
      <c r="I111" s="511"/>
      <c r="J111" s="511"/>
      <c r="K111" s="511"/>
      <c r="L111" s="511"/>
      <c r="M111" s="511"/>
      <c r="N111" s="511"/>
      <c r="O111" s="512"/>
      <c r="P111" s="55"/>
      <c r="Q111" s="55"/>
    </row>
    <row r="112" spans="1:17" s="56" customFormat="1" ht="12" hidden="1" thickBot="1" x14ac:dyDescent="0.3">
      <c r="A112" s="57" t="s">
        <v>20</v>
      </c>
      <c r="B112" s="57" t="s">
        <v>2164</v>
      </c>
      <c r="C112" s="57"/>
      <c r="D112" s="57"/>
      <c r="E112" s="57"/>
      <c r="F112" s="57"/>
      <c r="G112" s="513"/>
      <c r="H112" s="514"/>
      <c r="I112" s="514"/>
      <c r="J112" s="514"/>
      <c r="K112" s="514"/>
      <c r="L112" s="514"/>
      <c r="M112" s="514"/>
      <c r="N112" s="514"/>
      <c r="O112" s="515"/>
      <c r="P112" s="516"/>
      <c r="Q112" s="517"/>
    </row>
    <row r="113" spans="1:17" s="56" customFormat="1" ht="11.25" hidden="1" x14ac:dyDescent="0.25">
      <c r="A113" s="492" t="s">
        <v>2165</v>
      </c>
      <c r="B113" s="494" t="s">
        <v>2166</v>
      </c>
      <c r="C113" s="495"/>
      <c r="D113" s="495"/>
      <c r="E113" s="495"/>
      <c r="F113" s="496"/>
      <c r="G113" s="494" t="s">
        <v>2167</v>
      </c>
      <c r="H113" s="495"/>
      <c r="I113" s="495"/>
      <c r="J113" s="495"/>
      <c r="K113" s="496"/>
      <c r="L113" s="494" t="s">
        <v>2168</v>
      </c>
      <c r="M113" s="495"/>
      <c r="N113" s="495"/>
      <c r="O113" s="495"/>
      <c r="P113" s="496"/>
      <c r="Q113" s="503" t="s">
        <v>1309</v>
      </c>
    </row>
    <row r="114" spans="1:17" s="56" customFormat="1" ht="11.25" hidden="1" x14ac:dyDescent="0.25">
      <c r="A114" s="493"/>
      <c r="B114" s="58" t="s">
        <v>19</v>
      </c>
      <c r="C114" s="59" t="s">
        <v>20</v>
      </c>
      <c r="D114" s="59" t="s">
        <v>2169</v>
      </c>
      <c r="E114" s="59" t="s">
        <v>22</v>
      </c>
      <c r="F114" s="60" t="s">
        <v>23</v>
      </c>
      <c r="G114" s="58" t="s">
        <v>19</v>
      </c>
      <c r="H114" s="59" t="s">
        <v>20</v>
      </c>
      <c r="I114" s="59" t="s">
        <v>2169</v>
      </c>
      <c r="J114" s="59" t="s">
        <v>22</v>
      </c>
      <c r="K114" s="60" t="s">
        <v>23</v>
      </c>
      <c r="L114" s="58" t="s">
        <v>19</v>
      </c>
      <c r="M114" s="59" t="s">
        <v>20</v>
      </c>
      <c r="N114" s="59" t="s">
        <v>2169</v>
      </c>
      <c r="O114" s="59" t="s">
        <v>22</v>
      </c>
      <c r="P114" s="60" t="s">
        <v>23</v>
      </c>
      <c r="Q114" s="518"/>
    </row>
    <row r="115" spans="1:17" s="56" customFormat="1" ht="11.25" hidden="1" x14ac:dyDescent="0.25">
      <c r="A115" s="61">
        <v>14.03</v>
      </c>
      <c r="B115" s="62" t="s">
        <v>47</v>
      </c>
      <c r="C115" s="63" t="s">
        <v>2170</v>
      </c>
      <c r="D115" s="64">
        <v>0.05</v>
      </c>
      <c r="E115" s="65">
        <f>E104</f>
        <v>960</v>
      </c>
      <c r="F115" s="66">
        <f>D115*E115</f>
        <v>48</v>
      </c>
      <c r="G115" s="56" t="s">
        <v>451</v>
      </c>
      <c r="H115" s="105" t="s">
        <v>1812</v>
      </c>
      <c r="I115" s="78">
        <v>40</v>
      </c>
      <c r="J115" s="65">
        <f>J104</f>
        <v>14.54</v>
      </c>
      <c r="K115" s="66">
        <f>J115*I115</f>
        <v>581.59999999999991</v>
      </c>
      <c r="L115" s="62"/>
      <c r="M115" s="63"/>
      <c r="N115" s="64"/>
      <c r="O115" s="68"/>
      <c r="P115" s="66"/>
      <c r="Q115" s="106"/>
    </row>
    <row r="116" spans="1:17" s="56" customFormat="1" ht="11.25" hidden="1" x14ac:dyDescent="0.25">
      <c r="A116" s="70"/>
      <c r="B116" s="62" t="s">
        <v>29</v>
      </c>
      <c r="C116" s="63" t="s">
        <v>2170</v>
      </c>
      <c r="D116" s="64">
        <v>0.1</v>
      </c>
      <c r="E116" s="65">
        <f>E105</f>
        <v>700</v>
      </c>
      <c r="F116" s="66">
        <f>D116*E116</f>
        <v>70</v>
      </c>
      <c r="G116" s="62" t="s">
        <v>83</v>
      </c>
      <c r="H116" s="63" t="s">
        <v>2172</v>
      </c>
      <c r="I116" s="65">
        <v>7.0000000000000007E-2</v>
      </c>
      <c r="J116" s="65">
        <f>J105</f>
        <v>3104.64</v>
      </c>
      <c r="K116" s="66"/>
      <c r="L116" s="62"/>
      <c r="M116" s="63"/>
      <c r="N116" s="64"/>
      <c r="O116" s="68"/>
      <c r="P116" s="66"/>
      <c r="Q116" s="76"/>
    </row>
    <row r="117" spans="1:17" s="56" customFormat="1" ht="12" hidden="1" thickBot="1" x14ac:dyDescent="0.3">
      <c r="A117" s="80" t="s">
        <v>1274</v>
      </c>
      <c r="B117" s="81"/>
      <c r="C117" s="82"/>
      <c r="D117" s="82" t="s">
        <v>2175</v>
      </c>
      <c r="E117" s="82" t="s">
        <v>2176</v>
      </c>
      <c r="F117" s="83">
        <f>SUM(F115:F116)</f>
        <v>118</v>
      </c>
      <c r="G117" s="81"/>
      <c r="H117" s="82"/>
      <c r="I117" s="82" t="s">
        <v>2177</v>
      </c>
      <c r="J117" s="82" t="s">
        <v>2176</v>
      </c>
      <c r="K117" s="83">
        <f>SUM(K115:K116)</f>
        <v>581.59999999999991</v>
      </c>
      <c r="L117" s="81"/>
      <c r="M117" s="82"/>
      <c r="N117" s="82" t="s">
        <v>2178</v>
      </c>
      <c r="O117" s="82" t="s">
        <v>2176</v>
      </c>
      <c r="P117" s="83">
        <f>SUM(P115:P116)</f>
        <v>0</v>
      </c>
      <c r="Q117" s="80"/>
    </row>
    <row r="118" spans="1:17" s="56" customFormat="1" ht="11.25" hidden="1" x14ac:dyDescent="0.25">
      <c r="G118" s="84" t="s">
        <v>2179</v>
      </c>
      <c r="H118" s="87" t="s">
        <v>2176</v>
      </c>
      <c r="I118" s="85">
        <f>F117+K117+P117</f>
        <v>699.59999999999991</v>
      </c>
      <c r="J118" s="84"/>
    </row>
    <row r="119" spans="1:17" s="56" customFormat="1" ht="11.25" hidden="1" x14ac:dyDescent="0.25">
      <c r="G119" s="84" t="s">
        <v>2180</v>
      </c>
      <c r="H119" s="87" t="s">
        <v>2176</v>
      </c>
      <c r="I119" s="74">
        <f>I118*0.15</f>
        <v>104.93999999999998</v>
      </c>
      <c r="J119" s="84"/>
    </row>
    <row r="120" spans="1:17" s="56" customFormat="1" ht="11.25" hidden="1" x14ac:dyDescent="0.25">
      <c r="G120" s="88" t="s">
        <v>1274</v>
      </c>
      <c r="H120" s="87" t="s">
        <v>2176</v>
      </c>
      <c r="I120" s="89">
        <f>SUM(I118:I119)</f>
        <v>804.53999999999985</v>
      </c>
      <c r="J120" s="84"/>
      <c r="L120" s="57"/>
      <c r="M120" s="57"/>
      <c r="N120" s="57" t="s">
        <v>2181</v>
      </c>
      <c r="O120" s="96">
        <f>I120</f>
        <v>804.53999999999985</v>
      </c>
      <c r="P120" s="57"/>
    </row>
    <row r="121" spans="1:17" s="56" customFormat="1" ht="11.25" hidden="1" customHeight="1" x14ac:dyDescent="0.25">
      <c r="A121" s="53" t="s">
        <v>2161</v>
      </c>
      <c r="B121" s="109">
        <v>31.01</v>
      </c>
      <c r="C121" s="53"/>
      <c r="D121" s="53"/>
      <c r="E121" s="489" t="s">
        <v>2162</v>
      </c>
      <c r="F121" s="489"/>
      <c r="G121" s="508" t="s">
        <v>2199</v>
      </c>
      <c r="H121" s="509"/>
      <c r="I121" s="509"/>
      <c r="J121" s="509"/>
      <c r="K121" s="509"/>
      <c r="L121" s="509"/>
      <c r="M121" s="509"/>
      <c r="N121" s="509"/>
      <c r="O121" s="509"/>
      <c r="P121" s="55"/>
      <c r="Q121" s="55"/>
    </row>
    <row r="122" spans="1:17" s="56" customFormat="1" ht="11.25" hidden="1" x14ac:dyDescent="0.25">
      <c r="A122" s="57" t="s">
        <v>20</v>
      </c>
      <c r="B122" s="110" t="s">
        <v>2200</v>
      </c>
      <c r="C122" s="57"/>
      <c r="D122" s="57"/>
      <c r="E122" s="57"/>
      <c r="F122" s="57"/>
      <c r="G122" s="509"/>
      <c r="H122" s="509"/>
      <c r="I122" s="509"/>
      <c r="J122" s="509"/>
      <c r="K122" s="509"/>
      <c r="L122" s="509"/>
      <c r="M122" s="509"/>
      <c r="N122" s="509"/>
      <c r="O122" s="509"/>
      <c r="P122" s="111"/>
      <c r="Q122" s="111"/>
    </row>
    <row r="123" spans="1:17" s="56" customFormat="1" ht="11.25" hidden="1" x14ac:dyDescent="0.25">
      <c r="A123" s="492" t="s">
        <v>2165</v>
      </c>
      <c r="B123" s="494" t="s">
        <v>2166</v>
      </c>
      <c r="C123" s="495"/>
      <c r="D123" s="495"/>
      <c r="E123" s="495"/>
      <c r="F123" s="496"/>
      <c r="G123" s="494" t="s">
        <v>2167</v>
      </c>
      <c r="H123" s="495"/>
      <c r="I123" s="495"/>
      <c r="J123" s="495"/>
      <c r="K123" s="496"/>
      <c r="L123" s="494" t="s">
        <v>2168</v>
      </c>
      <c r="M123" s="495"/>
      <c r="N123" s="495"/>
      <c r="O123" s="495"/>
      <c r="P123" s="496"/>
      <c r="Q123" s="503" t="s">
        <v>1309</v>
      </c>
    </row>
    <row r="124" spans="1:17" s="56" customFormat="1" ht="11.25" hidden="1" x14ac:dyDescent="0.25">
      <c r="A124" s="493"/>
      <c r="B124" s="112" t="s">
        <v>19</v>
      </c>
      <c r="C124" s="113" t="s">
        <v>20</v>
      </c>
      <c r="D124" s="113" t="s">
        <v>2169</v>
      </c>
      <c r="E124" s="113" t="s">
        <v>22</v>
      </c>
      <c r="F124" s="114" t="s">
        <v>23</v>
      </c>
      <c r="G124" s="112" t="s">
        <v>19</v>
      </c>
      <c r="H124" s="113" t="s">
        <v>20</v>
      </c>
      <c r="I124" s="113" t="s">
        <v>2169</v>
      </c>
      <c r="J124" s="113" t="s">
        <v>22</v>
      </c>
      <c r="K124" s="114" t="s">
        <v>23</v>
      </c>
      <c r="L124" s="112" t="s">
        <v>19</v>
      </c>
      <c r="M124" s="113" t="s">
        <v>20</v>
      </c>
      <c r="N124" s="113" t="s">
        <v>2169</v>
      </c>
      <c r="O124" s="113" t="s">
        <v>22</v>
      </c>
      <c r="P124" s="114" t="s">
        <v>23</v>
      </c>
      <c r="Q124" s="504"/>
    </row>
    <row r="125" spans="1:17" s="56" customFormat="1" ht="11.25" hidden="1" x14ac:dyDescent="0.25">
      <c r="A125" s="70">
        <v>31.01</v>
      </c>
      <c r="B125" s="62" t="s">
        <v>47</v>
      </c>
      <c r="C125" s="63" t="s">
        <v>2170</v>
      </c>
      <c r="D125" s="64">
        <v>2.09</v>
      </c>
      <c r="E125" s="65">
        <f>E28</f>
        <v>960</v>
      </c>
      <c r="F125" s="66">
        <f>D125*E125</f>
        <v>2006.3999999999999</v>
      </c>
      <c r="G125" s="115" t="s">
        <v>2201</v>
      </c>
      <c r="H125" s="63" t="s">
        <v>463</v>
      </c>
      <c r="I125" s="100">
        <f>3*2*2.5</f>
        <v>15</v>
      </c>
      <c r="J125" s="65">
        <f>gi38mm</f>
        <v>490</v>
      </c>
      <c r="K125" s="66">
        <f t="shared" ref="K125:K132" si="0">J125*I125</f>
        <v>7350</v>
      </c>
      <c r="L125" s="505" t="s">
        <v>2202</v>
      </c>
      <c r="M125" s="63"/>
      <c r="N125" s="64"/>
      <c r="O125" s="65">
        <f>(F134+K134)*0.03</f>
        <v>592.75180763999992</v>
      </c>
      <c r="P125" s="66"/>
      <c r="Q125" s="497"/>
    </row>
    <row r="126" spans="1:17" s="56" customFormat="1" ht="11.25" hidden="1" x14ac:dyDescent="0.25">
      <c r="A126" s="70"/>
      <c r="B126" s="62" t="s">
        <v>29</v>
      </c>
      <c r="C126" s="63" t="s">
        <v>2170</v>
      </c>
      <c r="D126" s="64">
        <v>2.09</v>
      </c>
      <c r="E126" s="65">
        <f>E29</f>
        <v>700</v>
      </c>
      <c r="F126" s="72">
        <f>D126*E126</f>
        <v>1463</v>
      </c>
      <c r="G126" s="116" t="s">
        <v>2203</v>
      </c>
      <c r="H126" s="117" t="s">
        <v>463</v>
      </c>
      <c r="I126" s="100">
        <f>2*1.2</f>
        <v>2.4</v>
      </c>
      <c r="J126" s="65">
        <f>gi50mm</f>
        <v>670</v>
      </c>
      <c r="K126" s="66">
        <f t="shared" si="0"/>
        <v>1608</v>
      </c>
      <c r="L126" s="506"/>
      <c r="M126" s="63"/>
      <c r="N126" s="64"/>
      <c r="O126" s="68"/>
      <c r="P126" s="66"/>
      <c r="Q126" s="498"/>
    </row>
    <row r="127" spans="1:17" s="56" customFormat="1" ht="11.25" hidden="1" x14ac:dyDescent="0.25">
      <c r="A127" s="70"/>
      <c r="B127" s="62"/>
      <c r="C127" s="63"/>
      <c r="D127" s="64"/>
      <c r="E127" s="65"/>
      <c r="F127" s="72"/>
      <c r="G127" s="116" t="s">
        <v>2204</v>
      </c>
      <c r="H127" s="63" t="s">
        <v>2172</v>
      </c>
      <c r="I127" s="64">
        <f>2*0.2*0.2*1.4</f>
        <v>0.11200000000000002</v>
      </c>
      <c r="J127" s="65">
        <f>m20_20</f>
        <v>13568.85</v>
      </c>
      <c r="K127" s="66">
        <f t="shared" si="0"/>
        <v>1519.7112000000002</v>
      </c>
      <c r="L127" s="506"/>
      <c r="M127" s="63"/>
      <c r="N127" s="64"/>
      <c r="O127" s="68"/>
      <c r="P127" s="66"/>
      <c r="Q127" s="498"/>
    </row>
    <row r="128" spans="1:17" s="56" customFormat="1" ht="11.25" hidden="1" x14ac:dyDescent="0.25">
      <c r="A128" s="70"/>
      <c r="B128" s="62"/>
      <c r="C128" s="63"/>
      <c r="D128" s="64"/>
      <c r="E128" s="65"/>
      <c r="F128" s="72"/>
      <c r="G128" s="116" t="s">
        <v>2205</v>
      </c>
      <c r="H128" s="63" t="s">
        <v>37</v>
      </c>
      <c r="I128" s="64">
        <f>(5.6*0.395+8.55*0.222)*2</f>
        <v>8.2202000000000002</v>
      </c>
      <c r="J128" s="65">
        <f>tsteel8/1000</f>
        <v>88.94</v>
      </c>
      <c r="K128" s="66">
        <f t="shared" si="0"/>
        <v>731.10458800000004</v>
      </c>
      <c r="L128" s="506"/>
      <c r="M128" s="63"/>
      <c r="N128" s="64"/>
      <c r="O128" s="68"/>
      <c r="P128" s="66"/>
      <c r="Q128" s="498"/>
    </row>
    <row r="129" spans="1:17" s="56" customFormat="1" ht="11.25" hidden="1" x14ac:dyDescent="0.25">
      <c r="A129" s="70"/>
      <c r="B129" s="62"/>
      <c r="C129" s="63"/>
      <c r="D129" s="68"/>
      <c r="E129" s="68"/>
      <c r="F129" s="77"/>
      <c r="G129" s="118" t="s">
        <v>2206</v>
      </c>
      <c r="H129" s="63" t="s">
        <v>37</v>
      </c>
      <c r="I129" s="100">
        <f>I144/2</f>
        <v>0.14000000000000001</v>
      </c>
      <c r="J129" s="65">
        <f>J128</f>
        <v>88.94</v>
      </c>
      <c r="K129" s="66">
        <f t="shared" si="0"/>
        <v>12.451600000000001</v>
      </c>
      <c r="L129" s="506"/>
      <c r="M129" s="63"/>
      <c r="N129" s="64"/>
      <c r="O129" s="68"/>
      <c r="P129" s="66"/>
      <c r="Q129" s="498"/>
    </row>
    <row r="130" spans="1:17" s="56" customFormat="1" ht="11.25" hidden="1" x14ac:dyDescent="0.25">
      <c r="A130" s="70"/>
      <c r="B130" s="62"/>
      <c r="C130" s="63"/>
      <c r="D130" s="68"/>
      <c r="E130" s="68"/>
      <c r="F130" s="77"/>
      <c r="G130" s="119" t="s">
        <v>2207</v>
      </c>
      <c r="H130" s="63" t="s">
        <v>2172</v>
      </c>
      <c r="I130" s="100">
        <f>2*(0.5*0.5*0.5)-2*(0.2*0.2*0.4)+2*(0.2*0.2*0.3)</f>
        <v>0.24199999999999999</v>
      </c>
      <c r="J130" s="65">
        <f>'[8]Rate analysis'!F1195</f>
        <v>12520</v>
      </c>
      <c r="K130" s="66">
        <f t="shared" si="0"/>
        <v>3029.8399999999997</v>
      </c>
      <c r="L130" s="506"/>
      <c r="M130" s="63"/>
      <c r="N130" s="64"/>
      <c r="O130" s="68"/>
      <c r="P130" s="66"/>
      <c r="Q130" s="498"/>
    </row>
    <row r="131" spans="1:17" s="56" customFormat="1" ht="11.25" hidden="1" x14ac:dyDescent="0.25">
      <c r="A131" s="70"/>
      <c r="B131" s="62"/>
      <c r="C131" s="63"/>
      <c r="D131" s="68"/>
      <c r="E131" s="68"/>
      <c r="F131" s="77"/>
      <c r="G131" s="119" t="s">
        <v>2208</v>
      </c>
      <c r="H131" s="63" t="s">
        <v>2172</v>
      </c>
      <c r="I131" s="100">
        <f>2*(0.5*0.5*0.5)+2*(0.2*0.2*0.3)</f>
        <v>0.27400000000000002</v>
      </c>
      <c r="J131" s="65">
        <f>'[8]Rate analysis'!F299</f>
        <v>648.9</v>
      </c>
      <c r="K131" s="66">
        <f t="shared" si="0"/>
        <v>177.79860000000002</v>
      </c>
      <c r="L131" s="506"/>
      <c r="M131" s="63"/>
      <c r="N131" s="68"/>
      <c r="O131" s="68"/>
      <c r="P131" s="77"/>
      <c r="Q131" s="498"/>
    </row>
    <row r="132" spans="1:17" s="56" customFormat="1" ht="11.25" hidden="1" x14ac:dyDescent="0.25">
      <c r="A132" s="70"/>
      <c r="B132" s="62"/>
      <c r="C132" s="63"/>
      <c r="D132" s="68"/>
      <c r="E132" s="68"/>
      <c r="F132" s="77"/>
      <c r="G132" s="119" t="s">
        <v>2209</v>
      </c>
      <c r="H132" s="63" t="s">
        <v>2164</v>
      </c>
      <c r="I132" s="100">
        <f>2*(4*0.25*1.4)</f>
        <v>2.8</v>
      </c>
      <c r="J132" s="65">
        <f>formwork1/10</f>
        <v>664.31700000000001</v>
      </c>
      <c r="K132" s="66">
        <f t="shared" si="0"/>
        <v>1860.0875999999998</v>
      </c>
      <c r="L132" s="506"/>
      <c r="M132" s="63"/>
      <c r="N132" s="68"/>
      <c r="O132" s="68"/>
      <c r="P132" s="77"/>
      <c r="Q132" s="498"/>
    </row>
    <row r="133" spans="1:17" s="56" customFormat="1" ht="12" hidden="1" thickBot="1" x14ac:dyDescent="0.3">
      <c r="A133" s="70"/>
      <c r="B133" s="62"/>
      <c r="C133" s="63"/>
      <c r="D133" s="68"/>
      <c r="E133" s="68"/>
      <c r="F133" s="77"/>
      <c r="G133" s="62"/>
      <c r="H133" s="63"/>
      <c r="I133" s="68"/>
      <c r="J133" s="68"/>
      <c r="K133" s="66"/>
      <c r="L133" s="62"/>
      <c r="M133" s="63"/>
      <c r="N133" s="68"/>
      <c r="O133" s="65"/>
      <c r="P133" s="77"/>
      <c r="Q133" s="507"/>
    </row>
    <row r="134" spans="1:17" s="56" customFormat="1" ht="12" hidden="1" thickBot="1" x14ac:dyDescent="0.3">
      <c r="A134" s="80" t="s">
        <v>1274</v>
      </c>
      <c r="B134" s="81"/>
      <c r="C134" s="82"/>
      <c r="D134" s="82" t="s">
        <v>2175</v>
      </c>
      <c r="E134" s="82" t="s">
        <v>2176</v>
      </c>
      <c r="F134" s="83">
        <f>SUM(F125:F133)</f>
        <v>3469.3999999999996</v>
      </c>
      <c r="G134" s="81"/>
      <c r="H134" s="82"/>
      <c r="I134" s="82" t="s">
        <v>2177</v>
      </c>
      <c r="J134" s="82" t="s">
        <v>2176</v>
      </c>
      <c r="K134" s="83">
        <f>SUM(K125:K133)</f>
        <v>16288.993588000001</v>
      </c>
      <c r="L134" s="81"/>
      <c r="M134" s="82"/>
      <c r="N134" s="82"/>
      <c r="O134" s="120">
        <f>SUM(O125:O133)</f>
        <v>592.75180763999992</v>
      </c>
      <c r="P134" s="83"/>
      <c r="Q134" s="80"/>
    </row>
    <row r="135" spans="1:17" s="56" customFormat="1" ht="11.25" hidden="1" x14ac:dyDescent="0.25">
      <c r="G135" s="84" t="s">
        <v>2179</v>
      </c>
      <c r="H135" s="87" t="s">
        <v>2176</v>
      </c>
      <c r="I135" s="85">
        <f>F134+K134+O134</f>
        <v>20351.14539564</v>
      </c>
      <c r="J135" s="84"/>
    </row>
    <row r="136" spans="1:17" s="56" customFormat="1" ht="11.25" hidden="1" x14ac:dyDescent="0.25">
      <c r="G136" s="84" t="s">
        <v>2180</v>
      </c>
      <c r="H136" s="87" t="s">
        <v>2176</v>
      </c>
      <c r="I136" s="74">
        <f>I135*0.15</f>
        <v>3052.6718093459999</v>
      </c>
      <c r="J136" s="84"/>
    </row>
    <row r="137" spans="1:17" s="56" customFormat="1" ht="11.25" hidden="1" x14ac:dyDescent="0.25">
      <c r="G137" s="88" t="s">
        <v>1274</v>
      </c>
      <c r="H137" s="87" t="s">
        <v>2176</v>
      </c>
      <c r="I137" s="89">
        <f>SUM(I135:I136)</f>
        <v>23403.817204986</v>
      </c>
      <c r="J137" s="121"/>
      <c r="L137" s="57"/>
      <c r="M137" s="57" t="s">
        <v>2210</v>
      </c>
      <c r="N137" s="122">
        <f>I137/7.5</f>
        <v>3120.5089606648003</v>
      </c>
      <c r="O137" s="123"/>
      <c r="P137" s="57"/>
    </row>
    <row r="138" spans="1:17" s="56" customFormat="1" ht="11.25" hidden="1" x14ac:dyDescent="0.25">
      <c r="A138" s="53" t="s">
        <v>2161</v>
      </c>
      <c r="B138" s="109">
        <v>31.01</v>
      </c>
      <c r="C138" s="53"/>
      <c r="D138" s="53"/>
      <c r="E138" s="489" t="s">
        <v>2162</v>
      </c>
      <c r="F138" s="489"/>
      <c r="G138" s="490" t="s">
        <v>2211</v>
      </c>
      <c r="H138" s="491"/>
      <c r="I138" s="491"/>
      <c r="J138" s="491"/>
      <c r="K138" s="491"/>
      <c r="L138" s="491"/>
      <c r="M138" s="491"/>
      <c r="N138" s="491"/>
      <c r="O138" s="491"/>
      <c r="P138" s="55"/>
      <c r="Q138" s="55"/>
    </row>
    <row r="139" spans="1:17" s="56" customFormat="1" ht="11.25" hidden="1" x14ac:dyDescent="0.25">
      <c r="A139" s="57" t="s">
        <v>20</v>
      </c>
      <c r="B139" s="110" t="s">
        <v>2212</v>
      </c>
      <c r="C139" s="57"/>
      <c r="D139" s="57"/>
      <c r="E139" s="57"/>
      <c r="F139" s="57"/>
      <c r="G139" s="491"/>
      <c r="H139" s="491"/>
      <c r="I139" s="491"/>
      <c r="J139" s="491"/>
      <c r="K139" s="491"/>
      <c r="L139" s="491"/>
      <c r="M139" s="491"/>
      <c r="N139" s="491"/>
      <c r="O139" s="491"/>
      <c r="P139" s="111"/>
      <c r="Q139" s="111"/>
    </row>
    <row r="140" spans="1:17" s="56" customFormat="1" ht="11.25" hidden="1" customHeight="1" x14ac:dyDescent="0.25">
      <c r="A140" s="492" t="s">
        <v>2165</v>
      </c>
      <c r="B140" s="494" t="s">
        <v>2166</v>
      </c>
      <c r="C140" s="495"/>
      <c r="D140" s="495"/>
      <c r="E140" s="495"/>
      <c r="F140" s="496"/>
      <c r="G140" s="494" t="s">
        <v>2167</v>
      </c>
      <c r="H140" s="495"/>
      <c r="I140" s="495"/>
      <c r="J140" s="495"/>
      <c r="K140" s="496"/>
      <c r="L140" s="494" t="s">
        <v>2168</v>
      </c>
      <c r="M140" s="495"/>
      <c r="N140" s="495"/>
      <c r="O140" s="495"/>
      <c r="P140" s="496"/>
      <c r="Q140" s="503" t="s">
        <v>1309</v>
      </c>
    </row>
    <row r="141" spans="1:17" s="56" customFormat="1" ht="11.25" hidden="1" customHeight="1" x14ac:dyDescent="0.25">
      <c r="A141" s="493"/>
      <c r="B141" s="112" t="s">
        <v>19</v>
      </c>
      <c r="C141" s="113" t="s">
        <v>20</v>
      </c>
      <c r="D141" s="113" t="s">
        <v>2169</v>
      </c>
      <c r="E141" s="113" t="s">
        <v>22</v>
      </c>
      <c r="F141" s="114" t="s">
        <v>23</v>
      </c>
      <c r="G141" s="112" t="s">
        <v>19</v>
      </c>
      <c r="H141" s="113" t="s">
        <v>20</v>
      </c>
      <c r="I141" s="113" t="s">
        <v>2169</v>
      </c>
      <c r="J141" s="113" t="s">
        <v>22</v>
      </c>
      <c r="K141" s="114" t="s">
        <v>23</v>
      </c>
      <c r="L141" s="112" t="s">
        <v>19</v>
      </c>
      <c r="M141" s="113" t="s">
        <v>20</v>
      </c>
      <c r="N141" s="113" t="s">
        <v>2169</v>
      </c>
      <c r="O141" s="113" t="s">
        <v>22</v>
      </c>
      <c r="P141" s="114" t="s">
        <v>23</v>
      </c>
      <c r="Q141" s="504"/>
    </row>
    <row r="142" spans="1:17" s="56" customFormat="1" ht="11.25" hidden="1" x14ac:dyDescent="0.25">
      <c r="A142" s="70">
        <v>31.01</v>
      </c>
      <c r="B142" s="62" t="s">
        <v>47</v>
      </c>
      <c r="C142" s="63" t="s">
        <v>2170</v>
      </c>
      <c r="D142" s="64">
        <v>2.09</v>
      </c>
      <c r="E142" s="65">
        <f>skilled</f>
        <v>960</v>
      </c>
      <c r="F142" s="66">
        <f>D142*E142</f>
        <v>2006.3999999999999</v>
      </c>
      <c r="G142" s="115" t="s">
        <v>2201</v>
      </c>
      <c r="H142" s="63" t="s">
        <v>463</v>
      </c>
      <c r="I142" s="100">
        <v>4</v>
      </c>
      <c r="J142" s="65">
        <f>gi38mm</f>
        <v>490</v>
      </c>
      <c r="K142" s="66">
        <f>J142*I142</f>
        <v>1960</v>
      </c>
      <c r="L142" s="62"/>
      <c r="M142" s="63"/>
      <c r="N142" s="64"/>
      <c r="O142" s="68"/>
      <c r="P142" s="66"/>
      <c r="Q142" s="497"/>
    </row>
    <row r="143" spans="1:17" s="56" customFormat="1" ht="11.25" hidden="1" x14ac:dyDescent="0.25">
      <c r="A143" s="70"/>
      <c r="B143" s="62" t="s">
        <v>29</v>
      </c>
      <c r="C143" s="63" t="s">
        <v>2170</v>
      </c>
      <c r="D143" s="64">
        <v>2.09</v>
      </c>
      <c r="E143" s="65">
        <f>unskilled</f>
        <v>700</v>
      </c>
      <c r="F143" s="72">
        <f>D143*E143</f>
        <v>1463</v>
      </c>
      <c r="G143" s="116" t="s">
        <v>2203</v>
      </c>
      <c r="H143" s="117" t="s">
        <v>463</v>
      </c>
      <c r="I143" s="100">
        <v>2.27</v>
      </c>
      <c r="J143" s="65">
        <f>gi50mm</f>
        <v>670</v>
      </c>
      <c r="K143" s="66">
        <f>J143*I143</f>
        <v>1520.9</v>
      </c>
      <c r="L143" s="62"/>
      <c r="M143" s="63"/>
      <c r="N143" s="64"/>
      <c r="O143" s="68"/>
      <c r="P143" s="66"/>
      <c r="Q143" s="498"/>
    </row>
    <row r="144" spans="1:17" s="56" customFormat="1" ht="11.25" hidden="1" x14ac:dyDescent="0.25">
      <c r="A144" s="70"/>
      <c r="B144" s="62"/>
      <c r="C144" s="63"/>
      <c r="D144" s="68"/>
      <c r="E144" s="68"/>
      <c r="F144" s="77"/>
      <c r="G144" s="124" t="s">
        <v>2206</v>
      </c>
      <c r="H144" s="63" t="s">
        <v>37</v>
      </c>
      <c r="I144" s="100">
        <v>0.28000000000000003</v>
      </c>
      <c r="J144" s="65">
        <f>J128</f>
        <v>88.94</v>
      </c>
      <c r="K144" s="66">
        <f>J144*I144</f>
        <v>24.903200000000002</v>
      </c>
      <c r="L144" s="73"/>
      <c r="M144" s="63"/>
      <c r="N144" s="64"/>
      <c r="O144" s="68"/>
      <c r="P144" s="66"/>
      <c r="Q144" s="498"/>
    </row>
    <row r="145" spans="1:17" s="56" customFormat="1" ht="11.25" hidden="1" x14ac:dyDescent="0.25">
      <c r="A145" s="70"/>
      <c r="B145" s="62"/>
      <c r="C145" s="63"/>
      <c r="D145" s="68"/>
      <c r="E145" s="68"/>
      <c r="F145" s="77"/>
      <c r="G145" s="62" t="s">
        <v>2208</v>
      </c>
      <c r="H145" s="63" t="s">
        <v>2172</v>
      </c>
      <c r="I145" s="100">
        <v>2.7E-2</v>
      </c>
      <c r="J145" s="65">
        <f>J131</f>
        <v>648.9</v>
      </c>
      <c r="K145" s="66">
        <f>J145*I145</f>
        <v>17.520299999999999</v>
      </c>
      <c r="L145" s="62"/>
      <c r="M145" s="63"/>
      <c r="N145" s="68"/>
      <c r="O145" s="68"/>
      <c r="P145" s="77"/>
      <c r="Q145" s="498"/>
    </row>
    <row r="146" spans="1:17" s="56" customFormat="1" ht="11.25" hidden="1" x14ac:dyDescent="0.25">
      <c r="A146" s="70"/>
      <c r="B146" s="62"/>
      <c r="C146" s="63"/>
      <c r="D146" s="68"/>
      <c r="E146" s="68"/>
      <c r="F146" s="77"/>
      <c r="G146" s="62" t="s">
        <v>2207</v>
      </c>
      <c r="H146" s="63" t="s">
        <v>2172</v>
      </c>
      <c r="I146" s="97">
        <v>2.7189999999999999E-2</v>
      </c>
      <c r="J146" s="65">
        <f>J130</f>
        <v>12520</v>
      </c>
      <c r="K146" s="66">
        <f>J146*I146</f>
        <v>340.41879999999998</v>
      </c>
      <c r="L146" s="62"/>
      <c r="M146" s="63"/>
      <c r="N146" s="68"/>
      <c r="O146" s="68"/>
      <c r="P146" s="77"/>
      <c r="Q146" s="498"/>
    </row>
    <row r="147" spans="1:17" s="56" customFormat="1" ht="12" hidden="1" thickBot="1" x14ac:dyDescent="0.3">
      <c r="A147" s="80" t="s">
        <v>1274</v>
      </c>
      <c r="B147" s="81"/>
      <c r="C147" s="82"/>
      <c r="D147" s="82" t="s">
        <v>2175</v>
      </c>
      <c r="E147" s="82" t="s">
        <v>2176</v>
      </c>
      <c r="F147" s="83">
        <f>SUM(F142:F146)</f>
        <v>3469.3999999999996</v>
      </c>
      <c r="G147" s="81"/>
      <c r="H147" s="82"/>
      <c r="I147" s="82" t="s">
        <v>2177</v>
      </c>
      <c r="J147" s="82" t="s">
        <v>2176</v>
      </c>
      <c r="K147" s="83">
        <f>SUM(K142:K146)</f>
        <v>3863.7423000000003</v>
      </c>
      <c r="L147" s="81"/>
      <c r="M147" s="82"/>
      <c r="N147" s="82"/>
      <c r="O147" s="82"/>
      <c r="P147" s="83"/>
      <c r="Q147" s="80"/>
    </row>
    <row r="148" spans="1:17" s="56" customFormat="1" ht="11.25" hidden="1" x14ac:dyDescent="0.25">
      <c r="G148" s="84" t="s">
        <v>2179</v>
      </c>
      <c r="H148" s="87" t="s">
        <v>2176</v>
      </c>
      <c r="I148" s="85">
        <f>F147+K147+P147</f>
        <v>7333.1422999999995</v>
      </c>
      <c r="J148" s="84"/>
    </row>
    <row r="149" spans="1:17" s="56" customFormat="1" ht="11.25" hidden="1" x14ac:dyDescent="0.25">
      <c r="G149" s="84" t="s">
        <v>2180</v>
      </c>
      <c r="H149" s="87" t="s">
        <v>2176</v>
      </c>
      <c r="I149" s="74">
        <f>I148*0.15</f>
        <v>1099.9713449999999</v>
      </c>
      <c r="J149" s="84"/>
    </row>
    <row r="150" spans="1:17" s="56" customFormat="1" ht="11.25" hidden="1" x14ac:dyDescent="0.25">
      <c r="G150" s="88" t="s">
        <v>1274</v>
      </c>
      <c r="H150" s="87" t="s">
        <v>2176</v>
      </c>
      <c r="I150" s="89">
        <f>SUM(I148:I149)</f>
        <v>8433.1136449999995</v>
      </c>
      <c r="J150" s="121"/>
      <c r="L150" s="57"/>
      <c r="M150" s="57"/>
      <c r="N150" s="125" t="s">
        <v>2184</v>
      </c>
      <c r="O150" s="126">
        <f>I150/2</f>
        <v>4216.5568224999997</v>
      </c>
      <c r="P150" s="57"/>
    </row>
    <row r="151" spans="1:17" s="56" customFormat="1" ht="11.25" hidden="1" x14ac:dyDescent="0.25">
      <c r="A151" s="53" t="s">
        <v>2161</v>
      </c>
      <c r="B151" s="109">
        <v>15.02</v>
      </c>
      <c r="C151" s="53"/>
      <c r="D151" s="53"/>
      <c r="E151" s="489" t="s">
        <v>2162</v>
      </c>
      <c r="F151" s="489"/>
      <c r="G151" s="490" t="s">
        <v>2213</v>
      </c>
      <c r="H151" s="491"/>
      <c r="I151" s="491"/>
      <c r="J151" s="491"/>
      <c r="K151" s="491"/>
      <c r="L151" s="491"/>
      <c r="M151" s="491"/>
      <c r="N151" s="491"/>
      <c r="O151" s="491"/>
      <c r="P151" s="55"/>
      <c r="Q151" s="55"/>
    </row>
    <row r="152" spans="1:17" s="56" customFormat="1" ht="11.25" hidden="1" x14ac:dyDescent="0.25">
      <c r="A152" s="57" t="s">
        <v>20</v>
      </c>
      <c r="B152" s="110" t="s">
        <v>2164</v>
      </c>
      <c r="C152" s="57"/>
      <c r="D152" s="57"/>
      <c r="E152" s="57"/>
      <c r="F152" s="57"/>
      <c r="G152" s="491"/>
      <c r="H152" s="491"/>
      <c r="I152" s="491"/>
      <c r="J152" s="491"/>
      <c r="K152" s="491"/>
      <c r="L152" s="491"/>
      <c r="M152" s="491"/>
      <c r="N152" s="491"/>
      <c r="O152" s="491"/>
      <c r="P152" s="111"/>
      <c r="Q152" s="111"/>
    </row>
    <row r="153" spans="1:17" s="56" customFormat="1" ht="11.25" hidden="1" x14ac:dyDescent="0.25">
      <c r="A153" s="492" t="s">
        <v>2165</v>
      </c>
      <c r="B153" s="494" t="s">
        <v>2166</v>
      </c>
      <c r="C153" s="495"/>
      <c r="D153" s="495"/>
      <c r="E153" s="495"/>
      <c r="F153" s="496"/>
      <c r="G153" s="494" t="s">
        <v>2167</v>
      </c>
      <c r="H153" s="495"/>
      <c r="I153" s="495"/>
      <c r="J153" s="495"/>
      <c r="K153" s="496"/>
      <c r="L153" s="494" t="s">
        <v>2168</v>
      </c>
      <c r="M153" s="495"/>
      <c r="N153" s="495"/>
      <c r="O153" s="495"/>
      <c r="P153" s="496"/>
      <c r="Q153" s="503" t="s">
        <v>1309</v>
      </c>
    </row>
    <row r="154" spans="1:17" s="56" customFormat="1" ht="11.25" hidden="1" x14ac:dyDescent="0.25">
      <c r="A154" s="493"/>
      <c r="B154" s="112" t="s">
        <v>19</v>
      </c>
      <c r="C154" s="113" t="s">
        <v>20</v>
      </c>
      <c r="D154" s="113" t="s">
        <v>2169</v>
      </c>
      <c r="E154" s="113" t="s">
        <v>22</v>
      </c>
      <c r="F154" s="114" t="s">
        <v>23</v>
      </c>
      <c r="G154" s="112" t="s">
        <v>19</v>
      </c>
      <c r="H154" s="113" t="s">
        <v>20</v>
      </c>
      <c r="I154" s="113" t="s">
        <v>2169</v>
      </c>
      <c r="J154" s="113" t="s">
        <v>22</v>
      </c>
      <c r="K154" s="114" t="s">
        <v>23</v>
      </c>
      <c r="L154" s="112" t="s">
        <v>19</v>
      </c>
      <c r="M154" s="113" t="s">
        <v>20</v>
      </c>
      <c r="N154" s="113" t="s">
        <v>2169</v>
      </c>
      <c r="O154" s="113" t="s">
        <v>22</v>
      </c>
      <c r="P154" s="114" t="s">
        <v>23</v>
      </c>
      <c r="Q154" s="504"/>
    </row>
    <row r="155" spans="1:17" s="56" customFormat="1" ht="11.25" hidden="1" x14ac:dyDescent="0.25">
      <c r="A155" s="70">
        <v>15.02</v>
      </c>
      <c r="B155" s="62" t="s">
        <v>47</v>
      </c>
      <c r="C155" s="63" t="s">
        <v>2170</v>
      </c>
      <c r="D155" s="64">
        <v>6.6000000000000003E-2</v>
      </c>
      <c r="E155" s="65">
        <v>1030</v>
      </c>
      <c r="F155" s="66">
        <f>E155*D155</f>
        <v>67.98</v>
      </c>
      <c r="G155" s="62" t="s">
        <v>2214</v>
      </c>
      <c r="H155" s="63" t="s">
        <v>144</v>
      </c>
      <c r="I155" s="100">
        <v>5</v>
      </c>
      <c r="J155" s="65">
        <f>'[8]material rate'!H102</f>
        <v>165</v>
      </c>
      <c r="K155" s="66">
        <f>J155*I155</f>
        <v>825</v>
      </c>
      <c r="L155" s="62" t="s">
        <v>2215</v>
      </c>
      <c r="M155" s="63" t="s">
        <v>2216</v>
      </c>
      <c r="N155" s="64">
        <v>0.23300000000000001</v>
      </c>
      <c r="O155" s="65">
        <v>1004</v>
      </c>
      <c r="P155" s="66">
        <f>N155*O155</f>
        <v>233.93200000000002</v>
      </c>
      <c r="Q155" s="497"/>
    </row>
    <row r="156" spans="1:17" s="56" customFormat="1" ht="11.25" hidden="1" x14ac:dyDescent="0.25">
      <c r="A156" s="70"/>
      <c r="B156" s="62" t="s">
        <v>29</v>
      </c>
      <c r="C156" s="63" t="s">
        <v>2170</v>
      </c>
      <c r="D156" s="64">
        <v>0.16600000000000001</v>
      </c>
      <c r="E156" s="56">
        <v>750</v>
      </c>
      <c r="F156" s="66">
        <f>E156*D156</f>
        <v>124.5</v>
      </c>
      <c r="G156" s="116" t="s">
        <v>2217</v>
      </c>
      <c r="H156" s="63" t="s">
        <v>144</v>
      </c>
      <c r="I156" s="100">
        <v>0.3</v>
      </c>
      <c r="J156" s="65">
        <f>'[8]material rate'!H103</f>
        <v>150</v>
      </c>
      <c r="K156" s="66">
        <f>J156*I156</f>
        <v>45</v>
      </c>
      <c r="L156" s="62" t="s">
        <v>2218</v>
      </c>
      <c r="M156" s="63" t="s">
        <v>2216</v>
      </c>
      <c r="N156" s="64">
        <v>0.23300000000000001</v>
      </c>
      <c r="O156" s="65">
        <v>1459</v>
      </c>
      <c r="P156" s="66">
        <f>N156*O156</f>
        <v>339.947</v>
      </c>
      <c r="Q156" s="498"/>
    </row>
    <row r="157" spans="1:17" s="56" customFormat="1" ht="11.25" hidden="1" x14ac:dyDescent="0.25">
      <c r="A157" s="70"/>
      <c r="B157" s="62"/>
      <c r="C157" s="63"/>
      <c r="D157" s="68"/>
      <c r="E157" s="68"/>
      <c r="F157" s="77"/>
      <c r="G157" s="62" t="s">
        <v>2219</v>
      </c>
      <c r="H157" s="63" t="s">
        <v>144</v>
      </c>
      <c r="I157" s="100">
        <v>0.75</v>
      </c>
      <c r="J157" s="65">
        <f>'[8]material rate'!H104</f>
        <v>100</v>
      </c>
      <c r="K157" s="66">
        <f>J157*I157</f>
        <v>75</v>
      </c>
      <c r="L157" s="73"/>
      <c r="M157" s="63"/>
      <c r="N157" s="64"/>
      <c r="O157" s="68"/>
      <c r="P157" s="66"/>
      <c r="Q157" s="498"/>
    </row>
    <row r="158" spans="1:17" s="56" customFormat="1" ht="12" hidden="1" thickBot="1" x14ac:dyDescent="0.3">
      <c r="A158" s="80" t="s">
        <v>1274</v>
      </c>
      <c r="B158" s="81"/>
      <c r="C158" s="82"/>
      <c r="D158" s="82" t="s">
        <v>2175</v>
      </c>
      <c r="E158" s="82" t="s">
        <v>2176</v>
      </c>
      <c r="F158" s="83">
        <f>SUM(F155:F157)</f>
        <v>192.48000000000002</v>
      </c>
      <c r="G158" s="81"/>
      <c r="H158" s="82"/>
      <c r="I158" s="82" t="s">
        <v>2177</v>
      </c>
      <c r="J158" s="82" t="s">
        <v>2176</v>
      </c>
      <c r="K158" s="83">
        <f>SUM(K155:K157)</f>
        <v>945</v>
      </c>
      <c r="L158" s="81"/>
      <c r="M158" s="82"/>
      <c r="N158" s="82"/>
      <c r="O158" s="82"/>
      <c r="P158" s="83">
        <f>SUM(P155:P157)</f>
        <v>573.87900000000002</v>
      </c>
      <c r="Q158" s="80"/>
    </row>
    <row r="159" spans="1:17" s="56" customFormat="1" ht="11.25" hidden="1" x14ac:dyDescent="0.25">
      <c r="G159" s="84" t="s">
        <v>2179</v>
      </c>
      <c r="H159" s="87" t="s">
        <v>2176</v>
      </c>
      <c r="I159" s="85">
        <f>F158+K158+P158</f>
        <v>1711.3589999999999</v>
      </c>
      <c r="J159" s="84"/>
    </row>
    <row r="160" spans="1:17" s="56" customFormat="1" ht="11.25" hidden="1" x14ac:dyDescent="0.25">
      <c r="G160" s="84" t="s">
        <v>2180</v>
      </c>
      <c r="H160" s="87" t="s">
        <v>2176</v>
      </c>
      <c r="I160" s="74">
        <f>I159*0.15</f>
        <v>256.70384999999999</v>
      </c>
      <c r="J160" s="84"/>
    </row>
    <row r="161" spans="1:16" s="56" customFormat="1" ht="11.25" hidden="1" x14ac:dyDescent="0.25">
      <c r="G161" s="88" t="s">
        <v>1274</v>
      </c>
      <c r="H161" s="87" t="s">
        <v>2176</v>
      </c>
      <c r="I161" s="89">
        <f>SUM(I159:I160)</f>
        <v>1968.0628499999998</v>
      </c>
      <c r="J161" s="121"/>
      <c r="L161" s="57"/>
      <c r="M161" s="57"/>
      <c r="N161" s="57" t="s">
        <v>2190</v>
      </c>
      <c r="O161" s="127">
        <f>I161</f>
        <v>1968.0628499999998</v>
      </c>
      <c r="P161" s="57"/>
    </row>
    <row r="162" spans="1:16" s="56" customFormat="1" ht="11.25" hidden="1" x14ac:dyDescent="0.25"/>
    <row r="163" spans="1:16" s="56" customFormat="1" ht="11.25" customHeight="1" x14ac:dyDescent="0.25">
      <c r="A163" s="53" t="s">
        <v>2161</v>
      </c>
      <c r="B163" s="109">
        <v>27</v>
      </c>
      <c r="C163" s="53"/>
      <c r="D163" s="53"/>
      <c r="E163" s="489" t="s">
        <v>2162</v>
      </c>
      <c r="F163" s="489"/>
      <c r="G163" s="499" t="s">
        <v>2220</v>
      </c>
      <c r="H163" s="500"/>
      <c r="I163" s="500"/>
      <c r="J163" s="500"/>
      <c r="K163" s="500"/>
      <c r="L163" s="500"/>
      <c r="M163" s="500"/>
      <c r="N163" s="500"/>
      <c r="O163" s="500"/>
      <c r="P163" s="500"/>
    </row>
    <row r="164" spans="1:16" s="56" customFormat="1" ht="16.5" customHeight="1" thickBot="1" x14ac:dyDescent="0.3">
      <c r="A164" s="57" t="s">
        <v>20</v>
      </c>
      <c r="B164" s="110" t="s">
        <v>1812</v>
      </c>
      <c r="C164" s="57"/>
      <c r="D164" s="57"/>
      <c r="E164" s="57"/>
      <c r="F164" s="57"/>
      <c r="G164" s="501"/>
      <c r="H164" s="502"/>
      <c r="I164" s="502"/>
      <c r="J164" s="502"/>
      <c r="K164" s="502"/>
      <c r="L164" s="502"/>
      <c r="M164" s="502"/>
      <c r="N164" s="502"/>
      <c r="O164" s="502"/>
      <c r="P164" s="502"/>
    </row>
    <row r="165" spans="1:16" s="56" customFormat="1" ht="11.25" x14ac:dyDescent="0.25">
      <c r="A165" s="492" t="s">
        <v>2165</v>
      </c>
      <c r="B165" s="494" t="s">
        <v>2166</v>
      </c>
      <c r="C165" s="495"/>
      <c r="D165" s="495"/>
      <c r="E165" s="495"/>
      <c r="F165" s="496"/>
      <c r="G165" s="494" t="s">
        <v>2167</v>
      </c>
      <c r="H165" s="495"/>
      <c r="I165" s="495"/>
      <c r="J165" s="495"/>
      <c r="K165" s="496"/>
      <c r="L165" s="494" t="s">
        <v>2168</v>
      </c>
      <c r="M165" s="495"/>
      <c r="N165" s="495"/>
      <c r="O165" s="495"/>
      <c r="P165" s="496"/>
    </row>
    <row r="166" spans="1:16" s="56" customFormat="1" ht="11.25" x14ac:dyDescent="0.25">
      <c r="A166" s="493"/>
      <c r="B166" s="112" t="s">
        <v>19</v>
      </c>
      <c r="C166" s="113" t="s">
        <v>20</v>
      </c>
      <c r="D166" s="113" t="s">
        <v>2169</v>
      </c>
      <c r="E166" s="113" t="s">
        <v>22</v>
      </c>
      <c r="F166" s="114" t="s">
        <v>23</v>
      </c>
      <c r="G166" s="112" t="s">
        <v>19</v>
      </c>
      <c r="H166" s="113" t="s">
        <v>20</v>
      </c>
      <c r="I166" s="113" t="s">
        <v>2169</v>
      </c>
      <c r="J166" s="113" t="s">
        <v>22</v>
      </c>
      <c r="K166" s="114" t="s">
        <v>23</v>
      </c>
      <c r="L166" s="112" t="s">
        <v>19</v>
      </c>
      <c r="M166" s="113" t="s">
        <v>20</v>
      </c>
      <c r="N166" s="113" t="s">
        <v>2169</v>
      </c>
      <c r="O166" s="113" t="s">
        <v>22</v>
      </c>
      <c r="P166" s="114" t="s">
        <v>23</v>
      </c>
    </row>
    <row r="167" spans="1:16" s="56" customFormat="1" ht="34.5" thickBot="1" x14ac:dyDescent="0.3">
      <c r="A167" s="70">
        <v>27</v>
      </c>
      <c r="B167" s="62"/>
      <c r="C167" s="63"/>
      <c r="D167" s="64"/>
      <c r="E167" s="65"/>
      <c r="F167" s="66"/>
      <c r="G167" s="119" t="s">
        <v>2221</v>
      </c>
      <c r="H167" s="63" t="s">
        <v>1812</v>
      </c>
      <c r="I167" s="100">
        <v>1</v>
      </c>
      <c r="J167" s="65">
        <f>'[8]material rate'!H105</f>
        <v>31405</v>
      </c>
      <c r="K167" s="66">
        <f>J167*I167</f>
        <v>31405</v>
      </c>
      <c r="L167" s="62" t="s">
        <v>2222</v>
      </c>
      <c r="M167" s="63"/>
      <c r="N167" s="64"/>
      <c r="O167" s="65">
        <f>0.03*K168</f>
        <v>942.15</v>
      </c>
      <c r="P167" s="66"/>
    </row>
    <row r="168" spans="1:16" s="56" customFormat="1" ht="12" thickBot="1" x14ac:dyDescent="0.3">
      <c r="A168" s="80" t="s">
        <v>1274</v>
      </c>
      <c r="B168" s="81"/>
      <c r="C168" s="82"/>
      <c r="D168" s="82" t="s">
        <v>2175</v>
      </c>
      <c r="E168" s="82" t="s">
        <v>2176</v>
      </c>
      <c r="F168" s="83"/>
      <c r="G168" s="81"/>
      <c r="H168" s="82"/>
      <c r="I168" s="82" t="s">
        <v>2177</v>
      </c>
      <c r="J168" s="82" t="s">
        <v>2176</v>
      </c>
      <c r="K168" s="83">
        <f>SUM(K167:K167)</f>
        <v>31405</v>
      </c>
      <c r="L168" s="81"/>
      <c r="M168" s="82"/>
      <c r="N168" s="82"/>
      <c r="O168" s="120">
        <f>SUM(O167:O167)</f>
        <v>942.15</v>
      </c>
      <c r="P168" s="83">
        <f>SUM(P167:P167)</f>
        <v>0</v>
      </c>
    </row>
    <row r="169" spans="1:16" s="56" customFormat="1" ht="11.25" x14ac:dyDescent="0.25">
      <c r="G169" s="84" t="s">
        <v>2179</v>
      </c>
      <c r="H169" s="87" t="s">
        <v>2176</v>
      </c>
      <c r="I169" s="85">
        <f>F168+K168+O168</f>
        <v>32347.15</v>
      </c>
      <c r="J169" s="84"/>
    </row>
    <row r="170" spans="1:16" s="56" customFormat="1" ht="11.25" x14ac:dyDescent="0.25">
      <c r="G170" s="84" t="s">
        <v>2180</v>
      </c>
      <c r="H170" s="87" t="s">
        <v>2176</v>
      </c>
      <c r="I170" s="74">
        <f>I169*0.15</f>
        <v>4852.0725000000002</v>
      </c>
      <c r="J170" s="84"/>
    </row>
    <row r="171" spans="1:16" s="56" customFormat="1" ht="11.25" x14ac:dyDescent="0.25">
      <c r="G171" s="88" t="s">
        <v>1274</v>
      </c>
      <c r="H171" s="87" t="s">
        <v>2176</v>
      </c>
      <c r="I171" s="89">
        <f>SUM(I169:I170)</f>
        <v>37199.222500000003</v>
      </c>
      <c r="J171" s="121"/>
      <c r="L171" s="57"/>
      <c r="M171" s="57"/>
      <c r="N171" s="57" t="s">
        <v>2223</v>
      </c>
      <c r="O171" s="127">
        <f>I171</f>
        <v>37199.222500000003</v>
      </c>
      <c r="P171" s="57"/>
    </row>
    <row r="172" spans="1:16" s="56" customFormat="1" ht="11.25" x14ac:dyDescent="0.25">
      <c r="G172" s="88"/>
      <c r="H172" s="87"/>
      <c r="I172" s="89"/>
      <c r="J172" s="121"/>
      <c r="L172" s="57"/>
      <c r="M172" s="57"/>
      <c r="N172" s="57"/>
      <c r="O172" s="127"/>
      <c r="P172" s="57"/>
    </row>
    <row r="173" spans="1:16" s="56" customFormat="1" ht="11.25" customHeight="1" x14ac:dyDescent="0.25">
      <c r="A173" s="53" t="s">
        <v>2161</v>
      </c>
      <c r="B173" s="109">
        <v>27</v>
      </c>
      <c r="C173" s="53"/>
      <c r="D173" s="53"/>
      <c r="E173" s="489" t="s">
        <v>2162</v>
      </c>
      <c r="F173" s="489"/>
      <c r="G173" s="490" t="s">
        <v>2224</v>
      </c>
      <c r="H173" s="491"/>
      <c r="I173" s="491"/>
      <c r="J173" s="491"/>
      <c r="K173" s="491"/>
      <c r="L173" s="491"/>
      <c r="M173" s="491"/>
      <c r="N173" s="491"/>
      <c r="O173" s="491"/>
      <c r="P173" s="55"/>
    </row>
    <row r="174" spans="1:16" s="56" customFormat="1" ht="12" thickBot="1" x14ac:dyDescent="0.3">
      <c r="A174" s="57" t="s">
        <v>20</v>
      </c>
      <c r="B174" s="110" t="s">
        <v>1812</v>
      </c>
      <c r="C174" s="57"/>
      <c r="D174" s="57"/>
      <c r="E174" s="57"/>
      <c r="F174" s="57"/>
      <c r="G174" s="491"/>
      <c r="H174" s="491"/>
      <c r="I174" s="491"/>
      <c r="J174" s="491"/>
      <c r="K174" s="491"/>
      <c r="L174" s="491"/>
      <c r="M174" s="491"/>
      <c r="N174" s="491"/>
      <c r="O174" s="491"/>
      <c r="P174" s="111"/>
    </row>
    <row r="175" spans="1:16" s="56" customFormat="1" ht="11.25" x14ac:dyDescent="0.25">
      <c r="A175" s="492" t="s">
        <v>2165</v>
      </c>
      <c r="B175" s="494" t="s">
        <v>2166</v>
      </c>
      <c r="C175" s="495"/>
      <c r="D175" s="495"/>
      <c r="E175" s="495"/>
      <c r="F175" s="496"/>
      <c r="G175" s="494" t="s">
        <v>2167</v>
      </c>
      <c r="H175" s="495"/>
      <c r="I175" s="495"/>
      <c r="J175" s="495"/>
      <c r="K175" s="496"/>
      <c r="L175" s="494" t="s">
        <v>2168</v>
      </c>
      <c r="M175" s="495"/>
      <c r="N175" s="495"/>
      <c r="O175" s="495"/>
      <c r="P175" s="496"/>
    </row>
    <row r="176" spans="1:16" s="56" customFormat="1" ht="11.25" x14ac:dyDescent="0.25">
      <c r="A176" s="493"/>
      <c r="B176" s="112" t="s">
        <v>19</v>
      </c>
      <c r="C176" s="113" t="s">
        <v>20</v>
      </c>
      <c r="D176" s="113" t="s">
        <v>2169</v>
      </c>
      <c r="E176" s="113" t="s">
        <v>22</v>
      </c>
      <c r="F176" s="114" t="s">
        <v>23</v>
      </c>
      <c r="G176" s="112" t="s">
        <v>19</v>
      </c>
      <c r="H176" s="113" t="s">
        <v>20</v>
      </c>
      <c r="I176" s="113" t="s">
        <v>2169</v>
      </c>
      <c r="J176" s="113" t="s">
        <v>22</v>
      </c>
      <c r="K176" s="114" t="s">
        <v>23</v>
      </c>
      <c r="L176" s="112" t="s">
        <v>19</v>
      </c>
      <c r="M176" s="113" t="s">
        <v>20</v>
      </c>
      <c r="N176" s="113" t="s">
        <v>2169</v>
      </c>
      <c r="O176" s="113" t="s">
        <v>22</v>
      </c>
      <c r="P176" s="114" t="s">
        <v>23</v>
      </c>
    </row>
    <row r="177" spans="1:17" s="56" customFormat="1" ht="45.75" thickBot="1" x14ac:dyDescent="0.3">
      <c r="A177" s="70">
        <v>27</v>
      </c>
      <c r="B177" s="62"/>
      <c r="C177" s="63"/>
      <c r="D177" s="64"/>
      <c r="E177" s="65"/>
      <c r="F177" s="66"/>
      <c r="G177" s="119" t="s">
        <v>2225</v>
      </c>
      <c r="H177" s="63" t="s">
        <v>1812</v>
      </c>
      <c r="I177" s="100">
        <v>1</v>
      </c>
      <c r="J177" s="65">
        <f>'[8]material rate'!H106</f>
        <v>1690</v>
      </c>
      <c r="K177" s="66">
        <f>J177*I177</f>
        <v>1690</v>
      </c>
      <c r="L177" s="62" t="s">
        <v>2222</v>
      </c>
      <c r="M177" s="63"/>
      <c r="N177" s="64"/>
      <c r="O177" s="65">
        <f>0.03*K178</f>
        <v>50.699999999999996</v>
      </c>
      <c r="P177" s="66"/>
    </row>
    <row r="178" spans="1:17" s="56" customFormat="1" ht="12" thickBot="1" x14ac:dyDescent="0.3">
      <c r="A178" s="80" t="s">
        <v>1274</v>
      </c>
      <c r="B178" s="81"/>
      <c r="C178" s="82"/>
      <c r="D178" s="82" t="s">
        <v>2175</v>
      </c>
      <c r="E178" s="82" t="s">
        <v>2176</v>
      </c>
      <c r="F178" s="83"/>
      <c r="G178" s="81"/>
      <c r="H178" s="82"/>
      <c r="I178" s="82" t="s">
        <v>2177</v>
      </c>
      <c r="J178" s="82" t="s">
        <v>2176</v>
      </c>
      <c r="K178" s="83">
        <f>SUM(K177:K177)</f>
        <v>1690</v>
      </c>
      <c r="L178" s="81"/>
      <c r="M178" s="82"/>
      <c r="N178" s="82"/>
      <c r="O178" s="120">
        <f>SUM(O177:O177)</f>
        <v>50.699999999999996</v>
      </c>
      <c r="P178" s="83">
        <f>SUM(P177:P177)</f>
        <v>0</v>
      </c>
    </row>
    <row r="179" spans="1:17" s="56" customFormat="1" ht="11.25" x14ac:dyDescent="0.25">
      <c r="G179" s="84" t="s">
        <v>2179</v>
      </c>
      <c r="H179" s="87" t="s">
        <v>2176</v>
      </c>
      <c r="I179" s="85">
        <f>F178+K178+O178</f>
        <v>1740.7</v>
      </c>
      <c r="J179" s="84"/>
    </row>
    <row r="180" spans="1:17" s="56" customFormat="1" ht="11.25" x14ac:dyDescent="0.25">
      <c r="G180" s="84" t="s">
        <v>2180</v>
      </c>
      <c r="H180" s="87" t="s">
        <v>2176</v>
      </c>
      <c r="I180" s="74">
        <f>I179*0.15</f>
        <v>261.10500000000002</v>
      </c>
      <c r="J180" s="84"/>
    </row>
    <row r="181" spans="1:17" s="56" customFormat="1" ht="11.25" x14ac:dyDescent="0.25">
      <c r="G181" s="88" t="s">
        <v>1274</v>
      </c>
      <c r="H181" s="87" t="s">
        <v>2176</v>
      </c>
      <c r="I181" s="89">
        <f>SUM(I179:I180)</f>
        <v>2001.8050000000001</v>
      </c>
      <c r="J181" s="121"/>
      <c r="L181" s="57"/>
      <c r="M181" s="57"/>
      <c r="N181" s="57" t="s">
        <v>2223</v>
      </c>
      <c r="O181" s="127">
        <f>I181</f>
        <v>2001.8050000000001</v>
      </c>
      <c r="P181" s="57"/>
    </row>
    <row r="182" spans="1:17" x14ac:dyDescent="0.2">
      <c r="A182" s="53" t="s">
        <v>2161</v>
      </c>
      <c r="B182" s="109">
        <v>27</v>
      </c>
      <c r="C182" s="53"/>
      <c r="D182" s="53"/>
      <c r="E182" s="489" t="s">
        <v>2162</v>
      </c>
      <c r="F182" s="489"/>
      <c r="G182" s="490" t="s">
        <v>2226</v>
      </c>
      <c r="H182" s="491"/>
      <c r="I182" s="491"/>
      <c r="J182" s="491"/>
      <c r="K182" s="491"/>
      <c r="L182" s="491"/>
      <c r="M182" s="491"/>
      <c r="N182" s="491"/>
      <c r="O182" s="491"/>
      <c r="P182" s="55"/>
      <c r="Q182" s="56"/>
    </row>
    <row r="183" spans="1:17" ht="13.5" thickBot="1" x14ac:dyDescent="0.25">
      <c r="A183" s="57" t="s">
        <v>20</v>
      </c>
      <c r="B183" s="110" t="s">
        <v>1812</v>
      </c>
      <c r="C183" s="57"/>
      <c r="D183" s="57"/>
      <c r="E183" s="57"/>
      <c r="F183" s="57"/>
      <c r="G183" s="491"/>
      <c r="H183" s="491"/>
      <c r="I183" s="491"/>
      <c r="J183" s="491"/>
      <c r="K183" s="491"/>
      <c r="L183" s="491"/>
      <c r="M183" s="491"/>
      <c r="N183" s="491"/>
      <c r="O183" s="491"/>
      <c r="P183" s="111"/>
      <c r="Q183" s="56"/>
    </row>
    <row r="184" spans="1:17" x14ac:dyDescent="0.2">
      <c r="A184" s="492" t="s">
        <v>2165</v>
      </c>
      <c r="B184" s="494" t="s">
        <v>2166</v>
      </c>
      <c r="C184" s="495"/>
      <c r="D184" s="495"/>
      <c r="E184" s="495"/>
      <c r="F184" s="496"/>
      <c r="G184" s="494" t="s">
        <v>2167</v>
      </c>
      <c r="H184" s="495"/>
      <c r="I184" s="495"/>
      <c r="J184" s="495"/>
      <c r="K184" s="496"/>
      <c r="L184" s="494" t="s">
        <v>2168</v>
      </c>
      <c r="M184" s="495"/>
      <c r="N184" s="495"/>
      <c r="O184" s="495"/>
      <c r="P184" s="496"/>
      <c r="Q184" s="56"/>
    </row>
    <row r="185" spans="1:17" x14ac:dyDescent="0.2">
      <c r="A185" s="493"/>
      <c r="B185" s="112" t="s">
        <v>19</v>
      </c>
      <c r="C185" s="113" t="s">
        <v>20</v>
      </c>
      <c r="D185" s="113" t="s">
        <v>2169</v>
      </c>
      <c r="E185" s="113" t="s">
        <v>22</v>
      </c>
      <c r="F185" s="114" t="s">
        <v>23</v>
      </c>
      <c r="G185" s="112" t="s">
        <v>19</v>
      </c>
      <c r="H185" s="113" t="s">
        <v>20</v>
      </c>
      <c r="I185" s="113" t="s">
        <v>2169</v>
      </c>
      <c r="J185" s="113" t="s">
        <v>22</v>
      </c>
      <c r="K185" s="114" t="s">
        <v>23</v>
      </c>
      <c r="L185" s="112" t="s">
        <v>19</v>
      </c>
      <c r="M185" s="113" t="s">
        <v>20</v>
      </c>
      <c r="N185" s="113" t="s">
        <v>2169</v>
      </c>
      <c r="O185" s="113" t="s">
        <v>22</v>
      </c>
      <c r="P185" s="114" t="s">
        <v>23</v>
      </c>
      <c r="Q185" s="56"/>
    </row>
    <row r="186" spans="1:17" x14ac:dyDescent="0.2">
      <c r="A186" s="70">
        <v>27</v>
      </c>
      <c r="B186" s="62"/>
      <c r="C186" s="63"/>
      <c r="D186" s="64"/>
      <c r="E186" s="65"/>
      <c r="F186" s="66"/>
      <c r="G186" s="62"/>
      <c r="H186" s="63"/>
      <c r="I186" s="100"/>
      <c r="J186" s="65"/>
      <c r="K186" s="66"/>
      <c r="L186" s="62" t="s">
        <v>2222</v>
      </c>
      <c r="M186" s="63"/>
      <c r="N186" s="64"/>
      <c r="O186" s="65">
        <f>0.03*K191</f>
        <v>72.899999999999991</v>
      </c>
      <c r="P186" s="66"/>
      <c r="Q186" s="56"/>
    </row>
    <row r="187" spans="1:17" x14ac:dyDescent="0.2">
      <c r="A187" s="70"/>
      <c r="B187" s="62"/>
      <c r="C187" s="63"/>
      <c r="D187" s="64"/>
      <c r="E187" s="65"/>
      <c r="F187" s="66"/>
      <c r="G187" s="62"/>
      <c r="H187" s="63"/>
      <c r="I187" s="100"/>
      <c r="J187" s="65"/>
      <c r="K187" s="66"/>
      <c r="L187" s="62"/>
      <c r="M187" s="63"/>
      <c r="N187" s="64"/>
      <c r="O187" s="65"/>
      <c r="P187" s="66"/>
      <c r="Q187" s="56"/>
    </row>
    <row r="188" spans="1:17" x14ac:dyDescent="0.2">
      <c r="A188" s="70"/>
      <c r="B188" s="62"/>
      <c r="C188" s="63"/>
      <c r="D188" s="68"/>
      <c r="E188" s="65"/>
      <c r="F188" s="66"/>
      <c r="G188" s="124"/>
      <c r="H188" s="63"/>
      <c r="I188" s="100"/>
      <c r="J188" s="65"/>
      <c r="K188" s="66"/>
      <c r="L188" s="73"/>
      <c r="M188" s="63"/>
      <c r="N188" s="64"/>
      <c r="O188" s="65"/>
      <c r="P188" s="66"/>
      <c r="Q188" s="56"/>
    </row>
    <row r="189" spans="1:17" x14ac:dyDescent="0.2">
      <c r="A189" s="70"/>
      <c r="B189" s="62"/>
      <c r="C189" s="63"/>
      <c r="D189" s="68"/>
      <c r="E189" s="65"/>
      <c r="F189" s="66"/>
      <c r="G189" s="62"/>
      <c r="H189" s="63"/>
      <c r="I189" s="100"/>
      <c r="J189" s="65"/>
      <c r="K189" s="66"/>
      <c r="L189" s="73"/>
      <c r="M189" s="63"/>
      <c r="N189" s="64"/>
      <c r="O189" s="68"/>
      <c r="P189" s="66"/>
      <c r="Q189" s="56"/>
    </row>
    <row r="190" spans="1:17" ht="34.5" thickBot="1" x14ac:dyDescent="0.25">
      <c r="A190" s="70"/>
      <c r="B190" s="62"/>
      <c r="C190" s="63"/>
      <c r="D190" s="68"/>
      <c r="E190" s="65"/>
      <c r="F190" s="66"/>
      <c r="G190" s="119" t="s">
        <v>2227</v>
      </c>
      <c r="H190" s="63" t="s">
        <v>1812</v>
      </c>
      <c r="I190" s="100">
        <v>15</v>
      </c>
      <c r="J190" s="65">
        <v>162</v>
      </c>
      <c r="K190" s="66">
        <f>J190*I190</f>
        <v>2430</v>
      </c>
      <c r="L190" s="73"/>
      <c r="M190" s="63"/>
      <c r="N190" s="64"/>
      <c r="O190" s="68"/>
      <c r="P190" s="66"/>
      <c r="Q190" s="56"/>
    </row>
    <row r="191" spans="1:17" ht="13.5" thickBot="1" x14ac:dyDescent="0.25">
      <c r="A191" s="80" t="s">
        <v>1274</v>
      </c>
      <c r="B191" s="81"/>
      <c r="C191" s="82"/>
      <c r="D191" s="82" t="s">
        <v>2175</v>
      </c>
      <c r="E191" s="82" t="s">
        <v>2176</v>
      </c>
      <c r="F191" s="83"/>
      <c r="G191" s="81"/>
      <c r="H191" s="82"/>
      <c r="I191" s="82" t="s">
        <v>2177</v>
      </c>
      <c r="J191" s="82" t="s">
        <v>2176</v>
      </c>
      <c r="K191" s="83">
        <f>SUM(K186:K190)</f>
        <v>2430</v>
      </c>
      <c r="L191" s="81"/>
      <c r="M191" s="82"/>
      <c r="N191" s="82"/>
      <c r="O191" s="120">
        <f>SUM(O186:O190)</f>
        <v>72.899999999999991</v>
      </c>
      <c r="P191" s="83">
        <f>SUM(P186:P190)</f>
        <v>0</v>
      </c>
      <c r="Q191" s="56"/>
    </row>
    <row r="192" spans="1:17" x14ac:dyDescent="0.2">
      <c r="A192" s="56"/>
      <c r="B192" s="56"/>
      <c r="C192" s="56"/>
      <c r="D192" s="56"/>
      <c r="E192" s="56"/>
      <c r="F192" s="56"/>
      <c r="G192" s="56"/>
      <c r="H192" s="56"/>
      <c r="I192" s="56"/>
      <c r="J192" s="56"/>
      <c r="K192" s="56"/>
      <c r="L192" s="56"/>
      <c r="M192" s="56"/>
      <c r="N192" s="56"/>
      <c r="O192" s="56"/>
      <c r="P192" s="56"/>
      <c r="Q192" s="56"/>
    </row>
    <row r="193" spans="1:17" x14ac:dyDescent="0.2">
      <c r="A193" s="56"/>
      <c r="B193" s="56"/>
      <c r="C193" s="56"/>
      <c r="D193" s="56"/>
      <c r="E193" s="56"/>
      <c r="F193" s="56"/>
      <c r="G193" s="84"/>
      <c r="H193" s="84"/>
      <c r="I193" s="56"/>
      <c r="J193" s="56"/>
      <c r="K193" s="86"/>
      <c r="L193" s="56"/>
      <c r="M193" s="56"/>
      <c r="N193" s="56"/>
      <c r="O193" s="56"/>
      <c r="P193" s="56"/>
      <c r="Q193" s="56"/>
    </row>
    <row r="194" spans="1:17" x14ac:dyDescent="0.2">
      <c r="A194" s="56"/>
      <c r="B194" s="56"/>
      <c r="C194" s="56"/>
      <c r="D194" s="56"/>
      <c r="E194" s="56"/>
      <c r="F194" s="56"/>
      <c r="G194" s="84" t="s">
        <v>2179</v>
      </c>
      <c r="H194" s="87" t="s">
        <v>2176</v>
      </c>
      <c r="I194" s="85">
        <f>F191+K191+O191</f>
        <v>2502.9</v>
      </c>
      <c r="J194" s="84"/>
      <c r="K194" s="56"/>
      <c r="L194" s="56"/>
      <c r="M194" s="56"/>
      <c r="N194" s="56"/>
      <c r="O194" s="56"/>
      <c r="P194" s="56"/>
      <c r="Q194" s="56"/>
    </row>
    <row r="195" spans="1:17" x14ac:dyDescent="0.2">
      <c r="A195" s="56"/>
      <c r="B195" s="56"/>
      <c r="C195" s="56"/>
      <c r="D195" s="56"/>
      <c r="E195" s="56"/>
      <c r="F195" s="56"/>
      <c r="G195" s="84" t="s">
        <v>2180</v>
      </c>
      <c r="H195" s="87" t="s">
        <v>2176</v>
      </c>
      <c r="I195" s="74">
        <f>I194*0.15</f>
        <v>375.435</v>
      </c>
      <c r="J195" s="84"/>
      <c r="K195" s="56"/>
      <c r="L195" s="56"/>
      <c r="M195" s="56"/>
      <c r="N195" s="56"/>
      <c r="O195" s="56"/>
      <c r="P195" s="56"/>
      <c r="Q195" s="56"/>
    </row>
    <row r="196" spans="1:17" x14ac:dyDescent="0.2">
      <c r="A196" s="56"/>
      <c r="B196" s="56"/>
      <c r="C196" s="56"/>
      <c r="D196" s="56"/>
      <c r="E196" s="56"/>
      <c r="F196" s="56"/>
      <c r="G196" s="88" t="s">
        <v>1274</v>
      </c>
      <c r="H196" s="87" t="s">
        <v>2176</v>
      </c>
      <c r="I196" s="89">
        <f>SUM(I194:I195)</f>
        <v>2878.335</v>
      </c>
      <c r="J196" s="121"/>
      <c r="K196" s="56"/>
      <c r="L196" s="57"/>
      <c r="M196" s="57"/>
      <c r="N196" s="57" t="s">
        <v>2223</v>
      </c>
      <c r="O196" s="127">
        <f>I196</f>
        <v>2878.335</v>
      </c>
      <c r="P196" s="57"/>
      <c r="Q196" s="56"/>
    </row>
  </sheetData>
  <mergeCells count="124">
    <mergeCell ref="A10:A11"/>
    <mergeCell ref="B10:F10"/>
    <mergeCell ref="G10:K10"/>
    <mergeCell ref="L10:P10"/>
    <mergeCell ref="Q10:Q11"/>
    <mergeCell ref="E24:F24"/>
    <mergeCell ref="G24:O25"/>
    <mergeCell ref="P25:Q25"/>
    <mergeCell ref="A1:P1"/>
    <mergeCell ref="A2:P2"/>
    <mergeCell ref="A4:P4"/>
    <mergeCell ref="M5:O5"/>
    <mergeCell ref="E6:F6"/>
    <mergeCell ref="G6:O7"/>
    <mergeCell ref="P7:Q7"/>
    <mergeCell ref="A8:Q8"/>
    <mergeCell ref="A9:Q9"/>
    <mergeCell ref="E38:F38"/>
    <mergeCell ref="G38:O39"/>
    <mergeCell ref="P39:Q39"/>
    <mergeCell ref="A40:A41"/>
    <mergeCell ref="B40:F40"/>
    <mergeCell ref="G40:K40"/>
    <mergeCell ref="L40:P40"/>
    <mergeCell ref="Q40:Q41"/>
    <mergeCell ref="A26:A27"/>
    <mergeCell ref="B26:F26"/>
    <mergeCell ref="G26:K26"/>
    <mergeCell ref="L26:P26"/>
    <mergeCell ref="Q26:Q27"/>
    <mergeCell ref="L37:N37"/>
    <mergeCell ref="L51:N51"/>
    <mergeCell ref="E52:F52"/>
    <mergeCell ref="G52:O53"/>
    <mergeCell ref="P53:Q53"/>
    <mergeCell ref="A54:A55"/>
    <mergeCell ref="B54:F54"/>
    <mergeCell ref="G54:K54"/>
    <mergeCell ref="L54:P54"/>
    <mergeCell ref="Q54:Q55"/>
    <mergeCell ref="E75:F75"/>
    <mergeCell ref="G75:O76"/>
    <mergeCell ref="P76:Q76"/>
    <mergeCell ref="A77:A78"/>
    <mergeCell ref="B77:F77"/>
    <mergeCell ref="G77:K77"/>
    <mergeCell ref="L77:P77"/>
    <mergeCell ref="Q77:Q78"/>
    <mergeCell ref="E64:F64"/>
    <mergeCell ref="G64:O65"/>
    <mergeCell ref="P65:Q65"/>
    <mergeCell ref="A66:A67"/>
    <mergeCell ref="B66:F66"/>
    <mergeCell ref="G66:K66"/>
    <mergeCell ref="L66:P66"/>
    <mergeCell ref="Q66:Q67"/>
    <mergeCell ref="E100:F100"/>
    <mergeCell ref="G100:O101"/>
    <mergeCell ref="P101:Q101"/>
    <mergeCell ref="A102:A103"/>
    <mergeCell ref="B102:F102"/>
    <mergeCell ref="G102:K102"/>
    <mergeCell ref="L102:P102"/>
    <mergeCell ref="Q102:Q103"/>
    <mergeCell ref="Q79:Q82"/>
    <mergeCell ref="E88:F88"/>
    <mergeCell ref="G88:O89"/>
    <mergeCell ref="P89:Q89"/>
    <mergeCell ref="A90:A91"/>
    <mergeCell ref="B90:F90"/>
    <mergeCell ref="G90:K90"/>
    <mergeCell ref="L90:P90"/>
    <mergeCell ref="Q90:Q91"/>
    <mergeCell ref="E121:F121"/>
    <mergeCell ref="G121:O122"/>
    <mergeCell ref="A123:A124"/>
    <mergeCell ref="B123:F123"/>
    <mergeCell ref="G123:K123"/>
    <mergeCell ref="L123:P123"/>
    <mergeCell ref="E111:F111"/>
    <mergeCell ref="G111:O112"/>
    <mergeCell ref="P112:Q112"/>
    <mergeCell ref="A113:A114"/>
    <mergeCell ref="B113:F113"/>
    <mergeCell ref="G113:K113"/>
    <mergeCell ref="L113:P113"/>
    <mergeCell ref="Q113:Q114"/>
    <mergeCell ref="Q123:Q124"/>
    <mergeCell ref="L125:L132"/>
    <mergeCell ref="Q125:Q133"/>
    <mergeCell ref="E138:F138"/>
    <mergeCell ref="G138:O139"/>
    <mergeCell ref="A140:A141"/>
    <mergeCell ref="B140:F140"/>
    <mergeCell ref="G140:K140"/>
    <mergeCell ref="L140:P140"/>
    <mergeCell ref="Q140:Q141"/>
    <mergeCell ref="Q155:Q157"/>
    <mergeCell ref="E163:F163"/>
    <mergeCell ref="G163:P164"/>
    <mergeCell ref="A165:A166"/>
    <mergeCell ref="B165:F165"/>
    <mergeCell ref="G165:K165"/>
    <mergeCell ref="L165:P165"/>
    <mergeCell ref="Q142:Q146"/>
    <mergeCell ref="E151:F151"/>
    <mergeCell ref="G151:O152"/>
    <mergeCell ref="A153:A154"/>
    <mergeCell ref="B153:F153"/>
    <mergeCell ref="G153:K153"/>
    <mergeCell ref="L153:P153"/>
    <mergeCell ref="Q153:Q154"/>
    <mergeCell ref="E182:F182"/>
    <mergeCell ref="G182:O183"/>
    <mergeCell ref="A184:A185"/>
    <mergeCell ref="B184:F184"/>
    <mergeCell ref="G184:K184"/>
    <mergeCell ref="L184:P184"/>
    <mergeCell ref="E173:F173"/>
    <mergeCell ref="G173:O174"/>
    <mergeCell ref="A175:A176"/>
    <mergeCell ref="B175:F175"/>
    <mergeCell ref="G175:K175"/>
    <mergeCell ref="L175:P175"/>
  </mergeCells>
  <printOptions horizontalCentered="1"/>
  <pageMargins left="0.3" right="0.3" top="0.5" bottom="1" header="0.3" footer="0.5"/>
  <pageSetup paperSize="9" scale="85" orientation="landscape" useFirstPageNumber="1" verticalDpi="300" r:id="rId1"/>
  <headerFooter>
    <oddHeader>&amp;LDistrict: Kathmandu&amp;C Fiscal Year: 2076/77&amp;R Page &amp;P of &amp;N</oddHeader>
    <oddFooter>&amp;L Prepared By:________________ &amp;C Checked By:________________                                  Recommended By:________________            &amp;R Approved By:________________</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1157</vt:i4>
      </vt:variant>
    </vt:vector>
  </HeadingPairs>
  <TitlesOfParts>
    <vt:vector size="1178" baseType="lpstr">
      <vt:lpstr>Datasheet</vt:lpstr>
      <vt:lpstr>Abstract</vt:lpstr>
      <vt:lpstr>Quantity_Sheet</vt:lpstr>
      <vt:lpstr>District_Rate</vt:lpstr>
      <vt:lpstr>Equipment_Rate</vt:lpstr>
      <vt:lpstr>Summary_of_Rates</vt:lpstr>
      <vt:lpstr>rate (roadway)</vt:lpstr>
      <vt:lpstr>manhole</vt:lpstr>
      <vt:lpstr>bistar</vt:lpstr>
      <vt:lpstr>Rate_Analysis</vt:lpstr>
      <vt:lpstr>DWC pipe Rate-analysis</vt:lpstr>
      <vt:lpstr>Sheet1</vt:lpstr>
      <vt:lpstr>Sheet2</vt:lpstr>
      <vt:lpstr>Sheet3</vt:lpstr>
      <vt:lpstr>Sheet4</vt:lpstr>
      <vt:lpstr>Loading_Unloading</vt:lpstr>
      <vt:lpstr>Collection</vt:lpstr>
      <vt:lpstr>Transportation</vt:lpstr>
      <vt:lpstr>References</vt:lpstr>
      <vt:lpstr>BOQ</vt:lpstr>
      <vt:lpstr>PPMO_BOQ</vt:lpstr>
      <vt:lpstr>ac_pipe_100_mm_dia</vt:lpstr>
      <vt:lpstr>ac_pipe_collar</vt:lpstr>
      <vt:lpstr>admixture</vt:lpstr>
      <vt:lpstr>adopted_rate_ac_pipe_100_mm_dia</vt:lpstr>
      <vt:lpstr>adopted_rate_ac_pipe_collar</vt:lpstr>
      <vt:lpstr>adopted_rate_admixture</vt:lpstr>
      <vt:lpstr>adopted_rate_aggregate_10_20_mm</vt:lpstr>
      <vt:lpstr>adopted_rate_aggregate_10_mm</vt:lpstr>
      <vt:lpstr>adopted_rate_aggregate_13.2_mm</vt:lpstr>
      <vt:lpstr>adopted_rate_aggregate_20_40_mm</vt:lpstr>
      <vt:lpstr>adopted_rate_aggregate_20_mm</vt:lpstr>
      <vt:lpstr>adopted_rate_aggregate_40_70_mm</vt:lpstr>
      <vt:lpstr>adopted_rate_aluminum_alloy_plate_2_mm</vt:lpstr>
      <vt:lpstr>adopted_rate_anti_stripping_agent</vt:lpstr>
      <vt:lpstr>adopted_rate_base_course_material</vt:lpstr>
      <vt:lpstr>adopted_rate_bentonite</vt:lpstr>
      <vt:lpstr>adopted_rate_binding_wire</vt:lpstr>
      <vt:lpstr>adopted_rate_bitumen</vt:lpstr>
      <vt:lpstr>adopted_rate_bitumen_vg_10</vt:lpstr>
      <vt:lpstr>adopted_rate_borrow_pit_material</vt:lpstr>
      <vt:lpstr>adopted_rate_bricks</vt:lpstr>
      <vt:lpstr>adopted_rate_bricks_1st_class</vt:lpstr>
      <vt:lpstr>adopted_rate_capping_layer</vt:lpstr>
      <vt:lpstr>adopted_rate_cats_eye</vt:lpstr>
      <vt:lpstr>adopted_rate_cement</vt:lpstr>
      <vt:lpstr>adopted_rate_clamps</vt:lpstr>
      <vt:lpstr>adopted_rate_compressible_fiber_board_20_mm</vt:lpstr>
      <vt:lpstr>adopted_rate_concrete_block_footpath</vt:lpstr>
      <vt:lpstr>adopted_rate_concrete_block_kerb</vt:lpstr>
      <vt:lpstr>adopted_rate_copper_plate</vt:lpstr>
      <vt:lpstr>adopted_rate_corrosion_resistant_steel</vt:lpstr>
      <vt:lpstr>adopted_rate_cutback_bitumen</vt:lpstr>
      <vt:lpstr>adopted_rate_diesel</vt:lpstr>
      <vt:lpstr>adopted_rate_elastomeric_bearing</vt:lpstr>
      <vt:lpstr>adopted_rate_electric_detonator</vt:lpstr>
      <vt:lpstr>adopted_rate_electricity</vt:lpstr>
      <vt:lpstr>adopted_rate_emulsion</vt:lpstr>
      <vt:lpstr>adopted_rate_epoxy_bonding_agent</vt:lpstr>
      <vt:lpstr>adopted_rate_epoxy_red_zinc_oxide_phosphate_primer</vt:lpstr>
      <vt:lpstr>adopted_rate_expansion_joint</vt:lpstr>
      <vt:lpstr>adopted_rate_filter_material</vt:lpstr>
      <vt:lpstr>adopted_rate_fuse_wire_blasting</vt:lpstr>
      <vt:lpstr>adopted_rate_Gabion_100x120_MW2.7_3.7_SW3.4_4.4_LW2.2_3.2</vt:lpstr>
      <vt:lpstr>adopted_rate_Gabion_100x120_MW2.7_SW3.4_LW2.2</vt:lpstr>
      <vt:lpstr>adopted_rate_Gabion_100x120_MW3_SW3.9_LW2.4</vt:lpstr>
      <vt:lpstr>adopted_rate_Gabion_50x80_MW2.7_SW3.4_LW2.2</vt:lpstr>
      <vt:lpstr>adopted_rate_gabion_mesh_wire</vt:lpstr>
      <vt:lpstr>adopted_rate_Galvanized_Angle</vt:lpstr>
      <vt:lpstr>adopted_rate_galvanized_angle_section_100_100_mm</vt:lpstr>
      <vt:lpstr>adopted_rate_galvanized_channel_post</vt:lpstr>
      <vt:lpstr>adopted_rate_galvanized_corrugated_thrie_beam</vt:lpstr>
      <vt:lpstr>adopted_rate_galvanized_corrugated_w_beam_sheet</vt:lpstr>
      <vt:lpstr>adopted_rate_galvanized_ms_clamp</vt:lpstr>
      <vt:lpstr>adopted_rate_galvanized_spacer_channel</vt:lpstr>
      <vt:lpstr>adopted_rate_galvanized_steel</vt:lpstr>
      <vt:lpstr>adopted_rate_gelatin</vt:lpstr>
      <vt:lpstr>adopted_rate_geotextile</vt:lpstr>
      <vt:lpstr>adopted_rate_gi_bolt_dia_10_mm</vt:lpstr>
      <vt:lpstr>adopted_rate_gi_pipe_dia_100_mm</vt:lpstr>
      <vt:lpstr>adopted_rate_gi_wire</vt:lpstr>
      <vt:lpstr>adopted_rate_glass_beads</vt:lpstr>
      <vt:lpstr>adopted_rate_gravel</vt:lpstr>
      <vt:lpstr>adopted_rate_HDPE_pipe_110_mm</vt:lpstr>
      <vt:lpstr>adopted_rate_HDPE_pipe_150_mm</vt:lpstr>
      <vt:lpstr>adopted_rate_high_built_epoxy</vt:lpstr>
      <vt:lpstr>adopted_rate_hume_pipe_dia_100_mm</vt:lpstr>
      <vt:lpstr>adopted_rate_hume_pipe_dia_1000_mm</vt:lpstr>
      <vt:lpstr>adopted_rate_hume_pipe_dia_1200_mm</vt:lpstr>
      <vt:lpstr>adopted_rate_hume_pipe_dia_300_mm</vt:lpstr>
      <vt:lpstr>adopted_rate_hume_pipe_dia_450_mm</vt:lpstr>
      <vt:lpstr>adopted_rate_hume_pipe_dia_600_mm</vt:lpstr>
      <vt:lpstr>adopted_rate_hume_pipe_dia_900_mm</vt:lpstr>
      <vt:lpstr>adopted_rate_HYSD_bar</vt:lpstr>
      <vt:lpstr>adopted_rate_kerosene</vt:lpstr>
      <vt:lpstr>adopted_rate_lime</vt:lpstr>
      <vt:lpstr>adopted_rate_lpg</vt:lpstr>
      <vt:lpstr>adopted_rate_ms_angle</vt:lpstr>
      <vt:lpstr>adopted_rate_ms_bar</vt:lpstr>
      <vt:lpstr>adopted_rate_ms_channel</vt:lpstr>
      <vt:lpstr>adopted_rate_ms_clamp</vt:lpstr>
      <vt:lpstr>adopted_rate_ms_flat_pipe</vt:lpstr>
      <vt:lpstr>adopted_rate_ms_pipe_25_mm</vt:lpstr>
      <vt:lpstr>adopted_rate_ms_pipe_50_mm</vt:lpstr>
      <vt:lpstr>adopted_rate_ms_pipes_dia_40mm</vt:lpstr>
      <vt:lpstr>adopted_rate_ms_plate</vt:lpstr>
      <vt:lpstr>adopted_rate_ms_sheet_2_mm</vt:lpstr>
      <vt:lpstr>adopted_rate_nails_spikes</vt:lpstr>
      <vt:lpstr>adopted_rate_nuts_bolts</vt:lpstr>
      <vt:lpstr>adopted_rate_pack_high_built_polyur_ethane</vt:lpstr>
      <vt:lpstr>adopted_rate_paint</vt:lpstr>
      <vt:lpstr>adopted_rate_part_of_bearing</vt:lpstr>
      <vt:lpstr>adopted_rate_petrol</vt:lpstr>
      <vt:lpstr>adopted_rate_planks_38mm_thick</vt:lpstr>
      <vt:lpstr>adopted_rate_ply_wood_12mm_thick</vt:lpstr>
      <vt:lpstr>adopted_rate_ply_wood_9mm_thick</vt:lpstr>
      <vt:lpstr>adopted_rate_pre_coated_stone_chips_13mm</vt:lpstr>
      <vt:lpstr>adopted_rate_pre_moulded_joint_filler</vt:lpstr>
      <vt:lpstr>adopted_rate_preformed_continuous_chloroprene_elastomer</vt:lpstr>
      <vt:lpstr>adopted_rate_project_signboard</vt:lpstr>
      <vt:lpstr>adopted_rate_PVC_pipe_200_mm</vt:lpstr>
      <vt:lpstr>adopted_rate_rafter_beam_battens</vt:lpstr>
      <vt:lpstr>adopted_rate_RCC_collar_dia_1000_mm</vt:lpstr>
      <vt:lpstr>adopted_rate_RCC_collar_dia_1200_mm</vt:lpstr>
      <vt:lpstr>adopted_rate_RCC_collar_dia_300_mm</vt:lpstr>
      <vt:lpstr>adopted_rate_RCC_collar_dia_450_mm</vt:lpstr>
      <vt:lpstr>adopted_rate_RCC_collar_dia_600_mm</vt:lpstr>
      <vt:lpstr>adopted_rate_RCC_collar_dia_900_mm</vt:lpstr>
      <vt:lpstr>adopted_rate_RS_joist</vt:lpstr>
      <vt:lpstr>adopted_rate_rubble</vt:lpstr>
      <vt:lpstr>adopted_rate_sal_wood</vt:lpstr>
      <vt:lpstr>adopted_rate_sand</vt:lpstr>
      <vt:lpstr>adopted_rate_steel_tube_dia_50_mm</vt:lpstr>
      <vt:lpstr>adopted_rate_steel_wire_40_mm</vt:lpstr>
      <vt:lpstr>adopted_rate_stone_dust</vt:lpstr>
      <vt:lpstr>adopted_rate_stone_slab_50_mm</vt:lpstr>
      <vt:lpstr>adopted_rate_street_lighting_pole_9_m</vt:lpstr>
      <vt:lpstr>adopted_rate_strip_or_box_seal_expansion_joint</vt:lpstr>
      <vt:lpstr>adopted_rate_structural_steel</vt:lpstr>
      <vt:lpstr>adopted_rate_struts</vt:lpstr>
      <vt:lpstr>adopted_rate_struts_ballies</vt:lpstr>
      <vt:lpstr>adopted_rate_sub_base_material</vt:lpstr>
      <vt:lpstr>adopted_rate_sub_base_material_footpath</vt:lpstr>
      <vt:lpstr>adopted_rate_surface_dressing_chips</vt:lpstr>
      <vt:lpstr>adopted_rate_thermoplastic_paint</vt:lpstr>
      <vt:lpstr>adopted_rate_tiles_300_300_mm_and_25mm_thick</vt:lpstr>
      <vt:lpstr>adopted_rate_vapor_lamp</vt:lpstr>
      <vt:lpstr>adopted_rate_water</vt:lpstr>
      <vt:lpstr>adopted_rate_wooden_packing</vt:lpstr>
      <vt:lpstr>aggregate_10_20_mm</vt:lpstr>
      <vt:lpstr>aggregate_10_mm</vt:lpstr>
      <vt:lpstr>aggregate_13.2_mm</vt:lpstr>
      <vt:lpstr>aggregate_20_40_mm</vt:lpstr>
      <vt:lpstr>aggregate_20_mm</vt:lpstr>
      <vt:lpstr>aggregate_40_70_mm</vt:lpstr>
      <vt:lpstr>air_compressor</vt:lpstr>
      <vt:lpstr>aluminum_alloy_plate_2_mm</vt:lpstr>
      <vt:lpstr>anti_stripping_agent</vt:lpstr>
      <vt:lpstr>base_course_material</vt:lpstr>
      <vt:lpstr>bentonite</vt:lpstr>
      <vt:lpstr>bentonite_pump</vt:lpstr>
      <vt:lpstr>bh_number</vt:lpstr>
      <vt:lpstr>binding_wire</vt:lpstr>
      <vt:lpstr>bitumen</vt:lpstr>
      <vt:lpstr>bitumen_boiler</vt:lpstr>
      <vt:lpstr>bitumen_distributor</vt:lpstr>
      <vt:lpstr>bitumen_vg_10</vt:lpstr>
      <vt:lpstr>blast_rubble</vt:lpstr>
      <vt:lpstr>blaster</vt:lpstr>
      <vt:lpstr>borrow_pit_material</vt:lpstr>
      <vt:lpstr>bricks</vt:lpstr>
      <vt:lpstr>bricks_1st_class</vt:lpstr>
      <vt:lpstr>capping_layer</vt:lpstr>
      <vt:lpstr>cats_eye</vt:lpstr>
      <vt:lpstr>cement</vt:lpstr>
      <vt:lpstr>chip_spreader</vt:lpstr>
      <vt:lpstr>clamps</vt:lpstr>
      <vt:lpstr>col_rate_aggregate</vt:lpstr>
      <vt:lpstr>col_rate_aggregate_10_20_mm</vt:lpstr>
      <vt:lpstr>col_rate_aggregate_10_mm</vt:lpstr>
      <vt:lpstr>col_rate_aggregate_13.2_mm</vt:lpstr>
      <vt:lpstr>col_rate_aggregate_20_40_mm</vt:lpstr>
      <vt:lpstr>col_rate_aggregate_20_mm</vt:lpstr>
      <vt:lpstr>col_rate_aggregate_40_70_mm</vt:lpstr>
      <vt:lpstr>col_rate_aggregate_40_mm</vt:lpstr>
      <vt:lpstr>col_rate_aggregate_70_100_mm</vt:lpstr>
      <vt:lpstr>col_rate_gravel_20_mm</vt:lpstr>
      <vt:lpstr>col_rate_gravel_40_70_mm</vt:lpstr>
      <vt:lpstr>col_rate_gravel_40_mm</vt:lpstr>
      <vt:lpstr>col_rate_gravel_5_70_mm</vt:lpstr>
      <vt:lpstr>col_rate_gravel_70_100_mm</vt:lpstr>
      <vt:lpstr>col_rate_gravel_8_mm</vt:lpstr>
      <vt:lpstr>col_rate_quarry_output_33_to_66_per</vt:lpstr>
      <vt:lpstr>col_rate_quarry_output_less_than_33_per</vt:lpstr>
      <vt:lpstr>col_rate_quarry_output_more_than_66_per</vt:lpstr>
      <vt:lpstr>col_rate_rubble</vt:lpstr>
      <vt:lpstr>col_rate_sand</vt:lpstr>
      <vt:lpstr>collection_aggregate</vt:lpstr>
      <vt:lpstr>collection_gravel_20_mm</vt:lpstr>
      <vt:lpstr>collection_gravel_40_70_mm</vt:lpstr>
      <vt:lpstr>collection_gravel_40_mm</vt:lpstr>
      <vt:lpstr>collection_gravel_5_70_mm</vt:lpstr>
      <vt:lpstr>collection_gravel_70_100_mm</vt:lpstr>
      <vt:lpstr>collection_gravel_8_mm</vt:lpstr>
      <vt:lpstr>collection_quarry_output_33_to_66_per</vt:lpstr>
      <vt:lpstr>collection_quarry_output_less_than_33_per</vt:lpstr>
      <vt:lpstr>collection_quarry_output_more_than_66_per</vt:lpstr>
      <vt:lpstr>collection_rubble</vt:lpstr>
      <vt:lpstr>collection_sand</vt:lpstr>
      <vt:lpstr>compressible_fiber_board_20_mm</vt:lpstr>
      <vt:lpstr>concrete_block_footpath</vt:lpstr>
      <vt:lpstr>concrete_block_kerb</vt:lpstr>
      <vt:lpstr>concrete_mixer</vt:lpstr>
      <vt:lpstr>concrete_needle_vibrator</vt:lpstr>
      <vt:lpstr>contract_number</vt:lpstr>
      <vt:lpstr>copper_plate</vt:lpstr>
      <vt:lpstr>corrosion_resistant_steel</vt:lpstr>
      <vt:lpstr>crane</vt:lpstr>
      <vt:lpstr>cutback_bitumen</vt:lpstr>
      <vt:lpstr>d_t_ac_pipe_100_mm_dia</vt:lpstr>
      <vt:lpstr>d_t_ac_pipe_collar</vt:lpstr>
      <vt:lpstr>d_t_admixture</vt:lpstr>
      <vt:lpstr>d_t_aggregate_10_20_mm</vt:lpstr>
      <vt:lpstr>d_t_aggregate_10_mm</vt:lpstr>
      <vt:lpstr>d_t_aggregate_13.2_mm</vt:lpstr>
      <vt:lpstr>d_t_aggregate_20_40_mm</vt:lpstr>
      <vt:lpstr>d_t_aggregate_20_mm</vt:lpstr>
      <vt:lpstr>d_t_aggregate_40_70_mm</vt:lpstr>
      <vt:lpstr>d_t_aluminum_alloy_plate_2_mm</vt:lpstr>
      <vt:lpstr>d_t_anti_stripping_agent</vt:lpstr>
      <vt:lpstr>d_t_base_course_material</vt:lpstr>
      <vt:lpstr>d_t_bentonite</vt:lpstr>
      <vt:lpstr>d_t_binding_wire</vt:lpstr>
      <vt:lpstr>d_t_bitumen</vt:lpstr>
      <vt:lpstr>d_t_bitumen_vg_10</vt:lpstr>
      <vt:lpstr>d_t_borrow_pit_material</vt:lpstr>
      <vt:lpstr>d_t_bricks</vt:lpstr>
      <vt:lpstr>d_t_bricks_1st_class</vt:lpstr>
      <vt:lpstr>d_t_capping_layer</vt:lpstr>
      <vt:lpstr>d_t_cats_eye</vt:lpstr>
      <vt:lpstr>d_t_cement</vt:lpstr>
      <vt:lpstr>d_t_clamps</vt:lpstr>
      <vt:lpstr>d_t_compressible_fiber_board_20_mm</vt:lpstr>
      <vt:lpstr>d_t_concrete_block_footpath</vt:lpstr>
      <vt:lpstr>d_t_concrete_block_kerb</vt:lpstr>
      <vt:lpstr>d_t_copper_plate</vt:lpstr>
      <vt:lpstr>d_t_corrosion_resistant_steel</vt:lpstr>
      <vt:lpstr>d_t_cutback_bitumen</vt:lpstr>
      <vt:lpstr>d_t_diesel</vt:lpstr>
      <vt:lpstr>d_t_elastomeric_bearing</vt:lpstr>
      <vt:lpstr>d_t_electric_detonator</vt:lpstr>
      <vt:lpstr>d_t_electricity</vt:lpstr>
      <vt:lpstr>d_t_emulsion</vt:lpstr>
      <vt:lpstr>d_t_epoxy_bonding_agent</vt:lpstr>
      <vt:lpstr>d_t_epoxy_red_zinc_oxide_phosphate_primer</vt:lpstr>
      <vt:lpstr>d_t_expansion_joint</vt:lpstr>
      <vt:lpstr>d_t_filter_material</vt:lpstr>
      <vt:lpstr>d_t_fuse_wire_blasting</vt:lpstr>
      <vt:lpstr>d_t_Gabion_100x120_MW2.7_3.7_SW3.4_4.4_LW2.2_3.2</vt:lpstr>
      <vt:lpstr>d_t_Gabion_100x120_MW2.7_SW3.4_LW2.2</vt:lpstr>
      <vt:lpstr>d_t_Gabion_100x120_MW3_SW3.9_LW2.4</vt:lpstr>
      <vt:lpstr>d_t_Gabion_50x80_MW2.7_SW3.4_LW2.2</vt:lpstr>
      <vt:lpstr>d_t_gabion_mesh_wire</vt:lpstr>
      <vt:lpstr>d_t_Galvanized_Angle</vt:lpstr>
      <vt:lpstr>d_t_galvanized_angle_section_100_100_mm</vt:lpstr>
      <vt:lpstr>d_t_galvanized_channel_post</vt:lpstr>
      <vt:lpstr>d_t_galvanized_corrugated_thrie_beam</vt:lpstr>
      <vt:lpstr>d_t_galvanized_corrugated_w_beam_sheet</vt:lpstr>
      <vt:lpstr>d_t_galvanized_ms_clamp</vt:lpstr>
      <vt:lpstr>d_t_galvanized_spacer_channel</vt:lpstr>
      <vt:lpstr>d_t_galvanized_steel</vt:lpstr>
      <vt:lpstr>d_t_gelatin</vt:lpstr>
      <vt:lpstr>d_t_geotextile</vt:lpstr>
      <vt:lpstr>d_t_gi_bolt_dia_10_mm</vt:lpstr>
      <vt:lpstr>d_t_gi_pipe_dia_100_mm</vt:lpstr>
      <vt:lpstr>d_t_gi_wire</vt:lpstr>
      <vt:lpstr>d_t_glass_beads</vt:lpstr>
      <vt:lpstr>d_t_gravel</vt:lpstr>
      <vt:lpstr>d_t_HDPE_pipe_110_mm</vt:lpstr>
      <vt:lpstr>d_t_HDPE_pipe_150_mm</vt:lpstr>
      <vt:lpstr>d_t_high_built_epoxy</vt:lpstr>
      <vt:lpstr>d_t_hume_pipe_dia_100_mm</vt:lpstr>
      <vt:lpstr>d_t_hume_pipe_dia_1000_mm</vt:lpstr>
      <vt:lpstr>d_t_hume_pipe_dia_1200_mm</vt:lpstr>
      <vt:lpstr>d_t_hume_pipe_dia_300_mm</vt:lpstr>
      <vt:lpstr>d_t_hume_pipe_dia_450_mm</vt:lpstr>
      <vt:lpstr>d_t_hume_pipe_dia_600_mm</vt:lpstr>
      <vt:lpstr>d_t_hume_pipe_dia_900_mm</vt:lpstr>
      <vt:lpstr>d_t_HYSD_bar</vt:lpstr>
      <vt:lpstr>d_t_kerosene</vt:lpstr>
      <vt:lpstr>d_t_lime</vt:lpstr>
      <vt:lpstr>d_t_lpg</vt:lpstr>
      <vt:lpstr>d_t_ms_angle</vt:lpstr>
      <vt:lpstr>d_t_ms_bar</vt:lpstr>
      <vt:lpstr>d_t_ms_channel</vt:lpstr>
      <vt:lpstr>d_t_ms_clamp</vt:lpstr>
      <vt:lpstr>d_t_ms_flat_pipe</vt:lpstr>
      <vt:lpstr>d_t_ms_pipe_25_mm</vt:lpstr>
      <vt:lpstr>d_t_ms_pipe_50_mm</vt:lpstr>
      <vt:lpstr>d_t_ms_pipes_dia_40mm</vt:lpstr>
      <vt:lpstr>d_t_ms_plate</vt:lpstr>
      <vt:lpstr>d_t_ms_sheet_2_mm</vt:lpstr>
      <vt:lpstr>d_t_nails_spikes</vt:lpstr>
      <vt:lpstr>d_t_nuts_bolts</vt:lpstr>
      <vt:lpstr>d_t_pack_high_built_polyur_ethane</vt:lpstr>
      <vt:lpstr>d_t_paint</vt:lpstr>
      <vt:lpstr>d_t_part_of_bearing</vt:lpstr>
      <vt:lpstr>d_t_petrol</vt:lpstr>
      <vt:lpstr>d_t_planks_38mm_thick</vt:lpstr>
      <vt:lpstr>d_t_ply_wood_12mm_thick</vt:lpstr>
      <vt:lpstr>d_t_ply_wood_9mm_thick</vt:lpstr>
      <vt:lpstr>d_t_pre_coated_stone_chips_13mm</vt:lpstr>
      <vt:lpstr>d_t_pre_moulded_joint_filler</vt:lpstr>
      <vt:lpstr>d_t_preformed_continuous_chloroprene_elastomer</vt:lpstr>
      <vt:lpstr>d_t_project_signboard</vt:lpstr>
      <vt:lpstr>d_t_PVC_pipe_200_mm</vt:lpstr>
      <vt:lpstr>d_t_rafter_beam_battens</vt:lpstr>
      <vt:lpstr>d_t_RCC_collar_dia_1000_mm</vt:lpstr>
      <vt:lpstr>d_t_RCC_collar_dia_1200_mm</vt:lpstr>
      <vt:lpstr>d_t_RCC_collar_dia_300_mm</vt:lpstr>
      <vt:lpstr>d_t_RCC_collar_dia_450_mm</vt:lpstr>
      <vt:lpstr>d_t_RCC_collar_dia_600_mm</vt:lpstr>
      <vt:lpstr>d_t_RCC_collar_dia_900_mm</vt:lpstr>
      <vt:lpstr>d_t_RS_joist</vt:lpstr>
      <vt:lpstr>d_t_rubble</vt:lpstr>
      <vt:lpstr>d_t_sal_wood</vt:lpstr>
      <vt:lpstr>d_t_sand</vt:lpstr>
      <vt:lpstr>d_t_steel_tube_dia_50_mm</vt:lpstr>
      <vt:lpstr>d_t_steel_wire_40_mm</vt:lpstr>
      <vt:lpstr>d_t_stone_dust</vt:lpstr>
      <vt:lpstr>d_t_stone_slab_50_mm</vt:lpstr>
      <vt:lpstr>d_t_street_lighting_pole_9_m</vt:lpstr>
      <vt:lpstr>d_t_strip_or_box_seal_expansion_joint</vt:lpstr>
      <vt:lpstr>d_t_structural_steel</vt:lpstr>
      <vt:lpstr>d_t_struts</vt:lpstr>
      <vt:lpstr>d_t_struts_ballies</vt:lpstr>
      <vt:lpstr>d_t_sub_base_material</vt:lpstr>
      <vt:lpstr>d_t_sub_base_material_footpath</vt:lpstr>
      <vt:lpstr>d_t_surface_dressing_chips</vt:lpstr>
      <vt:lpstr>d_t_thermoplastic_paint</vt:lpstr>
      <vt:lpstr>d_t_tiles_300_300_mm_and_25mm_thick</vt:lpstr>
      <vt:lpstr>d_t_vapor_lamp</vt:lpstr>
      <vt:lpstr>d_t_water</vt:lpstr>
      <vt:lpstr>d_t_wooden_packing</vt:lpstr>
      <vt:lpstr>department</vt:lpstr>
      <vt:lpstr>description_1</vt:lpstr>
      <vt:lpstr>description_10</vt:lpstr>
      <vt:lpstr>description_1011</vt:lpstr>
      <vt:lpstr>description_1012</vt:lpstr>
      <vt:lpstr>description_1013</vt:lpstr>
      <vt:lpstr>description_1014</vt:lpstr>
      <vt:lpstr>description_1015</vt:lpstr>
      <vt:lpstr>description_1018</vt:lpstr>
      <vt:lpstr>description_1019</vt:lpstr>
      <vt:lpstr>description_103</vt:lpstr>
      <vt:lpstr>description_1049</vt:lpstr>
      <vt:lpstr>description_11</vt:lpstr>
      <vt:lpstr>description_121</vt:lpstr>
      <vt:lpstr>description_124</vt:lpstr>
      <vt:lpstr>description_128</vt:lpstr>
      <vt:lpstr>description_13</vt:lpstr>
      <vt:lpstr>description_14</vt:lpstr>
      <vt:lpstr>description_15</vt:lpstr>
      <vt:lpstr>description_16</vt:lpstr>
      <vt:lpstr>description_17</vt:lpstr>
      <vt:lpstr>description_18</vt:lpstr>
      <vt:lpstr>description_19</vt:lpstr>
      <vt:lpstr>description_2</vt:lpstr>
      <vt:lpstr>description_20</vt:lpstr>
      <vt:lpstr>description_2051</vt:lpstr>
      <vt:lpstr>description_2052</vt:lpstr>
      <vt:lpstr>description_2063</vt:lpstr>
      <vt:lpstr>description_2064</vt:lpstr>
      <vt:lpstr>description_2065</vt:lpstr>
      <vt:lpstr>description_2066</vt:lpstr>
      <vt:lpstr>description_2088</vt:lpstr>
      <vt:lpstr>description_2089</vt:lpstr>
      <vt:lpstr>description_21</vt:lpstr>
      <vt:lpstr>description_2101</vt:lpstr>
      <vt:lpstr>description_2102</vt:lpstr>
      <vt:lpstr>description_2103</vt:lpstr>
      <vt:lpstr>description_22</vt:lpstr>
      <vt:lpstr>description_2212</vt:lpstr>
      <vt:lpstr>description_2290</vt:lpstr>
      <vt:lpstr>description_23</vt:lpstr>
      <vt:lpstr>description_24</vt:lpstr>
      <vt:lpstr>description_245</vt:lpstr>
      <vt:lpstr>description_246</vt:lpstr>
      <vt:lpstr>description_247</vt:lpstr>
      <vt:lpstr>description_248</vt:lpstr>
      <vt:lpstr>description_249</vt:lpstr>
      <vt:lpstr>description_25</vt:lpstr>
      <vt:lpstr>description_250</vt:lpstr>
      <vt:lpstr>description_251</vt:lpstr>
      <vt:lpstr>description_252</vt:lpstr>
      <vt:lpstr>description_253</vt:lpstr>
      <vt:lpstr>description_254</vt:lpstr>
      <vt:lpstr>description_255</vt:lpstr>
      <vt:lpstr>description_256</vt:lpstr>
      <vt:lpstr>description_257</vt:lpstr>
      <vt:lpstr>description_26</vt:lpstr>
      <vt:lpstr>description_261</vt:lpstr>
      <vt:lpstr>description_262</vt:lpstr>
      <vt:lpstr>description_263</vt:lpstr>
      <vt:lpstr>description_264</vt:lpstr>
      <vt:lpstr>description_265</vt:lpstr>
      <vt:lpstr>description_266</vt:lpstr>
      <vt:lpstr>description_27</vt:lpstr>
      <vt:lpstr>description_270</vt:lpstr>
      <vt:lpstr>description_271</vt:lpstr>
      <vt:lpstr>description_273</vt:lpstr>
      <vt:lpstr>description_276</vt:lpstr>
      <vt:lpstr>description_277</vt:lpstr>
      <vt:lpstr>description_278</vt:lpstr>
      <vt:lpstr>description_28</vt:lpstr>
      <vt:lpstr>description_280</vt:lpstr>
      <vt:lpstr>description_289</vt:lpstr>
      <vt:lpstr>description_29</vt:lpstr>
      <vt:lpstr>description_291</vt:lpstr>
      <vt:lpstr>description_293</vt:lpstr>
      <vt:lpstr>description_294</vt:lpstr>
      <vt:lpstr>description_296</vt:lpstr>
      <vt:lpstr>description_297</vt:lpstr>
      <vt:lpstr>description_298</vt:lpstr>
      <vt:lpstr>description_299</vt:lpstr>
      <vt:lpstr>description_3</vt:lpstr>
      <vt:lpstr>description_30</vt:lpstr>
      <vt:lpstr>description_301</vt:lpstr>
      <vt:lpstr>description_302</vt:lpstr>
      <vt:lpstr>description_303</vt:lpstr>
      <vt:lpstr>description_304</vt:lpstr>
      <vt:lpstr>description_305</vt:lpstr>
      <vt:lpstr>description_306</vt:lpstr>
      <vt:lpstr>description_31</vt:lpstr>
      <vt:lpstr>description_310</vt:lpstr>
      <vt:lpstr>description_312</vt:lpstr>
      <vt:lpstr>description_315</vt:lpstr>
      <vt:lpstr>description_326</vt:lpstr>
      <vt:lpstr>description_327</vt:lpstr>
      <vt:lpstr>description_328</vt:lpstr>
      <vt:lpstr>description_329</vt:lpstr>
      <vt:lpstr>description_331</vt:lpstr>
      <vt:lpstr>description_340</vt:lpstr>
      <vt:lpstr>description_343</vt:lpstr>
      <vt:lpstr>description_345</vt:lpstr>
      <vt:lpstr>description_350</vt:lpstr>
      <vt:lpstr>description_352</vt:lpstr>
      <vt:lpstr>description_353</vt:lpstr>
      <vt:lpstr>description_354</vt:lpstr>
      <vt:lpstr>description_36</vt:lpstr>
      <vt:lpstr>description_363</vt:lpstr>
      <vt:lpstr>description_364</vt:lpstr>
      <vt:lpstr>description_365</vt:lpstr>
      <vt:lpstr>description_366</vt:lpstr>
      <vt:lpstr>description_37</vt:lpstr>
      <vt:lpstr>description_376</vt:lpstr>
      <vt:lpstr>description_377</vt:lpstr>
      <vt:lpstr>description_378</vt:lpstr>
      <vt:lpstr>description_379</vt:lpstr>
      <vt:lpstr>description_38</vt:lpstr>
      <vt:lpstr>description_380</vt:lpstr>
      <vt:lpstr>description_382</vt:lpstr>
      <vt:lpstr>description_383</vt:lpstr>
      <vt:lpstr>description_384</vt:lpstr>
      <vt:lpstr>description_385</vt:lpstr>
      <vt:lpstr>description_387</vt:lpstr>
      <vt:lpstr>description_39</vt:lpstr>
      <vt:lpstr>description_394</vt:lpstr>
      <vt:lpstr>description_395</vt:lpstr>
      <vt:lpstr>description_396</vt:lpstr>
      <vt:lpstr>description_397</vt:lpstr>
      <vt:lpstr>description_398</vt:lpstr>
      <vt:lpstr>description_4</vt:lpstr>
      <vt:lpstr>description_40</vt:lpstr>
      <vt:lpstr>description_400</vt:lpstr>
      <vt:lpstr>description_401</vt:lpstr>
      <vt:lpstr>description_404</vt:lpstr>
      <vt:lpstr>description_405</vt:lpstr>
      <vt:lpstr>description_406</vt:lpstr>
      <vt:lpstr>description_407</vt:lpstr>
      <vt:lpstr>description_408</vt:lpstr>
      <vt:lpstr>description_409</vt:lpstr>
      <vt:lpstr>description_41</vt:lpstr>
      <vt:lpstr>description_410</vt:lpstr>
      <vt:lpstr>description_411</vt:lpstr>
      <vt:lpstr>description_412</vt:lpstr>
      <vt:lpstr>description_413</vt:lpstr>
      <vt:lpstr>description_414</vt:lpstr>
      <vt:lpstr>description_418</vt:lpstr>
      <vt:lpstr>description_419</vt:lpstr>
      <vt:lpstr>description_42</vt:lpstr>
      <vt:lpstr>description_420</vt:lpstr>
      <vt:lpstr>description_421</vt:lpstr>
      <vt:lpstr>description_422</vt:lpstr>
      <vt:lpstr>description_423</vt:lpstr>
      <vt:lpstr>description_424</vt:lpstr>
      <vt:lpstr>description_425</vt:lpstr>
      <vt:lpstr>description_426</vt:lpstr>
      <vt:lpstr>description_427</vt:lpstr>
      <vt:lpstr>description_428</vt:lpstr>
      <vt:lpstr>description_429</vt:lpstr>
      <vt:lpstr>description_43</vt:lpstr>
      <vt:lpstr>description_430</vt:lpstr>
      <vt:lpstr>description_431</vt:lpstr>
      <vt:lpstr>description_432</vt:lpstr>
      <vt:lpstr>description_433</vt:lpstr>
      <vt:lpstr>description_434</vt:lpstr>
      <vt:lpstr>description_435</vt:lpstr>
      <vt:lpstr>description_436</vt:lpstr>
      <vt:lpstr>description_437</vt:lpstr>
      <vt:lpstr>description_438</vt:lpstr>
      <vt:lpstr>description_439</vt:lpstr>
      <vt:lpstr>description_44</vt:lpstr>
      <vt:lpstr>description_444</vt:lpstr>
      <vt:lpstr>description_45</vt:lpstr>
      <vt:lpstr>description_46</vt:lpstr>
      <vt:lpstr>description_47</vt:lpstr>
      <vt:lpstr>description_48</vt:lpstr>
      <vt:lpstr>description_49</vt:lpstr>
      <vt:lpstr>description_5</vt:lpstr>
      <vt:lpstr>description_50</vt:lpstr>
      <vt:lpstr>description_51</vt:lpstr>
      <vt:lpstr>description_52</vt:lpstr>
      <vt:lpstr>description_53</vt:lpstr>
      <vt:lpstr>description_54</vt:lpstr>
      <vt:lpstr>description_55</vt:lpstr>
      <vt:lpstr>description_56</vt:lpstr>
      <vt:lpstr>description_564</vt:lpstr>
      <vt:lpstr>description_565</vt:lpstr>
      <vt:lpstr>description_566</vt:lpstr>
      <vt:lpstr>description_567</vt:lpstr>
      <vt:lpstr>description_568</vt:lpstr>
      <vt:lpstr>description_569</vt:lpstr>
      <vt:lpstr>description_57</vt:lpstr>
      <vt:lpstr>description_58</vt:lpstr>
      <vt:lpstr>description_59</vt:lpstr>
      <vt:lpstr>description_598</vt:lpstr>
      <vt:lpstr>description_599</vt:lpstr>
      <vt:lpstr>description_6</vt:lpstr>
      <vt:lpstr>description_60</vt:lpstr>
      <vt:lpstr>description_600</vt:lpstr>
      <vt:lpstr>description_61</vt:lpstr>
      <vt:lpstr>description_610</vt:lpstr>
      <vt:lpstr>description_611</vt:lpstr>
      <vt:lpstr>description_612</vt:lpstr>
      <vt:lpstr>description_613</vt:lpstr>
      <vt:lpstr>description_614</vt:lpstr>
      <vt:lpstr>description_615</vt:lpstr>
      <vt:lpstr>description_616</vt:lpstr>
      <vt:lpstr>description_617</vt:lpstr>
      <vt:lpstr>description_618</vt:lpstr>
      <vt:lpstr>description_619</vt:lpstr>
      <vt:lpstr>description_62</vt:lpstr>
      <vt:lpstr>description_620</vt:lpstr>
      <vt:lpstr>description_622</vt:lpstr>
      <vt:lpstr>description_623</vt:lpstr>
      <vt:lpstr>description_637</vt:lpstr>
      <vt:lpstr>description_641</vt:lpstr>
      <vt:lpstr>description_642</vt:lpstr>
      <vt:lpstr>description_643</vt:lpstr>
      <vt:lpstr>description_649</vt:lpstr>
      <vt:lpstr>description_650</vt:lpstr>
      <vt:lpstr>description_651</vt:lpstr>
      <vt:lpstr>description_652</vt:lpstr>
      <vt:lpstr>description_653</vt:lpstr>
      <vt:lpstr>description_654</vt:lpstr>
      <vt:lpstr>description_655</vt:lpstr>
      <vt:lpstr>description_656</vt:lpstr>
      <vt:lpstr>description_657</vt:lpstr>
      <vt:lpstr>description_658</vt:lpstr>
      <vt:lpstr>description_671</vt:lpstr>
      <vt:lpstr>description_672</vt:lpstr>
      <vt:lpstr>description_673</vt:lpstr>
      <vt:lpstr>description_674</vt:lpstr>
      <vt:lpstr>description_675</vt:lpstr>
      <vt:lpstr>description_676</vt:lpstr>
      <vt:lpstr>description_677</vt:lpstr>
      <vt:lpstr>description_678</vt:lpstr>
      <vt:lpstr>description_679</vt:lpstr>
      <vt:lpstr>description_68</vt:lpstr>
      <vt:lpstr>description_680</vt:lpstr>
      <vt:lpstr>description_682</vt:lpstr>
      <vt:lpstr>description_684</vt:lpstr>
      <vt:lpstr>description_685</vt:lpstr>
      <vt:lpstr>description_686</vt:lpstr>
      <vt:lpstr>description_687</vt:lpstr>
      <vt:lpstr>description_688</vt:lpstr>
      <vt:lpstr>description_689</vt:lpstr>
      <vt:lpstr>description_69</vt:lpstr>
      <vt:lpstr>description_690</vt:lpstr>
      <vt:lpstr>description_691</vt:lpstr>
      <vt:lpstr>description_692</vt:lpstr>
      <vt:lpstr>description_693</vt:lpstr>
      <vt:lpstr>description_697</vt:lpstr>
      <vt:lpstr>description_698</vt:lpstr>
      <vt:lpstr>description_699</vt:lpstr>
      <vt:lpstr>description_7</vt:lpstr>
      <vt:lpstr>description_700</vt:lpstr>
      <vt:lpstr>description_701</vt:lpstr>
      <vt:lpstr>description_702</vt:lpstr>
      <vt:lpstr>description_703</vt:lpstr>
      <vt:lpstr>description_706</vt:lpstr>
      <vt:lpstr>description_707</vt:lpstr>
      <vt:lpstr>description_746</vt:lpstr>
      <vt:lpstr>description_747</vt:lpstr>
      <vt:lpstr>description_748</vt:lpstr>
      <vt:lpstr>description_749</vt:lpstr>
      <vt:lpstr>description_750</vt:lpstr>
      <vt:lpstr>description_753</vt:lpstr>
      <vt:lpstr>description_754</vt:lpstr>
      <vt:lpstr>description_755</vt:lpstr>
      <vt:lpstr>description_756</vt:lpstr>
      <vt:lpstr>description_757</vt:lpstr>
      <vt:lpstr>description_758</vt:lpstr>
      <vt:lpstr>description_759</vt:lpstr>
      <vt:lpstr>description_760</vt:lpstr>
      <vt:lpstr>description_761</vt:lpstr>
      <vt:lpstr>description_762</vt:lpstr>
      <vt:lpstr>description_763</vt:lpstr>
      <vt:lpstr>description_764</vt:lpstr>
      <vt:lpstr>description_765</vt:lpstr>
      <vt:lpstr>description_766</vt:lpstr>
      <vt:lpstr>description_767</vt:lpstr>
      <vt:lpstr>description_768</vt:lpstr>
      <vt:lpstr>description_769</vt:lpstr>
      <vt:lpstr>description_770</vt:lpstr>
      <vt:lpstr>description_771</vt:lpstr>
      <vt:lpstr>description_772</vt:lpstr>
      <vt:lpstr>description_773</vt:lpstr>
      <vt:lpstr>description_774</vt:lpstr>
      <vt:lpstr>description_775</vt:lpstr>
      <vt:lpstr>description_776</vt:lpstr>
      <vt:lpstr>description_779</vt:lpstr>
      <vt:lpstr>description_780</vt:lpstr>
      <vt:lpstr>description_781</vt:lpstr>
      <vt:lpstr>description_782</vt:lpstr>
      <vt:lpstr>description_783</vt:lpstr>
      <vt:lpstr>description_784</vt:lpstr>
      <vt:lpstr>description_8</vt:lpstr>
      <vt:lpstr>description_810</vt:lpstr>
      <vt:lpstr>description_811</vt:lpstr>
      <vt:lpstr>description_822</vt:lpstr>
      <vt:lpstr>description_824</vt:lpstr>
      <vt:lpstr>description_825</vt:lpstr>
      <vt:lpstr>description_826</vt:lpstr>
      <vt:lpstr>description_827</vt:lpstr>
      <vt:lpstr>description_828</vt:lpstr>
      <vt:lpstr>description_829</vt:lpstr>
      <vt:lpstr>description_830</vt:lpstr>
      <vt:lpstr>description_831</vt:lpstr>
      <vt:lpstr>description_832</vt:lpstr>
      <vt:lpstr>description_90</vt:lpstr>
      <vt:lpstr>description_934</vt:lpstr>
      <vt:lpstr>description_935</vt:lpstr>
      <vt:lpstr>description_936</vt:lpstr>
      <vt:lpstr>description_937</vt:lpstr>
      <vt:lpstr>description_938</vt:lpstr>
      <vt:lpstr>description_943</vt:lpstr>
      <vt:lpstr>description_95</vt:lpstr>
      <vt:lpstr>description_950</vt:lpstr>
      <vt:lpstr>description_951</vt:lpstr>
      <vt:lpstr>description_952</vt:lpstr>
      <vt:lpstr>description_953</vt:lpstr>
      <vt:lpstr>description_954</vt:lpstr>
      <vt:lpstr>description_959</vt:lpstr>
      <vt:lpstr>description_960</vt:lpstr>
      <vt:lpstr>description_961</vt:lpstr>
      <vt:lpstr>description_968</vt:lpstr>
      <vt:lpstr>description_969</vt:lpstr>
      <vt:lpstr>description_970</vt:lpstr>
      <vt:lpstr>description_971</vt:lpstr>
      <vt:lpstr>diesel</vt:lpstr>
      <vt:lpstr>Division</vt:lpstr>
      <vt:lpstr>dozer</vt:lpstr>
      <vt:lpstr>driller</vt:lpstr>
      <vt:lpstr>drilling_machine_with_bit_and_accessories</vt:lpstr>
      <vt:lpstr>drum_mix_plant</vt:lpstr>
      <vt:lpstr>elastomeric_bearing</vt:lpstr>
      <vt:lpstr>electric_detonator</vt:lpstr>
      <vt:lpstr>electric_generator</vt:lpstr>
      <vt:lpstr>electric_heating_plate</vt:lpstr>
      <vt:lpstr>electricity</vt:lpstr>
      <vt:lpstr>emulsion</vt:lpstr>
      <vt:lpstr>emulsion_distributor</vt:lpstr>
      <vt:lpstr>epoxy_bonding_agent</vt:lpstr>
      <vt:lpstr>epoxy_red_zinc_oxide_phosphate_primer</vt:lpstr>
      <vt:lpstr>excavator</vt:lpstr>
      <vt:lpstr>expansion_joint</vt:lpstr>
      <vt:lpstr>filter_material</vt:lpstr>
      <vt:lpstr>fuse_wire_blasting</vt:lpstr>
      <vt:lpstr>Gabion_100x120_MW2.7_3.7_SW3.4_4.4_LW2.2_3.2</vt:lpstr>
      <vt:lpstr>Gabion_100x120_MW2.7_SW3.4_LW2.2</vt:lpstr>
      <vt:lpstr>Gabion_100x120_MW3_SW3.9_LW2.4</vt:lpstr>
      <vt:lpstr>Gabion_50x80_MW2.7_SW3.4_LW2.2</vt:lpstr>
      <vt:lpstr>gabion_mesh_wire</vt:lpstr>
      <vt:lpstr>Galvanized_Angle</vt:lpstr>
      <vt:lpstr>galvanized_angle_section_100_100_mm</vt:lpstr>
      <vt:lpstr>galvanized_channel_post</vt:lpstr>
      <vt:lpstr>galvanized_corrugated_thrie_beam</vt:lpstr>
      <vt:lpstr>galvanized_corrugated_w_beam_sheet</vt:lpstr>
      <vt:lpstr>galvanized_ms_clamp</vt:lpstr>
      <vt:lpstr>galvanized_spacer_channel</vt:lpstr>
      <vt:lpstr>galvanized_steel</vt:lpstr>
      <vt:lpstr>gelatin</vt:lpstr>
      <vt:lpstr>generator</vt:lpstr>
      <vt:lpstr>geotextile</vt:lpstr>
      <vt:lpstr>gi_bolt_dia_10_mm</vt:lpstr>
      <vt:lpstr>gi_pipe_dia_100_mm</vt:lpstr>
      <vt:lpstr>gi_wire</vt:lpstr>
      <vt:lpstr>glass_beads</vt:lpstr>
      <vt:lpstr>gravel</vt:lpstr>
      <vt:lpstr>grout_pump_with_agitator</vt:lpstr>
      <vt:lpstr>HDPE_pipe_110_mm</vt:lpstr>
      <vt:lpstr>HDPE_pipe_150_mm</vt:lpstr>
      <vt:lpstr>high_built_epoxy</vt:lpstr>
      <vt:lpstr>hot_mix_plant</vt:lpstr>
      <vt:lpstr>hume_pipe_dia_100_mm</vt:lpstr>
      <vt:lpstr>hume_pipe_dia_1000_mm</vt:lpstr>
      <vt:lpstr>hume_pipe_dia_1200_mm</vt:lpstr>
      <vt:lpstr>hume_pipe_dia_300_mm</vt:lpstr>
      <vt:lpstr>hume_pipe_dia_450_mm</vt:lpstr>
      <vt:lpstr>hume_pipe_dia_600_mm</vt:lpstr>
      <vt:lpstr>hume_pipe_dia_900_mm</vt:lpstr>
      <vt:lpstr>hydraulic_jack</vt:lpstr>
      <vt:lpstr>HYSD_bar</vt:lpstr>
      <vt:lpstr>jack_hammer</vt:lpstr>
      <vt:lpstr>kerb_casting_machine</vt:lpstr>
      <vt:lpstr>kerosene</vt:lpstr>
      <vt:lpstr>lime</vt:lpstr>
      <vt:lpstr>loader</vt:lpstr>
      <vt:lpstr>lpg</vt:lpstr>
      <vt:lpstr>man_break_aggregate_10_20_mm</vt:lpstr>
      <vt:lpstr>man_break_aggregate_10_mm</vt:lpstr>
      <vt:lpstr>man_break_aggregate_13.2_mm</vt:lpstr>
      <vt:lpstr>man_break_aggregate_20_40_mm</vt:lpstr>
      <vt:lpstr>man_break_aggregate_20_mm</vt:lpstr>
      <vt:lpstr>man_break_aggregate_40_70_mm</vt:lpstr>
      <vt:lpstr>man_break_aggregate_70_100_mm</vt:lpstr>
      <vt:lpstr>man_load_aggregate</vt:lpstr>
      <vt:lpstr>man_load_bricks</vt:lpstr>
      <vt:lpstr>man_load_cement</vt:lpstr>
      <vt:lpstr>man_load_concrete_block_kerb</vt:lpstr>
      <vt:lpstr>man_load_empty_bitumen_drum</vt:lpstr>
      <vt:lpstr>man_load_gravel</vt:lpstr>
      <vt:lpstr>man_load_hume_pipe_dia_1000_mm</vt:lpstr>
      <vt:lpstr>man_load_hume_pipe_dia_1200_mm</vt:lpstr>
      <vt:lpstr>man_load_hume_pipe_dia_300_mm</vt:lpstr>
      <vt:lpstr>man_load_hume_pipe_dia_450_mm</vt:lpstr>
      <vt:lpstr>man_load_hume_pipe_dia_600_mm</vt:lpstr>
      <vt:lpstr>man_load_hume_pipe_dia_700_mm</vt:lpstr>
      <vt:lpstr>man_load_hume_pipe_dia_900_mm</vt:lpstr>
      <vt:lpstr>man_load_rubble</vt:lpstr>
      <vt:lpstr>man_load_sand</vt:lpstr>
      <vt:lpstr>man_load_steel</vt:lpstr>
      <vt:lpstr>man_load_timber</vt:lpstr>
      <vt:lpstr>mastic_cooker</vt:lpstr>
      <vt:lpstr>mech_crush_aggregate_13.2_mm</vt:lpstr>
      <vt:lpstr>mech_crush_aggregate_20_mm</vt:lpstr>
      <vt:lpstr>mech_crush_aggregate_40_mm</vt:lpstr>
      <vt:lpstr>mech_load_aggregate</vt:lpstr>
      <vt:lpstr>mech_load_gravel</vt:lpstr>
      <vt:lpstr>mech_load_hume_pipe_450_mm_37.5_m</vt:lpstr>
      <vt:lpstr>mech_load_hume_pipe_dia_1000_mm</vt:lpstr>
      <vt:lpstr>mech_load_hume_pipe_dia_1200_mm</vt:lpstr>
      <vt:lpstr>mech_load_hume_pipe_dia_300_mm</vt:lpstr>
      <vt:lpstr>mech_load_hume_pipe_dia_450_mm</vt:lpstr>
      <vt:lpstr>mech_load_hume_pipe_dia_600_mm</vt:lpstr>
      <vt:lpstr>mech_load_hume_pipe_dia_700_mm</vt:lpstr>
      <vt:lpstr>mech_load_hume_pipe_dia_900_mm</vt:lpstr>
      <vt:lpstr>mech_load_rubble</vt:lpstr>
      <vt:lpstr>mech_load_sand</vt:lpstr>
      <vt:lpstr>mech_unload_hume_pipe_450_mm_37.5_m</vt:lpstr>
      <vt:lpstr>mech_unload_hume_pipe_dia_1000_mm</vt:lpstr>
      <vt:lpstr>mech_unload_hume_pipe_dia_1200_mm</vt:lpstr>
      <vt:lpstr>mech_unload_hume_pipe_dia_300_mm</vt:lpstr>
      <vt:lpstr>mech_unload_hume_pipe_dia_450_mm</vt:lpstr>
      <vt:lpstr>mech_unload_hume_pipe_dia_600_mm</vt:lpstr>
      <vt:lpstr>mech_unload_hume_pipe_dia_700_mm</vt:lpstr>
      <vt:lpstr>mech_unload_hume_pipe_dia_900_mm</vt:lpstr>
      <vt:lpstr>mechanical_broom</vt:lpstr>
      <vt:lpstr>ministry</vt:lpstr>
      <vt:lpstr>mixture_machine</vt:lpstr>
      <vt:lpstr>mobile_slurry_seal_equipment</vt:lpstr>
      <vt:lpstr>motor_grader</vt:lpstr>
      <vt:lpstr>ms_angle</vt:lpstr>
      <vt:lpstr>ms_bar</vt:lpstr>
      <vt:lpstr>ms_channel</vt:lpstr>
      <vt:lpstr>ms_clamp</vt:lpstr>
      <vt:lpstr>ms_flat_pipe</vt:lpstr>
      <vt:lpstr>ms_pipe_25_mm</vt:lpstr>
      <vt:lpstr>ms_pipe_50_mm</vt:lpstr>
      <vt:lpstr>ms_pipes_dia_40mm</vt:lpstr>
      <vt:lpstr>ms_plate</vt:lpstr>
      <vt:lpstr>ms_sheet_2_mm</vt:lpstr>
      <vt:lpstr>nails_spikes</vt:lpstr>
      <vt:lpstr>name_of_road</vt:lpstr>
      <vt:lpstr>nature_of_work</vt:lpstr>
      <vt:lpstr>no_blast_rubble</vt:lpstr>
      <vt:lpstr>nuts_bolts</vt:lpstr>
      <vt:lpstr>pack_high_built_polyur_ethane</vt:lpstr>
      <vt:lpstr>paint</vt:lpstr>
      <vt:lpstr>paint_sprayer_machine_with_compressor</vt:lpstr>
      <vt:lpstr>part_of_bearing</vt:lpstr>
      <vt:lpstr>paver_finisher</vt:lpstr>
      <vt:lpstr>petrol</vt:lpstr>
      <vt:lpstr>piling_rig_with_all_accessories</vt:lpstr>
      <vt:lpstr>planks_38mm_thick</vt:lpstr>
      <vt:lpstr>plate_compactor</vt:lpstr>
      <vt:lpstr>ply_wood_12mm_thick</vt:lpstr>
      <vt:lpstr>ply_wood_9mm_thick</vt:lpstr>
      <vt:lpstr>pneumatic_roller</vt:lpstr>
      <vt:lpstr>pre_coated_stone_chips_13mm</vt:lpstr>
      <vt:lpstr>pre_moulded_joint_filler</vt:lpstr>
      <vt:lpstr>preformed_continuous_chloroprene_elastomer</vt:lpstr>
      <vt:lpstr>bistar!Print_Area</vt:lpstr>
      <vt:lpstr>District_Rate!Print_Area</vt:lpstr>
      <vt:lpstr>'rate (roadway)'!Print_Area</vt:lpstr>
      <vt:lpstr>Rate_Analysis!Print_Area</vt:lpstr>
      <vt:lpstr>Summary_of_Rates!Print_Area</vt:lpstr>
      <vt:lpstr>Abstract!Print_Titles</vt:lpstr>
      <vt:lpstr>bistar!Print_Titles</vt:lpstr>
      <vt:lpstr>BOQ!Print_Titles</vt:lpstr>
      <vt:lpstr>Equipment_Rate!Print_Titles</vt:lpstr>
      <vt:lpstr>Loading_Unloading!Print_Titles</vt:lpstr>
      <vt:lpstr>PPMO_BOQ!Print_Titles</vt:lpstr>
      <vt:lpstr>Quantity_Sheet!Print_Titles</vt:lpstr>
      <vt:lpstr>Rate_Analysis!Print_Titles</vt:lpstr>
      <vt:lpstr>Summary_of_Rates!Print_Titles</vt:lpstr>
      <vt:lpstr>project_signboard</vt:lpstr>
      <vt:lpstr>prov_sum</vt:lpstr>
      <vt:lpstr>PVC_pipe_200_mm</vt:lpstr>
      <vt:lpstr>rafter_beam_battens</vt:lpstr>
      <vt:lpstr>rate_1</vt:lpstr>
      <vt:lpstr>rate_10</vt:lpstr>
      <vt:lpstr>rate_103</vt:lpstr>
      <vt:lpstr>rate_11</vt:lpstr>
      <vt:lpstr>rate_121</vt:lpstr>
      <vt:lpstr>rate_124</vt:lpstr>
      <vt:lpstr>rate_128</vt:lpstr>
      <vt:lpstr>rate_13</vt:lpstr>
      <vt:lpstr>rate_14</vt:lpstr>
      <vt:lpstr>rate_15</vt:lpstr>
      <vt:lpstr>rate_16</vt:lpstr>
      <vt:lpstr>rate_17</vt:lpstr>
      <vt:lpstr>rate_18</vt:lpstr>
      <vt:lpstr>rate_19</vt:lpstr>
      <vt:lpstr>rate_2</vt:lpstr>
      <vt:lpstr>rate_20</vt:lpstr>
      <vt:lpstr>rate_2051</vt:lpstr>
      <vt:lpstr>rate_2052</vt:lpstr>
      <vt:lpstr>rate_2063</vt:lpstr>
      <vt:lpstr>rate_2064</vt:lpstr>
      <vt:lpstr>rate_2065</vt:lpstr>
      <vt:lpstr>rate_2066</vt:lpstr>
      <vt:lpstr>rate_21</vt:lpstr>
      <vt:lpstr>rate_2101</vt:lpstr>
      <vt:lpstr>rate_2102</vt:lpstr>
      <vt:lpstr>rate_2103</vt:lpstr>
      <vt:lpstr>rate_22</vt:lpstr>
      <vt:lpstr>rate_2212</vt:lpstr>
      <vt:lpstr>rate_23</vt:lpstr>
      <vt:lpstr>rate_24</vt:lpstr>
      <vt:lpstr>rate_245</vt:lpstr>
      <vt:lpstr>rate_246</vt:lpstr>
      <vt:lpstr>rate_247</vt:lpstr>
      <vt:lpstr>rate_248</vt:lpstr>
      <vt:lpstr>rate_249</vt:lpstr>
      <vt:lpstr>rate_25</vt:lpstr>
      <vt:lpstr>rate_250</vt:lpstr>
      <vt:lpstr>rate_251</vt:lpstr>
      <vt:lpstr>rate_252</vt:lpstr>
      <vt:lpstr>rate_253</vt:lpstr>
      <vt:lpstr>rate_254</vt:lpstr>
      <vt:lpstr>rate_255</vt:lpstr>
      <vt:lpstr>rate_256</vt:lpstr>
      <vt:lpstr>rate_257</vt:lpstr>
      <vt:lpstr>rate_26</vt:lpstr>
      <vt:lpstr>rate_261</vt:lpstr>
      <vt:lpstr>rate_262</vt:lpstr>
      <vt:lpstr>rate_263</vt:lpstr>
      <vt:lpstr>rate_264</vt:lpstr>
      <vt:lpstr>rate_265</vt:lpstr>
      <vt:lpstr>rate_27</vt:lpstr>
      <vt:lpstr>rate_270</vt:lpstr>
      <vt:lpstr>rate_271</vt:lpstr>
      <vt:lpstr>rate_273</vt:lpstr>
      <vt:lpstr>rate_276</vt:lpstr>
      <vt:lpstr>rate_277</vt:lpstr>
      <vt:lpstr>rate_278</vt:lpstr>
      <vt:lpstr>rate_28</vt:lpstr>
      <vt:lpstr>rate_280</vt:lpstr>
      <vt:lpstr>rate_289</vt:lpstr>
      <vt:lpstr>rate_29</vt:lpstr>
      <vt:lpstr>rate_291</vt:lpstr>
      <vt:lpstr>rate_293</vt:lpstr>
      <vt:lpstr>rate_294</vt:lpstr>
      <vt:lpstr>rate_296</vt:lpstr>
      <vt:lpstr>rate_297</vt:lpstr>
      <vt:lpstr>rate_298</vt:lpstr>
      <vt:lpstr>rate_299</vt:lpstr>
      <vt:lpstr>rate_3</vt:lpstr>
      <vt:lpstr>rate_30</vt:lpstr>
      <vt:lpstr>rate_301</vt:lpstr>
      <vt:lpstr>rate_302</vt:lpstr>
      <vt:lpstr>rate_303</vt:lpstr>
      <vt:lpstr>rate_304</vt:lpstr>
      <vt:lpstr>rate_305</vt:lpstr>
      <vt:lpstr>rate_306</vt:lpstr>
      <vt:lpstr>rate_31</vt:lpstr>
      <vt:lpstr>rate_310</vt:lpstr>
      <vt:lpstr>rate_312</vt:lpstr>
      <vt:lpstr>rate_315</vt:lpstr>
      <vt:lpstr>rate_326</vt:lpstr>
      <vt:lpstr>rate_327</vt:lpstr>
      <vt:lpstr>rate_328</vt:lpstr>
      <vt:lpstr>rate_329</vt:lpstr>
      <vt:lpstr>rate_331</vt:lpstr>
      <vt:lpstr>rate_340</vt:lpstr>
      <vt:lpstr>rate_343</vt:lpstr>
      <vt:lpstr>rate_345</vt:lpstr>
      <vt:lpstr>rate_350</vt:lpstr>
      <vt:lpstr>rate_352</vt:lpstr>
      <vt:lpstr>rate_353</vt:lpstr>
      <vt:lpstr>rate_354</vt:lpstr>
      <vt:lpstr>rate_363</vt:lpstr>
      <vt:lpstr>rate_364</vt:lpstr>
      <vt:lpstr>rate_365</vt:lpstr>
      <vt:lpstr>rate_366</vt:lpstr>
      <vt:lpstr>rate_37</vt:lpstr>
      <vt:lpstr>rate_376</vt:lpstr>
      <vt:lpstr>rate_377</vt:lpstr>
      <vt:lpstr>rate_378</vt:lpstr>
      <vt:lpstr>rate_379</vt:lpstr>
      <vt:lpstr>rate_38</vt:lpstr>
      <vt:lpstr>rate_380</vt:lpstr>
      <vt:lpstr>rate_382</vt:lpstr>
      <vt:lpstr>rate_383</vt:lpstr>
      <vt:lpstr>rate_384</vt:lpstr>
      <vt:lpstr>rate_385</vt:lpstr>
      <vt:lpstr>rate_387</vt:lpstr>
      <vt:lpstr>rate_39</vt:lpstr>
      <vt:lpstr>rate_394</vt:lpstr>
      <vt:lpstr>rate_395</vt:lpstr>
      <vt:lpstr>rate_396</vt:lpstr>
      <vt:lpstr>rate_398</vt:lpstr>
      <vt:lpstr>rate_4</vt:lpstr>
      <vt:lpstr>rate_40</vt:lpstr>
      <vt:lpstr>rate_400</vt:lpstr>
      <vt:lpstr>rate_401</vt:lpstr>
      <vt:lpstr>rate_406</vt:lpstr>
      <vt:lpstr>rate_407</vt:lpstr>
      <vt:lpstr>rate_408</vt:lpstr>
      <vt:lpstr>rate_409</vt:lpstr>
      <vt:lpstr>rate_41</vt:lpstr>
      <vt:lpstr>rate_410</vt:lpstr>
      <vt:lpstr>rate_411</vt:lpstr>
      <vt:lpstr>rate_412</vt:lpstr>
      <vt:lpstr>rate_413</vt:lpstr>
      <vt:lpstr>rate_414</vt:lpstr>
      <vt:lpstr>rate_418</vt:lpstr>
      <vt:lpstr>rate_42</vt:lpstr>
      <vt:lpstr>rate_428</vt:lpstr>
      <vt:lpstr>rate_429</vt:lpstr>
      <vt:lpstr>rate_43</vt:lpstr>
      <vt:lpstr>rate_430</vt:lpstr>
      <vt:lpstr>rate_431</vt:lpstr>
      <vt:lpstr>rate_432</vt:lpstr>
      <vt:lpstr>rate_433</vt:lpstr>
      <vt:lpstr>rate_434</vt:lpstr>
      <vt:lpstr>rate_435</vt:lpstr>
      <vt:lpstr>rate_436</vt:lpstr>
      <vt:lpstr>rate_437</vt:lpstr>
      <vt:lpstr>rate_438</vt:lpstr>
      <vt:lpstr>rate_439</vt:lpstr>
      <vt:lpstr>rate_44</vt:lpstr>
      <vt:lpstr>rate_444</vt:lpstr>
      <vt:lpstr>rate_45</vt:lpstr>
      <vt:lpstr>rate_46</vt:lpstr>
      <vt:lpstr>rate_47</vt:lpstr>
      <vt:lpstr>rate_48</vt:lpstr>
      <vt:lpstr>rate_49</vt:lpstr>
      <vt:lpstr>rate_5</vt:lpstr>
      <vt:lpstr>rate_50</vt:lpstr>
      <vt:lpstr>rate_51</vt:lpstr>
      <vt:lpstr>rate_52</vt:lpstr>
      <vt:lpstr>rate_53</vt:lpstr>
      <vt:lpstr>rate_54</vt:lpstr>
      <vt:lpstr>rate_55</vt:lpstr>
      <vt:lpstr>rate_56</vt:lpstr>
      <vt:lpstr>rate_564</vt:lpstr>
      <vt:lpstr>rate_565</vt:lpstr>
      <vt:lpstr>rate_566</vt:lpstr>
      <vt:lpstr>rate_567</vt:lpstr>
      <vt:lpstr>rate_568</vt:lpstr>
      <vt:lpstr>rate_57</vt:lpstr>
      <vt:lpstr>rate_58</vt:lpstr>
      <vt:lpstr>rate_59</vt:lpstr>
      <vt:lpstr>rate_598</vt:lpstr>
      <vt:lpstr>rate_599</vt:lpstr>
      <vt:lpstr>rate_6</vt:lpstr>
      <vt:lpstr>rate_60</vt:lpstr>
      <vt:lpstr>rate_600</vt:lpstr>
      <vt:lpstr>rate_61</vt:lpstr>
      <vt:lpstr>rate_610</vt:lpstr>
      <vt:lpstr>rate_611</vt:lpstr>
      <vt:lpstr>rate_612</vt:lpstr>
      <vt:lpstr>rate_614</vt:lpstr>
      <vt:lpstr>rate_615</vt:lpstr>
      <vt:lpstr>rate_616</vt:lpstr>
      <vt:lpstr>rate_618</vt:lpstr>
      <vt:lpstr>rate_619</vt:lpstr>
      <vt:lpstr>rate_62</vt:lpstr>
      <vt:lpstr>rate_620</vt:lpstr>
      <vt:lpstr>rate_622</vt:lpstr>
      <vt:lpstr>rate_623</vt:lpstr>
      <vt:lpstr>rate_637</vt:lpstr>
      <vt:lpstr>rate_641</vt:lpstr>
      <vt:lpstr>rate_643</vt:lpstr>
      <vt:lpstr>rate_649</vt:lpstr>
      <vt:lpstr>rate_650</vt:lpstr>
      <vt:lpstr>rate_651</vt:lpstr>
      <vt:lpstr>rate_652</vt:lpstr>
      <vt:lpstr>rate_653</vt:lpstr>
      <vt:lpstr>rate_654</vt:lpstr>
      <vt:lpstr>rate_655</vt:lpstr>
      <vt:lpstr>rate_656</vt:lpstr>
      <vt:lpstr>rate_657</vt:lpstr>
      <vt:lpstr>rate_658</vt:lpstr>
      <vt:lpstr>rate_671</vt:lpstr>
      <vt:lpstr>rate_672</vt:lpstr>
      <vt:lpstr>rate_673</vt:lpstr>
      <vt:lpstr>rate_674</vt:lpstr>
      <vt:lpstr>rate_675</vt:lpstr>
      <vt:lpstr>rate_676</vt:lpstr>
      <vt:lpstr>rate_677</vt:lpstr>
      <vt:lpstr>rate_678</vt:lpstr>
      <vt:lpstr>rate_679</vt:lpstr>
      <vt:lpstr>rate_68</vt:lpstr>
      <vt:lpstr>rate_680</vt:lpstr>
      <vt:lpstr>rate_682</vt:lpstr>
      <vt:lpstr>rate_684</vt:lpstr>
      <vt:lpstr>rate_685</vt:lpstr>
      <vt:lpstr>rate_686</vt:lpstr>
      <vt:lpstr>rate_687</vt:lpstr>
      <vt:lpstr>rate_688</vt:lpstr>
      <vt:lpstr>rate_689</vt:lpstr>
      <vt:lpstr>rate_69</vt:lpstr>
      <vt:lpstr>rate_690</vt:lpstr>
      <vt:lpstr>rate_691</vt:lpstr>
      <vt:lpstr>rate_692</vt:lpstr>
      <vt:lpstr>rate_693</vt:lpstr>
      <vt:lpstr>rate_697</vt:lpstr>
      <vt:lpstr>rate_698</vt:lpstr>
      <vt:lpstr>rate_7</vt:lpstr>
      <vt:lpstr>rate_700</vt:lpstr>
      <vt:lpstr>rate_701</vt:lpstr>
      <vt:lpstr>rate_702</vt:lpstr>
      <vt:lpstr>rate_703</vt:lpstr>
      <vt:lpstr>rate_706</vt:lpstr>
      <vt:lpstr>rate_707</vt:lpstr>
      <vt:lpstr>rate_746</vt:lpstr>
      <vt:lpstr>rate_747</vt:lpstr>
      <vt:lpstr>rate_748</vt:lpstr>
      <vt:lpstr>rate_749</vt:lpstr>
      <vt:lpstr>rate_753</vt:lpstr>
      <vt:lpstr>rate_754</vt:lpstr>
      <vt:lpstr>rate_755</vt:lpstr>
      <vt:lpstr>rate_756</vt:lpstr>
      <vt:lpstr>rate_757</vt:lpstr>
      <vt:lpstr>rate_758</vt:lpstr>
      <vt:lpstr>rate_759</vt:lpstr>
      <vt:lpstr>rate_760</vt:lpstr>
      <vt:lpstr>rate_761</vt:lpstr>
      <vt:lpstr>rate_762</vt:lpstr>
      <vt:lpstr>rate_763</vt:lpstr>
      <vt:lpstr>rate_764</vt:lpstr>
      <vt:lpstr>rate_765</vt:lpstr>
      <vt:lpstr>rate_766</vt:lpstr>
      <vt:lpstr>rate_767</vt:lpstr>
      <vt:lpstr>rate_768</vt:lpstr>
      <vt:lpstr>rate_769</vt:lpstr>
      <vt:lpstr>rate_770</vt:lpstr>
      <vt:lpstr>rate_771</vt:lpstr>
      <vt:lpstr>rate_772</vt:lpstr>
      <vt:lpstr>rate_773</vt:lpstr>
      <vt:lpstr>rate_774</vt:lpstr>
      <vt:lpstr>rate_775</vt:lpstr>
      <vt:lpstr>rate_779</vt:lpstr>
      <vt:lpstr>rate_780</vt:lpstr>
      <vt:lpstr>rate_781</vt:lpstr>
      <vt:lpstr>rate_782</vt:lpstr>
      <vt:lpstr>rate_783</vt:lpstr>
      <vt:lpstr>rate_784</vt:lpstr>
      <vt:lpstr>rate_8</vt:lpstr>
      <vt:lpstr>rate_810</vt:lpstr>
      <vt:lpstr>rate_811</vt:lpstr>
      <vt:lpstr>rate_824</vt:lpstr>
      <vt:lpstr>rate_825</vt:lpstr>
      <vt:lpstr>rate_826</vt:lpstr>
      <vt:lpstr>rate_827</vt:lpstr>
      <vt:lpstr>rate_828</vt:lpstr>
      <vt:lpstr>rate_829</vt:lpstr>
      <vt:lpstr>rate_830</vt:lpstr>
      <vt:lpstr>rate_90</vt:lpstr>
      <vt:lpstr>rate_934</vt:lpstr>
      <vt:lpstr>rate_935</vt:lpstr>
      <vt:lpstr>rate_937</vt:lpstr>
      <vt:lpstr>rate_943</vt:lpstr>
      <vt:lpstr>rate_95</vt:lpstr>
      <vt:lpstr>rate_950</vt:lpstr>
      <vt:lpstr>rate_951</vt:lpstr>
      <vt:lpstr>rate_952</vt:lpstr>
      <vt:lpstr>rate_953</vt:lpstr>
      <vt:lpstr>rate_954</vt:lpstr>
      <vt:lpstr>RCC_collar_dia_1000_mm</vt:lpstr>
      <vt:lpstr>RCC_collar_dia_1200_mm</vt:lpstr>
      <vt:lpstr>RCC_collar_dia_300_mm</vt:lpstr>
      <vt:lpstr>RCC_collar_dia_450_mm</vt:lpstr>
      <vt:lpstr>RCC_collar_dia_600_mm</vt:lpstr>
      <vt:lpstr>RCC_collar_dia_900_mm</vt:lpstr>
      <vt:lpstr>Region</vt:lpstr>
      <vt:lpstr>road_marking_machine</vt:lpstr>
      <vt:lpstr>RS_joist</vt:lpstr>
      <vt:lpstr>rubble</vt:lpstr>
      <vt:lpstr>sal_wood</vt:lpstr>
      <vt:lpstr>sand</vt:lpstr>
      <vt:lpstr>sand_blasting_machine</vt:lpstr>
      <vt:lpstr>screw_jack</vt:lpstr>
      <vt:lpstr>semiskilled</vt:lpstr>
      <vt:lpstr>skilled</vt:lpstr>
      <vt:lpstr>skilled_blacksmith</vt:lpstr>
      <vt:lpstr>skilled_electrician_lineman</vt:lpstr>
      <vt:lpstr>skilled_mason</vt:lpstr>
      <vt:lpstr>skilled_painter</vt:lpstr>
      <vt:lpstr>skilled_plumber</vt:lpstr>
      <vt:lpstr>smooth_wheel_roller</vt:lpstr>
      <vt:lpstr>steel_tube_dia_50_mm</vt:lpstr>
      <vt:lpstr>steel_wire_40_mm</vt:lpstr>
      <vt:lpstr>stone_crusher_with_screen</vt:lpstr>
      <vt:lpstr>stone_dust</vt:lpstr>
      <vt:lpstr>stone_slab_50_mm</vt:lpstr>
      <vt:lpstr>street_lighting_pole_9_m</vt:lpstr>
      <vt:lpstr>strip_or_box_seal_expansion_joint</vt:lpstr>
      <vt:lpstr>structural_steel</vt:lpstr>
      <vt:lpstr>struts</vt:lpstr>
      <vt:lpstr>struts_ballies</vt:lpstr>
      <vt:lpstr>sub_base_material</vt:lpstr>
      <vt:lpstr>sub_base_material_footpath</vt:lpstr>
      <vt:lpstr>supervisor</vt:lpstr>
      <vt:lpstr>surface_dressing_chips</vt:lpstr>
      <vt:lpstr>t_aggregate_10_20_mm</vt:lpstr>
      <vt:lpstr>t_aggregate_10_mm</vt:lpstr>
      <vt:lpstr>t_aggregate_13.2_mm</vt:lpstr>
      <vt:lpstr>t_aggregate_20_40_mm</vt:lpstr>
      <vt:lpstr>t_aggregate_20_mm</vt:lpstr>
      <vt:lpstr>t_aggregate_40_70_mm</vt:lpstr>
      <vt:lpstr>t_rubble</vt:lpstr>
      <vt:lpstr>t_sand</vt:lpstr>
      <vt:lpstr>technician</vt:lpstr>
      <vt:lpstr>thermoplastic_paint</vt:lpstr>
      <vt:lpstr>tiles_300_300_mm_and_25mm_thick</vt:lpstr>
      <vt:lpstr>tipper</vt:lpstr>
      <vt:lpstr>total</vt:lpstr>
      <vt:lpstr>tractor</vt:lpstr>
      <vt:lpstr>tractor_with_ripper</vt:lpstr>
      <vt:lpstr>tractor_with_ripper_and_rotator</vt:lpstr>
      <vt:lpstr>tractor_with_rotavator</vt:lpstr>
      <vt:lpstr>truck</vt:lpstr>
      <vt:lpstr>unskilled</vt:lpstr>
      <vt:lpstr>vapor_lamp</vt:lpstr>
      <vt:lpstr>washing_aggregate</vt:lpstr>
      <vt:lpstr>washing_gravel</vt:lpstr>
      <vt:lpstr>washing_rubble</vt:lpstr>
      <vt:lpstr>washing_sand</vt:lpstr>
      <vt:lpstr>water</vt:lpstr>
      <vt:lpstr>water_tanker</vt:lpstr>
      <vt:lpstr>wet_mix_plant</vt:lpstr>
      <vt:lpstr>wooden_packing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admin</cp:lastModifiedBy>
  <cp:lastPrinted>2023-08-02T06:11:13Z</cp:lastPrinted>
  <dcterms:created xsi:type="dcterms:W3CDTF">2019-08-28T03:28:33Z</dcterms:created>
  <dcterms:modified xsi:type="dcterms:W3CDTF">2025-07-29T11:01:18Z</dcterms:modified>
</cp:coreProperties>
</file>